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/comment1.xml" ContentType="application/vnd.openxmlformats-officedocument.spreadsheetml.comments+xml"/>
  <Override PartName="/xl/comments/comment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Enrollment Census" sheetId="2" state="visible" r:id="rId2"/>
    <sheet xmlns:r="http://schemas.openxmlformats.org/officeDocument/2006/relationships" name="VALIDATE" sheetId="3" state="visible" r:id="rId3"/>
    <sheet xmlns:r="http://schemas.openxmlformats.org/officeDocument/2006/relationships" name="REPORT" sheetId="4" state="visible" r:id="rId4"/>
    <sheet xmlns:r="http://schemas.openxmlformats.org/officeDocument/2006/relationships" name="Example" sheetId="5" state="visible" r:id="rId5"/>
    <sheet xmlns:r="http://schemas.openxmlformats.org/officeDocument/2006/relationships" name="CLEAN EXPORT" sheetId="6" state="veryHidden" r:id="rId6"/>
  </sheets>
  <definedNames>
    <definedName name="_xlnm.Print_Area" localSheetId="0">'START HERE'!$A$1:$H$34</definedName>
    <definedName name="_xlnm._FilterDatabase" localSheetId="1" hidden="1">'Enrollment Census'!$A$1:$U$501</definedName>
    <definedName name="_xlnm.Print_Area" localSheetId="1">'Enrollment Census'!$A$1:$U$501</definedName>
    <definedName name="_xlnm._FilterDatabase" localSheetId="2" hidden="1">'VALIDATE'!$A$10:$I$510</definedName>
    <definedName name="_xlnm.Print_Titles" localSheetId="2">'VALIDATE'!$1:$10</definedName>
    <definedName name="_xlnm.Print_Area" localSheetId="2">'VALIDATE'!$A$1:$I$70</definedName>
    <definedName name="_xlnm.Print_Titles" localSheetId="3">'REPORT'!$1:$10</definedName>
    <definedName name="_xlnm.Print_Area" localSheetId="3">'REPORT'!$A$1:$H$52</definedName>
    <definedName name="_xlnm.Print_Area" localSheetId="4">'Example'!$A$1:$U$8</definedName>
    <definedName name="_xlnm._FilterDatabase" localSheetId="5" hidden="1">'CLEAN EXPORT'!$A$1:$U$501</definedName>
  </definedNames>
  <calcPr calcId="124519" calcMode="auto" fullCalcOnLoad="1" calcOnSave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47">
    <font>
      <name val="Calibri"/>
      <family val="2"/>
      <color theme="1"/>
      <sz val="11"/>
      <scheme val="minor"/>
    </font>
    <font>
      <name val="Aptos Display"/>
      <b val="1"/>
      <color rgb="00184A50"/>
      <sz val="20"/>
    </font>
    <font>
      <name val="Aptos"/>
      <color rgb="00637477"/>
      <sz val="11"/>
    </font>
    <font>
      <name val="Aptos"/>
      <b val="1"/>
      <color rgb="00225D63"/>
      <sz val="11"/>
    </font>
    <font>
      <name val="Aptos"/>
      <b val="1"/>
      <color rgb="00243238"/>
      <sz val="10"/>
    </font>
    <font>
      <name val="Aptos"/>
      <color rgb="00243238"/>
      <sz val="10"/>
    </font>
    <font>
      <name val="Aptos"/>
      <b val="1"/>
      <color rgb="008A5200"/>
      <sz val="10"/>
    </font>
    <font>
      <name val="Aptos"/>
      <b val="1"/>
      <color rgb="002F7C83"/>
      <sz val="10"/>
    </font>
    <font>
      <name val="Aptos"/>
      <b val="1"/>
      <color rgb="00225D63"/>
      <sz val="10"/>
    </font>
    <font>
      <name val="Aptos"/>
      <b val="1"/>
      <color rgb="00FFFFFF"/>
      <sz val="10"/>
    </font>
    <font>
      <name val="Aptos"/>
      <b val="1"/>
      <color rgb="00225D63"/>
      <sz val="12"/>
    </font>
    <font>
      <name val="Aptos Display"/>
      <b val="1"/>
      <color rgb="00FFFFFF"/>
      <sz val="20"/>
    </font>
    <font>
      <name val="Aptos"/>
      <color rgb="0026343B"/>
      <sz val="10.5"/>
    </font>
    <font>
      <name val="Aptos"/>
      <b val="1"/>
      <color rgb="006B7478"/>
      <sz val="10"/>
    </font>
    <font>
      <name val="Aptos Display"/>
      <b val="1"/>
      <color rgb="0026343B"/>
      <sz val="14"/>
    </font>
    <font>
      <name val="Aptos"/>
      <color rgb="0026343B"/>
      <sz val="9.5"/>
    </font>
    <font>
      <name val="Aptos"/>
      <i val="1"/>
      <color rgb="006B7478"/>
      <sz val="9"/>
    </font>
    <font>
      <name val="Aptos"/>
      <b val="1"/>
      <color rgb="0026343B"/>
      <sz val="11"/>
    </font>
    <font>
      <name val="Aptos Display"/>
      <b val="1"/>
      <color rgb="00184A50"/>
      <sz val="21"/>
    </font>
    <font>
      <name val="Aptos"/>
      <i val="1"/>
      <color rgb="00637477"/>
      <sz val="9"/>
    </font>
    <font>
      <name val="Aptos"/>
      <b val="1"/>
      <color rgb="00184A50"/>
      <sz val="11"/>
    </font>
    <font>
      <name val="Aptos"/>
      <color rgb="007A5520"/>
      <sz val="10"/>
    </font>
    <font>
      <name val="Aptos Display"/>
      <b val="1"/>
      <color rgb="00FFFFFF"/>
      <sz val="13"/>
    </font>
    <font>
      <name val="Aptos"/>
      <b val="1"/>
      <color rgb="00184A50"/>
      <sz val="10"/>
    </font>
    <font>
      <name val="Aptos"/>
      <b val="1"/>
      <color rgb="00243238"/>
      <sz val="11"/>
    </font>
    <font>
      <name val="Aptos"/>
      <color rgb="00637477"/>
      <sz val="10"/>
    </font>
    <font>
      <name val="Aptos"/>
      <i val="1"/>
      <color rgb="00516269"/>
      <sz val="10"/>
    </font>
    <font>
      <name val="Aptos"/>
      <color rgb="0024343A"/>
      <sz val="11"/>
    </font>
    <font>
      <name val="Aptos Display"/>
      <b val="1"/>
      <color rgb="00245E63"/>
      <sz val="12"/>
    </font>
    <font>
      <name val="Aptos"/>
      <b val="1"/>
      <color rgb="00516269"/>
      <sz val="9"/>
    </font>
    <font>
      <name val="Aptos Display"/>
      <b val="1"/>
      <color rgb="00245E63"/>
      <sz val="18"/>
    </font>
    <font>
      <name val="Aptos Display"/>
      <b val="1"/>
      <color rgb="00245E63"/>
      <sz val="16"/>
    </font>
    <font>
      <name val="Aptos"/>
      <color rgb="00516269"/>
      <sz val="11"/>
    </font>
    <font>
      <name val="Aptos"/>
      <b val="1"/>
      <color rgb="00245E63"/>
      <sz val="9"/>
    </font>
    <font>
      <name val="Aptos Display"/>
      <b val="1"/>
      <color rgb="0024343A"/>
      <sz val="12"/>
    </font>
    <font>
      <name val="Aptos"/>
      <color rgb="0024343A"/>
      <sz val="9"/>
    </font>
    <font>
      <name val="Aptos Display"/>
      <b val="1"/>
      <color rgb="00245E63"/>
      <sz val="14"/>
    </font>
    <font>
      <name val="Aptos"/>
      <color rgb="0024343A"/>
      <sz val="10"/>
    </font>
    <font>
      <name val="Aptos"/>
      <b val="1"/>
      <color rgb="00245E63"/>
      <sz val="10"/>
    </font>
    <font>
      <name val="Aptos"/>
      <b val="1"/>
      <color rgb="00FFFFFF"/>
      <sz val="9"/>
    </font>
    <font>
      <name val="Aptos"/>
      <color rgb="0024343A"/>
      <sz val="8"/>
    </font>
    <font>
      <name val="Aptos"/>
      <i val="1"/>
      <color rgb="00516269"/>
      <sz val="9"/>
    </font>
    <font>
      <name val="Aptos"/>
      <b val="1"/>
      <color rgb="00245E63"/>
      <sz val="10.5"/>
    </font>
    <font>
      <name val="Aptos"/>
      <color rgb="00243238"/>
      <sz val="10.5"/>
    </font>
    <font>
      <name val="Aptos"/>
      <color rgb="002F3B45"/>
      <sz val="12"/>
    </font>
    <font>
      <name val="Aptos"/>
      <b val="1"/>
      <color rgb="002E5961"/>
      <sz val="15"/>
    </font>
    <font>
      <name val="Aptos"/>
      <b val="1"/>
      <color rgb="002F3B45"/>
      <sz val="12.5"/>
    </font>
  </fonts>
  <fills count="20">
    <fill>
      <patternFill/>
    </fill>
    <fill>
      <patternFill patternType="gray125"/>
    </fill>
    <fill>
      <patternFill patternType="solid">
        <fgColor rgb="00EAF4F4"/>
      </patternFill>
    </fill>
    <fill>
      <patternFill patternType="solid">
        <fgColor rgb="00F6FAFA"/>
      </patternFill>
    </fill>
    <fill>
      <patternFill patternType="solid">
        <fgColor rgb="00FFF4E5"/>
      </patternFill>
    </fill>
    <fill>
      <patternFill patternType="solid">
        <fgColor rgb="002F7C83"/>
      </patternFill>
    </fill>
    <fill>
      <patternFill patternType="solid">
        <fgColor rgb="00D8ECEC"/>
      </patternFill>
    </fill>
    <fill>
      <patternFill patternType="solid">
        <fgColor rgb="00225D63"/>
      </patternFill>
    </fill>
    <fill>
      <patternFill patternType="solid">
        <fgColor rgb="00F4FAFA"/>
      </patternFill>
    </fill>
    <fill>
      <patternFill patternType="solid">
        <fgColor rgb="00FFFFFF"/>
      </patternFill>
    </fill>
    <fill>
      <patternFill patternType="solid">
        <fgColor rgb="00FFF7EA"/>
      </patternFill>
    </fill>
    <fill>
      <patternFill patternType="solid">
        <fgColor rgb="00F8FCFC"/>
      </patternFill>
    </fill>
    <fill>
      <patternFill patternType="solid">
        <fgColor rgb="00E8F3F4"/>
      </patternFill>
    </fill>
    <fill>
      <patternFill patternType="solid">
        <fgColor rgb="00F5FAFA"/>
      </patternFill>
    </fill>
    <fill>
      <patternFill patternType="solid">
        <fgColor rgb="00245E63"/>
      </patternFill>
    </fill>
    <fill>
      <patternFill patternType="solid">
        <fgColor rgb="002F7F86"/>
      </patternFill>
    </fill>
    <fill>
      <patternFill patternType="solid">
        <fgColor rgb="00EEF6F6"/>
      </patternFill>
    </fill>
    <fill>
      <patternFill patternType="solid">
        <fgColor rgb="00FBFDFD"/>
      </patternFill>
    </fill>
    <fill>
      <patternFill patternType="solid">
        <fgColor rgb="00DDE7E8"/>
      </patternFill>
    </fill>
    <fill>
      <patternFill patternType="solid">
        <fgColor rgb="00F2F7F7"/>
      </patternFill>
    </fill>
  </fills>
  <borders count="52">
    <border>
      <left/>
      <right/>
      <top/>
      <bottom/>
      <diagonal/>
    </border>
    <border>
      <bottom style="thin">
        <color rgb="00C9DADB"/>
      </bottom>
    </border>
    <border>
      <bottom style="medium">
        <color rgb="002F7C83"/>
      </bottom>
    </border>
    <border>
      <bottom style="hair">
        <color rgb="00E8EEEE"/>
      </bottom>
    </border>
    <border>
      <left/>
      <right/>
      <top/>
      <bottom style="thin">
        <color rgb="00C9DADB"/>
      </bottom>
      <diagonal/>
    </border>
    <border>
      <right/>
      <bottom style="thin">
        <color rgb="00C9DADB"/>
      </bottom>
    </border>
    <border>
      <bottom style="thin">
        <color rgb="00D9E4E5"/>
      </bottom>
    </border>
    <border>
      <bottom style="hair">
        <color rgb="00E3E8E8"/>
      </bottom>
    </border>
    <border/>
    <border>
      <bottom style="thin">
        <color rgb="00CFE1E2"/>
      </bottom>
    </border>
    <border>
      <left style="medium">
        <color rgb="00D9A441"/>
      </left>
    </border>
    <border>
      <bottom style="thin">
        <color rgb="00E7EFEF"/>
      </bottom>
    </border>
    <border>
      <left style="medium">
        <color rgb="003C8C92"/>
      </left>
      <right style="thin">
        <color rgb="00CFE1E2"/>
      </right>
      <top style="thin">
        <color rgb="00CFE1E2"/>
      </top>
      <bottom style="thin">
        <color rgb="00CFE1E2"/>
      </bottom>
    </border>
    <border>
      <left style="medium">
        <color rgb="002F7C83"/>
      </left>
    </border>
    <border>
      <left/>
      <right/>
      <top style="thin">
        <color rgb="00CFE1E2"/>
      </top>
      <bottom/>
      <diagonal/>
    </border>
    <border>
      <left style="medium">
        <color rgb="003C8C92"/>
      </left>
      <right/>
      <top/>
      <bottom/>
      <diagonal/>
    </border>
    <border>
      <left/>
      <right style="thin">
        <color rgb="00CFE1E2"/>
      </right>
      <top style="thin">
        <color rgb="00CFE1E2"/>
      </top>
      <bottom/>
      <diagonal/>
    </border>
    <border>
      <left/>
      <right style="thin">
        <color rgb="00CFE1E2"/>
      </right>
      <top/>
      <bottom/>
      <diagonal/>
    </border>
    <border>
      <left style="medium">
        <color rgb="003C8C92"/>
      </left>
      <right/>
      <top/>
      <bottom style="thin">
        <color rgb="00CFE1E2"/>
      </bottom>
      <diagonal/>
    </border>
    <border>
      <left/>
      <right/>
      <top/>
      <bottom style="thin">
        <color rgb="00CFE1E2"/>
      </bottom>
      <diagonal/>
    </border>
    <border>
      <left/>
      <right style="thin">
        <color rgb="00CFE1E2"/>
      </right>
      <top/>
      <bottom style="thin">
        <color rgb="00CFE1E2"/>
      </bottom>
      <diagonal/>
    </border>
    <border>
      <left style="medium">
        <color rgb="002F7C83"/>
      </left>
      <right/>
      <top/>
      <bottom/>
      <diagonal/>
    </border>
    <border>
      <left/>
      <right/>
      <top/>
      <bottom style="thin">
        <color rgb="00E7EFEF"/>
      </bottom>
      <diagonal/>
    </border>
    <border>
      <left style="medium">
        <color rgb="00D9A441"/>
      </left>
      <right/>
      <top/>
      <bottom/>
      <diagonal/>
    </border>
    <border>
      <right/>
      <bottom style="thin">
        <color rgb="00E7EFEF"/>
      </bottom>
    </border>
    <border>
      <right/>
      <bottom style="thin">
        <color rgb="00CFE1E2"/>
      </bottom>
    </border>
    <border>
      <bottom style="thin">
        <color rgb="00D9E2E4"/>
      </bottom>
    </border>
    <border>
      <left style="thin">
        <color rgb="00D9E2E4"/>
      </left>
      <right style="thin">
        <color rgb="00D9E2E4"/>
      </right>
      <top style="thin">
        <color rgb="00D9E2E4"/>
      </top>
    </border>
    <border>
      <left style="thin">
        <color rgb="00D9E2E4"/>
      </left>
      <right style="thin">
        <color rgb="00D9E2E4"/>
      </right>
      <bottom style="thin">
        <color rgb="00D9E2E4"/>
      </bottom>
    </border>
    <border>
      <left style="medium">
        <color rgb="002F7F86"/>
      </left>
    </border>
    <border>
      <left style="thin">
        <color rgb="00D9E2E4"/>
      </left>
      <right style="thin">
        <color rgb="00D9E2E4"/>
      </right>
      <top style="thin">
        <color rgb="00D9E2E4"/>
      </top>
      <bottom style="thin">
        <color rgb="00D9E2E4"/>
      </bottom>
    </border>
    <border>
      <bottom style="medium">
        <color rgb="002F7F86"/>
      </bottom>
    </border>
    <border>
      <bottom style="hair">
        <color rgb="00D9E2E4"/>
      </bottom>
    </border>
    <border>
      <left/>
      <right style="thin">
        <color rgb="00D9E2E4"/>
      </right>
      <top/>
      <bottom/>
      <diagonal/>
    </border>
    <border>
      <left/>
      <right style="thin">
        <color rgb="00D9E2E4"/>
      </right>
      <top/>
      <bottom style="thin">
        <color rgb="00D9E2E4"/>
      </bottom>
      <diagonal/>
    </border>
    <border>
      <left/>
      <right/>
      <top style="thin">
        <color rgb="00D9E2E4"/>
      </top>
      <bottom/>
      <diagonal/>
    </border>
    <border>
      <left/>
      <right style="thin">
        <color rgb="00D9E2E4"/>
      </right>
      <top style="thin">
        <color rgb="00D9E2E4"/>
      </top>
      <bottom/>
      <diagonal/>
    </border>
    <border>
      <left style="medium">
        <color rgb="002F7F86"/>
      </left>
      <right/>
      <top/>
      <bottom/>
      <diagonal/>
    </border>
    <border>
      <left style="thin">
        <color rgb="00D9E2E4"/>
      </left>
      <right/>
      <top/>
      <bottom/>
      <diagonal/>
    </border>
    <border>
      <left style="thin">
        <color rgb="00D9E2E4"/>
      </left>
      <right/>
      <top/>
      <bottom style="thin">
        <color rgb="00D9E2E4"/>
      </bottom>
      <diagonal/>
    </border>
    <border>
      <left/>
      <right/>
      <top/>
      <bottom style="thin">
        <color rgb="00D9E2E4"/>
      </bottom>
      <diagonal/>
    </border>
    <border>
      <left style="thin">
        <color rgb="00D9E2E4"/>
      </left>
      <right style="thin">
        <color rgb="00D9E2E4"/>
      </right>
      <top style="thin">
        <color rgb="00D9E2E4"/>
      </top>
      <bottom/>
    </border>
    <border>
      <right/>
      <bottom style="thin">
        <color rgb="00D9E2E4"/>
      </bottom>
    </border>
    <border>
      <bottom style="thin">
        <color rgb="00D6E5E6"/>
      </bottom>
    </border>
    <border>
      <left/>
      <right/>
      <top/>
      <bottom style="thin">
        <color rgb="00D6E5E6"/>
      </bottom>
      <diagonal/>
    </border>
    <border>
      <bottom/>
    </border>
    <border>
      <right/>
      <bottom style="thin">
        <color rgb="00D6E5E6"/>
      </bottom>
    </border>
    <border>
      <left style="thin">
        <color rgb="00B8C9CC"/>
      </left>
      <right style="thin">
        <color rgb="00B8C9CC"/>
      </right>
      <top style="thin">
        <color rgb="00B8C9CC"/>
      </top>
      <bottom style="thin">
        <color rgb="00B8C9CC"/>
      </bottom>
    </border>
    <border>
      <left/>
      <right/>
      <top style="thin">
        <color rgb="00B8C9CC"/>
      </top>
      <bottom/>
      <diagonal/>
    </border>
    <border>
      <left/>
      <right style="thin">
        <color rgb="00B8C9CC"/>
      </right>
      <top style="thin">
        <color rgb="00B8C9CC"/>
      </top>
      <bottom/>
      <diagonal/>
    </border>
    <border>
      <left/>
      <right/>
      <top style="thin">
        <color rgb="00B8C9CC"/>
      </top>
      <bottom style="thin">
        <color rgb="00B8C9CC"/>
      </bottom>
      <diagonal/>
    </border>
    <border>
      <left/>
      <right style="thin">
        <color rgb="00B8C9CC"/>
      </right>
      <top style="thin">
        <color rgb="00B8C9CC"/>
      </top>
      <bottom style="thin">
        <color rgb="00B8C9CC"/>
      </bottom>
      <diagonal/>
    </border>
  </borders>
  <cellStyleXfs count="1">
    <xf numFmtId="0" fontId="0" fillId="0" borderId="0"/>
  </cellStyleXfs>
  <cellXfs count="12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3" borderId="1" pivotButton="0" quotePrefix="0" xfId="0"/>
    <xf numFmtId="164" fontId="5" fillId="3" borderId="1" pivotButton="0" quotePrefix="0" xfId="0"/>
    <xf numFmtId="0" fontId="6" fillId="4" borderId="0" applyAlignment="1" pivotButton="0" quotePrefix="0" xfId="0">
      <alignment vertical="center" wrapText="1"/>
    </xf>
    <xf numFmtId="0" fontId="7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  <xf numFmtId="0" fontId="8" fillId="3" borderId="0" applyAlignment="1" pivotButton="0" quotePrefix="0" xfId="0">
      <alignment vertical="center"/>
    </xf>
    <xf numFmtId="0" fontId="8" fillId="2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 wrapText="1"/>
    </xf>
    <xf numFmtId="49" fontId="5" fillId="0" borderId="3" applyAlignment="1" pivotButton="0" quotePrefix="0" xfId="0">
      <alignment vertical="center"/>
    </xf>
    <xf numFmtId="49" fontId="5" fillId="6" borderId="3" applyAlignment="1" pivotButton="0" quotePrefix="0" xfId="0">
      <alignment vertical="center"/>
    </xf>
    <xf numFmtId="0" fontId="5" fillId="0" borderId="3" applyAlignment="1" pivotButton="0" quotePrefix="0" xfId="0">
      <alignment vertical="center"/>
    </xf>
    <xf numFmtId="164" fontId="5" fillId="0" borderId="3" applyAlignment="1" pivotButton="0" quotePrefix="0" xfId="0">
      <alignment vertical="center"/>
    </xf>
    <xf numFmtId="165" fontId="5" fillId="0" borderId="3" applyAlignment="1" pivotButton="0" quotePrefix="0" xfId="0">
      <alignment vertical="center"/>
    </xf>
    <xf numFmtId="0" fontId="10" fillId="2" borderId="0" applyAlignment="1" pivotButton="0" quotePrefix="0" xfId="0">
      <alignment vertical="center"/>
    </xf>
    <xf numFmtId="0" fontId="0" fillId="0" borderId="4" pivotButton="0" quotePrefix="0" xfId="0"/>
    <xf numFmtId="0" fontId="7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5" fillId="3" borderId="5" pivotButton="0" quotePrefix="0" xfId="0"/>
    <xf numFmtId="164" fontId="5" fillId="3" borderId="5" pivotButton="0" quotePrefix="0" xfId="0"/>
    <xf numFmtId="0" fontId="16" fillId="0" borderId="0" applyAlignment="1" pivotButton="0" quotePrefix="0" xfId="0">
      <alignment horizontal="right"/>
    </xf>
    <xf numFmtId="0" fontId="17" fillId="8" borderId="0" applyAlignment="1" pivotButton="0" quotePrefix="0" xfId="0">
      <alignment vertical="center" wrapText="1"/>
    </xf>
    <xf numFmtId="0" fontId="11" fillId="7" borderId="0" applyAlignment="1" pivotButton="0" quotePrefix="0" xfId="0">
      <alignment horizontal="left" vertical="center"/>
    </xf>
    <xf numFmtId="0" fontId="12" fillId="2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/>
    </xf>
    <xf numFmtId="0" fontId="14" fillId="2" borderId="0" applyAlignment="1" pivotButton="0" quotePrefix="0" xfId="0">
      <alignment horizontal="center" vertical="center"/>
    </xf>
    <xf numFmtId="0" fontId="14" fillId="8" borderId="6" applyAlignment="1" pivotButton="0" quotePrefix="0" xfId="0">
      <alignment horizontal="center" vertical="center"/>
    </xf>
    <xf numFmtId="0" fontId="9" fillId="5" borderId="2" applyAlignment="1" pivotButton="0" quotePrefix="0" xfId="0">
      <alignment horizontal="left" vertical="center" wrapText="1"/>
    </xf>
    <xf numFmtId="0" fontId="15" fillId="0" borderId="3" applyAlignment="1" pivotButton="0" quotePrefix="0" xfId="0">
      <alignment vertical="top"/>
    </xf>
    <xf numFmtId="0" fontId="15" fillId="0" borderId="3" applyAlignment="1" pivotButton="0" quotePrefix="0" xfId="0">
      <alignment vertical="top" wrapText="1"/>
    </xf>
    <xf numFmtId="0" fontId="15" fillId="0" borderId="3" applyAlignment="1" pivotButton="0" quotePrefix="0" xfId="0">
      <alignment horizontal="center" vertical="top"/>
    </xf>
    <xf numFmtId="0" fontId="4" fillId="2" borderId="2" applyAlignment="1" pivotButton="0" quotePrefix="0" xfId="0">
      <alignment horizontal="center" vertical="center" wrapText="1"/>
    </xf>
    <xf numFmtId="49" fontId="5" fillId="0" borderId="7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165" fontId="5" fillId="0" borderId="7" applyAlignment="1" pivotButton="0" quotePrefix="0" xfId="0">
      <alignment vertical="center"/>
    </xf>
    <xf numFmtId="0" fontId="18" fillId="0" borderId="8" applyAlignment="1" pivotButton="0" quotePrefix="0" xfId="0">
      <alignment vertical="center"/>
    </xf>
    <xf numFmtId="0" fontId="2" fillId="0" borderId="8" applyAlignment="1" pivotButton="0" quotePrefix="0" xfId="0">
      <alignment vertical="top" wrapText="1"/>
    </xf>
    <xf numFmtId="0" fontId="5" fillId="0" borderId="8" applyAlignment="1" pivotButton="0" quotePrefix="0" xfId="0">
      <alignment vertical="center"/>
    </xf>
    <xf numFmtId="0" fontId="19" fillId="0" borderId="8" applyAlignment="1" pivotButton="0" quotePrefix="0" xfId="0">
      <alignment horizontal="right"/>
    </xf>
    <xf numFmtId="0" fontId="20" fillId="2" borderId="8" applyAlignment="1" pivotButton="0" quotePrefix="0" xfId="0">
      <alignment vertical="center"/>
    </xf>
    <xf numFmtId="0" fontId="4" fillId="0" borderId="8" applyAlignment="1" pivotButton="0" quotePrefix="0" xfId="0">
      <alignment vertical="center"/>
    </xf>
    <xf numFmtId="0" fontId="5" fillId="9" borderId="9" applyAlignment="1" pivotButton="0" quotePrefix="0" xfId="0">
      <alignment vertical="center"/>
    </xf>
    <xf numFmtId="0" fontId="5" fillId="9" borderId="9" pivotButton="0" quotePrefix="0" xfId="0"/>
    <xf numFmtId="164" fontId="5" fillId="9" borderId="9" applyAlignment="1" pivotButton="0" quotePrefix="0" xfId="0">
      <alignment vertical="center"/>
    </xf>
    <xf numFmtId="164" fontId="5" fillId="0" borderId="8" applyAlignment="1" pivotButton="0" quotePrefix="0" xfId="0">
      <alignment vertical="center"/>
    </xf>
    <xf numFmtId="0" fontId="21" fillId="10" borderId="10" applyAlignment="1" pivotButton="0" quotePrefix="0" xfId="0">
      <alignment vertical="center" wrapText="1"/>
    </xf>
    <xf numFmtId="0" fontId="22" fillId="5" borderId="11" applyAlignment="1" pivotButton="0" quotePrefix="0" xfId="0">
      <alignment horizontal="center" vertical="center"/>
    </xf>
    <xf numFmtId="0" fontId="23" fillId="0" borderId="11" applyAlignment="1" pivotButton="0" quotePrefix="0" xfId="0">
      <alignment vertical="center"/>
    </xf>
    <xf numFmtId="0" fontId="0" fillId="0" borderId="11" pivotButton="0" quotePrefix="0" xfId="0"/>
    <xf numFmtId="0" fontId="5" fillId="0" borderId="11" applyAlignment="1" pivotButton="0" quotePrefix="0" xfId="0">
      <alignment vertical="center" wrapText="1"/>
    </xf>
    <xf numFmtId="0" fontId="5" fillId="11" borderId="12" applyAlignment="1" pivotButton="0" quotePrefix="0" xfId="0">
      <alignment vertical="top" wrapText="1"/>
    </xf>
    <xf numFmtId="0" fontId="24" fillId="8" borderId="13" applyAlignment="1" pivotButton="0" quotePrefix="0" xfId="0">
      <alignment vertical="center" wrapText="1"/>
    </xf>
    <xf numFmtId="0" fontId="20" fillId="0" borderId="8" applyAlignment="1" pivotButton="0" quotePrefix="0" xfId="0">
      <alignment vertical="center"/>
    </xf>
    <xf numFmtId="0" fontId="25" fillId="0" borderId="8" applyAlignment="1" pivotButton="0" quotePrefix="0" xfId="0">
      <alignment vertical="top" wrapText="1"/>
    </xf>
    <xf numFmtId="0" fontId="0" fillId="0" borderId="23" pivotButton="0" quotePrefix="0" xfId="0"/>
    <xf numFmtId="0" fontId="0" fillId="0" borderId="22" pivotButton="0" quotePrefix="0" xfId="0"/>
    <xf numFmtId="0" fontId="0" fillId="0" borderId="14" pivotButton="0" quotePrefix="0" xfId="0"/>
    <xf numFmtId="0" fontId="0" fillId="0" borderId="16" pivotButton="0" quotePrefix="0" xfId="0"/>
    <xf numFmtId="0" fontId="0" fillId="0" borderId="15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0" fontId="0" fillId="0" borderId="20" pivotButton="0" quotePrefix="0" xfId="0"/>
    <xf numFmtId="0" fontId="0" fillId="0" borderId="21" pivotButton="0" quotePrefix="0" xfId="0"/>
    <xf numFmtId="0" fontId="23" fillId="0" borderId="24" applyAlignment="1" pivotButton="0" quotePrefix="0" xfId="0">
      <alignment vertical="center"/>
    </xf>
    <xf numFmtId="0" fontId="5" fillId="0" borderId="24" applyAlignment="1" pivotButton="0" quotePrefix="0" xfId="0">
      <alignment vertical="center" wrapText="1"/>
    </xf>
    <xf numFmtId="0" fontId="5" fillId="9" borderId="25" applyAlignment="1" pivotButton="0" quotePrefix="0" xfId="0">
      <alignment vertical="center"/>
    </xf>
    <xf numFmtId="0" fontId="5" fillId="9" borderId="25" applyAlignment="1" applyProtection="1" pivotButton="0" quotePrefix="0" xfId="0">
      <alignment vertical="center"/>
      <protection locked="0" hidden="0"/>
    </xf>
    <xf numFmtId="0" fontId="26" fillId="0" borderId="8" applyAlignment="1" pivotButton="0" quotePrefix="0" xfId="0">
      <alignment vertical="center" wrapText="1"/>
    </xf>
    <xf numFmtId="0" fontId="28" fillId="12" borderId="26" applyAlignment="1" pivotButton="0" quotePrefix="0" xfId="0">
      <alignment vertical="center"/>
    </xf>
    <xf numFmtId="0" fontId="29" fillId="13" borderId="27" applyAlignment="1" pivotButton="0" quotePrefix="0" xfId="0">
      <alignment horizontal="center" vertical="center"/>
    </xf>
    <xf numFmtId="0" fontId="30" fillId="9" borderId="28" applyAlignment="1" pivotButton="0" quotePrefix="0" xfId="0">
      <alignment horizontal="center" vertical="center"/>
    </xf>
    <xf numFmtId="0" fontId="27" fillId="0" borderId="8" applyAlignment="1" pivotButton="0" quotePrefix="0" xfId="0">
      <alignment vertical="center"/>
    </xf>
    <xf numFmtId="0" fontId="31" fillId="13" borderId="29" applyAlignment="1" pivotButton="0" quotePrefix="0" xfId="0">
      <alignment horizontal="left" vertical="center" wrapText="1"/>
    </xf>
    <xf numFmtId="0" fontId="27" fillId="13" borderId="30" applyAlignment="1" pivotButton="0" quotePrefix="0" xfId="0">
      <alignment vertical="center" wrapText="1"/>
    </xf>
    <xf numFmtId="49" fontId="5" fillId="0" borderId="7" applyAlignment="1" applyProtection="1" pivotButton="0" quotePrefix="0" xfId="0">
      <alignment vertical="center"/>
      <protection locked="0" hidden="0"/>
    </xf>
    <xf numFmtId="0" fontId="5" fillId="0" borderId="7" applyAlignment="1" applyProtection="1" pivotButton="0" quotePrefix="0" xfId="0">
      <alignment vertical="center"/>
      <protection locked="0" hidden="0"/>
    </xf>
    <xf numFmtId="164" fontId="5" fillId="0" borderId="7" applyAlignment="1" applyProtection="1" pivotButton="0" quotePrefix="0" xfId="0">
      <alignment vertical="center"/>
      <protection locked="0" hidden="0"/>
    </xf>
    <xf numFmtId="165" fontId="5" fillId="0" borderId="7" applyAlignment="1" applyProtection="1" pivotButton="0" quotePrefix="0" xfId="0">
      <alignment vertical="center"/>
      <protection locked="0" hidden="0"/>
    </xf>
    <xf numFmtId="0" fontId="11" fillId="14" borderId="0" applyAlignment="1" pivotButton="0" quotePrefix="0" xfId="0">
      <alignment vertical="center"/>
    </xf>
    <xf numFmtId="0" fontId="32" fillId="0" borderId="0" applyAlignment="1" pivotButton="0" quotePrefix="0" xfId="0">
      <alignment vertical="center" wrapText="1"/>
    </xf>
    <xf numFmtId="0" fontId="33" fillId="12" borderId="0" applyAlignment="1" pivotButton="0" quotePrefix="0" xfId="0">
      <alignment vertical="center"/>
    </xf>
    <xf numFmtId="0" fontId="34" fillId="0" borderId="0" applyAlignment="1" pivotButton="0" quotePrefix="0" xfId="0">
      <alignment vertical="center" wrapText="1"/>
    </xf>
    <xf numFmtId="0" fontId="28" fillId="12" borderId="0" applyAlignment="1" pivotButton="0" quotePrefix="0" xfId="0">
      <alignment vertical="center"/>
    </xf>
    <xf numFmtId="0" fontId="0" fillId="13" borderId="26" applyAlignment="1" pivotButton="0" quotePrefix="0" xfId="0">
      <alignment vertical="top" wrapText="1"/>
    </xf>
    <xf numFmtId="0" fontId="9" fillId="15" borderId="31" applyAlignment="1" pivotButton="0" quotePrefix="0" xfId="0">
      <alignment horizontal="center" vertical="center" wrapText="1"/>
    </xf>
    <xf numFmtId="0" fontId="35" fillId="0" borderId="32" applyAlignment="1" pivotButton="0" quotePrefix="0" xfId="0">
      <alignment vertical="top" wrapText="1"/>
    </xf>
    <xf numFmtId="0" fontId="36" fillId="13" borderId="0" applyAlignment="1" pivotButton="0" quotePrefix="0" xfId="0">
      <alignment vertical="center"/>
    </xf>
    <xf numFmtId="0" fontId="29" fillId="12" borderId="0" pivotButton="0" quotePrefix="0" xfId="0"/>
    <xf numFmtId="0" fontId="37" fillId="0" borderId="26" applyAlignment="1" pivotButton="0" quotePrefix="0" xfId="0">
      <alignment vertical="center"/>
    </xf>
    <xf numFmtId="0" fontId="38" fillId="12" borderId="0" applyAlignment="1" pivotButton="0" quotePrefix="0" xfId="0">
      <alignment horizontal="center" vertical="center"/>
    </xf>
    <xf numFmtId="0" fontId="31" fillId="0" borderId="28" applyAlignment="1" pivotButton="0" quotePrefix="0" xfId="0">
      <alignment horizontal="center" vertical="center"/>
    </xf>
    <xf numFmtId="0" fontId="39" fillId="15" borderId="0" applyAlignment="1" pivotButton="0" quotePrefix="0" xfId="0">
      <alignment horizontal="center" vertical="center" wrapText="1"/>
    </xf>
    <xf numFmtId="0" fontId="40" fillId="0" borderId="32" applyAlignment="1" pivotButton="0" quotePrefix="0" xfId="0">
      <alignment vertical="top" wrapText="1"/>
    </xf>
    <xf numFmtId="0" fontId="41" fillId="0" borderId="0" applyAlignment="1" pivotButton="0" quotePrefix="0" xfId="0">
      <alignment vertical="center"/>
    </xf>
    <xf numFmtId="0" fontId="0" fillId="0" borderId="19" applyProtection="1" pivotButton="0" quotePrefix="0" xfId="0">
      <protection locked="0" hidden="0"/>
    </xf>
    <xf numFmtId="0" fontId="0" fillId="0" borderId="40" pivotButton="0" quotePrefix="0" xfId="0"/>
    <xf numFmtId="0" fontId="0" fillId="0" borderId="36" pivotButton="0" quotePrefix="0" xfId="0"/>
    <xf numFmtId="0" fontId="0" fillId="0" borderId="34" pivotButton="0" quotePrefix="0" xfId="0"/>
    <xf numFmtId="0" fontId="0" fillId="0" borderId="37" pivotButton="0" quotePrefix="0" xfId="0"/>
    <xf numFmtId="0" fontId="0" fillId="0" borderId="35" pivotButton="0" quotePrefix="0" xfId="0"/>
    <xf numFmtId="0" fontId="0" fillId="0" borderId="39" pivotButton="0" quotePrefix="0" xfId="0"/>
    <xf numFmtId="0" fontId="28" fillId="12" borderId="42" applyAlignment="1" pivotButton="0" quotePrefix="0" xfId="0">
      <alignment vertical="center"/>
    </xf>
    <xf numFmtId="0" fontId="29" fillId="13" borderId="41" applyAlignment="1" pivotButton="0" quotePrefix="0" xfId="0">
      <alignment horizontal="center" vertical="center"/>
    </xf>
    <xf numFmtId="0" fontId="37" fillId="0" borderId="42" applyAlignment="1" pivotButton="0" quotePrefix="0" xfId="0">
      <alignment vertical="center"/>
    </xf>
    <xf numFmtId="0" fontId="4" fillId="2" borderId="2" applyAlignment="1" pivotButton="0" quotePrefix="0" xfId="0">
      <alignment horizontal="center" vertical="center"/>
    </xf>
    <xf numFmtId="0" fontId="42" fillId="16" borderId="43" applyAlignment="1" pivotButton="0" quotePrefix="0" xfId="0">
      <alignment horizontal="left" vertical="center" wrapText="1" indent="1"/>
    </xf>
    <xf numFmtId="0" fontId="43" fillId="17" borderId="43" applyAlignment="1" pivotButton="0" quotePrefix="0" xfId="0">
      <alignment horizontal="left" vertical="center" wrapText="1" indent="1"/>
    </xf>
    <xf numFmtId="0" fontId="0" fillId="0" borderId="44" pivotButton="0" quotePrefix="0" xfId="0"/>
    <xf numFmtId="0" fontId="4" fillId="2" borderId="45" applyAlignment="1" pivotButton="0" quotePrefix="0" xfId="0">
      <alignment horizontal="center" vertical="center" wrapText="1"/>
    </xf>
    <xf numFmtId="0" fontId="4" fillId="2" borderId="45" applyAlignment="1" pivotButton="0" quotePrefix="0" xfId="0">
      <alignment horizontal="center" vertical="center"/>
    </xf>
    <xf numFmtId="0" fontId="45" fillId="18" borderId="47" applyAlignment="1" pivotButton="0" quotePrefix="0" xfId="0">
      <alignment horizontal="left" vertical="center"/>
    </xf>
    <xf numFmtId="0" fontId="0" fillId="18" borderId="47" pivotButton="0" quotePrefix="0" xfId="0"/>
    <xf numFmtId="0" fontId="46" fillId="19" borderId="47" applyAlignment="1" pivotButton="0" quotePrefix="0" xfId="0">
      <alignment horizontal="left" vertical="center"/>
    </xf>
    <xf numFmtId="0" fontId="0" fillId="19" borderId="47" pivotButton="0" quotePrefix="0" xfId="0"/>
    <xf numFmtId="0" fontId="44" fillId="19" borderId="47" applyAlignment="1" pivotButton="0" quotePrefix="0" xfId="0">
      <alignment horizontal="left" vertical="center" wrapText="1"/>
    </xf>
  </cellXfs>
  <cellStyles count="1">
    <cellStyle name="Normal" xfId="0" builtinId="0" hidden="0"/>
  </cellStyles>
  <dxfs count="20">
    <dxf>
      <font>
        <name val="Aptos"/>
        <color rgb="00A61B1B"/>
        <sz val="10"/>
      </font>
      <fill>
        <patternFill patternType="solid">
          <fgColor rgb="00FCE8E6"/>
        </patternFill>
      </fill>
    </dxf>
    <dxf>
      <font>
        <color rgb="009C0006"/>
      </font>
      <fill>
        <patternFill patternType="solid">
          <fgColor rgb="00FDE9E7"/>
        </patternFill>
      </fill>
    </dxf>
    <dxf>
      <font>
        <b val="1"/>
        <color rgb="00A61B1B"/>
      </font>
      <fill>
        <patternFill patternType="solid">
          <fgColor rgb="00FCE8E6"/>
        </patternFill>
      </fill>
    </dxf>
    <dxf>
      <font>
        <b val="1"/>
        <color rgb="008A5A00"/>
      </font>
      <fill>
        <patternFill patternType="solid">
          <fgColor rgb="00FFF4DD"/>
        </patternFill>
      </fill>
    </dxf>
    <dxf>
      <font>
        <b val="1"/>
        <color rgb="0017623B"/>
      </font>
      <fill>
        <patternFill patternType="solid">
          <fgColor rgb="00E7F5EF"/>
        </patternFill>
      </fill>
    </dxf>
    <dxf>
      <font>
        <color rgb="00A61B1B"/>
      </font>
      <fill>
        <patternFill patternType="solid">
          <fgColor rgb="00FCE8E6"/>
        </patternFill>
      </fill>
    </dxf>
    <dxf>
      <font>
        <color rgb="008A5A00"/>
      </font>
      <fill>
        <patternFill patternType="solid">
          <fgColor rgb="00FFF4DD"/>
        </patternFill>
      </fill>
    </dxf>
    <dxf>
      <fill>
        <patternFill patternType="solid">
          <fgColor rgb="00FFF4DD"/>
        </patternFill>
      </fill>
    </dxf>
    <dxf>
      <font>
        <color rgb="009C2F2F"/>
      </font>
      <fill>
        <patternFill patternType="solid">
          <fgColor rgb="00FDE9E7"/>
        </patternFill>
      </fill>
    </dxf>
    <dxf>
      <font>
        <color rgb="008A5A00"/>
      </font>
      <fill>
        <patternFill patternType="solid">
          <fgColor rgb="00FFF3D6"/>
        </patternFill>
      </fill>
    </dxf>
    <dxf>
      <font>
        <color rgb="009C0006"/>
      </font>
      <fill>
        <patternFill patternType="solid">
          <fgColor rgb="00FCE8E6"/>
        </patternFill>
      </fill>
    </dxf>
    <dxf>
      <font>
        <b val="1"/>
        <color rgb="00245E63"/>
      </font>
      <fill>
        <patternFill patternType="solid">
          <fgColor rgb="00F5FAFA"/>
        </patternFill>
      </fill>
    </dxf>
    <dxf>
      <font>
        <b val="1"/>
        <color rgb="00B42318"/>
      </font>
      <fill>
        <patternFill patternType="solid">
          <fgColor rgb="00FCE8E6"/>
        </patternFill>
      </fill>
    </dxf>
    <dxf>
      <font>
        <b val="1"/>
        <color rgb="008A5A00"/>
      </font>
      <fill>
        <patternFill patternType="solid">
          <fgColor rgb="00FFF4D6"/>
        </patternFill>
      </fill>
    </dxf>
    <dxf>
      <font>
        <b val="1"/>
        <color rgb="0026734D"/>
      </font>
      <fill>
        <patternFill patternType="solid">
          <fgColor rgb="00E7F4EC"/>
        </patternFill>
      </fill>
    </dxf>
    <dxf>
      <border>
        <left style="medium">
          <color rgb="00B42318"/>
        </left>
      </border>
    </dxf>
    <dxf>
      <fill>
        <patternFill patternType="solid">
          <fgColor rgb="00FFF4D6"/>
        </patternFill>
      </fill>
    </dxf>
    <dxf>
      <fill>
        <patternFill patternType="solid">
          <fgColor rgb="00F5FAFA"/>
        </patternFill>
      </fill>
    </dxf>
    <dxf>
      <font>
        <b val="1"/>
        <color rgb="00B42318"/>
      </font>
    </dxf>
    <dxf>
      <font>
        <color rgb="00B42318"/>
      </font>
      <fill>
        <patternFill patternType="solid">
          <f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/xl/worksheets/sheet3.xml"/><Relationship Id="rId7" Type="http://schemas.openxmlformats.org/officeDocument/2006/relationships/styles" Target="styles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1.xml"/></Relationships>
</file>

<file path=xl/comments/comment1.xml><?xml version="1.0" encoding="utf-8"?>
<comments xmlns="http://schemas.openxmlformats.org/spreadsheetml/2006/main">
  <authors>
    <author>Marin Benefits</author>
  </authors>
  <commentList>
    <comment ref="A1" authorId="0" shapeId="0">
      <text>
        <t>Required on every row.
Enter the employee's 9-digit SSN with no dashes.
Repeat it on each dependent row.
Do not use a placeholder.</t>
      </text>
    </comment>
    <comment ref="B1" authorId="0" shapeId="0">
      <text>
        <t>Required on dependent rows.
Enter the dependent's 9-digit SSN with no dashes.
It must not match the employee or another dependent.
Leave blank on the employee row.
Do not use a placeholder.</t>
      </text>
    </comment>
    <comment ref="C1" authorId="0" shapeId="0">
      <text>
        <t>Required.
Enter the legal first name.
Use plain A-Z letters only.
Replace accents or encoded text.</t>
      </text>
    </comment>
    <comment ref="D1" authorId="0" shapeId="0">
      <text>
        <t>Required.
Enter the legal last name.
Use plain A-Z letters only.
Replace accents or encoded text.</t>
      </text>
    </comment>
    <comment ref="E1" authorId="0" shapeId="0">
      <text>
        <t>Optional.
Enter one A-Z letter only.
Do not include a period.</t>
      </text>
    </comment>
    <comment ref="F1" authorId="0" shapeId="0">
      <text>
        <t>Required.
Enter the participant's current street address.</t>
      </text>
    </comment>
    <comment ref="G1" authorId="0" shapeId="0">
      <text>
        <t>Optional.
Enter an apartment, suite, or unit number.</t>
      </text>
    </comment>
    <comment ref="H1" authorId="0" shapeId="0">
      <text>
        <t>Required.
Enter the city for the participant's current address.</t>
      </text>
    </comment>
    <comment ref="I1" authorId="0" shapeId="0">
      <text>
        <t>Required for U.S. addresses.
Select the two-letter state or territory abbreviation.</t>
      </text>
    </comment>
    <comment ref="J1" authorId="0" shapeId="0">
      <text>
        <t>Required.
Enter the ZIP or postal code.
Keep leading zeros.</t>
      </text>
    </comment>
    <comment ref="K1" authorId="0" shapeId="0">
      <text>
        <t>Required.
Select the participant's country.</t>
      </text>
    </comment>
    <comment ref="L1" authorId="0" shapeId="0">
      <text>
        <t>Required for every person.
Enter the exact date of birth.
Do not use an estimated or placeholder date.</t>
      </text>
    </comment>
    <comment ref="M1" authorId="0" shapeId="0">
      <text>
        <t>Enter a current phone number, including area code.</t>
      </text>
    </comment>
    <comment ref="N1" authorId="0" shapeId="0">
      <text>
        <t>Enter the participant's current email address.
A dependent email may be left blank.</t>
      </text>
    </comment>
    <comment ref="O1" authorId="0" shapeId="0">
      <text>
        <t>Required on dependent rows.
Select the applicable dependent type.
Leave blank on the employee row.</t>
      </text>
    </comment>
    <comment ref="P1" authorId="0" shapeId="0">
      <text>
        <t>Required.
Enter the date coverage begins.</t>
      </text>
    </comment>
    <comment ref="Q1" authorId="0" shapeId="0">
      <text>
        <t>Enter only when coverage has ended or will end.
Otherwise leave blank.</t>
      </text>
    </comment>
    <comment ref="R1" authorId="0" shapeId="0">
      <text>
        <t>Required.
Select Active or Terminated.</t>
      </text>
    </comment>
    <comment ref="S1" authorId="0" shapeId="0">
      <text>
        <t>Required.
Use a simple carrier or plan label.
Examples: Kaiser, Anthem PPO, or Blue Shield HMO.</t>
      </text>
    </comment>
    <comment ref="T1" authorId="0" shapeId="0">
      <text>
        <t>Required.
Enter the enrollment tier shown on the roster.
Examples: Employee Only, Employee + Spouse, Employee + 2, or Family.</t>
      </text>
    </comment>
    <comment ref="U1" authorId="0" shapeId="0">
      <text>
        <t>Enter the employer-funded HRA amount, when requested.
Do not enter the medical premium or employee payroll cost.</t>
      </text>
    </comment>
  </commentList>
</comments>
</file>

<file path=xl/comments/comment2.xml><?xml version="1.0" encoding="utf-8"?>
<comments xmlns="http://schemas.openxmlformats.org/spreadsheetml/2006/main">
  <authors>
    <author>Marin Benefits</author>
  </authors>
  <commentList>
    <comment ref="A3" authorId="0" shapeId="0">
      <text>
        <t>Required on every row. Enter the employee's 9-digit SSN with no dashes. Repeat it on each dependent row for that employee.</t>
      </text>
    </comment>
    <comment ref="B3" authorId="0" shapeId="0">
      <text>
        <t>Required on every dependent row. Enter the dependent's own 9-digit SSN with no dashes. It must be unique and cannot match the employee's SSN.</t>
      </text>
    </comment>
    <comment ref="C3" authorId="0" shapeId="0">
      <text>
        <t>Required. Enter the legal first name using plain A-Z letters only. Replace accents or encoded characters, such as José to Jose.</t>
      </text>
    </comment>
    <comment ref="D3" authorId="0" shapeId="0">
      <text>
        <t>Required. Enter the legal last name using plain A-Z letters only. Replace accents or encoded characters, such as Peña to Pena.</t>
      </text>
    </comment>
    <comment ref="E3" authorId="0" shapeId="0">
      <text>
        <t>Optional. Enter one plain A-Z letter only, without a period.</t>
      </text>
    </comment>
    <comment ref="F3" authorId="0" shapeId="0">
      <text>
        <t>Required. Enter the participant's current street address.</t>
      </text>
    </comment>
    <comment ref="G3" authorId="0" shapeId="0">
      <text>
        <t>Optional. Enter an apartment, suite, or unit number.</t>
      </text>
    </comment>
    <comment ref="H3" authorId="0" shapeId="0">
      <text>
        <t>Required. Enter the city for the participant's current address.</t>
      </text>
    </comment>
    <comment ref="I3" authorId="0" shapeId="0">
      <text>
        <t>Required for U.S. addresses. Select the two-letter state or territory abbreviation.</t>
      </text>
    </comment>
    <comment ref="J3" authorId="0" shapeId="0">
      <text>
        <t>Required. Enter the ZIP or postal code as text so leading zeros are preserved.</t>
      </text>
    </comment>
    <comment ref="K3" authorId="0" shapeId="0">
      <text>
        <t>Required. Select US or CA. Contact Marin Benefits before submitting another country.</t>
      </text>
    </comment>
    <comment ref="L3" authorId="0" shapeId="0">
      <text>
        <t>Required for every person. Enter the exact date of birth. Do not use an estimated or placeholder date.</t>
      </text>
    </comment>
    <comment ref="M3" authorId="0" shapeId="0">
      <text>
        <t>Enter a current phone number, including area code.</t>
      </text>
    </comment>
    <comment ref="N3" authorId="0" shapeId="0">
      <text>
        <t>Enter the participant's current email address. A dependent email may be left blank when not applicable.</t>
      </text>
    </comment>
    <comment ref="O3" authorId="0" shapeId="0">
      <text>
        <t>Required on dependent rows. Select the applicable dependent type. Leave blank on the employee row.</t>
      </text>
    </comment>
    <comment ref="P3" authorId="0" shapeId="0">
      <text>
        <t>Required. Enter the date the participant becomes eligible under this plan.</t>
      </text>
    </comment>
    <comment ref="Q3" authorId="0" shapeId="0">
      <text>
        <t>Enter only when coverage has ended or will end. Otherwise leave blank.</t>
      </text>
    </comment>
    <comment ref="R3" authorId="0" shapeId="0">
      <text>
        <t>Required. Select Active or Terminated.</t>
      </text>
    </comment>
    <comment ref="S3" authorId="0" shapeId="0">
      <text>
        <t>Required. Enter a simple carrier or plan label, such as Kaiser, Anthem, or Blue Shield.</t>
      </text>
    </comment>
    <comment ref="T3" authorId="0" shapeId="0">
      <text>
        <t>Required. Enter the enrollment tier shown on the roster. Examples: Employee Only or Family. Other clear tier descriptions are accepted.</t>
      </text>
    </comment>
    <comment ref="U3" authorId="0" shapeId="0">
      <text>
        <t>Enter the employer-funded HRA amount assigned to the participant or coverage tier when requested by Marin Benefits. Do not enter the insurance premium or employee payroll contribution.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2F7C83"/>
    <outlinePr summaryBelow="1" summaryRight="1"/>
    <pageSetUpPr fitToPage="1"/>
  </sheetPr>
  <dimension ref="A1:H40"/>
  <sheetViews>
    <sheetView showGridLines="0" topLeftCell="A1" workbookViewId="0">
      <selection activeCell="A1" sqref="A1"/>
    </sheetView>
  </sheetViews>
  <sheetFormatPr baseColWidth="8" defaultRowHeight="15"/>
  <cols>
    <col width="7" customWidth="1" min="1" max="1"/>
    <col width="16" customWidth="1" min="2" max="2"/>
    <col width="18" customWidth="1" min="3" max="3"/>
    <col width="18" customWidth="1" min="4" max="4"/>
    <col width="7" customWidth="1" min="5" max="5"/>
    <col width="16" customWidth="1" min="6" max="6"/>
    <col width="18" customWidth="1" min="7" max="7"/>
    <col width="18" customWidth="1" min="8" max="8"/>
  </cols>
  <sheetData>
    <row r="1" ht="34" customHeight="1">
      <c r="A1" s="40" t="inlineStr">
        <is>
          <t>Marin Benefits Enrollment Census</t>
        </is>
      </c>
    </row>
    <row r="2" ht="34" customHeight="1">
      <c r="A2" s="41" t="inlineStr">
        <is>
          <t>We’re here to make enrollment accurate. Complete the census, review any items on the VALIDATE tab, and return the file securely.</t>
        </is>
      </c>
    </row>
    <row r="3" ht="18" customHeight="1">
      <c r="A3" s="42" t="n"/>
      <c r="B3" s="42" t="n"/>
      <c r="C3" s="42" t="n"/>
      <c r="D3" s="42" t="n"/>
      <c r="E3" s="42" t="n"/>
      <c r="F3" s="43" t="inlineStr">
        <is>
          <t>Template version: July 2026</t>
        </is>
      </c>
    </row>
    <row r="4" ht="24" customHeight="1">
      <c r="A4" s="44" t="inlineStr">
        <is>
          <t>Submission details</t>
        </is>
      </c>
    </row>
    <row r="5" ht="28" customHeight="1">
      <c r="A5" s="45" t="inlineStr">
        <is>
          <t>Client / Employer Name</t>
        </is>
      </c>
      <c r="C5" s="72" t="n"/>
      <c r="D5" s="100" t="n"/>
      <c r="E5" s="45" t="inlineStr">
        <is>
          <t>Plan Effective Date</t>
        </is>
      </c>
      <c r="G5" s="72" t="n"/>
      <c r="H5" s="100" t="n"/>
    </row>
    <row r="6" ht="28" customHeight="1">
      <c r="A6" s="45" t="inlineStr">
        <is>
          <t>Prepared By</t>
        </is>
      </c>
      <c r="C6" s="72" t="n"/>
      <c r="D6" s="100" t="n"/>
      <c r="E6" s="45" t="inlineStr">
        <is>
          <t>Contact Email</t>
        </is>
      </c>
      <c r="G6" s="72" t="n"/>
      <c r="H6" s="100" t="n"/>
    </row>
    <row r="7" ht="28" customHeight="1">
      <c r="A7" s="45" t="inlineStr">
        <is>
          <t>Submission Date</t>
        </is>
      </c>
      <c r="C7" s="72" t="n"/>
      <c r="D7" s="100" t="n"/>
      <c r="E7" s="45" t="inlineStr">
        <is>
          <t>Marin Benefits Contact</t>
        </is>
      </c>
      <c r="G7" s="71" t="inlineStr">
        <is>
          <t>enrollment@marinbenefits.com</t>
        </is>
      </c>
      <c r="H7" s="66" t="n"/>
    </row>
    <row r="8" ht="32" customHeight="1">
      <c r="A8" s="45" t="inlineStr">
        <is>
          <t>Submission Type</t>
        </is>
      </c>
      <c r="C8" s="72" t="n"/>
      <c r="D8" s="100" t="n"/>
      <c r="E8" s="73" t="inlineStr">
        <is>
          <t>Choose the option that best describes this file. Validation will use it to provide more relevant guidance.</t>
        </is>
      </c>
    </row>
    <row r="9" ht="38" customHeight="1">
      <c r="A9" s="50" t="inlineStr">
        <is>
          <t>Secure submission reminder
This workbook contains SSNs. Please return it through a secure file-sharing method. For submission questions, email enrollment@marinbenefits.com.</t>
        </is>
      </c>
    </row>
    <row r="10" ht="24" customHeight="1">
      <c r="A10" s="59" t="n"/>
    </row>
    <row r="11">
      <c r="A11" s="42" t="n"/>
      <c r="B11" s="42" t="n"/>
      <c r="C11" s="42" t="n"/>
      <c r="D11" s="42" t="n"/>
      <c r="E11" s="42" t="n"/>
      <c r="F11" s="42" t="n"/>
      <c r="G11" s="42" t="n"/>
      <c r="H11" s="42" t="n"/>
    </row>
    <row r="12" ht="24" customHeight="1">
      <c r="A12" s="44" t="inlineStr">
        <is>
          <t>Three simple steps</t>
        </is>
      </c>
    </row>
    <row r="13" ht="42" customHeight="1">
      <c r="A13" s="51" t="inlineStr">
        <is>
          <t>1</t>
        </is>
      </c>
      <c r="B13" s="69" t="inlineStr">
        <is>
          <t>Add each person</t>
        </is>
      </c>
      <c r="C13" s="60" t="n"/>
      <c r="D13" s="70" t="inlineStr">
        <is>
          <t>Use one row for the employee and one additional row for each dependent.</t>
        </is>
      </c>
      <c r="E13" s="60" t="n"/>
      <c r="F13" s="60" t="n"/>
      <c r="G13" s="60" t="n"/>
      <c r="H13" s="60" t="n"/>
    </row>
    <row r="14" ht="55" customHeight="1">
      <c r="A14" s="51" t="inlineStr">
        <is>
          <t>2</t>
        </is>
      </c>
      <c r="B14" s="69" t="inlineStr">
        <is>
          <t>Keep the family together</t>
        </is>
      </c>
      <c r="C14" s="60" t="n"/>
      <c r="D14" s="70" t="inlineStr">
        <is>
          <t>Repeat the employee’s 9-digit SSN, plan information, and eligibility information on each dependent row. Complete Dependent SSN and Dependent Relationship only for dependents.</t>
        </is>
      </c>
      <c r="E14" s="60" t="n"/>
      <c r="F14" s="60" t="n"/>
      <c r="G14" s="60" t="n"/>
      <c r="H14" s="60" t="n"/>
    </row>
    <row r="15" ht="42" customHeight="1">
      <c r="A15" s="51" t="inlineStr">
        <is>
          <t>3</t>
        </is>
      </c>
      <c r="B15" s="69" t="inlineStr">
        <is>
          <t>Review and send</t>
        </is>
      </c>
      <c r="C15" s="60" t="n"/>
      <c r="D15" s="70" t="inlineStr">
        <is>
          <t>Open the VALIDATE tab, correct any highlighted items, and return the workbook using the secure submission method provided by Marin Benefits.</t>
        </is>
      </c>
      <c r="E15" s="60" t="n"/>
      <c r="F15" s="60" t="n"/>
      <c r="G15" s="60" t="n"/>
      <c r="H15" s="60" t="n"/>
    </row>
    <row r="16" ht="30" customHeight="1">
      <c r="A16" s="42" t="n"/>
      <c r="B16" s="42" t="n"/>
      <c r="C16" s="42" t="n"/>
      <c r="D16" s="42" t="n"/>
      <c r="E16" s="42" t="n"/>
      <c r="F16" s="42" t="n"/>
      <c r="G16" s="42" t="n"/>
      <c r="H16" s="42" t="n"/>
    </row>
    <row r="17" ht="34" customHeight="1">
      <c r="A17" s="116" t="inlineStr">
        <is>
          <t>Helpful reminders</t>
        </is>
      </c>
      <c r="B17" s="117" t="n"/>
      <c r="C17" s="117" t="n"/>
      <c r="D17" s="117" t="n"/>
      <c r="E17" s="117" t="n"/>
      <c r="F17" s="117" t="n"/>
      <c r="G17" s="117" t="n"/>
      <c r="H17" s="117" t="n"/>
    </row>
    <row r="18" ht="30" customHeight="1">
      <c r="A18" s="118" t="inlineStr">
        <is>
          <t>Plan Name</t>
        </is>
      </c>
      <c r="B18" s="119" t="n"/>
      <c r="C18" s="120" t="inlineStr">
        <is>
          <t>Use a simple label such as Kaiser, Anthem PPO, or Blue Shield HMO.</t>
        </is>
      </c>
      <c r="D18" s="119" t="n"/>
      <c r="E18" s="119" t="n"/>
      <c r="F18" s="119" t="n"/>
      <c r="G18" s="119" t="n"/>
      <c r="H18" s="119" t="n"/>
    </row>
    <row r="19" ht="30" customHeight="1">
      <c r="A19" s="118" t="inlineStr">
        <is>
          <t>Coverage Level</t>
        </is>
      </c>
      <c r="B19" s="119" t="n"/>
      <c r="C19" s="120" t="inlineStr">
        <is>
          <t>Use Employee Only or Family.</t>
        </is>
      </c>
      <c r="D19" s="119" t="n"/>
      <c r="E19" s="119" t="n"/>
      <c r="F19" s="119" t="n"/>
      <c r="G19" s="119" t="n"/>
      <c r="H19" s="119" t="n"/>
    </row>
    <row r="20" ht="30" customHeight="1">
      <c r="A20" s="118" t="inlineStr">
        <is>
          <t>SSNs and birth dates</t>
        </is>
      </c>
      <c r="B20" s="119" t="n"/>
      <c r="C20" s="120" t="inlineStr">
        <is>
          <t>Enter each person's exact 9-digit SSN and date of birth. Do not use placeholders.</t>
        </is>
      </c>
      <c r="D20" s="119" t="n"/>
      <c r="E20" s="119" t="n"/>
      <c r="F20" s="119" t="n"/>
      <c r="G20" s="119" t="n"/>
      <c r="H20" s="119" t="n"/>
    </row>
    <row r="21" ht="30" customHeight="1">
      <c r="A21" s="118" t="inlineStr">
        <is>
          <t>Name format</t>
        </is>
      </c>
      <c r="B21" s="119" t="n"/>
      <c r="C21" s="120" t="inlineStr">
        <is>
          <t>Use plain A-Z letters only. Replace accents or encoded text (Jose for José; Pena for Peña).</t>
        </is>
      </c>
      <c r="D21" s="119" t="n"/>
      <c r="E21" s="119" t="n"/>
      <c r="F21" s="119" t="n"/>
      <c r="G21" s="119" t="n"/>
      <c r="H21" s="119" t="n"/>
    </row>
    <row r="22" ht="24" customHeight="1">
      <c r="A22" s="107" t="inlineStr">
        <is>
          <t>Submission summary</t>
        </is>
      </c>
      <c r="B22" s="101" t="n"/>
      <c r="C22" s="101" t="n"/>
      <c r="D22" s="101" t="n"/>
      <c r="E22" s="101" t="n"/>
      <c r="F22" s="101" t="n"/>
      <c r="G22" s="101" t="n"/>
      <c r="H22" s="101" t="n"/>
    </row>
    <row r="23" ht="20" customHeight="1">
      <c r="A23" s="108" t="inlineStr">
        <is>
          <t>Employees</t>
        </is>
      </c>
      <c r="B23" s="102" t="n"/>
      <c r="C23" s="108" t="inlineStr">
        <is>
          <t>Dependents</t>
        </is>
      </c>
      <c r="D23" s="102" t="n"/>
      <c r="E23" s="108" t="inlineStr">
        <is>
          <t>Enrollment Rows</t>
        </is>
      </c>
      <c r="F23" s="102" t="n"/>
      <c r="G23" s="108" t="inlineStr">
        <is>
          <t>Plans</t>
        </is>
      </c>
      <c r="H23" s="102" t="n"/>
    </row>
    <row r="24" ht="30" customHeight="1">
      <c r="A24" s="76">
        <f>IFERROR(SUMPRODUCT(('Enrollment Census'!$A$2:$A$501&lt;&gt;"")/COUNTIF('Enrollment Census'!$A$2:$A$501,'Enrollment Census'!$A$2:$A$501&amp;"")),0)</f>
        <v/>
      </c>
      <c r="B24" s="103" t="n"/>
      <c r="C24" s="76">
        <f>IFERROR(SUMPRODUCT(('Enrollment Census'!$B$2:$B$501&lt;&gt;"")/COUNTIF('Enrollment Census'!$B$2:$B$501,'Enrollment Census'!$B$2:$B$501&amp;"")),0)</f>
        <v/>
      </c>
      <c r="D24" s="103" t="n"/>
      <c r="E24" s="76">
        <f>COUNTIF('Enrollment Census'!$A$2:$A$501,"?*")</f>
        <v/>
      </c>
      <c r="F24" s="103" t="n"/>
      <c r="G24" s="76">
        <f>IFERROR(SUMPRODUCT(('Enrollment Census'!$S$2:$S$501&lt;&gt;"")/COUNTIF('Enrollment Census'!$S$2:$S$501,'Enrollment Census'!$S$2:$S$501&amp;"")),0)</f>
        <v/>
      </c>
      <c r="H24" s="103" t="n"/>
    </row>
    <row r="25" ht="20" customHeight="1">
      <c r="A25" s="108" t="inlineStr">
        <is>
          <t>Active Rows</t>
        </is>
      </c>
      <c r="B25" s="102" t="n"/>
      <c r="C25" s="108" t="inlineStr">
        <is>
          <t>Termination Rows</t>
        </is>
      </c>
      <c r="D25" s="102" t="n"/>
      <c r="E25" s="108" t="inlineStr">
        <is>
          <t>Items to Fix</t>
        </is>
      </c>
      <c r="F25" s="102" t="n"/>
      <c r="G25" s="108" t="inlineStr">
        <is>
          <t>Warnings</t>
        </is>
      </c>
      <c r="H25" s="102" t="n"/>
    </row>
    <row r="26" ht="30" customHeight="1">
      <c r="A26" s="76">
        <f>COUNTIF('Enrollment Census'!$R$2:$R$501,"Active")</f>
        <v/>
      </c>
      <c r="B26" s="103" t="n"/>
      <c r="C26" s="76">
        <f>COUNTIF('Enrollment Census'!$R$2:$R$501,"Terminated")</f>
        <v/>
      </c>
      <c r="D26" s="103" t="n"/>
      <c r="E26" s="76">
        <f>VALIDATE!$E$4</f>
        <v/>
      </c>
      <c r="F26" s="103" t="n"/>
      <c r="G26" s="76">
        <f>VALIDATE!$G$4</f>
        <v/>
      </c>
      <c r="H26" s="103" t="n"/>
    </row>
    <row r="27" ht="32" customHeight="1">
      <c r="A27" s="77" t="n"/>
      <c r="B27" s="77" t="n"/>
      <c r="C27" s="77" t="n"/>
      <c r="D27" s="77" t="n"/>
      <c r="E27" s="77" t="n"/>
      <c r="F27" s="77" t="n"/>
      <c r="G27" s="77" t="n"/>
      <c r="H27" s="77" t="n"/>
    </row>
    <row r="28" ht="24" customHeight="1">
      <c r="A28" s="107" t="inlineStr">
        <is>
          <t>Validation status</t>
        </is>
      </c>
      <c r="B28" s="101" t="n"/>
      <c r="C28" s="101" t="n"/>
      <c r="D28" s="101" t="n"/>
      <c r="E28" s="101" t="n"/>
      <c r="F28" s="101" t="n"/>
      <c r="G28" s="101" t="n"/>
      <c r="H28" s="101" t="n"/>
    </row>
    <row r="29" ht="28" customHeight="1">
      <c r="A29" s="78">
        <f>IF(VALIDATE!$I$4=0,"Add enrollment rows to begin validation.",IF(VALIDATE!$E$4&gt;0,VALIDATE!$E$4&amp;" item"&amp;IF(VALIDATE!$E$4=1,"","s")&amp;" need attention before submission",IF(VALIDATE!$G$4&gt;0,VALIDATE!$G$4&amp;" warning"&amp;IF(VALIDATE!$G$4=1,"","s")&amp;" to review before submission","Ready to submit to Marin Benefits")))</f>
        <v/>
      </c>
    </row>
    <row r="30" ht="28" customHeight="1">
      <c r="A30" s="104" t="n"/>
    </row>
    <row r="31">
      <c r="A31" s="77" t="n"/>
      <c r="B31" s="77" t="n"/>
      <c r="C31" s="77" t="n"/>
      <c r="D31" s="77" t="n"/>
      <c r="E31" s="77" t="n"/>
      <c r="F31" s="77" t="n"/>
      <c r="G31" s="77" t="n"/>
      <c r="H31" s="77" t="n"/>
    </row>
    <row r="32" ht="24" customHeight="1">
      <c r="A32" s="107" t="inlineStr">
        <is>
          <t>Questions about the census?</t>
        </is>
      </c>
      <c r="B32" s="101" t="n"/>
      <c r="C32" s="101" t="n"/>
      <c r="D32" s="101" t="n"/>
      <c r="E32" s="101" t="n"/>
      <c r="F32" s="101" t="n"/>
      <c r="G32" s="101" t="n"/>
      <c r="H32" s="101" t="n"/>
    </row>
    <row r="33" ht="24" customHeight="1">
      <c r="A33" s="79" t="inlineStr">
        <is>
          <t>Email enrollment@marinbenefits.com.</t>
        </is>
      </c>
      <c r="B33" s="105" t="n"/>
      <c r="C33" s="105" t="n"/>
      <c r="D33" s="105" t="n"/>
      <c r="E33" s="105" t="n"/>
      <c r="F33" s="105" t="n"/>
      <c r="G33" s="105" t="n"/>
      <c r="H33" s="102" t="n"/>
    </row>
    <row r="34" ht="28" customHeight="1">
      <c r="A34" s="106" t="n"/>
      <c r="B34" s="101" t="n"/>
      <c r="C34" s="101" t="n"/>
      <c r="D34" s="101" t="n"/>
      <c r="E34" s="101" t="n"/>
      <c r="F34" s="101" t="n"/>
      <c r="G34" s="101" t="n"/>
      <c r="H34" s="103" t="n"/>
    </row>
    <row r="35">
      <c r="A35" s="77" t="n"/>
      <c r="B35" s="77" t="n"/>
      <c r="C35" s="77" t="n"/>
      <c r="D35" s="77" t="n"/>
      <c r="E35" s="77" t="n"/>
      <c r="F35" s="77" t="n"/>
      <c r="G35" s="77" t="n"/>
      <c r="H35" s="77" t="n"/>
    </row>
    <row r="36">
      <c r="A36" s="77" t="n"/>
      <c r="B36" s="77" t="n"/>
      <c r="C36" s="77" t="n"/>
      <c r="D36" s="77" t="n"/>
      <c r="E36" s="77" t="n"/>
      <c r="F36" s="77" t="n"/>
      <c r="G36" s="77" t="n"/>
      <c r="H36" s="77" t="n"/>
    </row>
    <row r="37">
      <c r="A37" s="77" t="n"/>
      <c r="B37" s="77" t="n"/>
      <c r="C37" s="77" t="n"/>
      <c r="D37" s="77" t="n"/>
      <c r="E37" s="77" t="n"/>
      <c r="F37" s="77" t="n"/>
      <c r="G37" s="77" t="n"/>
      <c r="H37" s="77" t="n"/>
    </row>
    <row r="38">
      <c r="A38" s="77" t="n"/>
      <c r="B38" s="77" t="n"/>
      <c r="C38" s="77" t="n"/>
      <c r="D38" s="77" t="n"/>
      <c r="E38" s="77" t="n"/>
      <c r="F38" s="77" t="n"/>
      <c r="G38" s="77" t="n"/>
      <c r="H38" s="77" t="n"/>
    </row>
    <row r="39">
      <c r="A39" s="77" t="n"/>
      <c r="B39" s="77" t="n"/>
      <c r="C39" s="77" t="n"/>
      <c r="D39" s="77" t="n"/>
      <c r="E39" s="77" t="n"/>
      <c r="F39" s="77" t="n"/>
      <c r="G39" s="77" t="n"/>
      <c r="H39" s="77" t="n"/>
    </row>
    <row r="40">
      <c r="A40" s="77" t="n"/>
      <c r="B40" s="77" t="n"/>
      <c r="C40" s="77" t="n"/>
      <c r="D40" s="77" t="n"/>
      <c r="E40" s="77" t="n"/>
      <c r="F40" s="77" t="n"/>
      <c r="G40" s="77" t="n"/>
      <c r="H40" s="77" t="n"/>
    </row>
  </sheetData>
  <sheetProtection selectLockedCells="0" selectUnlockedCells="0" sheet="1" objects="1" insertRows="1" insertHyperlinks="1" autoFilter="0" scenarios="1" formatColumns="1" deleteColumns="1" insertColumns="1" pivotTables="1" deleteRows="1" formatCells="1" formatRows="1" sort="0"/>
  <mergeCells count="57">
    <mergeCell ref="A24:B24"/>
    <mergeCell ref="C6:D6"/>
    <mergeCell ref="C24:D24"/>
    <mergeCell ref="E24:F24"/>
    <mergeCell ref="C5:D5"/>
    <mergeCell ref="E5:F5"/>
    <mergeCell ref="E23:F23"/>
    <mergeCell ref="G23:H23"/>
    <mergeCell ref="A1:H1"/>
    <mergeCell ref="C26:D26"/>
    <mergeCell ref="A6:B6"/>
    <mergeCell ref="C21:H21"/>
    <mergeCell ref="A7:B7"/>
    <mergeCell ref="G7:H7"/>
    <mergeCell ref="A25:B25"/>
    <mergeCell ref="A29:H30"/>
    <mergeCell ref="C25:D25"/>
    <mergeCell ref="A33:H34"/>
    <mergeCell ref="D13:H13"/>
    <mergeCell ref="B14:C14"/>
    <mergeCell ref="G6:H6"/>
    <mergeCell ref="A18:B18"/>
    <mergeCell ref="A12:H12"/>
    <mergeCell ref="B13:C13"/>
    <mergeCell ref="A26:B26"/>
    <mergeCell ref="A9:H10"/>
    <mergeCell ref="E6:F6"/>
    <mergeCell ref="A21:B21"/>
    <mergeCell ref="C19:H19"/>
    <mergeCell ref="E8:H8"/>
    <mergeCell ref="G24:H24"/>
    <mergeCell ref="A2:H2"/>
    <mergeCell ref="A5:B5"/>
    <mergeCell ref="G5:H5"/>
    <mergeCell ref="C18:H18"/>
    <mergeCell ref="A23:B23"/>
    <mergeCell ref="E26:F26"/>
    <mergeCell ref="A8:B8"/>
    <mergeCell ref="C23:D23"/>
    <mergeCell ref="G26:H26"/>
    <mergeCell ref="C8:D8"/>
    <mergeCell ref="A22:H22"/>
    <mergeCell ref="A32:H32"/>
    <mergeCell ref="A4:H4"/>
    <mergeCell ref="A17:H17"/>
    <mergeCell ref="A20:B20"/>
    <mergeCell ref="B15:C15"/>
    <mergeCell ref="D15:H15"/>
    <mergeCell ref="C7:D7"/>
    <mergeCell ref="E7:F7"/>
    <mergeCell ref="E25:F25"/>
    <mergeCell ref="A19:B19"/>
    <mergeCell ref="G25:H25"/>
    <mergeCell ref="A28:H28"/>
    <mergeCell ref="D14:H14"/>
    <mergeCell ref="C20:H20"/>
    <mergeCell ref="F3:H3"/>
  </mergeCells>
  <conditionalFormatting sqref="A29:H30">
    <cfRule type="expression" priority="5" dxfId="11">
      <formula>$A29="Add enrollment rows to begin validation."</formula>
    </cfRule>
    <cfRule type="expression" priority="6" dxfId="12">
      <formula>ISNUMBER(SEARCH("need attention",$A29))</formula>
    </cfRule>
    <cfRule type="expression" priority="7" dxfId="13">
      <formula>ISNUMBER(SEARCH("warning",$A29))</formula>
    </cfRule>
    <cfRule type="expression" priority="8" dxfId="14">
      <formula>$A29="Ready to submit to Marin Benefits"</formula>
    </cfRule>
  </conditionalFormatting>
  <dataValidations count="1">
    <dataValidation sqref="C8" showDropDown="0" showInputMessage="1" showErrorMessage="1" allowBlank="0" errorTitle="Select a submission type" error="Choose one of the available submission types." promptTitle="Submission type" prompt="Select the option that best describes this enrollment file." type="list">
      <formula1>"Initial Enrollment,Ongoing Eligibility Update,Open Enrollment,Terminations Only,Corrected Resubmission"</formula1>
    </dataValidation>
  </dataValidations>
  <pageMargins left="0.35" right="0.35" top="0.4" bottom="0.4" header="0.2" footer="0.2"/>
  <pageSetup fitToHeight="1" fitToWidth="1"/>
</worksheet>
</file>

<file path=xl/worksheets/sheet2.xml><?xml version="1.0" encoding="utf-8"?>
<worksheet xmlns="http://schemas.openxmlformats.org/spreadsheetml/2006/main">
  <sheetPr>
    <tabColor rgb="002F7C83"/>
    <outlinePr summaryBelow="1" summaryRight="1"/>
    <pageSetUpPr fitToPage="1"/>
  </sheetPr>
  <dimension ref="A1:AJ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5" customWidth="1" min="3" max="3"/>
    <col width="17" customWidth="1" min="4" max="4"/>
    <col width="12" customWidth="1" min="5" max="5"/>
    <col width="24" customWidth="1" min="6" max="6"/>
    <col width="15" customWidth="1" min="7" max="7"/>
    <col width="18" customWidth="1" min="8" max="8"/>
    <col width="10" customWidth="1" min="9" max="9"/>
    <col width="11" customWidth="1" min="10" max="10"/>
    <col width="11" customWidth="1" min="11" max="11"/>
    <col width="13" customWidth="1" min="12" max="12"/>
    <col width="16" customWidth="1" min="13" max="13"/>
    <col width="27" customWidth="1" min="14" max="14"/>
    <col width="22" customWidth="1" min="15" max="15"/>
    <col width="16" customWidth="1" min="16" max="16"/>
    <col width="16" customWidth="1" min="17" max="17"/>
    <col width="13" customWidth="1" min="18" max="18"/>
    <col width="24" customWidth="1" min="19" max="19"/>
    <col width="25" customWidth="1" min="20" max="20"/>
    <col width="22" customWidth="1" min="21" max="21"/>
    <col hidden="1" width="3" customWidth="1" min="22" max="22"/>
    <col hidden="1" width="3" customWidth="1" min="23" max="23"/>
    <col hidden="1" width="3" customWidth="1" min="24" max="24"/>
    <col hidden="1" width="3" customWidth="1" min="25" max="25"/>
    <col hidden="1" width="3" customWidth="1" min="26" max="26"/>
    <col hidden="1" width="3" customWidth="1" min="27" max="27"/>
    <col hidden="1" width="3" customWidth="1" min="28" max="28"/>
    <col hidden="1" width="3" customWidth="1" min="29" max="29"/>
    <col hidden="1" width="3" customWidth="1" min="30" max="30"/>
    <col hidden="1" width="3" customWidth="1" min="31" max="31"/>
    <col hidden="1" width="3" customWidth="1" min="32" max="32"/>
    <col hidden="1" width="3" customWidth="1" min="33" max="33"/>
    <col hidden="1" width="3" customWidth="1" min="34" max="34"/>
    <col hidden="1" width="3" customWidth="1" min="35" max="35"/>
    <col hidden="1" width="3" customWidth="1" min="36" max="36"/>
  </cols>
  <sheetData>
    <row r="1" ht="44" customHeight="1">
      <c r="A1" s="114" t="inlineStr">
        <is>
          <t>Employee SSN</t>
        </is>
      </c>
      <c r="B1" s="114" t="inlineStr">
        <is>
          <t>Dependent SSN</t>
        </is>
      </c>
      <c r="C1" s="115" t="inlineStr">
        <is>
          <t>First Name</t>
        </is>
      </c>
      <c r="D1" s="115" t="inlineStr">
        <is>
          <t>Last Name</t>
        </is>
      </c>
      <c r="E1" s="114" t="inlineStr">
        <is>
          <t>Middle Initial</t>
        </is>
      </c>
      <c r="F1" s="114" t="inlineStr">
        <is>
          <t>Address</t>
        </is>
      </c>
      <c r="G1" s="114" t="inlineStr">
        <is>
          <t>Address 2</t>
        </is>
      </c>
      <c r="H1" s="114" t="inlineStr">
        <is>
          <t>City</t>
        </is>
      </c>
      <c r="I1" s="114" t="inlineStr">
        <is>
          <t>State</t>
        </is>
      </c>
      <c r="J1" s="114" t="inlineStr">
        <is>
          <t>Zip</t>
        </is>
      </c>
      <c r="K1" s="114" t="inlineStr">
        <is>
          <t>Country</t>
        </is>
      </c>
      <c r="L1" s="114" t="inlineStr">
        <is>
          <t>Birthdate</t>
        </is>
      </c>
      <c r="M1" s="114" t="inlineStr">
        <is>
          <t>Phone</t>
        </is>
      </c>
      <c r="N1" s="114" t="inlineStr">
        <is>
          <t>Email</t>
        </is>
      </c>
      <c r="O1" s="114" t="inlineStr">
        <is>
          <t>Dependent Relationship</t>
        </is>
      </c>
      <c r="P1" s="114" t="inlineStr">
        <is>
          <t>Eligibility Date</t>
        </is>
      </c>
      <c r="Q1" s="114" t="inlineStr">
        <is>
          <t>Termination Date</t>
        </is>
      </c>
      <c r="R1" s="114" t="inlineStr">
        <is>
          <t>Status</t>
        </is>
      </c>
      <c r="S1" s="115" t="inlineStr">
        <is>
          <t>Plan Name</t>
        </is>
      </c>
      <c r="T1" s="114" t="inlineStr">
        <is>
          <t>Benefit Coverage Level</t>
        </is>
      </c>
      <c r="U1" s="114" t="inlineStr">
        <is>
          <t>Plan Funding Amount ($)</t>
        </is>
      </c>
      <c r="V1" t="inlineStr">
        <is>
          <t>Household Band</t>
        </is>
      </c>
      <c r="W1" t="inlineStr">
        <is>
          <t>Person SSN</t>
        </is>
      </c>
      <c r="X1" t="inlineStr">
        <is>
          <t>Record Type</t>
        </is>
      </c>
      <c r="Y1" t="inlineStr">
        <is>
          <t>Demographic Errors</t>
        </is>
      </c>
      <c r="Z1" t="inlineStr">
        <is>
          <t>SSN Errors</t>
        </is>
      </c>
      <c r="AA1" t="inlineStr">
        <is>
          <t>Household Errors</t>
        </is>
      </c>
      <c r="AB1" t="inlineStr">
        <is>
          <t>Date and Status Errors</t>
        </is>
      </c>
      <c r="AC1" t="inlineStr">
        <is>
          <t>Plan and Funding Errors</t>
        </is>
      </c>
      <c r="AD1" t="inlineStr">
        <is>
          <t>Warnings</t>
        </is>
      </c>
      <c r="AE1" t="inlineStr">
        <is>
          <t>Fields to Review</t>
        </is>
      </c>
      <c r="AF1" t="inlineStr">
        <is>
          <t>How to Fix</t>
        </is>
      </c>
      <c r="AG1" t="inlineStr">
        <is>
          <t>Normalized Email</t>
        </is>
      </c>
      <c r="AH1" t="inlineStr">
        <is>
          <t>Family Error Rows</t>
        </is>
      </c>
      <c r="AI1" t="inlineStr">
        <is>
          <t>Row Error Flag</t>
        </is>
      </c>
      <c r="AJ1" t="inlineStr">
        <is>
          <t>Row Warning Flag</t>
        </is>
      </c>
    </row>
    <row r="2" ht="20" customHeight="1">
      <c r="A2" s="80" t="n"/>
      <c r="B2" s="80" t="n"/>
      <c r="C2" s="81" t="n"/>
      <c r="D2" s="81" t="n"/>
      <c r="E2" s="80" t="n"/>
      <c r="F2" s="81" t="n"/>
      <c r="G2" s="81" t="n"/>
      <c r="H2" s="81" t="n"/>
      <c r="I2" s="80" t="n"/>
      <c r="J2" s="80" t="n"/>
      <c r="K2" s="80" t="n"/>
      <c r="L2" s="82" t="n"/>
      <c r="M2" s="80" t="n"/>
      <c r="N2" s="80" t="n"/>
      <c r="O2" s="80" t="n"/>
      <c r="P2" s="82" t="n"/>
      <c r="Q2" s="82" t="n"/>
      <c r="R2" s="80" t="n"/>
      <c r="S2" s="80" t="n"/>
      <c r="T2" s="80" t="n"/>
      <c r="U2" s="83" t="n"/>
      <c r="V2">
        <f>IF($A2="","",0)</f>
        <v/>
      </c>
      <c r="W2">
        <f>IF($B2&lt;&gt;"",$B2,$A2)</f>
        <v/>
      </c>
      <c r="X2">
        <f>IF(COUNTA($A2:$U2)=0,"",IF(OR($B2&lt;&gt;"",$O2&lt;&gt;""),"Dependent","Employee"))</f>
        <v/>
      </c>
      <c r="Y2">
        <f>IF(COUNTA($A2:$U2)=0,"",IF($A2="","Employee SSN is required; ","")&amp;IF($C2="","First Name is required; ","")&amp;IF(LEN($C2&amp;"")&gt;19,"First Name exceeds 19 characters; ","")&amp;IF(AND($C2&lt;&gt;"",SUMPRODUCT(--(ROW($1:$19)&lt;=LEN($C2&amp;"")),--ISERROR(FIND(MID($C2&amp;"",ROW($1:$19),1),"ABCDEFGHIJKLMNOPQRSTUVWXYZabcdefghijklmnopqrstuvwxyz .,")))&gt;0),"First Name contains unsupported or encoded characters; use plain A-Z letters only; ","")&amp;IF($D2="","Last Name is required; ","")&amp;IF(LEN($D2&amp;"")&gt;26,"Last Name exceeds 26 characters; ","")&amp;IF(AND($D2&lt;&gt;"",SUMPRODUCT(--(ROW($1:$26)&lt;=LEN($D2&amp;"")),--ISERROR(FIND(MID($D2&amp;"",ROW($1:$26),1),"ABCDEFGHIJKLMNOPQRSTUVWXYZabcdefghijklmnopqrstuvwxyz .,")))&gt;0),"Last Name contains unsupported or encoded characters; use plain A-Z letters only; ","")&amp;IF(LEN($E2&amp;"")&gt;1,"Middle Initial may contain only one character; ","")&amp;IF(AND($E2&lt;&gt;"",SUMPRODUCT(--(ROW($1:$1)&lt;=LEN($E2&amp;"")),--ISERROR(FIND(MID($E2&amp;"",ROW($1:$1),1),"ABCDEFGHIJKLMNOPQRSTUVWXYZabcdefghijklmnopqrstuvwxyz .,")))&gt;0),"Middle Initial must be a plain A-Z letter; ","")&amp;IF($F2="","Address is required; ","")&amp;IF(LEN($F2&amp;"")&gt;75,"Address exceeds 75 characters; ","")&amp;IF(LEN($G2&amp;"")&gt;75,"Address 2 exceeds 75 characters; ","")&amp;IF($H2="","City is required; ","")&amp;IF(LEN($H2&amp;"")&gt;30,"City exceeds 30 characters; ","")&amp;IF($K2="","Country is required; ","")&amp;IF(AND($K2&lt;&gt;"",$K2&lt;&gt;"US",$K2&lt;&gt;"CA"),"Country must be US or CA; ","")&amp;IF(AND($K2="US",OR($I2="",LEN($I2&amp;"")&lt;&gt;2)),"Use a 2-letter state code; ","")&amp;IF($J2="","ZIP or postal code is required; ","")&amp;IF(AND($K2="US",$J2&lt;&gt;"",NOT(IFERROR(OR(AND(LEN($J2&amp;"")=5,ISNUMBER(--($J2&amp;""))),AND(LEN($J2&amp;"")=9,ISNUMBER(--($J2&amp;""))),AND(LEN($J2&amp;"")=10,MID($J2&amp;"",6,1)="-",ISNUMBER(--SUBSTITUTE($J2&amp;"","-","")))),FALSE))),"US ZIP must be 5 or 9 digits, with an optional ZIP+4 hyphen; ","")&amp;IF(AND($N2&lt;&gt;"",NOT(IFERROR(AND(ISNUMBER(SEARCH("@",$N2)),ISNUMBER(SEARCH(".",$N2,SEARCH("@",$N2)+2))),FALSE))),"Email format appears invalid; ","")&amp;IF(AND($O2&lt;&gt;"",$B2=""),"Dependent SSN is required for every dependent; ","")&amp;IF(AND($B2&lt;&gt;"",$O2=""),"Dependent Relationship is required when Dependent SSN is entered; ","")&amp;IF(AND($O2&lt;&gt;"",$O2&lt;&gt;"Spouse or Common Law Spouse",$O2&lt;&gt;"Domestic Partner",$O2&lt;&gt;"Child",$O2&lt;&gt;"Other",$O2&lt;&gt;"Estate",$O2&lt;&gt;"Unknown"),"Dependent Relationship must use one of the approved options; ",""))</f>
        <v/>
      </c>
      <c r="Z2">
        <f>IF(COUNTA($A2:$U2)=0,"",IF(AND($A2&lt;&gt;"",NOT(IFERROR(AND(LEN($A2&amp;"")=9,ISNUMBER(--($A2&amp;""))),FALSE))),"Employee SSN must contain exactly 9 digits; ","")&amp;IF(AND($A2&lt;&gt;"",OR($A2="123456789",$A2="987654321",$A2="012345678",$A2=REPT(LEFT($A2&amp;"",1),9))),"Employee SSN appears to be a placeholder; ","")&amp;IF(AND($B2&lt;&gt;"",NOT(IFERROR(AND(LEN($B2&amp;"")=9,ISNUMBER(--($B2&amp;""))),FALSE))),"Dependent SSN must contain exactly 9 digits; ","")&amp;IF(AND($B2&lt;&gt;"",OR($B2="123456789",$B2="987654321",$B2="012345678",$B2=REPT(LEFT($B2&amp;"",1),9))),"Dependent SSN appears to be a placeholder; ","")&amp;IF(AND($A2&lt;&gt;"",$B2&lt;&gt;"",$A2&amp;""=$B2&amp;""),"Dependent SSN cannot match Employee SSN; ","")&amp;IF(AND($W2&lt;&gt;"",OR(COUNTIFS($W$2:$W$501,$W2,$C$2:$C$501,"&lt;&gt;"&amp;$C2)&gt;0,COUNTIFS($W$2:$W$501,$W2,$D$2:$D$501,"&lt;&gt;"&amp;$D2)&gt;0,COUNTIFS($W$2:$W$501,$W2,$L$2:$L$501,"&lt;&gt;"&amp;$L2)&gt;0)),"The same SSN is associated with a different name or birthdate; ",""))</f>
        <v/>
      </c>
      <c r="AA2">
        <f>IF(COUNTA($A2:$U2)=0,"",IF(AND($A2&lt;&gt;"",$S2&lt;&gt;"",COUNTIFS($A$2:$A$501,$A2,$S$2:$S$501,$S2,$B$2:$B$501,"",$O$2:$O$501,"")=0),"Add an employee row for this household and plan; ","")&amp;IF(AND($X2="Dependent",COUNTIFS($A$2:$A2,$A2,$S$2:$S2,$S2,$B$2:$B2,"",$O$2:$O2,"")=0),"Place the employee row before dependent rows for this plan; ","")&amp;IF(AND($X2="Dependent",COUNTIFS($A$2:$A$501,$A2,$S$2:$S$501,$S2,$B$2:$B$501,"",$O$2:$O$501,"")&gt;0,IFERROR(OR($P2&lt;&gt;LOOKUP(2,1/(($A$2:$A$501=$A2)*($S$2:$S$501=$S2)*($B$2:$B$501="")*($O$2:$O$501="")),$P$2:$P$501),$Q2&lt;&gt;LOOKUP(2,1/(($A$2:$A$501=$A2)*($S$2:$S$501=$S2)*($B$2:$B$501="")*($O$2:$O$501="")),$Q$2:$Q$501),$R2&lt;&gt;LOOKUP(2,1/(($A$2:$A$501=$A2)*($S$2:$S$501=$S2)*($B$2:$B$501="")*($O$2:$O$501="")),$R$2:$R$501),$T2&lt;&gt;LOOKUP(2,1/(($A$2:$A$501=$A2)*($S$2:$S$501=$S2)*($B$2:$B$501="")*($O$2:$O$501="")),$T$2:$T$501),$U2&lt;&gt;LOOKUP(2,1/(($A$2:$A$501=$A2)*($S$2:$S$501=$S2)*($B$2:$B$501="")*($O$2:$O$501="")),$U$2:$U$501)),FALSE)),"Dependent row does not match the employee row for eligibility, status, coverage level, or funding; ",""))</f>
        <v/>
      </c>
      <c r="AB2">
        <f>IF(COUNTA($A2:$U2)=0,"",IF($L2="","Birthdate is required; ","")&amp;IF(AND($L2&lt;&gt;"",OR(NOT(ISNUMBER($L2)),$L2&lt;=DATE(1900,1,1),$L2&gt;TODAY())),"Birthdate must be an exact valid past date; ","")&amp;IF($P2="","Eligibility Date is required; ","")&amp;IF(AND($P2&lt;&gt;"",OR(NOT(ISNUMBER($P2)),$P2&lt;=DATE(1900,1,1))),"Eligibility Date must be a valid date; ","")&amp;IF(AND($R2="Terminated",$Q2=""),"Termination Date is required when Status is Terminated; ","")&amp;IF(AND($Q2&lt;&gt;"",OR(NOT(ISNUMBER($Q2)),$Q2&lt;=DATE(1900,1,1))),"Termination Date must be a valid date; ","")&amp;IF(AND(ISNUMBER($P2),ISNUMBER($Q2),$Q2&lt;$P2),"Termination Date cannot be before Eligibility Date; ","")&amp;IF($R2="","Status is required; ","")&amp;IF(AND($R2&lt;&gt;"",$R2&lt;&gt;"Active",$R2&lt;&gt;"Terminated"),"Status must be Active or Terminated; ","")&amp;IF(AND('START HERE'!$C$8="Terminations Only",$R2&lt;&gt;"Terminated"),"Terminations Only files must contain terminated records; ",""))</f>
        <v/>
      </c>
      <c r="AC2">
        <f>IF(COUNTA($A2:$U2)=0,"",IF($S2="","Plan Name is required; ","")&amp;IF($T2="","Benefit Coverage Level is required; ","")&amp;IF(AND($U2&lt;&gt;"",OR(NOT(ISNUMBER($U2)),$U2&lt;0)),"Plan Funding Amount must be a nonnegative number; ","")&amp;IF(AND($A2&lt;&gt;"",$S2&lt;&gt;"",COUNTIFS($A$2:$A$501,$A2,$B$2:$B$501,$B2,$S$2:$S$501,$S2)&gt;1),"Duplicate participant and plan row; ",""))</f>
        <v/>
      </c>
      <c r="AD2">
        <f>IF(COUNTA($A2:$U2)=0,"",IF(AND($X2="Employee",$M2="",$N2=""),"No employee phone or email provided; ","")&amp;IF(AND($R2="Active",$Q2&lt;&gt;""),"Active record includes a Termination Date; confirm this is intentional; ","")&amp;IF(AND($B2&lt;&gt;"",$B2&amp;""&lt;&gt;$A2&amp;"",COUNTIF($A$2:$A$501,$B2)&gt;0),"Dependent SSN also appears as an Employee SSN elsewhere; confirm dual-employee coverage is intentional; ","")&amp;IF(AND($B2&lt;&gt;"",COUNTIF($B$2:$B$501,$B2)&gt;COUNTIFS($A$2:$A$501,$A2,$B$2:$B$501,$B2)),"Dependent SSN appears under more than one employee; confirm duplicate family coverage is intentional; ","")&amp;IF(AND(ROW()&gt;2,$A2&lt;&gt;"",$A2&lt;&gt;$A1,COUNTIF($A$2:$A1,$A2)&gt;0),"This household appears in more than one section of the census; keep the family together; ","")&amp;IF(OR(AND($C2&lt;&gt;"",LEN($C2&amp;"")&lt;&gt;LEN(TRIM($C2&amp;""))),AND($D2&lt;&gt;"",LEN($D2&amp;"")&lt;&gt;LEN(TRIM($D2&amp;""))),AND($E2&lt;&gt;"",LEN($E2&amp;"")&lt;&gt;LEN(TRIM($E2&amp;""))),AND($F2&lt;&gt;"",LEN($F2&amp;"")&lt;&gt;LEN(TRIM($F2&amp;""))),AND($G2&lt;&gt;"",LEN($G2&amp;"")&lt;&gt;LEN(TRIM($G2&amp;""))),AND($H2&lt;&gt;"",LEN($H2&amp;"")&lt;&gt;LEN(TRIM($H2&amp;""))),AND($I2&lt;&gt;"",LEN($I2&amp;"")&lt;&gt;LEN(TRIM($I2&amp;""))),AND($J2&lt;&gt;"",LEN($J2&amp;"")&lt;&gt;LEN(TRIM($J2&amp;""))),AND($K2&lt;&gt;"",LEN($K2&amp;"")&lt;&gt;LEN(TRIM($K2&amp;""))),AND($M2&lt;&gt;"",LEN($M2&amp;"")&lt;&gt;LEN(TRIM($M2&amp;""))),AND($N2&lt;&gt;"",LEN($N2&amp;"")&lt;&gt;LEN(TRIM($N2&amp;""))),AND($O2&lt;&gt;"",LEN($O2&amp;"")&lt;&gt;LEN(TRIM($O2&amp;""))),AND($R2&lt;&gt;"",LEN($R2&amp;"")&lt;&gt;LEN(TRIM($R2&amp;""))),AND($S2&lt;&gt;"",LEN($S2&amp;"")&lt;&gt;LEN(TRIM($S2&amp;""))),AND($T2&lt;&gt;"",LEN($T2&amp;"")&lt;&gt;LEN(TRIM($T2&amp;"")))),"Remove leading or trailing spaces from text fields; ","")&amp;IF(OR(AND(LEN($C2)&gt;1,OR(EXACT($C2,UPPER($C2)),EXACT($C2,LOWER($C2)))),AND(LEN($D2)&gt;1,OR(EXACT($D2,UPPER($D2)),EXACT($D2,LOWER($D2)))),AND(LEN($H2)&gt;1,OR(EXACT($H2,UPPER($H2)),EXACT($H2,LOWER($H2))))),"Review capitalization in First Name, Last Name, or City; ","")&amp;IF(AND($N2&lt;&gt;"",NOT(EXACT($N2,LOWER($N2)))),"Email will be standardized to lowercase in the clean output; ","")&amp;IF(AND(OR('START HERE'!$C$8="Initial Enrollment",'START HERE'!$C$8="Open Enrollment"),$R2="Terminated"),"A terminated row is included in an initial or open enrollment file; confirm this is intentional; ",""))</f>
        <v/>
      </c>
      <c r="AE2">
        <f>IF(COUNTA($A2:$U2)=0,"",IF(OR($A2="",AND($A2&lt;&gt;"",NOT(IFERROR(AND(LEN($A2&amp;"")=9,ISNUMBER(--($A2&amp;""))),FALSE))),AND($A2&lt;&gt;"",OR($A2="123456789",$A2="987654321",$A2="012345678",$A2=REPT(LEFT($A2&amp;"",1),9)))),"Employee SSN, ","")&amp;IF(OR(AND($O2&lt;&gt;"",$B2=""),AND($B2&lt;&gt;"",OR(NOT(IFERROR(AND(LEN($B2&amp;"")=9,ISNUMBER(--($B2&amp;""))),FALSE)),$B2=$A2,$B2="123456789",$B2="987654321",$B2="012345678",$B2=REPT(LEFT($B2&amp;"",1),9)))),"Dependent SSN, ","")&amp;IF(OR($C2="",LEN($C2)&gt;19,AND($C2&lt;&gt;"",SUMPRODUCT(--(ROW($1:$19)&lt;=LEN($C2&amp;"")),--ISERROR(FIND(MID($C2&amp;"",ROW($1:$19),1),"ABCDEFGHIJKLMNOPQRSTUVWXYZabcdefghijklmnopqrstuvwxyz .,")))&gt;0)),"First Name, ","")&amp;IF(OR($D2="",LEN($D2)&gt;26,AND($D2&lt;&gt;"",SUMPRODUCT(--(ROW($1:$26)&lt;=LEN($D2&amp;"")),--ISERROR(FIND(MID($D2&amp;"",ROW($1:$26),1),"ABCDEFGHIJKLMNOPQRSTUVWXYZabcdefghijklmnopqrstuvwxyz .,")))&gt;0)),"Last Name, ","")&amp;IF(OR(LEN($E2)&gt;1,AND($E2&lt;&gt;"",SUMPRODUCT(--(ROW($1:$1)&lt;=LEN($E2&amp;"")),--ISERROR(FIND(MID($E2&amp;"",ROW($1:$1),1),"ABCDEFGHIJKLMNOPQRSTUVWXYZabcdefghijklmnopqrstuvwxyz .,")))&gt;0)),"Middle Initial, ","")&amp;IF(OR($F2="",LEN($F2)&gt;75),"Address, ","")&amp;IF(OR($H2="",LEN($H2)&gt;30),"City, ","")&amp;IF(AND($K2="US",OR($I2="",LEN($I2)&lt;&gt;2)),"State, ","")&amp;IF($J2="","ZIP, ","")&amp;IF(OR($K2="",AND($K2&lt;&gt;"US",$K2&lt;&gt;"CA")),"Country, ","")&amp;IF(OR($L2="",AND($L2&lt;&gt;"",OR(NOT(ISNUMBER($L2)),$L2&lt;=DATE(1900,1,1),$L2&gt;TODAY()))),"Birthdate, ","")&amp;IF(AND($N2&lt;&gt;"",NOT(IFERROR(AND(ISNUMBER(SEARCH("@",$N2)),ISNUMBER(SEARCH(".",$N2,SEARCH("@",$N2)+2))),FALSE))),"Email, ","")&amp;IF(OR(AND($B2&lt;&gt;"",$O2=""),AND($O2&lt;&gt;"",$O2&lt;&gt;"Spouse or Common Law Spouse",$O2&lt;&gt;"Domestic Partner",$O2&lt;&gt;"Child",$O2&lt;&gt;"Other",$O2&lt;&gt;"Estate",$O2&lt;&gt;"Unknown")),"Dependent Relationship, ","")&amp;IF($AA2&lt;&gt;"","Household, ","")&amp;IF(OR($P2="",AND($P2&lt;&gt;"",OR(NOT(ISNUMBER($P2)),$P2&lt;=DATE(1900,1,1)))),"Eligibility Date, ","")&amp;IF(OR(AND($R2="Terminated",$Q2=""),AND($Q2&lt;&gt;"",OR(NOT(ISNUMBER($Q2)),$Q2&lt;=DATE(1900,1,1))),AND(ISNUMBER($P2),ISNUMBER($Q2),$Q2&lt;$P2)),"Termination Date, ","")&amp;IF(OR($R2="",AND($R2&lt;&gt;"Active",$R2&lt;&gt;"Terminated"),AND('START HERE'!$C$8="Terminations Only",$R2&lt;&gt;"Terminated")),"Status, ","")&amp;IF($S2="","Plan Name, ","")&amp;IF($T2="","Coverage Level, ","")&amp;IF(AND($U2&lt;&gt;"",OR(NOT(ISNUMBER($U2)),$U2&lt;0)),"Funding, ","")&amp;IF(AND($A2&lt;&gt;"",$S2&lt;&gt;"",COUNTIFS($A$2:$A$501,$A2,$B$2:$B$501,$B2,$S$2:$S$501,$S2)&gt;1),"Duplicate Row, ",""))</f>
        <v/>
      </c>
      <c r="AF2">
        <f>IF(COUNTA($A2:$U2)=0,"",$Y2&amp;$Z2&amp;$AA2&amp;$AB2&amp;$AC2)</f>
        <v/>
      </c>
      <c r="AG2">
        <f>IF($N2="","",LOWER(TRIM($N2)))</f>
        <v/>
      </c>
      <c r="AH2">
        <f>IF($A2="","",COUNTIFS($A$2:$A$501,$A2,$AI$2:$AI$501,1))</f>
        <v/>
      </c>
      <c r="AI2">
        <f>IF(COUNTA($A2:$U2)=0,"",--($AF2&lt;&gt;""))</f>
        <v/>
      </c>
      <c r="AJ2">
        <f>IF(COUNTA($A2:$U2)=0,"",--($AD2&lt;&gt;""))</f>
        <v/>
      </c>
    </row>
    <row r="3" ht="20" customHeight="1">
      <c r="A3" s="80" t="n"/>
      <c r="B3" s="80" t="n"/>
      <c r="C3" s="81" t="n"/>
      <c r="D3" s="81" t="n"/>
      <c r="E3" s="80" t="n"/>
      <c r="F3" s="81" t="n"/>
      <c r="G3" s="81" t="n"/>
      <c r="H3" s="81" t="n"/>
      <c r="I3" s="80" t="n"/>
      <c r="J3" s="80" t="n"/>
      <c r="K3" s="80" t="n"/>
      <c r="L3" s="82" t="n"/>
      <c r="M3" s="80" t="n"/>
      <c r="N3" s="80" t="n"/>
      <c r="O3" s="80" t="n"/>
      <c r="P3" s="82" t="n"/>
      <c r="Q3" s="82" t="n"/>
      <c r="R3" s="80" t="n"/>
      <c r="S3" s="80" t="n"/>
      <c r="T3" s="80" t="n"/>
      <c r="U3" s="83" t="n"/>
      <c r="V3">
        <f>IF($A3="","",IF($A3=$A2,$V2,IF($V2="",0,1-$V2)))</f>
        <v/>
      </c>
      <c r="W3">
        <f>IF($B3&lt;&gt;"",$B3,$A3)</f>
        <v/>
      </c>
      <c r="X3">
        <f>IF(COUNTA($A3:$U3)=0,"",IF(OR($B3&lt;&gt;"",$O3&lt;&gt;""),"Dependent","Employee"))</f>
        <v/>
      </c>
      <c r="Y3">
        <f>IF(COUNTA($A3:$U3)=0,"",IF($A3="","Employee SSN is required; ","")&amp;IF($C3="","First Name is required; ","")&amp;IF(LEN($C3&amp;"")&gt;19,"First Name exceeds 19 characters; ","")&amp;IF(AND($C3&lt;&gt;"",SUMPRODUCT(--(ROW($1:$19)&lt;=LEN($C3&amp;"")),--ISERROR(FIND(MID($C3&amp;"",ROW($1:$19),1),"ABCDEFGHIJKLMNOPQRSTUVWXYZabcdefghijklmnopqrstuvwxyz .,")))&gt;0),"First Name contains unsupported or encoded characters; use plain A-Z letters only; ","")&amp;IF($D3="","Last Name is required; ","")&amp;IF(LEN($D3&amp;"")&gt;26,"Last Name exceeds 26 characters; ","")&amp;IF(AND($D3&lt;&gt;"",SUMPRODUCT(--(ROW($1:$26)&lt;=LEN($D3&amp;"")),--ISERROR(FIND(MID($D3&amp;"",ROW($1:$26),1),"ABCDEFGHIJKLMNOPQRSTUVWXYZabcdefghijklmnopqrstuvwxyz .,")))&gt;0),"Last Name contains unsupported or encoded characters; use plain A-Z letters only; ","")&amp;IF(LEN($E3&amp;"")&gt;1,"Middle Initial may contain only one character; ","")&amp;IF(AND($E3&lt;&gt;"",SUMPRODUCT(--(ROW($1:$1)&lt;=LEN($E3&amp;"")),--ISERROR(FIND(MID($E3&amp;"",ROW($1:$1),1),"ABCDEFGHIJKLMNOPQRSTUVWXYZabcdefghijklmnopqrstuvwxyz .,")))&gt;0),"Middle Initial must be a plain A-Z letter; ","")&amp;IF($F3="","Address is required; ","")&amp;IF(LEN($F3&amp;"")&gt;75,"Address exceeds 75 characters; ","")&amp;IF(LEN($G3&amp;"")&gt;75,"Address 2 exceeds 75 characters; ","")&amp;IF($H3="","City is required; ","")&amp;IF(LEN($H3&amp;"")&gt;30,"City exceeds 30 characters; ","")&amp;IF($K3="","Country is required; ","")&amp;IF(AND($K3&lt;&gt;"",$K3&lt;&gt;"US",$K3&lt;&gt;"CA"),"Country must be US or CA; ","")&amp;IF(AND($K3="US",OR($I3="",LEN($I3&amp;"")&lt;&gt;2)),"Use a 2-letter state code; ","")&amp;IF($J3="","ZIP or postal code is required; ","")&amp;IF(AND($K3="US",$J3&lt;&gt;"",NOT(IFERROR(OR(AND(LEN($J3&amp;"")=5,ISNUMBER(--($J3&amp;""))),AND(LEN($J3&amp;"")=9,ISNUMBER(--($J3&amp;""))),AND(LEN($J3&amp;"")=10,MID($J3&amp;"",6,1)="-",ISNUMBER(--SUBSTITUTE($J3&amp;"","-","")))),FALSE))),"US ZIP must be 5 or 9 digits, with an optional ZIP+4 hyphen; ","")&amp;IF(AND($N3&lt;&gt;"",NOT(IFERROR(AND(ISNUMBER(SEARCH("@",$N3)),ISNUMBER(SEARCH(".",$N3,SEARCH("@",$N3)+2))),FALSE))),"Email format appears invalid; ","")&amp;IF(AND($O3&lt;&gt;"",$B3=""),"Dependent SSN is required for every dependent; ","")&amp;IF(AND($B3&lt;&gt;"",$O3=""),"Dependent Relationship is required when Dependent SSN is entered; ","")&amp;IF(AND($O3&lt;&gt;"",$O3&lt;&gt;"Spouse or Common Law Spouse",$O3&lt;&gt;"Domestic Partner",$O3&lt;&gt;"Child",$O3&lt;&gt;"Other",$O3&lt;&gt;"Estate",$O3&lt;&gt;"Unknown"),"Dependent Relationship must use one of the approved options; ",""))</f>
        <v/>
      </c>
      <c r="Z3">
        <f>IF(COUNTA($A3:$U3)=0,"",IF(AND($A3&lt;&gt;"",NOT(IFERROR(AND(LEN($A3&amp;"")=9,ISNUMBER(--($A3&amp;""))),FALSE))),"Employee SSN must contain exactly 9 digits; ","")&amp;IF(AND($A3&lt;&gt;"",OR($A3="123456789",$A3="987654321",$A3="012345678",$A3=REPT(LEFT($A3&amp;"",1),9))),"Employee SSN appears to be a placeholder; ","")&amp;IF(AND($B3&lt;&gt;"",NOT(IFERROR(AND(LEN($B3&amp;"")=9,ISNUMBER(--($B3&amp;""))),FALSE))),"Dependent SSN must contain exactly 9 digits; ","")&amp;IF(AND($B3&lt;&gt;"",OR($B3="123456789",$B3="987654321",$B3="012345678",$B3=REPT(LEFT($B3&amp;"",1),9))),"Dependent SSN appears to be a placeholder; ","")&amp;IF(AND($A3&lt;&gt;"",$B3&lt;&gt;"",$A3&amp;""=$B3&amp;""),"Dependent SSN cannot match Employee SSN; ","")&amp;IF(AND($W3&lt;&gt;"",OR(COUNTIFS($W$2:$W$501,$W3,$C$2:$C$501,"&lt;&gt;"&amp;$C3)&gt;0,COUNTIFS($W$2:$W$501,$W3,$D$2:$D$501,"&lt;&gt;"&amp;$D3)&gt;0,COUNTIFS($W$2:$W$501,$W3,$L$2:$L$501,"&lt;&gt;"&amp;$L3)&gt;0)),"The same SSN is associated with a different name or birthdate; ",""))</f>
        <v/>
      </c>
      <c r="AA3">
        <f>IF(COUNTA($A3:$U3)=0,"",IF(AND($A3&lt;&gt;"",$S3&lt;&gt;"",COUNTIFS($A$2:$A$501,$A3,$S$2:$S$501,$S3,$B$2:$B$501,"",$O$2:$O$501,"")=0),"Add an employee row for this household and plan; ","")&amp;IF(AND($X3="Dependent",COUNTIFS($A$2:$A3,$A3,$S$2:$S3,$S3,$B$2:$B3,"",$O$2:$O3,"")=0),"Place the employee row before dependent rows for this plan; ","")&amp;IF(AND($X3="Dependent",COUNTIFS($A$2:$A$501,$A3,$S$2:$S$501,$S3,$B$2:$B$501,"",$O$2:$O$501,"")&gt;0,IFERROR(OR($P3&lt;&gt;LOOKUP(2,1/(($A$2:$A$501=$A3)*($S$2:$S$501=$S3)*($B$2:$B$501="")*($O$2:$O$501="")),$P$2:$P$501),$Q3&lt;&gt;LOOKUP(2,1/(($A$2:$A$501=$A3)*($S$2:$S$501=$S3)*($B$2:$B$501="")*($O$2:$O$501="")),$Q$2:$Q$501),$R3&lt;&gt;LOOKUP(2,1/(($A$2:$A$501=$A3)*($S$2:$S$501=$S3)*($B$2:$B$501="")*($O$2:$O$501="")),$R$2:$R$501),$T3&lt;&gt;LOOKUP(2,1/(($A$2:$A$501=$A3)*($S$2:$S$501=$S3)*($B$2:$B$501="")*($O$2:$O$501="")),$T$2:$T$501),$U3&lt;&gt;LOOKUP(2,1/(($A$2:$A$501=$A3)*($S$2:$S$501=$S3)*($B$2:$B$501="")*($O$2:$O$501="")),$U$2:$U$501)),FALSE)),"Dependent row does not match the employee row for eligibility, status, coverage level, or funding; ",""))</f>
        <v/>
      </c>
      <c r="AB3">
        <f>IF(COUNTA($A3:$U3)=0,"",IF($L3="","Birthdate is required; ","")&amp;IF(AND($L3&lt;&gt;"",OR(NOT(ISNUMBER($L3)),$L3&lt;=DATE(1900,1,1),$L3&gt;TODAY())),"Birthdate must be an exact valid past date; ","")&amp;IF($P3="","Eligibility Date is required; ","")&amp;IF(AND($P3&lt;&gt;"",OR(NOT(ISNUMBER($P3)),$P3&lt;=DATE(1900,1,1))),"Eligibility Date must be a valid date; ","")&amp;IF(AND($R3="Terminated",$Q3=""),"Termination Date is required when Status is Terminated; ","")&amp;IF(AND($Q3&lt;&gt;"",OR(NOT(ISNUMBER($Q3)),$Q3&lt;=DATE(1900,1,1))),"Termination Date must be a valid date; ","")&amp;IF(AND(ISNUMBER($P3),ISNUMBER($Q3),$Q3&lt;$P3),"Termination Date cannot be before Eligibility Date; ","")&amp;IF($R3="","Status is required; ","")&amp;IF(AND($R3&lt;&gt;"",$R3&lt;&gt;"Active",$R3&lt;&gt;"Terminated"),"Status must be Active or Terminated; ","")&amp;IF(AND('START HERE'!$C$8="Terminations Only",$R3&lt;&gt;"Terminated"),"Terminations Only files must contain terminated records; ",""))</f>
        <v/>
      </c>
      <c r="AC3">
        <f>IF(COUNTA($A3:$U3)=0,"",IF($S3="","Plan Name is required; ","")&amp;IF($T3="","Benefit Coverage Level is required; ","")&amp;IF(AND($U3&lt;&gt;"",OR(NOT(ISNUMBER($U3)),$U3&lt;0)),"Plan Funding Amount must be a nonnegative number; ","")&amp;IF(AND($A3&lt;&gt;"",$S3&lt;&gt;"",COUNTIFS($A$2:$A$501,$A3,$B$2:$B$501,$B3,$S$2:$S$501,$S3)&gt;1),"Duplicate participant and plan row; ",""))</f>
        <v/>
      </c>
      <c r="AD3">
        <f>IF(COUNTA($A3:$U3)=0,"",IF(AND($X3="Employee",$M3="",$N3=""),"No employee phone or email provided; ","")&amp;IF(AND($R3="Active",$Q3&lt;&gt;""),"Active record includes a Termination Date; confirm this is intentional; ","")&amp;IF(AND($B3&lt;&gt;"",$B3&amp;""&lt;&gt;$A3&amp;"",COUNTIF($A$2:$A$501,$B3)&gt;0),"Dependent SSN also appears as an Employee SSN elsewhere; confirm dual-employee coverage is intentional; ","")&amp;IF(AND($B3&lt;&gt;"",COUNTIF($B$2:$B$501,$B3)&gt;COUNTIFS($A$2:$A$501,$A3,$B$2:$B$501,$B3)),"Dependent SSN appears under more than one employee; confirm duplicate family coverage is intentional; ","")&amp;IF(AND(ROW()&gt;2,$A3&lt;&gt;"",$A3&lt;&gt;$A2,COUNTIF($A$2:$A2,$A3)&gt;0),"This household appears in more than one section of the census; keep the family together; ","")&amp;IF(OR(AND($C3&lt;&gt;"",LEN($C3&amp;"")&lt;&gt;LEN(TRIM($C3&amp;""))),AND($D3&lt;&gt;"",LEN($D3&amp;"")&lt;&gt;LEN(TRIM($D3&amp;""))),AND($E3&lt;&gt;"",LEN($E3&amp;"")&lt;&gt;LEN(TRIM($E3&amp;""))),AND($F3&lt;&gt;"",LEN($F3&amp;"")&lt;&gt;LEN(TRIM($F3&amp;""))),AND($G3&lt;&gt;"",LEN($G3&amp;"")&lt;&gt;LEN(TRIM($G3&amp;""))),AND($H3&lt;&gt;"",LEN($H3&amp;"")&lt;&gt;LEN(TRIM($H3&amp;""))),AND($I3&lt;&gt;"",LEN($I3&amp;"")&lt;&gt;LEN(TRIM($I3&amp;""))),AND($J3&lt;&gt;"",LEN($J3&amp;"")&lt;&gt;LEN(TRIM($J3&amp;""))),AND($K3&lt;&gt;"",LEN($K3&amp;"")&lt;&gt;LEN(TRIM($K3&amp;""))),AND($M3&lt;&gt;"",LEN($M3&amp;"")&lt;&gt;LEN(TRIM($M3&amp;""))),AND($N3&lt;&gt;"",LEN($N3&amp;"")&lt;&gt;LEN(TRIM($N3&amp;""))),AND($O3&lt;&gt;"",LEN($O3&amp;"")&lt;&gt;LEN(TRIM($O3&amp;""))),AND($R3&lt;&gt;"",LEN($R3&amp;"")&lt;&gt;LEN(TRIM($R3&amp;""))),AND($S3&lt;&gt;"",LEN($S3&amp;"")&lt;&gt;LEN(TRIM($S3&amp;""))),AND($T3&lt;&gt;"",LEN($T3&amp;"")&lt;&gt;LEN(TRIM($T3&amp;"")))),"Remove leading or trailing spaces from text fields; ","")&amp;IF(OR(AND(LEN($C3)&gt;1,OR(EXACT($C3,UPPER($C3)),EXACT($C3,LOWER($C3)))),AND(LEN($D3)&gt;1,OR(EXACT($D3,UPPER($D3)),EXACT($D3,LOWER($D3)))),AND(LEN($H3)&gt;1,OR(EXACT($H3,UPPER($H3)),EXACT($H3,LOWER($H3))))),"Review capitalization in First Name, Last Name, or City; ","")&amp;IF(AND($N3&lt;&gt;"",NOT(EXACT($N3,LOWER($N3)))),"Email will be standardized to lowercase in the clean output; ","")&amp;IF(AND(OR('START HERE'!$C$8="Initial Enrollment",'START HERE'!$C$8="Open Enrollment"),$R3="Terminated"),"A terminated row is included in an initial or open enrollment file; confirm this is intentional; ",""))</f>
        <v/>
      </c>
      <c r="AE3">
        <f>IF(COUNTA($A3:$U3)=0,"",IF(OR($A3="",AND($A3&lt;&gt;"",NOT(IFERROR(AND(LEN($A3&amp;"")=9,ISNUMBER(--($A3&amp;""))),FALSE))),AND($A3&lt;&gt;"",OR($A3="123456789",$A3="987654321",$A3="012345678",$A3=REPT(LEFT($A3&amp;"",1),9)))),"Employee SSN, ","")&amp;IF(OR(AND($O3&lt;&gt;"",$B3=""),AND($B3&lt;&gt;"",OR(NOT(IFERROR(AND(LEN($B3&amp;"")=9,ISNUMBER(--($B3&amp;""))),FALSE)),$B3=$A3,$B3="123456789",$B3="987654321",$B3="012345678",$B3=REPT(LEFT($B3&amp;"",1),9)))),"Dependent SSN, ","")&amp;IF(OR($C3="",LEN($C3)&gt;19,AND($C3&lt;&gt;"",SUMPRODUCT(--(ROW($1:$19)&lt;=LEN($C3&amp;"")),--ISERROR(FIND(MID($C3&amp;"",ROW($1:$19),1),"ABCDEFGHIJKLMNOPQRSTUVWXYZabcdefghijklmnopqrstuvwxyz .,")))&gt;0)),"First Name, ","")&amp;IF(OR($D3="",LEN($D3)&gt;26,AND($D3&lt;&gt;"",SUMPRODUCT(--(ROW($1:$26)&lt;=LEN($D3&amp;"")),--ISERROR(FIND(MID($D3&amp;"",ROW($1:$26),1),"ABCDEFGHIJKLMNOPQRSTUVWXYZabcdefghijklmnopqrstuvwxyz .,")))&gt;0)),"Last Name, ","")&amp;IF(OR(LEN($E3)&gt;1,AND($E3&lt;&gt;"",SUMPRODUCT(--(ROW($1:$1)&lt;=LEN($E3&amp;"")),--ISERROR(FIND(MID($E3&amp;"",ROW($1:$1),1),"ABCDEFGHIJKLMNOPQRSTUVWXYZabcdefghijklmnopqrstuvwxyz .,")))&gt;0)),"Middle Initial, ","")&amp;IF(OR($F3="",LEN($F3)&gt;75),"Address, ","")&amp;IF(OR($H3="",LEN($H3)&gt;30),"City, ","")&amp;IF(AND($K3="US",OR($I3="",LEN($I3)&lt;&gt;2)),"State, ","")&amp;IF($J3="","ZIP, ","")&amp;IF(OR($K3="",AND($K3&lt;&gt;"US",$K3&lt;&gt;"CA")),"Country, ","")&amp;IF(OR($L3="",AND($L3&lt;&gt;"",OR(NOT(ISNUMBER($L3)),$L3&lt;=DATE(1900,1,1),$L3&gt;TODAY()))),"Birthdate, ","")&amp;IF(AND($N3&lt;&gt;"",NOT(IFERROR(AND(ISNUMBER(SEARCH("@",$N3)),ISNUMBER(SEARCH(".",$N3,SEARCH("@",$N3)+2))),FALSE))),"Email, ","")&amp;IF(OR(AND($B3&lt;&gt;"",$O3=""),AND($O3&lt;&gt;"",$O3&lt;&gt;"Spouse or Common Law Spouse",$O3&lt;&gt;"Domestic Partner",$O3&lt;&gt;"Child",$O3&lt;&gt;"Other",$O3&lt;&gt;"Estate",$O3&lt;&gt;"Unknown")),"Dependent Relationship, ","")&amp;IF($AA3&lt;&gt;"","Household, ","")&amp;IF(OR($P3="",AND($P3&lt;&gt;"",OR(NOT(ISNUMBER($P3)),$P3&lt;=DATE(1900,1,1)))),"Eligibility Date, ","")&amp;IF(OR(AND($R3="Terminated",$Q3=""),AND($Q3&lt;&gt;"",OR(NOT(ISNUMBER($Q3)),$Q3&lt;=DATE(1900,1,1))),AND(ISNUMBER($P3),ISNUMBER($Q3),$Q3&lt;$P3)),"Termination Date, ","")&amp;IF(OR($R3="",AND($R3&lt;&gt;"Active",$R3&lt;&gt;"Terminated"),AND('START HERE'!$C$8="Terminations Only",$R3&lt;&gt;"Terminated")),"Status, ","")&amp;IF($S3="","Plan Name, ","")&amp;IF($T3="","Coverage Level, ","")&amp;IF(AND($U3&lt;&gt;"",OR(NOT(ISNUMBER($U3)),$U3&lt;0)),"Funding, ","")&amp;IF(AND($A3&lt;&gt;"",$S3&lt;&gt;"",COUNTIFS($A$2:$A$501,$A3,$B$2:$B$501,$B3,$S$2:$S$501,$S3)&gt;1),"Duplicate Row, ",""))</f>
        <v/>
      </c>
      <c r="AF3">
        <f>IF(COUNTA($A3:$U3)=0,"",$Y3&amp;$Z3&amp;$AA3&amp;$AB3&amp;$AC3)</f>
        <v/>
      </c>
      <c r="AG3">
        <f>IF($N3="","",LOWER(TRIM($N3)))</f>
        <v/>
      </c>
      <c r="AH3">
        <f>IF($A3="","",COUNTIFS($A$2:$A$501,$A3,$AI$2:$AI$501,1))</f>
        <v/>
      </c>
      <c r="AI3">
        <f>IF(COUNTA($A3:$U3)=0,"",--($AF3&lt;&gt;""))</f>
        <v/>
      </c>
      <c r="AJ3">
        <f>IF(COUNTA($A3:$U3)=0,"",--($AD3&lt;&gt;""))</f>
        <v/>
      </c>
    </row>
    <row r="4" ht="20" customHeight="1">
      <c r="A4" s="80" t="n"/>
      <c r="B4" s="80" t="n"/>
      <c r="C4" s="81" t="n"/>
      <c r="D4" s="81" t="n"/>
      <c r="E4" s="80" t="n"/>
      <c r="F4" s="81" t="n"/>
      <c r="G4" s="81" t="n"/>
      <c r="H4" s="81" t="n"/>
      <c r="I4" s="80" t="n"/>
      <c r="J4" s="80" t="n"/>
      <c r="K4" s="80" t="n"/>
      <c r="L4" s="82" t="n"/>
      <c r="M4" s="80" t="n"/>
      <c r="N4" s="80" t="n"/>
      <c r="O4" s="80" t="n"/>
      <c r="P4" s="82" t="n"/>
      <c r="Q4" s="82" t="n"/>
      <c r="R4" s="80" t="n"/>
      <c r="S4" s="80" t="n"/>
      <c r="T4" s="80" t="n"/>
      <c r="U4" s="83" t="n"/>
      <c r="V4">
        <f>IF($A4="","",IF($A4=$A3,$V3,IF($V3="",0,1-$V3)))</f>
        <v/>
      </c>
      <c r="W4">
        <f>IF($B4&lt;&gt;"",$B4,$A4)</f>
        <v/>
      </c>
      <c r="X4">
        <f>IF(COUNTA($A4:$U4)=0,"",IF(OR($B4&lt;&gt;"",$O4&lt;&gt;""),"Dependent","Employee"))</f>
        <v/>
      </c>
      <c r="Y4">
        <f>IF(COUNTA($A4:$U4)=0,"",IF($A4="","Employee SSN is required; ","")&amp;IF($C4="","First Name is required; ","")&amp;IF(LEN($C4&amp;"")&gt;19,"First Name exceeds 19 characters; ","")&amp;IF(AND($C4&lt;&gt;"",SUMPRODUCT(--(ROW($1:$19)&lt;=LEN($C4&amp;"")),--ISERROR(FIND(MID($C4&amp;"",ROW($1:$19),1),"ABCDEFGHIJKLMNOPQRSTUVWXYZabcdefghijklmnopqrstuvwxyz .,")))&gt;0),"First Name contains unsupported or encoded characters; use plain A-Z letters only; ","")&amp;IF($D4="","Last Name is required; ","")&amp;IF(LEN($D4&amp;"")&gt;26,"Last Name exceeds 26 characters; ","")&amp;IF(AND($D4&lt;&gt;"",SUMPRODUCT(--(ROW($1:$26)&lt;=LEN($D4&amp;"")),--ISERROR(FIND(MID($D4&amp;"",ROW($1:$26),1),"ABCDEFGHIJKLMNOPQRSTUVWXYZabcdefghijklmnopqrstuvwxyz .,")))&gt;0),"Last Name contains unsupported or encoded characters; use plain A-Z letters only; ","")&amp;IF(LEN($E4&amp;"")&gt;1,"Middle Initial may contain only one character; ","")&amp;IF(AND($E4&lt;&gt;"",SUMPRODUCT(--(ROW($1:$1)&lt;=LEN($E4&amp;"")),--ISERROR(FIND(MID($E4&amp;"",ROW($1:$1),1),"ABCDEFGHIJKLMNOPQRSTUVWXYZabcdefghijklmnopqrstuvwxyz .,")))&gt;0),"Middle Initial must be a plain A-Z letter; ","")&amp;IF($F4="","Address is required; ","")&amp;IF(LEN($F4&amp;"")&gt;75,"Address exceeds 75 characters; ","")&amp;IF(LEN($G4&amp;"")&gt;75,"Address 2 exceeds 75 characters; ","")&amp;IF($H4="","City is required; ","")&amp;IF(LEN($H4&amp;"")&gt;30,"City exceeds 30 characters; ","")&amp;IF($K4="","Country is required; ","")&amp;IF(AND($K4&lt;&gt;"",$K4&lt;&gt;"US",$K4&lt;&gt;"CA"),"Country must be US or CA; ","")&amp;IF(AND($K4="US",OR($I4="",LEN($I4&amp;"")&lt;&gt;2)),"Use a 2-letter state code; ","")&amp;IF($J4="","ZIP or postal code is required; ","")&amp;IF(AND($K4="US",$J4&lt;&gt;"",NOT(IFERROR(OR(AND(LEN($J4&amp;"")=5,ISNUMBER(--($J4&amp;""))),AND(LEN($J4&amp;"")=9,ISNUMBER(--($J4&amp;""))),AND(LEN($J4&amp;"")=10,MID($J4&amp;"",6,1)="-",ISNUMBER(--SUBSTITUTE($J4&amp;"","-","")))),FALSE))),"US ZIP must be 5 or 9 digits, with an optional ZIP+4 hyphen; ","")&amp;IF(AND($N4&lt;&gt;"",NOT(IFERROR(AND(ISNUMBER(SEARCH("@",$N4)),ISNUMBER(SEARCH(".",$N4,SEARCH("@",$N4)+2))),FALSE))),"Email format appears invalid; ","")&amp;IF(AND($O4&lt;&gt;"",$B4=""),"Dependent SSN is required for every dependent; ","")&amp;IF(AND($B4&lt;&gt;"",$O4=""),"Dependent Relationship is required when Dependent SSN is entered; ","")&amp;IF(AND($O4&lt;&gt;"",$O4&lt;&gt;"Spouse or Common Law Spouse",$O4&lt;&gt;"Domestic Partner",$O4&lt;&gt;"Child",$O4&lt;&gt;"Other",$O4&lt;&gt;"Estate",$O4&lt;&gt;"Unknown"),"Dependent Relationship must use one of the approved options; ",""))</f>
        <v/>
      </c>
      <c r="Z4">
        <f>IF(COUNTA($A4:$U4)=0,"",IF(AND($A4&lt;&gt;"",NOT(IFERROR(AND(LEN($A4&amp;"")=9,ISNUMBER(--($A4&amp;""))),FALSE))),"Employee SSN must contain exactly 9 digits; ","")&amp;IF(AND($A4&lt;&gt;"",OR($A4="123456789",$A4="987654321",$A4="012345678",$A4=REPT(LEFT($A4&amp;"",1),9))),"Employee SSN appears to be a placeholder; ","")&amp;IF(AND($B4&lt;&gt;"",NOT(IFERROR(AND(LEN($B4&amp;"")=9,ISNUMBER(--($B4&amp;""))),FALSE))),"Dependent SSN must contain exactly 9 digits; ","")&amp;IF(AND($B4&lt;&gt;"",OR($B4="123456789",$B4="987654321",$B4="012345678",$B4=REPT(LEFT($B4&amp;"",1),9))),"Dependent SSN appears to be a placeholder; ","")&amp;IF(AND($A4&lt;&gt;"",$B4&lt;&gt;"",$A4&amp;""=$B4&amp;""),"Dependent SSN cannot match Employee SSN; ","")&amp;IF(AND($W4&lt;&gt;"",OR(COUNTIFS($W$2:$W$501,$W4,$C$2:$C$501,"&lt;&gt;"&amp;$C4)&gt;0,COUNTIFS($W$2:$W$501,$W4,$D$2:$D$501,"&lt;&gt;"&amp;$D4)&gt;0,COUNTIFS($W$2:$W$501,$W4,$L$2:$L$501,"&lt;&gt;"&amp;$L4)&gt;0)),"The same SSN is associated with a different name or birthdate; ",""))</f>
        <v/>
      </c>
      <c r="AA4">
        <f>IF(COUNTA($A4:$U4)=0,"",IF(AND($A4&lt;&gt;"",$S4&lt;&gt;"",COUNTIFS($A$2:$A$501,$A4,$S$2:$S$501,$S4,$B$2:$B$501,"",$O$2:$O$501,"")=0),"Add an employee row for this household and plan; ","")&amp;IF(AND($X4="Dependent",COUNTIFS($A$2:$A4,$A4,$S$2:$S4,$S4,$B$2:$B4,"",$O$2:$O4,"")=0),"Place the employee row before dependent rows for this plan; ","")&amp;IF(AND($X4="Dependent",COUNTIFS($A$2:$A$501,$A4,$S$2:$S$501,$S4,$B$2:$B$501,"",$O$2:$O$501,"")&gt;0,IFERROR(OR($P4&lt;&gt;LOOKUP(2,1/(($A$2:$A$501=$A4)*($S$2:$S$501=$S4)*($B$2:$B$501="")*($O$2:$O$501="")),$P$2:$P$501),$Q4&lt;&gt;LOOKUP(2,1/(($A$2:$A$501=$A4)*($S$2:$S$501=$S4)*($B$2:$B$501="")*($O$2:$O$501="")),$Q$2:$Q$501),$R4&lt;&gt;LOOKUP(2,1/(($A$2:$A$501=$A4)*($S$2:$S$501=$S4)*($B$2:$B$501="")*($O$2:$O$501="")),$R$2:$R$501),$T4&lt;&gt;LOOKUP(2,1/(($A$2:$A$501=$A4)*($S$2:$S$501=$S4)*($B$2:$B$501="")*($O$2:$O$501="")),$T$2:$T$501),$U4&lt;&gt;LOOKUP(2,1/(($A$2:$A$501=$A4)*($S$2:$S$501=$S4)*($B$2:$B$501="")*($O$2:$O$501="")),$U$2:$U$501)),FALSE)),"Dependent row does not match the employee row for eligibility, status, coverage level, or funding; ",""))</f>
        <v/>
      </c>
      <c r="AB4">
        <f>IF(COUNTA($A4:$U4)=0,"",IF($L4="","Birthdate is required; ","")&amp;IF(AND($L4&lt;&gt;"",OR(NOT(ISNUMBER($L4)),$L4&lt;=DATE(1900,1,1),$L4&gt;TODAY())),"Birthdate must be an exact valid past date; ","")&amp;IF($P4="","Eligibility Date is required; ","")&amp;IF(AND($P4&lt;&gt;"",OR(NOT(ISNUMBER($P4)),$P4&lt;=DATE(1900,1,1))),"Eligibility Date must be a valid date; ","")&amp;IF(AND($R4="Terminated",$Q4=""),"Termination Date is required when Status is Terminated; ","")&amp;IF(AND($Q4&lt;&gt;"",OR(NOT(ISNUMBER($Q4)),$Q4&lt;=DATE(1900,1,1))),"Termination Date must be a valid date; ","")&amp;IF(AND(ISNUMBER($P4),ISNUMBER($Q4),$Q4&lt;$P4),"Termination Date cannot be before Eligibility Date; ","")&amp;IF($R4="","Status is required; ","")&amp;IF(AND($R4&lt;&gt;"",$R4&lt;&gt;"Active",$R4&lt;&gt;"Terminated"),"Status must be Active or Terminated; ","")&amp;IF(AND('START HERE'!$C$8="Terminations Only",$R4&lt;&gt;"Terminated"),"Terminations Only files must contain terminated records; ",""))</f>
        <v/>
      </c>
      <c r="AC4">
        <f>IF(COUNTA($A4:$U4)=0,"",IF($S4="","Plan Name is required; ","")&amp;IF($T4="","Benefit Coverage Level is required; ","")&amp;IF(AND($U4&lt;&gt;"",OR(NOT(ISNUMBER($U4)),$U4&lt;0)),"Plan Funding Amount must be a nonnegative number; ","")&amp;IF(AND($A4&lt;&gt;"",$S4&lt;&gt;"",COUNTIFS($A$2:$A$501,$A4,$B$2:$B$501,$B4,$S$2:$S$501,$S4)&gt;1),"Duplicate participant and plan row; ",""))</f>
        <v/>
      </c>
      <c r="AD4">
        <f>IF(COUNTA($A4:$U4)=0,"",IF(AND($X4="Employee",$M4="",$N4=""),"No employee phone or email provided; ","")&amp;IF(AND($R4="Active",$Q4&lt;&gt;""),"Active record includes a Termination Date; confirm this is intentional; ","")&amp;IF(AND($B4&lt;&gt;"",$B4&amp;""&lt;&gt;$A4&amp;"",COUNTIF($A$2:$A$501,$B4)&gt;0),"Dependent SSN also appears as an Employee SSN elsewhere; confirm dual-employee coverage is intentional; ","")&amp;IF(AND($B4&lt;&gt;"",COUNTIF($B$2:$B$501,$B4)&gt;COUNTIFS($A$2:$A$501,$A4,$B$2:$B$501,$B4)),"Dependent SSN appears under more than one employee; confirm duplicate family coverage is intentional; ","")&amp;IF(AND(ROW()&gt;2,$A4&lt;&gt;"",$A4&lt;&gt;$A3,COUNTIF($A$2:$A3,$A4)&gt;0),"This household appears in more than one section of the census; keep the family together; ","")&amp;IF(OR(AND($C4&lt;&gt;"",LEN($C4&amp;"")&lt;&gt;LEN(TRIM($C4&amp;""))),AND($D4&lt;&gt;"",LEN($D4&amp;"")&lt;&gt;LEN(TRIM($D4&amp;""))),AND($E4&lt;&gt;"",LEN($E4&amp;"")&lt;&gt;LEN(TRIM($E4&amp;""))),AND($F4&lt;&gt;"",LEN($F4&amp;"")&lt;&gt;LEN(TRIM($F4&amp;""))),AND($G4&lt;&gt;"",LEN($G4&amp;"")&lt;&gt;LEN(TRIM($G4&amp;""))),AND($H4&lt;&gt;"",LEN($H4&amp;"")&lt;&gt;LEN(TRIM($H4&amp;""))),AND($I4&lt;&gt;"",LEN($I4&amp;"")&lt;&gt;LEN(TRIM($I4&amp;""))),AND($J4&lt;&gt;"",LEN($J4&amp;"")&lt;&gt;LEN(TRIM($J4&amp;""))),AND($K4&lt;&gt;"",LEN($K4&amp;"")&lt;&gt;LEN(TRIM($K4&amp;""))),AND($M4&lt;&gt;"",LEN($M4&amp;"")&lt;&gt;LEN(TRIM($M4&amp;""))),AND($N4&lt;&gt;"",LEN($N4&amp;"")&lt;&gt;LEN(TRIM($N4&amp;""))),AND($O4&lt;&gt;"",LEN($O4&amp;"")&lt;&gt;LEN(TRIM($O4&amp;""))),AND($R4&lt;&gt;"",LEN($R4&amp;"")&lt;&gt;LEN(TRIM($R4&amp;""))),AND($S4&lt;&gt;"",LEN($S4&amp;"")&lt;&gt;LEN(TRIM($S4&amp;""))),AND($T4&lt;&gt;"",LEN($T4&amp;"")&lt;&gt;LEN(TRIM($T4&amp;"")))),"Remove leading or trailing spaces from text fields; ","")&amp;IF(OR(AND(LEN($C4)&gt;1,OR(EXACT($C4,UPPER($C4)),EXACT($C4,LOWER($C4)))),AND(LEN($D4)&gt;1,OR(EXACT($D4,UPPER($D4)),EXACT($D4,LOWER($D4)))),AND(LEN($H4)&gt;1,OR(EXACT($H4,UPPER($H4)),EXACT($H4,LOWER($H4))))),"Review capitalization in First Name, Last Name, or City; ","")&amp;IF(AND($N4&lt;&gt;"",NOT(EXACT($N4,LOWER($N4)))),"Email will be standardized to lowercase in the clean output; ","")&amp;IF(AND(OR('START HERE'!$C$8="Initial Enrollment",'START HERE'!$C$8="Open Enrollment"),$R4="Terminated"),"A terminated row is included in an initial or open enrollment file; confirm this is intentional; ",""))</f>
        <v/>
      </c>
      <c r="AE4">
        <f>IF(COUNTA($A4:$U4)=0,"",IF(OR($A4="",AND($A4&lt;&gt;"",NOT(IFERROR(AND(LEN($A4&amp;"")=9,ISNUMBER(--($A4&amp;""))),FALSE))),AND($A4&lt;&gt;"",OR($A4="123456789",$A4="987654321",$A4="012345678",$A4=REPT(LEFT($A4&amp;"",1),9)))),"Employee SSN, ","")&amp;IF(OR(AND($O4&lt;&gt;"",$B4=""),AND($B4&lt;&gt;"",OR(NOT(IFERROR(AND(LEN($B4&amp;"")=9,ISNUMBER(--($B4&amp;""))),FALSE)),$B4=$A4,$B4="123456789",$B4="987654321",$B4="012345678",$B4=REPT(LEFT($B4&amp;"",1),9)))),"Dependent SSN, ","")&amp;IF(OR($C4="",LEN($C4)&gt;19,AND($C4&lt;&gt;"",SUMPRODUCT(--(ROW($1:$19)&lt;=LEN($C4&amp;"")),--ISERROR(FIND(MID($C4&amp;"",ROW($1:$19),1),"ABCDEFGHIJKLMNOPQRSTUVWXYZabcdefghijklmnopqrstuvwxyz .,")))&gt;0)),"First Name, ","")&amp;IF(OR($D4="",LEN($D4)&gt;26,AND($D4&lt;&gt;"",SUMPRODUCT(--(ROW($1:$26)&lt;=LEN($D4&amp;"")),--ISERROR(FIND(MID($D4&amp;"",ROW($1:$26),1),"ABCDEFGHIJKLMNOPQRSTUVWXYZabcdefghijklmnopqrstuvwxyz .,")))&gt;0)),"Last Name, ","")&amp;IF(OR(LEN($E4)&gt;1,AND($E4&lt;&gt;"",SUMPRODUCT(--(ROW($1:$1)&lt;=LEN($E4&amp;"")),--ISERROR(FIND(MID($E4&amp;"",ROW($1:$1),1),"ABCDEFGHIJKLMNOPQRSTUVWXYZabcdefghijklmnopqrstuvwxyz .,")))&gt;0)),"Middle Initial, ","")&amp;IF(OR($F4="",LEN($F4)&gt;75),"Address, ","")&amp;IF(OR($H4="",LEN($H4)&gt;30),"City, ","")&amp;IF(AND($K4="US",OR($I4="",LEN($I4)&lt;&gt;2)),"State, ","")&amp;IF($J4="","ZIP, ","")&amp;IF(OR($K4="",AND($K4&lt;&gt;"US",$K4&lt;&gt;"CA")),"Country, ","")&amp;IF(OR($L4="",AND($L4&lt;&gt;"",OR(NOT(ISNUMBER($L4)),$L4&lt;=DATE(1900,1,1),$L4&gt;TODAY()))),"Birthdate, ","")&amp;IF(AND($N4&lt;&gt;"",NOT(IFERROR(AND(ISNUMBER(SEARCH("@",$N4)),ISNUMBER(SEARCH(".",$N4,SEARCH("@",$N4)+2))),FALSE))),"Email, ","")&amp;IF(OR(AND($B4&lt;&gt;"",$O4=""),AND($O4&lt;&gt;"",$O4&lt;&gt;"Spouse or Common Law Spouse",$O4&lt;&gt;"Domestic Partner",$O4&lt;&gt;"Child",$O4&lt;&gt;"Other",$O4&lt;&gt;"Estate",$O4&lt;&gt;"Unknown")),"Dependent Relationship, ","")&amp;IF($AA4&lt;&gt;"","Household, ","")&amp;IF(OR($P4="",AND($P4&lt;&gt;"",OR(NOT(ISNUMBER($P4)),$P4&lt;=DATE(1900,1,1)))),"Eligibility Date, ","")&amp;IF(OR(AND($R4="Terminated",$Q4=""),AND($Q4&lt;&gt;"",OR(NOT(ISNUMBER($Q4)),$Q4&lt;=DATE(1900,1,1))),AND(ISNUMBER($P4),ISNUMBER($Q4),$Q4&lt;$P4)),"Termination Date, ","")&amp;IF(OR($R4="",AND($R4&lt;&gt;"Active",$R4&lt;&gt;"Terminated"),AND('START HERE'!$C$8="Terminations Only",$R4&lt;&gt;"Terminated")),"Status, ","")&amp;IF($S4="","Plan Name, ","")&amp;IF($T4="","Coverage Level, ","")&amp;IF(AND($U4&lt;&gt;"",OR(NOT(ISNUMBER($U4)),$U4&lt;0)),"Funding, ","")&amp;IF(AND($A4&lt;&gt;"",$S4&lt;&gt;"",COUNTIFS($A$2:$A$501,$A4,$B$2:$B$501,$B4,$S$2:$S$501,$S4)&gt;1),"Duplicate Row, ",""))</f>
        <v/>
      </c>
      <c r="AF4">
        <f>IF(COUNTA($A4:$U4)=0,"",$Y4&amp;$Z4&amp;$AA4&amp;$AB4&amp;$AC4)</f>
        <v/>
      </c>
      <c r="AG4">
        <f>IF($N4="","",LOWER(TRIM($N4)))</f>
        <v/>
      </c>
      <c r="AH4">
        <f>IF($A4="","",COUNTIFS($A$2:$A$501,$A4,$AI$2:$AI$501,1))</f>
        <v/>
      </c>
      <c r="AI4">
        <f>IF(COUNTA($A4:$U4)=0,"",--($AF4&lt;&gt;""))</f>
        <v/>
      </c>
      <c r="AJ4">
        <f>IF(COUNTA($A4:$U4)=0,"",--($AD4&lt;&gt;""))</f>
        <v/>
      </c>
    </row>
    <row r="5" ht="20" customHeight="1">
      <c r="A5" s="80" t="n"/>
      <c r="B5" s="80" t="n"/>
      <c r="C5" s="81" t="n"/>
      <c r="D5" s="81" t="n"/>
      <c r="E5" s="80" t="n"/>
      <c r="F5" s="81" t="n"/>
      <c r="G5" s="81" t="n"/>
      <c r="H5" s="81" t="n"/>
      <c r="I5" s="80" t="n"/>
      <c r="J5" s="80" t="n"/>
      <c r="K5" s="80" t="n"/>
      <c r="L5" s="82" t="n"/>
      <c r="M5" s="80" t="n"/>
      <c r="N5" s="80" t="n"/>
      <c r="O5" s="80" t="n"/>
      <c r="P5" s="82" t="n"/>
      <c r="Q5" s="82" t="n"/>
      <c r="R5" s="80" t="n"/>
      <c r="S5" s="80" t="n"/>
      <c r="T5" s="80" t="n"/>
      <c r="U5" s="83" t="n"/>
      <c r="V5">
        <f>IF($A5="","",IF($A5=$A4,$V4,IF($V4="",0,1-$V4)))</f>
        <v/>
      </c>
      <c r="W5">
        <f>IF($B5&lt;&gt;"",$B5,$A5)</f>
        <v/>
      </c>
      <c r="X5">
        <f>IF(COUNTA($A5:$U5)=0,"",IF(OR($B5&lt;&gt;"",$O5&lt;&gt;""),"Dependent","Employee"))</f>
        <v/>
      </c>
      <c r="Y5">
        <f>IF(COUNTA($A5:$U5)=0,"",IF($A5="","Employee SSN is required; ","")&amp;IF($C5="","First Name is required; ","")&amp;IF(LEN($C5&amp;"")&gt;19,"First Name exceeds 19 characters; ","")&amp;IF(AND($C5&lt;&gt;"",SUMPRODUCT(--(ROW($1:$19)&lt;=LEN($C5&amp;"")),--ISERROR(FIND(MID($C5&amp;"",ROW($1:$19),1),"ABCDEFGHIJKLMNOPQRSTUVWXYZabcdefghijklmnopqrstuvwxyz .,")))&gt;0),"First Name contains unsupported or encoded characters; use plain A-Z letters only; ","")&amp;IF($D5="","Last Name is required; ","")&amp;IF(LEN($D5&amp;"")&gt;26,"Last Name exceeds 26 characters; ","")&amp;IF(AND($D5&lt;&gt;"",SUMPRODUCT(--(ROW($1:$26)&lt;=LEN($D5&amp;"")),--ISERROR(FIND(MID($D5&amp;"",ROW($1:$26),1),"ABCDEFGHIJKLMNOPQRSTUVWXYZabcdefghijklmnopqrstuvwxyz .,")))&gt;0),"Last Name contains unsupported or encoded characters; use plain A-Z letters only; ","")&amp;IF(LEN($E5&amp;"")&gt;1,"Middle Initial may contain only one character; ","")&amp;IF(AND($E5&lt;&gt;"",SUMPRODUCT(--(ROW($1:$1)&lt;=LEN($E5&amp;"")),--ISERROR(FIND(MID($E5&amp;"",ROW($1:$1),1),"ABCDEFGHIJKLMNOPQRSTUVWXYZabcdefghijklmnopqrstuvwxyz .,")))&gt;0),"Middle Initial must be a plain A-Z letter; ","")&amp;IF($F5="","Address is required; ","")&amp;IF(LEN($F5&amp;"")&gt;75,"Address exceeds 75 characters; ","")&amp;IF(LEN($G5&amp;"")&gt;75,"Address 2 exceeds 75 characters; ","")&amp;IF($H5="","City is required; ","")&amp;IF(LEN($H5&amp;"")&gt;30,"City exceeds 30 characters; ","")&amp;IF($K5="","Country is required; ","")&amp;IF(AND($K5&lt;&gt;"",$K5&lt;&gt;"US",$K5&lt;&gt;"CA"),"Country must be US or CA; ","")&amp;IF(AND($K5="US",OR($I5="",LEN($I5&amp;"")&lt;&gt;2)),"Use a 2-letter state code; ","")&amp;IF($J5="","ZIP or postal code is required; ","")&amp;IF(AND($K5="US",$J5&lt;&gt;"",NOT(IFERROR(OR(AND(LEN($J5&amp;"")=5,ISNUMBER(--($J5&amp;""))),AND(LEN($J5&amp;"")=9,ISNUMBER(--($J5&amp;""))),AND(LEN($J5&amp;"")=10,MID($J5&amp;"",6,1)="-",ISNUMBER(--SUBSTITUTE($J5&amp;"","-","")))),FALSE))),"US ZIP must be 5 or 9 digits, with an optional ZIP+4 hyphen; ","")&amp;IF(AND($N5&lt;&gt;"",NOT(IFERROR(AND(ISNUMBER(SEARCH("@",$N5)),ISNUMBER(SEARCH(".",$N5,SEARCH("@",$N5)+2))),FALSE))),"Email format appears invalid; ","")&amp;IF(AND($O5&lt;&gt;"",$B5=""),"Dependent SSN is required for every dependent; ","")&amp;IF(AND($B5&lt;&gt;"",$O5=""),"Dependent Relationship is required when Dependent SSN is entered; ","")&amp;IF(AND($O5&lt;&gt;"",$O5&lt;&gt;"Spouse or Common Law Spouse",$O5&lt;&gt;"Domestic Partner",$O5&lt;&gt;"Child",$O5&lt;&gt;"Other",$O5&lt;&gt;"Estate",$O5&lt;&gt;"Unknown"),"Dependent Relationship must use one of the approved options; ",""))</f>
        <v/>
      </c>
      <c r="Z5">
        <f>IF(COUNTA($A5:$U5)=0,"",IF(AND($A5&lt;&gt;"",NOT(IFERROR(AND(LEN($A5&amp;"")=9,ISNUMBER(--($A5&amp;""))),FALSE))),"Employee SSN must contain exactly 9 digits; ","")&amp;IF(AND($A5&lt;&gt;"",OR($A5="123456789",$A5="987654321",$A5="012345678",$A5=REPT(LEFT($A5&amp;"",1),9))),"Employee SSN appears to be a placeholder; ","")&amp;IF(AND($B5&lt;&gt;"",NOT(IFERROR(AND(LEN($B5&amp;"")=9,ISNUMBER(--($B5&amp;""))),FALSE))),"Dependent SSN must contain exactly 9 digits; ","")&amp;IF(AND($B5&lt;&gt;"",OR($B5="123456789",$B5="987654321",$B5="012345678",$B5=REPT(LEFT($B5&amp;"",1),9))),"Dependent SSN appears to be a placeholder; ","")&amp;IF(AND($A5&lt;&gt;"",$B5&lt;&gt;"",$A5&amp;""=$B5&amp;""),"Dependent SSN cannot match Employee SSN; ","")&amp;IF(AND($W5&lt;&gt;"",OR(COUNTIFS($W$2:$W$501,$W5,$C$2:$C$501,"&lt;&gt;"&amp;$C5)&gt;0,COUNTIFS($W$2:$W$501,$W5,$D$2:$D$501,"&lt;&gt;"&amp;$D5)&gt;0,COUNTIFS($W$2:$W$501,$W5,$L$2:$L$501,"&lt;&gt;"&amp;$L5)&gt;0)),"The same SSN is associated with a different name or birthdate; ",""))</f>
        <v/>
      </c>
      <c r="AA5">
        <f>IF(COUNTA($A5:$U5)=0,"",IF(AND($A5&lt;&gt;"",$S5&lt;&gt;"",COUNTIFS($A$2:$A$501,$A5,$S$2:$S$501,$S5,$B$2:$B$501,"",$O$2:$O$501,"")=0),"Add an employee row for this household and plan; ","")&amp;IF(AND($X5="Dependent",COUNTIFS($A$2:$A5,$A5,$S$2:$S5,$S5,$B$2:$B5,"",$O$2:$O5,"")=0),"Place the employee row before dependent rows for this plan; ","")&amp;IF(AND($X5="Dependent",COUNTIFS($A$2:$A$501,$A5,$S$2:$S$501,$S5,$B$2:$B$501,"",$O$2:$O$501,"")&gt;0,IFERROR(OR($P5&lt;&gt;LOOKUP(2,1/(($A$2:$A$501=$A5)*($S$2:$S$501=$S5)*($B$2:$B$501="")*($O$2:$O$501="")),$P$2:$P$501),$Q5&lt;&gt;LOOKUP(2,1/(($A$2:$A$501=$A5)*($S$2:$S$501=$S5)*($B$2:$B$501="")*($O$2:$O$501="")),$Q$2:$Q$501),$R5&lt;&gt;LOOKUP(2,1/(($A$2:$A$501=$A5)*($S$2:$S$501=$S5)*($B$2:$B$501="")*($O$2:$O$501="")),$R$2:$R$501),$T5&lt;&gt;LOOKUP(2,1/(($A$2:$A$501=$A5)*($S$2:$S$501=$S5)*($B$2:$B$501="")*($O$2:$O$501="")),$T$2:$T$501),$U5&lt;&gt;LOOKUP(2,1/(($A$2:$A$501=$A5)*($S$2:$S$501=$S5)*($B$2:$B$501="")*($O$2:$O$501="")),$U$2:$U$501)),FALSE)),"Dependent row does not match the employee row for eligibility, status, coverage level, or funding; ",""))</f>
        <v/>
      </c>
      <c r="AB5">
        <f>IF(COUNTA($A5:$U5)=0,"",IF($L5="","Birthdate is required; ","")&amp;IF(AND($L5&lt;&gt;"",OR(NOT(ISNUMBER($L5)),$L5&lt;=DATE(1900,1,1),$L5&gt;TODAY())),"Birthdate must be an exact valid past date; ","")&amp;IF($P5="","Eligibility Date is required; ","")&amp;IF(AND($P5&lt;&gt;"",OR(NOT(ISNUMBER($P5)),$P5&lt;=DATE(1900,1,1))),"Eligibility Date must be a valid date; ","")&amp;IF(AND($R5="Terminated",$Q5=""),"Termination Date is required when Status is Terminated; ","")&amp;IF(AND($Q5&lt;&gt;"",OR(NOT(ISNUMBER($Q5)),$Q5&lt;=DATE(1900,1,1))),"Termination Date must be a valid date; ","")&amp;IF(AND(ISNUMBER($P5),ISNUMBER($Q5),$Q5&lt;$P5),"Termination Date cannot be before Eligibility Date; ","")&amp;IF($R5="","Status is required; ","")&amp;IF(AND($R5&lt;&gt;"",$R5&lt;&gt;"Active",$R5&lt;&gt;"Terminated"),"Status must be Active or Terminated; ","")&amp;IF(AND('START HERE'!$C$8="Terminations Only",$R5&lt;&gt;"Terminated"),"Terminations Only files must contain terminated records; ",""))</f>
        <v/>
      </c>
      <c r="AC5">
        <f>IF(COUNTA($A5:$U5)=0,"",IF($S5="","Plan Name is required; ","")&amp;IF($T5="","Benefit Coverage Level is required; ","")&amp;IF(AND($U5&lt;&gt;"",OR(NOT(ISNUMBER($U5)),$U5&lt;0)),"Plan Funding Amount must be a nonnegative number; ","")&amp;IF(AND($A5&lt;&gt;"",$S5&lt;&gt;"",COUNTIFS($A$2:$A$501,$A5,$B$2:$B$501,$B5,$S$2:$S$501,$S5)&gt;1),"Duplicate participant and plan row; ",""))</f>
        <v/>
      </c>
      <c r="AD5">
        <f>IF(COUNTA($A5:$U5)=0,"",IF(AND($X5="Employee",$M5="",$N5=""),"No employee phone or email provided; ","")&amp;IF(AND($R5="Active",$Q5&lt;&gt;""),"Active record includes a Termination Date; confirm this is intentional; ","")&amp;IF(AND($B5&lt;&gt;"",$B5&amp;""&lt;&gt;$A5&amp;"",COUNTIF($A$2:$A$501,$B5)&gt;0),"Dependent SSN also appears as an Employee SSN elsewhere; confirm dual-employee coverage is intentional; ","")&amp;IF(AND($B5&lt;&gt;"",COUNTIF($B$2:$B$501,$B5)&gt;COUNTIFS($A$2:$A$501,$A5,$B$2:$B$501,$B5)),"Dependent SSN appears under more than one employee; confirm duplicate family coverage is intentional; ","")&amp;IF(AND(ROW()&gt;2,$A5&lt;&gt;"",$A5&lt;&gt;$A4,COUNTIF($A$2:$A4,$A5)&gt;0),"This household appears in more than one section of the census; keep the family together; ","")&amp;IF(OR(AND($C5&lt;&gt;"",LEN($C5&amp;"")&lt;&gt;LEN(TRIM($C5&amp;""))),AND($D5&lt;&gt;"",LEN($D5&amp;"")&lt;&gt;LEN(TRIM($D5&amp;""))),AND($E5&lt;&gt;"",LEN($E5&amp;"")&lt;&gt;LEN(TRIM($E5&amp;""))),AND($F5&lt;&gt;"",LEN($F5&amp;"")&lt;&gt;LEN(TRIM($F5&amp;""))),AND($G5&lt;&gt;"",LEN($G5&amp;"")&lt;&gt;LEN(TRIM($G5&amp;""))),AND($H5&lt;&gt;"",LEN($H5&amp;"")&lt;&gt;LEN(TRIM($H5&amp;""))),AND($I5&lt;&gt;"",LEN($I5&amp;"")&lt;&gt;LEN(TRIM($I5&amp;""))),AND($J5&lt;&gt;"",LEN($J5&amp;"")&lt;&gt;LEN(TRIM($J5&amp;""))),AND($K5&lt;&gt;"",LEN($K5&amp;"")&lt;&gt;LEN(TRIM($K5&amp;""))),AND($M5&lt;&gt;"",LEN($M5&amp;"")&lt;&gt;LEN(TRIM($M5&amp;""))),AND($N5&lt;&gt;"",LEN($N5&amp;"")&lt;&gt;LEN(TRIM($N5&amp;""))),AND($O5&lt;&gt;"",LEN($O5&amp;"")&lt;&gt;LEN(TRIM($O5&amp;""))),AND($R5&lt;&gt;"",LEN($R5&amp;"")&lt;&gt;LEN(TRIM($R5&amp;""))),AND($S5&lt;&gt;"",LEN($S5&amp;"")&lt;&gt;LEN(TRIM($S5&amp;""))),AND($T5&lt;&gt;"",LEN($T5&amp;"")&lt;&gt;LEN(TRIM($T5&amp;"")))),"Remove leading or trailing spaces from text fields; ","")&amp;IF(OR(AND(LEN($C5)&gt;1,OR(EXACT($C5,UPPER($C5)),EXACT($C5,LOWER($C5)))),AND(LEN($D5)&gt;1,OR(EXACT($D5,UPPER($D5)),EXACT($D5,LOWER($D5)))),AND(LEN($H5)&gt;1,OR(EXACT($H5,UPPER($H5)),EXACT($H5,LOWER($H5))))),"Review capitalization in First Name, Last Name, or City; ","")&amp;IF(AND($N5&lt;&gt;"",NOT(EXACT($N5,LOWER($N5)))),"Email will be standardized to lowercase in the clean output; ","")&amp;IF(AND(OR('START HERE'!$C$8="Initial Enrollment",'START HERE'!$C$8="Open Enrollment"),$R5="Terminated"),"A terminated row is included in an initial or open enrollment file; confirm this is intentional; ",""))</f>
        <v/>
      </c>
      <c r="AE5">
        <f>IF(COUNTA($A5:$U5)=0,"",IF(OR($A5="",AND($A5&lt;&gt;"",NOT(IFERROR(AND(LEN($A5&amp;"")=9,ISNUMBER(--($A5&amp;""))),FALSE))),AND($A5&lt;&gt;"",OR($A5="123456789",$A5="987654321",$A5="012345678",$A5=REPT(LEFT($A5&amp;"",1),9)))),"Employee SSN, ","")&amp;IF(OR(AND($O5&lt;&gt;"",$B5=""),AND($B5&lt;&gt;"",OR(NOT(IFERROR(AND(LEN($B5&amp;"")=9,ISNUMBER(--($B5&amp;""))),FALSE)),$B5=$A5,$B5="123456789",$B5="987654321",$B5="012345678",$B5=REPT(LEFT($B5&amp;"",1),9)))),"Dependent SSN, ","")&amp;IF(OR($C5="",LEN($C5)&gt;19,AND($C5&lt;&gt;"",SUMPRODUCT(--(ROW($1:$19)&lt;=LEN($C5&amp;"")),--ISERROR(FIND(MID($C5&amp;"",ROW($1:$19),1),"ABCDEFGHIJKLMNOPQRSTUVWXYZabcdefghijklmnopqrstuvwxyz .,")))&gt;0)),"First Name, ","")&amp;IF(OR($D5="",LEN($D5)&gt;26,AND($D5&lt;&gt;"",SUMPRODUCT(--(ROW($1:$26)&lt;=LEN($D5&amp;"")),--ISERROR(FIND(MID($D5&amp;"",ROW($1:$26),1),"ABCDEFGHIJKLMNOPQRSTUVWXYZabcdefghijklmnopqrstuvwxyz .,")))&gt;0)),"Last Name, ","")&amp;IF(OR(LEN($E5)&gt;1,AND($E5&lt;&gt;"",SUMPRODUCT(--(ROW($1:$1)&lt;=LEN($E5&amp;"")),--ISERROR(FIND(MID($E5&amp;"",ROW($1:$1),1),"ABCDEFGHIJKLMNOPQRSTUVWXYZabcdefghijklmnopqrstuvwxyz .,")))&gt;0)),"Middle Initial, ","")&amp;IF(OR($F5="",LEN($F5)&gt;75),"Address, ","")&amp;IF(OR($H5="",LEN($H5)&gt;30),"City, ","")&amp;IF(AND($K5="US",OR($I5="",LEN($I5)&lt;&gt;2)),"State, ","")&amp;IF($J5="","ZIP, ","")&amp;IF(OR($K5="",AND($K5&lt;&gt;"US",$K5&lt;&gt;"CA")),"Country, ","")&amp;IF(OR($L5="",AND($L5&lt;&gt;"",OR(NOT(ISNUMBER($L5)),$L5&lt;=DATE(1900,1,1),$L5&gt;TODAY()))),"Birthdate, ","")&amp;IF(AND($N5&lt;&gt;"",NOT(IFERROR(AND(ISNUMBER(SEARCH("@",$N5)),ISNUMBER(SEARCH(".",$N5,SEARCH("@",$N5)+2))),FALSE))),"Email, ","")&amp;IF(OR(AND($B5&lt;&gt;"",$O5=""),AND($O5&lt;&gt;"",$O5&lt;&gt;"Spouse or Common Law Spouse",$O5&lt;&gt;"Domestic Partner",$O5&lt;&gt;"Child",$O5&lt;&gt;"Other",$O5&lt;&gt;"Estate",$O5&lt;&gt;"Unknown")),"Dependent Relationship, ","")&amp;IF($AA5&lt;&gt;"","Household, ","")&amp;IF(OR($P5="",AND($P5&lt;&gt;"",OR(NOT(ISNUMBER($P5)),$P5&lt;=DATE(1900,1,1)))),"Eligibility Date, ","")&amp;IF(OR(AND($R5="Terminated",$Q5=""),AND($Q5&lt;&gt;"",OR(NOT(ISNUMBER($Q5)),$Q5&lt;=DATE(1900,1,1))),AND(ISNUMBER($P5),ISNUMBER($Q5),$Q5&lt;$P5)),"Termination Date, ","")&amp;IF(OR($R5="",AND($R5&lt;&gt;"Active",$R5&lt;&gt;"Terminated"),AND('START HERE'!$C$8="Terminations Only",$R5&lt;&gt;"Terminated")),"Status, ","")&amp;IF($S5="","Plan Name, ","")&amp;IF($T5="","Coverage Level, ","")&amp;IF(AND($U5&lt;&gt;"",OR(NOT(ISNUMBER($U5)),$U5&lt;0)),"Funding, ","")&amp;IF(AND($A5&lt;&gt;"",$S5&lt;&gt;"",COUNTIFS($A$2:$A$501,$A5,$B$2:$B$501,$B5,$S$2:$S$501,$S5)&gt;1),"Duplicate Row, ",""))</f>
        <v/>
      </c>
      <c r="AF5">
        <f>IF(COUNTA($A5:$U5)=0,"",$Y5&amp;$Z5&amp;$AA5&amp;$AB5&amp;$AC5)</f>
        <v/>
      </c>
      <c r="AG5">
        <f>IF($N5="","",LOWER(TRIM($N5)))</f>
        <v/>
      </c>
      <c r="AH5">
        <f>IF($A5="","",COUNTIFS($A$2:$A$501,$A5,$AI$2:$AI$501,1))</f>
        <v/>
      </c>
      <c r="AI5">
        <f>IF(COUNTA($A5:$U5)=0,"",--($AF5&lt;&gt;""))</f>
        <v/>
      </c>
      <c r="AJ5">
        <f>IF(COUNTA($A5:$U5)=0,"",--($AD5&lt;&gt;""))</f>
        <v/>
      </c>
    </row>
    <row r="6" ht="20" customHeight="1">
      <c r="A6" s="80" t="n"/>
      <c r="B6" s="80" t="n"/>
      <c r="C6" s="81" t="n"/>
      <c r="D6" s="81" t="n"/>
      <c r="E6" s="80" t="n"/>
      <c r="F6" s="81" t="n"/>
      <c r="G6" s="81" t="n"/>
      <c r="H6" s="81" t="n"/>
      <c r="I6" s="80" t="n"/>
      <c r="J6" s="80" t="n"/>
      <c r="K6" s="80" t="n"/>
      <c r="L6" s="82" t="n"/>
      <c r="M6" s="80" t="n"/>
      <c r="N6" s="80" t="n"/>
      <c r="O6" s="80" t="n"/>
      <c r="P6" s="82" t="n"/>
      <c r="Q6" s="82" t="n"/>
      <c r="R6" s="80" t="n"/>
      <c r="S6" s="80" t="n"/>
      <c r="T6" s="80" t="n"/>
      <c r="U6" s="83" t="n"/>
      <c r="V6">
        <f>IF($A6="","",IF($A6=$A5,$V5,IF($V5="",0,1-$V5)))</f>
        <v/>
      </c>
      <c r="W6">
        <f>IF($B6&lt;&gt;"",$B6,$A6)</f>
        <v/>
      </c>
      <c r="X6">
        <f>IF(COUNTA($A6:$U6)=0,"",IF(OR($B6&lt;&gt;"",$O6&lt;&gt;""),"Dependent","Employee"))</f>
        <v/>
      </c>
      <c r="Y6">
        <f>IF(COUNTA($A6:$U6)=0,"",IF($A6="","Employee SSN is required; ","")&amp;IF($C6="","First Name is required; ","")&amp;IF(LEN($C6&amp;"")&gt;19,"First Name exceeds 19 characters; ","")&amp;IF(AND($C6&lt;&gt;"",SUMPRODUCT(--(ROW($1:$19)&lt;=LEN($C6&amp;"")),--ISERROR(FIND(MID($C6&amp;"",ROW($1:$19),1),"ABCDEFGHIJKLMNOPQRSTUVWXYZabcdefghijklmnopqrstuvwxyz .,")))&gt;0),"First Name contains unsupported or encoded characters; use plain A-Z letters only; ","")&amp;IF($D6="","Last Name is required; ","")&amp;IF(LEN($D6&amp;"")&gt;26,"Last Name exceeds 26 characters; ","")&amp;IF(AND($D6&lt;&gt;"",SUMPRODUCT(--(ROW($1:$26)&lt;=LEN($D6&amp;"")),--ISERROR(FIND(MID($D6&amp;"",ROW($1:$26),1),"ABCDEFGHIJKLMNOPQRSTUVWXYZabcdefghijklmnopqrstuvwxyz .,")))&gt;0),"Last Name contains unsupported or encoded characters; use plain A-Z letters only; ","")&amp;IF(LEN($E6&amp;"")&gt;1,"Middle Initial may contain only one character; ","")&amp;IF(AND($E6&lt;&gt;"",SUMPRODUCT(--(ROW($1:$1)&lt;=LEN($E6&amp;"")),--ISERROR(FIND(MID($E6&amp;"",ROW($1:$1),1),"ABCDEFGHIJKLMNOPQRSTUVWXYZabcdefghijklmnopqrstuvwxyz .,")))&gt;0),"Middle Initial must be a plain A-Z letter; ","")&amp;IF($F6="","Address is required; ","")&amp;IF(LEN($F6&amp;"")&gt;75,"Address exceeds 75 characters; ","")&amp;IF(LEN($G6&amp;"")&gt;75,"Address 2 exceeds 75 characters; ","")&amp;IF($H6="","City is required; ","")&amp;IF(LEN($H6&amp;"")&gt;30,"City exceeds 30 characters; ","")&amp;IF($K6="","Country is required; ","")&amp;IF(AND($K6&lt;&gt;"",$K6&lt;&gt;"US",$K6&lt;&gt;"CA"),"Country must be US or CA; ","")&amp;IF(AND($K6="US",OR($I6="",LEN($I6&amp;"")&lt;&gt;2)),"Use a 2-letter state code; ","")&amp;IF($J6="","ZIP or postal code is required; ","")&amp;IF(AND($K6="US",$J6&lt;&gt;"",NOT(IFERROR(OR(AND(LEN($J6&amp;"")=5,ISNUMBER(--($J6&amp;""))),AND(LEN($J6&amp;"")=9,ISNUMBER(--($J6&amp;""))),AND(LEN($J6&amp;"")=10,MID($J6&amp;"",6,1)="-",ISNUMBER(--SUBSTITUTE($J6&amp;"","-","")))),FALSE))),"US ZIP must be 5 or 9 digits, with an optional ZIP+4 hyphen; ","")&amp;IF(AND($N6&lt;&gt;"",NOT(IFERROR(AND(ISNUMBER(SEARCH("@",$N6)),ISNUMBER(SEARCH(".",$N6,SEARCH("@",$N6)+2))),FALSE))),"Email format appears invalid; ","")&amp;IF(AND($O6&lt;&gt;"",$B6=""),"Dependent SSN is required for every dependent; ","")&amp;IF(AND($B6&lt;&gt;"",$O6=""),"Dependent Relationship is required when Dependent SSN is entered; ","")&amp;IF(AND($O6&lt;&gt;"",$O6&lt;&gt;"Spouse or Common Law Spouse",$O6&lt;&gt;"Domestic Partner",$O6&lt;&gt;"Child",$O6&lt;&gt;"Other",$O6&lt;&gt;"Estate",$O6&lt;&gt;"Unknown"),"Dependent Relationship must use one of the approved options; ",""))</f>
        <v/>
      </c>
      <c r="Z6">
        <f>IF(COUNTA($A6:$U6)=0,"",IF(AND($A6&lt;&gt;"",NOT(IFERROR(AND(LEN($A6&amp;"")=9,ISNUMBER(--($A6&amp;""))),FALSE))),"Employee SSN must contain exactly 9 digits; ","")&amp;IF(AND($A6&lt;&gt;"",OR($A6="123456789",$A6="987654321",$A6="012345678",$A6=REPT(LEFT($A6&amp;"",1),9))),"Employee SSN appears to be a placeholder; ","")&amp;IF(AND($B6&lt;&gt;"",NOT(IFERROR(AND(LEN($B6&amp;"")=9,ISNUMBER(--($B6&amp;""))),FALSE))),"Dependent SSN must contain exactly 9 digits; ","")&amp;IF(AND($B6&lt;&gt;"",OR($B6="123456789",$B6="987654321",$B6="012345678",$B6=REPT(LEFT($B6&amp;"",1),9))),"Dependent SSN appears to be a placeholder; ","")&amp;IF(AND($A6&lt;&gt;"",$B6&lt;&gt;"",$A6&amp;""=$B6&amp;""),"Dependent SSN cannot match Employee SSN; ","")&amp;IF(AND($W6&lt;&gt;"",OR(COUNTIFS($W$2:$W$501,$W6,$C$2:$C$501,"&lt;&gt;"&amp;$C6)&gt;0,COUNTIFS($W$2:$W$501,$W6,$D$2:$D$501,"&lt;&gt;"&amp;$D6)&gt;0,COUNTIFS($W$2:$W$501,$W6,$L$2:$L$501,"&lt;&gt;"&amp;$L6)&gt;0)),"The same SSN is associated with a different name or birthdate; ",""))</f>
        <v/>
      </c>
      <c r="AA6">
        <f>IF(COUNTA($A6:$U6)=0,"",IF(AND($A6&lt;&gt;"",$S6&lt;&gt;"",COUNTIFS($A$2:$A$501,$A6,$S$2:$S$501,$S6,$B$2:$B$501,"",$O$2:$O$501,"")=0),"Add an employee row for this household and plan; ","")&amp;IF(AND($X6="Dependent",COUNTIFS($A$2:$A6,$A6,$S$2:$S6,$S6,$B$2:$B6,"",$O$2:$O6,"")=0),"Place the employee row before dependent rows for this plan; ","")&amp;IF(AND($X6="Dependent",COUNTIFS($A$2:$A$501,$A6,$S$2:$S$501,$S6,$B$2:$B$501,"",$O$2:$O$501,"")&gt;0,IFERROR(OR($P6&lt;&gt;LOOKUP(2,1/(($A$2:$A$501=$A6)*($S$2:$S$501=$S6)*($B$2:$B$501="")*($O$2:$O$501="")),$P$2:$P$501),$Q6&lt;&gt;LOOKUP(2,1/(($A$2:$A$501=$A6)*($S$2:$S$501=$S6)*($B$2:$B$501="")*($O$2:$O$501="")),$Q$2:$Q$501),$R6&lt;&gt;LOOKUP(2,1/(($A$2:$A$501=$A6)*($S$2:$S$501=$S6)*($B$2:$B$501="")*($O$2:$O$501="")),$R$2:$R$501),$T6&lt;&gt;LOOKUP(2,1/(($A$2:$A$501=$A6)*($S$2:$S$501=$S6)*($B$2:$B$501="")*($O$2:$O$501="")),$T$2:$T$501),$U6&lt;&gt;LOOKUP(2,1/(($A$2:$A$501=$A6)*($S$2:$S$501=$S6)*($B$2:$B$501="")*($O$2:$O$501="")),$U$2:$U$501)),FALSE)),"Dependent row does not match the employee row for eligibility, status, coverage level, or funding; ",""))</f>
        <v/>
      </c>
      <c r="AB6">
        <f>IF(COUNTA($A6:$U6)=0,"",IF($L6="","Birthdate is required; ","")&amp;IF(AND($L6&lt;&gt;"",OR(NOT(ISNUMBER($L6)),$L6&lt;=DATE(1900,1,1),$L6&gt;TODAY())),"Birthdate must be an exact valid past date; ","")&amp;IF($P6="","Eligibility Date is required; ","")&amp;IF(AND($P6&lt;&gt;"",OR(NOT(ISNUMBER($P6)),$P6&lt;=DATE(1900,1,1))),"Eligibility Date must be a valid date; ","")&amp;IF(AND($R6="Terminated",$Q6=""),"Termination Date is required when Status is Terminated; ","")&amp;IF(AND($Q6&lt;&gt;"",OR(NOT(ISNUMBER($Q6)),$Q6&lt;=DATE(1900,1,1))),"Termination Date must be a valid date; ","")&amp;IF(AND(ISNUMBER($P6),ISNUMBER($Q6),$Q6&lt;$P6),"Termination Date cannot be before Eligibility Date; ","")&amp;IF($R6="","Status is required; ","")&amp;IF(AND($R6&lt;&gt;"",$R6&lt;&gt;"Active",$R6&lt;&gt;"Terminated"),"Status must be Active or Terminated; ","")&amp;IF(AND('START HERE'!$C$8="Terminations Only",$R6&lt;&gt;"Terminated"),"Terminations Only files must contain terminated records; ",""))</f>
        <v/>
      </c>
      <c r="AC6">
        <f>IF(COUNTA($A6:$U6)=0,"",IF($S6="","Plan Name is required; ","")&amp;IF($T6="","Benefit Coverage Level is required; ","")&amp;IF(AND($U6&lt;&gt;"",OR(NOT(ISNUMBER($U6)),$U6&lt;0)),"Plan Funding Amount must be a nonnegative number; ","")&amp;IF(AND($A6&lt;&gt;"",$S6&lt;&gt;"",COUNTIFS($A$2:$A$501,$A6,$B$2:$B$501,$B6,$S$2:$S$501,$S6)&gt;1),"Duplicate participant and plan row; ",""))</f>
        <v/>
      </c>
      <c r="AD6">
        <f>IF(COUNTA($A6:$U6)=0,"",IF(AND($X6="Employee",$M6="",$N6=""),"No employee phone or email provided; ","")&amp;IF(AND($R6="Active",$Q6&lt;&gt;""),"Active record includes a Termination Date; confirm this is intentional; ","")&amp;IF(AND($B6&lt;&gt;"",$B6&amp;""&lt;&gt;$A6&amp;"",COUNTIF($A$2:$A$501,$B6)&gt;0),"Dependent SSN also appears as an Employee SSN elsewhere; confirm dual-employee coverage is intentional; ","")&amp;IF(AND($B6&lt;&gt;"",COUNTIF($B$2:$B$501,$B6)&gt;COUNTIFS($A$2:$A$501,$A6,$B$2:$B$501,$B6)),"Dependent SSN appears under more than one employee; confirm duplicate family coverage is intentional; ","")&amp;IF(AND(ROW()&gt;2,$A6&lt;&gt;"",$A6&lt;&gt;$A5,COUNTIF($A$2:$A5,$A6)&gt;0),"This household appears in more than one section of the census; keep the family together; ","")&amp;IF(OR(AND($C6&lt;&gt;"",LEN($C6&amp;"")&lt;&gt;LEN(TRIM($C6&amp;""))),AND($D6&lt;&gt;"",LEN($D6&amp;"")&lt;&gt;LEN(TRIM($D6&amp;""))),AND($E6&lt;&gt;"",LEN($E6&amp;"")&lt;&gt;LEN(TRIM($E6&amp;""))),AND($F6&lt;&gt;"",LEN($F6&amp;"")&lt;&gt;LEN(TRIM($F6&amp;""))),AND($G6&lt;&gt;"",LEN($G6&amp;"")&lt;&gt;LEN(TRIM($G6&amp;""))),AND($H6&lt;&gt;"",LEN($H6&amp;"")&lt;&gt;LEN(TRIM($H6&amp;""))),AND($I6&lt;&gt;"",LEN($I6&amp;"")&lt;&gt;LEN(TRIM($I6&amp;""))),AND($J6&lt;&gt;"",LEN($J6&amp;"")&lt;&gt;LEN(TRIM($J6&amp;""))),AND($K6&lt;&gt;"",LEN($K6&amp;"")&lt;&gt;LEN(TRIM($K6&amp;""))),AND($M6&lt;&gt;"",LEN($M6&amp;"")&lt;&gt;LEN(TRIM($M6&amp;""))),AND($N6&lt;&gt;"",LEN($N6&amp;"")&lt;&gt;LEN(TRIM($N6&amp;""))),AND($O6&lt;&gt;"",LEN($O6&amp;"")&lt;&gt;LEN(TRIM($O6&amp;""))),AND($R6&lt;&gt;"",LEN($R6&amp;"")&lt;&gt;LEN(TRIM($R6&amp;""))),AND($S6&lt;&gt;"",LEN($S6&amp;"")&lt;&gt;LEN(TRIM($S6&amp;""))),AND($T6&lt;&gt;"",LEN($T6&amp;"")&lt;&gt;LEN(TRIM($T6&amp;"")))),"Remove leading or trailing spaces from text fields; ","")&amp;IF(OR(AND(LEN($C6)&gt;1,OR(EXACT($C6,UPPER($C6)),EXACT($C6,LOWER($C6)))),AND(LEN($D6)&gt;1,OR(EXACT($D6,UPPER($D6)),EXACT($D6,LOWER($D6)))),AND(LEN($H6)&gt;1,OR(EXACT($H6,UPPER($H6)),EXACT($H6,LOWER($H6))))),"Review capitalization in First Name, Last Name, or City; ","")&amp;IF(AND($N6&lt;&gt;"",NOT(EXACT($N6,LOWER($N6)))),"Email will be standardized to lowercase in the clean output; ","")&amp;IF(AND(OR('START HERE'!$C$8="Initial Enrollment",'START HERE'!$C$8="Open Enrollment"),$R6="Terminated"),"A terminated row is included in an initial or open enrollment file; confirm this is intentional; ",""))</f>
        <v/>
      </c>
      <c r="AE6">
        <f>IF(COUNTA($A6:$U6)=0,"",IF(OR($A6="",AND($A6&lt;&gt;"",NOT(IFERROR(AND(LEN($A6&amp;"")=9,ISNUMBER(--($A6&amp;""))),FALSE))),AND($A6&lt;&gt;"",OR($A6="123456789",$A6="987654321",$A6="012345678",$A6=REPT(LEFT($A6&amp;"",1),9)))),"Employee SSN, ","")&amp;IF(OR(AND($O6&lt;&gt;"",$B6=""),AND($B6&lt;&gt;"",OR(NOT(IFERROR(AND(LEN($B6&amp;"")=9,ISNUMBER(--($B6&amp;""))),FALSE)),$B6=$A6,$B6="123456789",$B6="987654321",$B6="012345678",$B6=REPT(LEFT($B6&amp;"",1),9)))),"Dependent SSN, ","")&amp;IF(OR($C6="",LEN($C6)&gt;19,AND($C6&lt;&gt;"",SUMPRODUCT(--(ROW($1:$19)&lt;=LEN($C6&amp;"")),--ISERROR(FIND(MID($C6&amp;"",ROW($1:$19),1),"ABCDEFGHIJKLMNOPQRSTUVWXYZabcdefghijklmnopqrstuvwxyz .,")))&gt;0)),"First Name, ","")&amp;IF(OR($D6="",LEN($D6)&gt;26,AND($D6&lt;&gt;"",SUMPRODUCT(--(ROW($1:$26)&lt;=LEN($D6&amp;"")),--ISERROR(FIND(MID($D6&amp;"",ROW($1:$26),1),"ABCDEFGHIJKLMNOPQRSTUVWXYZabcdefghijklmnopqrstuvwxyz .,")))&gt;0)),"Last Name, ","")&amp;IF(OR(LEN($E6)&gt;1,AND($E6&lt;&gt;"",SUMPRODUCT(--(ROW($1:$1)&lt;=LEN($E6&amp;"")),--ISERROR(FIND(MID($E6&amp;"",ROW($1:$1),1),"ABCDEFGHIJKLMNOPQRSTUVWXYZabcdefghijklmnopqrstuvwxyz .,")))&gt;0)),"Middle Initial, ","")&amp;IF(OR($F6="",LEN($F6)&gt;75),"Address, ","")&amp;IF(OR($H6="",LEN($H6)&gt;30),"City, ","")&amp;IF(AND($K6="US",OR($I6="",LEN($I6)&lt;&gt;2)),"State, ","")&amp;IF($J6="","ZIP, ","")&amp;IF(OR($K6="",AND($K6&lt;&gt;"US",$K6&lt;&gt;"CA")),"Country, ","")&amp;IF(OR($L6="",AND($L6&lt;&gt;"",OR(NOT(ISNUMBER($L6)),$L6&lt;=DATE(1900,1,1),$L6&gt;TODAY()))),"Birthdate, ","")&amp;IF(AND($N6&lt;&gt;"",NOT(IFERROR(AND(ISNUMBER(SEARCH("@",$N6)),ISNUMBER(SEARCH(".",$N6,SEARCH("@",$N6)+2))),FALSE))),"Email, ","")&amp;IF(OR(AND($B6&lt;&gt;"",$O6=""),AND($O6&lt;&gt;"",$O6&lt;&gt;"Spouse or Common Law Spouse",$O6&lt;&gt;"Domestic Partner",$O6&lt;&gt;"Child",$O6&lt;&gt;"Other",$O6&lt;&gt;"Estate",$O6&lt;&gt;"Unknown")),"Dependent Relationship, ","")&amp;IF($AA6&lt;&gt;"","Household, ","")&amp;IF(OR($P6="",AND($P6&lt;&gt;"",OR(NOT(ISNUMBER($P6)),$P6&lt;=DATE(1900,1,1)))),"Eligibility Date, ","")&amp;IF(OR(AND($R6="Terminated",$Q6=""),AND($Q6&lt;&gt;"",OR(NOT(ISNUMBER($Q6)),$Q6&lt;=DATE(1900,1,1))),AND(ISNUMBER($P6),ISNUMBER($Q6),$Q6&lt;$P6)),"Termination Date, ","")&amp;IF(OR($R6="",AND($R6&lt;&gt;"Active",$R6&lt;&gt;"Terminated"),AND('START HERE'!$C$8="Terminations Only",$R6&lt;&gt;"Terminated")),"Status, ","")&amp;IF($S6="","Plan Name, ","")&amp;IF($T6="","Coverage Level, ","")&amp;IF(AND($U6&lt;&gt;"",OR(NOT(ISNUMBER($U6)),$U6&lt;0)),"Funding, ","")&amp;IF(AND($A6&lt;&gt;"",$S6&lt;&gt;"",COUNTIFS($A$2:$A$501,$A6,$B$2:$B$501,$B6,$S$2:$S$501,$S6)&gt;1),"Duplicate Row, ",""))</f>
        <v/>
      </c>
      <c r="AF6">
        <f>IF(COUNTA($A6:$U6)=0,"",$Y6&amp;$Z6&amp;$AA6&amp;$AB6&amp;$AC6)</f>
        <v/>
      </c>
      <c r="AG6">
        <f>IF($N6="","",LOWER(TRIM($N6)))</f>
        <v/>
      </c>
      <c r="AH6">
        <f>IF($A6="","",COUNTIFS($A$2:$A$501,$A6,$AI$2:$AI$501,1))</f>
        <v/>
      </c>
      <c r="AI6">
        <f>IF(COUNTA($A6:$U6)=0,"",--($AF6&lt;&gt;""))</f>
        <v/>
      </c>
      <c r="AJ6">
        <f>IF(COUNTA($A6:$U6)=0,"",--($AD6&lt;&gt;""))</f>
        <v/>
      </c>
    </row>
    <row r="7" ht="20" customHeight="1">
      <c r="A7" s="80" t="n"/>
      <c r="B7" s="80" t="n"/>
      <c r="C7" s="81" t="n"/>
      <c r="D7" s="81" t="n"/>
      <c r="E7" s="80" t="n"/>
      <c r="F7" s="81" t="n"/>
      <c r="G7" s="81" t="n"/>
      <c r="H7" s="81" t="n"/>
      <c r="I7" s="80" t="n"/>
      <c r="J7" s="80" t="n"/>
      <c r="K7" s="80" t="n"/>
      <c r="L7" s="82" t="n"/>
      <c r="M7" s="80" t="n"/>
      <c r="N7" s="80" t="n"/>
      <c r="O7" s="80" t="n"/>
      <c r="P7" s="82" t="n"/>
      <c r="Q7" s="82" t="n"/>
      <c r="R7" s="80" t="n"/>
      <c r="S7" s="80" t="n"/>
      <c r="T7" s="80" t="n"/>
      <c r="U7" s="83" t="n"/>
      <c r="V7">
        <f>IF($A7="","",IF($A7=$A6,$V6,IF($V6="",0,1-$V6)))</f>
        <v/>
      </c>
      <c r="W7">
        <f>IF($B7&lt;&gt;"",$B7,$A7)</f>
        <v/>
      </c>
      <c r="X7">
        <f>IF(COUNTA($A7:$U7)=0,"",IF(OR($B7&lt;&gt;"",$O7&lt;&gt;""),"Dependent","Employee"))</f>
        <v/>
      </c>
      <c r="Y7">
        <f>IF(COUNTA($A7:$U7)=0,"",IF($A7="","Employee SSN is required; ","")&amp;IF($C7="","First Name is required; ","")&amp;IF(LEN($C7&amp;"")&gt;19,"First Name exceeds 19 characters; ","")&amp;IF(AND($C7&lt;&gt;"",SUMPRODUCT(--(ROW($1:$19)&lt;=LEN($C7&amp;"")),--ISERROR(FIND(MID($C7&amp;"",ROW($1:$19),1),"ABCDEFGHIJKLMNOPQRSTUVWXYZabcdefghijklmnopqrstuvwxyz .,")))&gt;0),"First Name contains unsupported or encoded characters; use plain A-Z letters only; ","")&amp;IF($D7="","Last Name is required; ","")&amp;IF(LEN($D7&amp;"")&gt;26,"Last Name exceeds 26 characters; ","")&amp;IF(AND($D7&lt;&gt;"",SUMPRODUCT(--(ROW($1:$26)&lt;=LEN($D7&amp;"")),--ISERROR(FIND(MID($D7&amp;"",ROW($1:$26),1),"ABCDEFGHIJKLMNOPQRSTUVWXYZabcdefghijklmnopqrstuvwxyz .,")))&gt;0),"Last Name contains unsupported or encoded characters; use plain A-Z letters only; ","")&amp;IF(LEN($E7&amp;"")&gt;1,"Middle Initial may contain only one character; ","")&amp;IF(AND($E7&lt;&gt;"",SUMPRODUCT(--(ROW($1:$1)&lt;=LEN($E7&amp;"")),--ISERROR(FIND(MID($E7&amp;"",ROW($1:$1),1),"ABCDEFGHIJKLMNOPQRSTUVWXYZabcdefghijklmnopqrstuvwxyz .,")))&gt;0),"Middle Initial must be a plain A-Z letter; ","")&amp;IF($F7="","Address is required; ","")&amp;IF(LEN($F7&amp;"")&gt;75,"Address exceeds 75 characters; ","")&amp;IF(LEN($G7&amp;"")&gt;75,"Address 2 exceeds 75 characters; ","")&amp;IF($H7="","City is required; ","")&amp;IF(LEN($H7&amp;"")&gt;30,"City exceeds 30 characters; ","")&amp;IF($K7="","Country is required; ","")&amp;IF(AND($K7&lt;&gt;"",$K7&lt;&gt;"US",$K7&lt;&gt;"CA"),"Country must be US or CA; ","")&amp;IF(AND($K7="US",OR($I7="",LEN($I7&amp;"")&lt;&gt;2)),"Use a 2-letter state code; ","")&amp;IF($J7="","ZIP or postal code is required; ","")&amp;IF(AND($K7="US",$J7&lt;&gt;"",NOT(IFERROR(OR(AND(LEN($J7&amp;"")=5,ISNUMBER(--($J7&amp;""))),AND(LEN($J7&amp;"")=9,ISNUMBER(--($J7&amp;""))),AND(LEN($J7&amp;"")=10,MID($J7&amp;"",6,1)="-",ISNUMBER(--SUBSTITUTE($J7&amp;"","-","")))),FALSE))),"US ZIP must be 5 or 9 digits, with an optional ZIP+4 hyphen; ","")&amp;IF(AND($N7&lt;&gt;"",NOT(IFERROR(AND(ISNUMBER(SEARCH("@",$N7)),ISNUMBER(SEARCH(".",$N7,SEARCH("@",$N7)+2))),FALSE))),"Email format appears invalid; ","")&amp;IF(AND($O7&lt;&gt;"",$B7=""),"Dependent SSN is required for every dependent; ","")&amp;IF(AND($B7&lt;&gt;"",$O7=""),"Dependent Relationship is required when Dependent SSN is entered; ","")&amp;IF(AND($O7&lt;&gt;"",$O7&lt;&gt;"Spouse or Common Law Spouse",$O7&lt;&gt;"Domestic Partner",$O7&lt;&gt;"Child",$O7&lt;&gt;"Other",$O7&lt;&gt;"Estate",$O7&lt;&gt;"Unknown"),"Dependent Relationship must use one of the approved options; ",""))</f>
        <v/>
      </c>
      <c r="Z7">
        <f>IF(COUNTA($A7:$U7)=0,"",IF(AND($A7&lt;&gt;"",NOT(IFERROR(AND(LEN($A7&amp;"")=9,ISNUMBER(--($A7&amp;""))),FALSE))),"Employee SSN must contain exactly 9 digits; ","")&amp;IF(AND($A7&lt;&gt;"",OR($A7="123456789",$A7="987654321",$A7="012345678",$A7=REPT(LEFT($A7&amp;"",1),9))),"Employee SSN appears to be a placeholder; ","")&amp;IF(AND($B7&lt;&gt;"",NOT(IFERROR(AND(LEN($B7&amp;"")=9,ISNUMBER(--($B7&amp;""))),FALSE))),"Dependent SSN must contain exactly 9 digits; ","")&amp;IF(AND($B7&lt;&gt;"",OR($B7="123456789",$B7="987654321",$B7="012345678",$B7=REPT(LEFT($B7&amp;"",1),9))),"Dependent SSN appears to be a placeholder; ","")&amp;IF(AND($A7&lt;&gt;"",$B7&lt;&gt;"",$A7&amp;""=$B7&amp;""),"Dependent SSN cannot match Employee SSN; ","")&amp;IF(AND($W7&lt;&gt;"",OR(COUNTIFS($W$2:$W$501,$W7,$C$2:$C$501,"&lt;&gt;"&amp;$C7)&gt;0,COUNTIFS($W$2:$W$501,$W7,$D$2:$D$501,"&lt;&gt;"&amp;$D7)&gt;0,COUNTIFS($W$2:$W$501,$W7,$L$2:$L$501,"&lt;&gt;"&amp;$L7)&gt;0)),"The same SSN is associated with a different name or birthdate; ",""))</f>
        <v/>
      </c>
      <c r="AA7">
        <f>IF(COUNTA($A7:$U7)=0,"",IF(AND($A7&lt;&gt;"",$S7&lt;&gt;"",COUNTIFS($A$2:$A$501,$A7,$S$2:$S$501,$S7,$B$2:$B$501,"",$O$2:$O$501,"")=0),"Add an employee row for this household and plan; ","")&amp;IF(AND($X7="Dependent",COUNTIFS($A$2:$A7,$A7,$S$2:$S7,$S7,$B$2:$B7,"",$O$2:$O7,"")=0),"Place the employee row before dependent rows for this plan; ","")&amp;IF(AND($X7="Dependent",COUNTIFS($A$2:$A$501,$A7,$S$2:$S$501,$S7,$B$2:$B$501,"",$O$2:$O$501,"")&gt;0,IFERROR(OR($P7&lt;&gt;LOOKUP(2,1/(($A$2:$A$501=$A7)*($S$2:$S$501=$S7)*($B$2:$B$501="")*($O$2:$O$501="")),$P$2:$P$501),$Q7&lt;&gt;LOOKUP(2,1/(($A$2:$A$501=$A7)*($S$2:$S$501=$S7)*($B$2:$B$501="")*($O$2:$O$501="")),$Q$2:$Q$501),$R7&lt;&gt;LOOKUP(2,1/(($A$2:$A$501=$A7)*($S$2:$S$501=$S7)*($B$2:$B$501="")*($O$2:$O$501="")),$R$2:$R$501),$T7&lt;&gt;LOOKUP(2,1/(($A$2:$A$501=$A7)*($S$2:$S$501=$S7)*($B$2:$B$501="")*($O$2:$O$501="")),$T$2:$T$501),$U7&lt;&gt;LOOKUP(2,1/(($A$2:$A$501=$A7)*($S$2:$S$501=$S7)*($B$2:$B$501="")*($O$2:$O$501="")),$U$2:$U$501)),FALSE)),"Dependent row does not match the employee row for eligibility, status, coverage level, or funding; ",""))</f>
        <v/>
      </c>
      <c r="AB7">
        <f>IF(COUNTA($A7:$U7)=0,"",IF($L7="","Birthdate is required; ","")&amp;IF(AND($L7&lt;&gt;"",OR(NOT(ISNUMBER($L7)),$L7&lt;=DATE(1900,1,1),$L7&gt;TODAY())),"Birthdate must be an exact valid past date; ","")&amp;IF($P7="","Eligibility Date is required; ","")&amp;IF(AND($P7&lt;&gt;"",OR(NOT(ISNUMBER($P7)),$P7&lt;=DATE(1900,1,1))),"Eligibility Date must be a valid date; ","")&amp;IF(AND($R7="Terminated",$Q7=""),"Termination Date is required when Status is Terminated; ","")&amp;IF(AND($Q7&lt;&gt;"",OR(NOT(ISNUMBER($Q7)),$Q7&lt;=DATE(1900,1,1))),"Termination Date must be a valid date; ","")&amp;IF(AND(ISNUMBER($P7),ISNUMBER($Q7),$Q7&lt;$P7),"Termination Date cannot be before Eligibility Date; ","")&amp;IF($R7="","Status is required; ","")&amp;IF(AND($R7&lt;&gt;"",$R7&lt;&gt;"Active",$R7&lt;&gt;"Terminated"),"Status must be Active or Terminated; ","")&amp;IF(AND('START HERE'!$C$8="Terminations Only",$R7&lt;&gt;"Terminated"),"Terminations Only files must contain terminated records; ",""))</f>
        <v/>
      </c>
      <c r="AC7">
        <f>IF(COUNTA($A7:$U7)=0,"",IF($S7="","Plan Name is required; ","")&amp;IF($T7="","Benefit Coverage Level is required; ","")&amp;IF(AND($U7&lt;&gt;"",OR(NOT(ISNUMBER($U7)),$U7&lt;0)),"Plan Funding Amount must be a nonnegative number; ","")&amp;IF(AND($A7&lt;&gt;"",$S7&lt;&gt;"",COUNTIFS($A$2:$A$501,$A7,$B$2:$B$501,$B7,$S$2:$S$501,$S7)&gt;1),"Duplicate participant and plan row; ",""))</f>
        <v/>
      </c>
      <c r="AD7">
        <f>IF(COUNTA($A7:$U7)=0,"",IF(AND($X7="Employee",$M7="",$N7=""),"No employee phone or email provided; ","")&amp;IF(AND($R7="Active",$Q7&lt;&gt;""),"Active record includes a Termination Date; confirm this is intentional; ","")&amp;IF(AND($B7&lt;&gt;"",$B7&amp;""&lt;&gt;$A7&amp;"",COUNTIF($A$2:$A$501,$B7)&gt;0),"Dependent SSN also appears as an Employee SSN elsewhere; confirm dual-employee coverage is intentional; ","")&amp;IF(AND($B7&lt;&gt;"",COUNTIF($B$2:$B$501,$B7)&gt;COUNTIFS($A$2:$A$501,$A7,$B$2:$B$501,$B7)),"Dependent SSN appears under more than one employee; confirm duplicate family coverage is intentional; ","")&amp;IF(AND(ROW()&gt;2,$A7&lt;&gt;"",$A7&lt;&gt;$A6,COUNTIF($A$2:$A6,$A7)&gt;0),"This household appears in more than one section of the census; keep the family together; ","")&amp;IF(OR(AND($C7&lt;&gt;"",LEN($C7&amp;"")&lt;&gt;LEN(TRIM($C7&amp;""))),AND($D7&lt;&gt;"",LEN($D7&amp;"")&lt;&gt;LEN(TRIM($D7&amp;""))),AND($E7&lt;&gt;"",LEN($E7&amp;"")&lt;&gt;LEN(TRIM($E7&amp;""))),AND($F7&lt;&gt;"",LEN($F7&amp;"")&lt;&gt;LEN(TRIM($F7&amp;""))),AND($G7&lt;&gt;"",LEN($G7&amp;"")&lt;&gt;LEN(TRIM($G7&amp;""))),AND($H7&lt;&gt;"",LEN($H7&amp;"")&lt;&gt;LEN(TRIM($H7&amp;""))),AND($I7&lt;&gt;"",LEN($I7&amp;"")&lt;&gt;LEN(TRIM($I7&amp;""))),AND($J7&lt;&gt;"",LEN($J7&amp;"")&lt;&gt;LEN(TRIM($J7&amp;""))),AND($K7&lt;&gt;"",LEN($K7&amp;"")&lt;&gt;LEN(TRIM($K7&amp;""))),AND($M7&lt;&gt;"",LEN($M7&amp;"")&lt;&gt;LEN(TRIM($M7&amp;""))),AND($N7&lt;&gt;"",LEN($N7&amp;"")&lt;&gt;LEN(TRIM($N7&amp;""))),AND($O7&lt;&gt;"",LEN($O7&amp;"")&lt;&gt;LEN(TRIM($O7&amp;""))),AND($R7&lt;&gt;"",LEN($R7&amp;"")&lt;&gt;LEN(TRIM($R7&amp;""))),AND($S7&lt;&gt;"",LEN($S7&amp;"")&lt;&gt;LEN(TRIM($S7&amp;""))),AND($T7&lt;&gt;"",LEN($T7&amp;"")&lt;&gt;LEN(TRIM($T7&amp;"")))),"Remove leading or trailing spaces from text fields; ","")&amp;IF(OR(AND(LEN($C7)&gt;1,OR(EXACT($C7,UPPER($C7)),EXACT($C7,LOWER($C7)))),AND(LEN($D7)&gt;1,OR(EXACT($D7,UPPER($D7)),EXACT($D7,LOWER($D7)))),AND(LEN($H7)&gt;1,OR(EXACT($H7,UPPER($H7)),EXACT($H7,LOWER($H7))))),"Review capitalization in First Name, Last Name, or City; ","")&amp;IF(AND($N7&lt;&gt;"",NOT(EXACT($N7,LOWER($N7)))),"Email will be standardized to lowercase in the clean output; ","")&amp;IF(AND(OR('START HERE'!$C$8="Initial Enrollment",'START HERE'!$C$8="Open Enrollment"),$R7="Terminated"),"A terminated row is included in an initial or open enrollment file; confirm this is intentional; ",""))</f>
        <v/>
      </c>
      <c r="AE7">
        <f>IF(COUNTA($A7:$U7)=0,"",IF(OR($A7="",AND($A7&lt;&gt;"",NOT(IFERROR(AND(LEN($A7&amp;"")=9,ISNUMBER(--($A7&amp;""))),FALSE))),AND($A7&lt;&gt;"",OR($A7="123456789",$A7="987654321",$A7="012345678",$A7=REPT(LEFT($A7&amp;"",1),9)))),"Employee SSN, ","")&amp;IF(OR(AND($O7&lt;&gt;"",$B7=""),AND($B7&lt;&gt;"",OR(NOT(IFERROR(AND(LEN($B7&amp;"")=9,ISNUMBER(--($B7&amp;""))),FALSE)),$B7=$A7,$B7="123456789",$B7="987654321",$B7="012345678",$B7=REPT(LEFT($B7&amp;"",1),9)))),"Dependent SSN, ","")&amp;IF(OR($C7="",LEN($C7)&gt;19,AND($C7&lt;&gt;"",SUMPRODUCT(--(ROW($1:$19)&lt;=LEN($C7&amp;"")),--ISERROR(FIND(MID($C7&amp;"",ROW($1:$19),1),"ABCDEFGHIJKLMNOPQRSTUVWXYZabcdefghijklmnopqrstuvwxyz .,")))&gt;0)),"First Name, ","")&amp;IF(OR($D7="",LEN($D7)&gt;26,AND($D7&lt;&gt;"",SUMPRODUCT(--(ROW($1:$26)&lt;=LEN($D7&amp;"")),--ISERROR(FIND(MID($D7&amp;"",ROW($1:$26),1),"ABCDEFGHIJKLMNOPQRSTUVWXYZabcdefghijklmnopqrstuvwxyz .,")))&gt;0)),"Last Name, ","")&amp;IF(OR(LEN($E7)&gt;1,AND($E7&lt;&gt;"",SUMPRODUCT(--(ROW($1:$1)&lt;=LEN($E7&amp;"")),--ISERROR(FIND(MID($E7&amp;"",ROW($1:$1),1),"ABCDEFGHIJKLMNOPQRSTUVWXYZabcdefghijklmnopqrstuvwxyz .,")))&gt;0)),"Middle Initial, ","")&amp;IF(OR($F7="",LEN($F7)&gt;75),"Address, ","")&amp;IF(OR($H7="",LEN($H7)&gt;30),"City, ","")&amp;IF(AND($K7="US",OR($I7="",LEN($I7)&lt;&gt;2)),"State, ","")&amp;IF($J7="","ZIP, ","")&amp;IF(OR($K7="",AND($K7&lt;&gt;"US",$K7&lt;&gt;"CA")),"Country, ","")&amp;IF(OR($L7="",AND($L7&lt;&gt;"",OR(NOT(ISNUMBER($L7)),$L7&lt;=DATE(1900,1,1),$L7&gt;TODAY()))),"Birthdate, ","")&amp;IF(AND($N7&lt;&gt;"",NOT(IFERROR(AND(ISNUMBER(SEARCH("@",$N7)),ISNUMBER(SEARCH(".",$N7,SEARCH("@",$N7)+2))),FALSE))),"Email, ","")&amp;IF(OR(AND($B7&lt;&gt;"",$O7=""),AND($O7&lt;&gt;"",$O7&lt;&gt;"Spouse or Common Law Spouse",$O7&lt;&gt;"Domestic Partner",$O7&lt;&gt;"Child",$O7&lt;&gt;"Other",$O7&lt;&gt;"Estate",$O7&lt;&gt;"Unknown")),"Dependent Relationship, ","")&amp;IF($AA7&lt;&gt;"","Household, ","")&amp;IF(OR($P7="",AND($P7&lt;&gt;"",OR(NOT(ISNUMBER($P7)),$P7&lt;=DATE(1900,1,1)))),"Eligibility Date, ","")&amp;IF(OR(AND($R7="Terminated",$Q7=""),AND($Q7&lt;&gt;"",OR(NOT(ISNUMBER($Q7)),$Q7&lt;=DATE(1900,1,1))),AND(ISNUMBER($P7),ISNUMBER($Q7),$Q7&lt;$P7)),"Termination Date, ","")&amp;IF(OR($R7="",AND($R7&lt;&gt;"Active",$R7&lt;&gt;"Terminated"),AND('START HERE'!$C$8="Terminations Only",$R7&lt;&gt;"Terminated")),"Status, ","")&amp;IF($S7="","Plan Name, ","")&amp;IF($T7="","Coverage Level, ","")&amp;IF(AND($U7&lt;&gt;"",OR(NOT(ISNUMBER($U7)),$U7&lt;0)),"Funding, ","")&amp;IF(AND($A7&lt;&gt;"",$S7&lt;&gt;"",COUNTIFS($A$2:$A$501,$A7,$B$2:$B$501,$B7,$S$2:$S$501,$S7)&gt;1),"Duplicate Row, ",""))</f>
        <v/>
      </c>
      <c r="AF7">
        <f>IF(COUNTA($A7:$U7)=0,"",$Y7&amp;$Z7&amp;$AA7&amp;$AB7&amp;$AC7)</f>
        <v/>
      </c>
      <c r="AG7">
        <f>IF($N7="","",LOWER(TRIM($N7)))</f>
        <v/>
      </c>
      <c r="AH7">
        <f>IF($A7="","",COUNTIFS($A$2:$A$501,$A7,$AI$2:$AI$501,1))</f>
        <v/>
      </c>
      <c r="AI7">
        <f>IF(COUNTA($A7:$U7)=0,"",--($AF7&lt;&gt;""))</f>
        <v/>
      </c>
      <c r="AJ7">
        <f>IF(COUNTA($A7:$U7)=0,"",--($AD7&lt;&gt;""))</f>
        <v/>
      </c>
    </row>
    <row r="8" ht="20" customHeight="1">
      <c r="A8" s="80" t="n"/>
      <c r="B8" s="80" t="n"/>
      <c r="C8" s="81" t="n"/>
      <c r="D8" s="81" t="n"/>
      <c r="E8" s="80" t="n"/>
      <c r="F8" s="81" t="n"/>
      <c r="G8" s="81" t="n"/>
      <c r="H8" s="81" t="n"/>
      <c r="I8" s="80" t="n"/>
      <c r="J8" s="80" t="n"/>
      <c r="K8" s="80" t="n"/>
      <c r="L8" s="82" t="n"/>
      <c r="M8" s="80" t="n"/>
      <c r="N8" s="80" t="n"/>
      <c r="O8" s="80" t="n"/>
      <c r="P8" s="82" t="n"/>
      <c r="Q8" s="82" t="n"/>
      <c r="R8" s="80" t="n"/>
      <c r="S8" s="80" t="n"/>
      <c r="T8" s="80" t="n"/>
      <c r="U8" s="83" t="n"/>
      <c r="V8">
        <f>IF($A8="","",IF($A8=$A7,$V7,IF($V7="",0,1-$V7)))</f>
        <v/>
      </c>
      <c r="W8">
        <f>IF($B8&lt;&gt;"",$B8,$A8)</f>
        <v/>
      </c>
      <c r="X8">
        <f>IF(COUNTA($A8:$U8)=0,"",IF(OR($B8&lt;&gt;"",$O8&lt;&gt;""),"Dependent","Employee"))</f>
        <v/>
      </c>
      <c r="Y8">
        <f>IF(COUNTA($A8:$U8)=0,"",IF($A8="","Employee SSN is required; ","")&amp;IF($C8="","First Name is required; ","")&amp;IF(LEN($C8&amp;"")&gt;19,"First Name exceeds 19 characters; ","")&amp;IF(AND($C8&lt;&gt;"",SUMPRODUCT(--(ROW($1:$19)&lt;=LEN($C8&amp;"")),--ISERROR(FIND(MID($C8&amp;"",ROW($1:$19),1),"ABCDEFGHIJKLMNOPQRSTUVWXYZabcdefghijklmnopqrstuvwxyz .,")))&gt;0),"First Name contains unsupported or encoded characters; use plain A-Z letters only; ","")&amp;IF($D8="","Last Name is required; ","")&amp;IF(LEN($D8&amp;"")&gt;26,"Last Name exceeds 26 characters; ","")&amp;IF(AND($D8&lt;&gt;"",SUMPRODUCT(--(ROW($1:$26)&lt;=LEN($D8&amp;"")),--ISERROR(FIND(MID($D8&amp;"",ROW($1:$26),1),"ABCDEFGHIJKLMNOPQRSTUVWXYZabcdefghijklmnopqrstuvwxyz .,")))&gt;0),"Last Name contains unsupported or encoded characters; use plain A-Z letters only; ","")&amp;IF(LEN($E8&amp;"")&gt;1,"Middle Initial may contain only one character; ","")&amp;IF(AND($E8&lt;&gt;"",SUMPRODUCT(--(ROW($1:$1)&lt;=LEN($E8&amp;"")),--ISERROR(FIND(MID($E8&amp;"",ROW($1:$1),1),"ABCDEFGHIJKLMNOPQRSTUVWXYZabcdefghijklmnopqrstuvwxyz .,")))&gt;0),"Middle Initial must be a plain A-Z letter; ","")&amp;IF($F8="","Address is required; ","")&amp;IF(LEN($F8&amp;"")&gt;75,"Address exceeds 75 characters; ","")&amp;IF(LEN($G8&amp;"")&gt;75,"Address 2 exceeds 75 characters; ","")&amp;IF($H8="","City is required; ","")&amp;IF(LEN($H8&amp;"")&gt;30,"City exceeds 30 characters; ","")&amp;IF($K8="","Country is required; ","")&amp;IF(AND($K8&lt;&gt;"",$K8&lt;&gt;"US",$K8&lt;&gt;"CA"),"Country must be US or CA; ","")&amp;IF(AND($K8="US",OR($I8="",LEN($I8&amp;"")&lt;&gt;2)),"Use a 2-letter state code; ","")&amp;IF($J8="","ZIP or postal code is required; ","")&amp;IF(AND($K8="US",$J8&lt;&gt;"",NOT(IFERROR(OR(AND(LEN($J8&amp;"")=5,ISNUMBER(--($J8&amp;""))),AND(LEN($J8&amp;"")=9,ISNUMBER(--($J8&amp;""))),AND(LEN($J8&amp;"")=10,MID($J8&amp;"",6,1)="-",ISNUMBER(--SUBSTITUTE($J8&amp;"","-","")))),FALSE))),"US ZIP must be 5 or 9 digits, with an optional ZIP+4 hyphen; ","")&amp;IF(AND($N8&lt;&gt;"",NOT(IFERROR(AND(ISNUMBER(SEARCH("@",$N8)),ISNUMBER(SEARCH(".",$N8,SEARCH("@",$N8)+2))),FALSE))),"Email format appears invalid; ","")&amp;IF(AND($O8&lt;&gt;"",$B8=""),"Dependent SSN is required for every dependent; ","")&amp;IF(AND($B8&lt;&gt;"",$O8=""),"Dependent Relationship is required when Dependent SSN is entered; ","")&amp;IF(AND($O8&lt;&gt;"",$O8&lt;&gt;"Spouse or Common Law Spouse",$O8&lt;&gt;"Domestic Partner",$O8&lt;&gt;"Child",$O8&lt;&gt;"Other",$O8&lt;&gt;"Estate",$O8&lt;&gt;"Unknown"),"Dependent Relationship must use one of the approved options; ",""))</f>
        <v/>
      </c>
      <c r="Z8">
        <f>IF(COUNTA($A8:$U8)=0,"",IF(AND($A8&lt;&gt;"",NOT(IFERROR(AND(LEN($A8&amp;"")=9,ISNUMBER(--($A8&amp;""))),FALSE))),"Employee SSN must contain exactly 9 digits; ","")&amp;IF(AND($A8&lt;&gt;"",OR($A8="123456789",$A8="987654321",$A8="012345678",$A8=REPT(LEFT($A8&amp;"",1),9))),"Employee SSN appears to be a placeholder; ","")&amp;IF(AND($B8&lt;&gt;"",NOT(IFERROR(AND(LEN($B8&amp;"")=9,ISNUMBER(--($B8&amp;""))),FALSE))),"Dependent SSN must contain exactly 9 digits; ","")&amp;IF(AND($B8&lt;&gt;"",OR($B8="123456789",$B8="987654321",$B8="012345678",$B8=REPT(LEFT($B8&amp;"",1),9))),"Dependent SSN appears to be a placeholder; ","")&amp;IF(AND($A8&lt;&gt;"",$B8&lt;&gt;"",$A8&amp;""=$B8&amp;""),"Dependent SSN cannot match Employee SSN; ","")&amp;IF(AND($W8&lt;&gt;"",OR(COUNTIFS($W$2:$W$501,$W8,$C$2:$C$501,"&lt;&gt;"&amp;$C8)&gt;0,COUNTIFS($W$2:$W$501,$W8,$D$2:$D$501,"&lt;&gt;"&amp;$D8)&gt;0,COUNTIFS($W$2:$W$501,$W8,$L$2:$L$501,"&lt;&gt;"&amp;$L8)&gt;0)),"The same SSN is associated with a different name or birthdate; ",""))</f>
        <v/>
      </c>
      <c r="AA8">
        <f>IF(COUNTA($A8:$U8)=0,"",IF(AND($A8&lt;&gt;"",$S8&lt;&gt;"",COUNTIFS($A$2:$A$501,$A8,$S$2:$S$501,$S8,$B$2:$B$501,"",$O$2:$O$501,"")=0),"Add an employee row for this household and plan; ","")&amp;IF(AND($X8="Dependent",COUNTIFS($A$2:$A8,$A8,$S$2:$S8,$S8,$B$2:$B8,"",$O$2:$O8,"")=0),"Place the employee row before dependent rows for this plan; ","")&amp;IF(AND($X8="Dependent",COUNTIFS($A$2:$A$501,$A8,$S$2:$S$501,$S8,$B$2:$B$501,"",$O$2:$O$501,"")&gt;0,IFERROR(OR($P8&lt;&gt;LOOKUP(2,1/(($A$2:$A$501=$A8)*($S$2:$S$501=$S8)*($B$2:$B$501="")*($O$2:$O$501="")),$P$2:$P$501),$Q8&lt;&gt;LOOKUP(2,1/(($A$2:$A$501=$A8)*($S$2:$S$501=$S8)*($B$2:$B$501="")*($O$2:$O$501="")),$Q$2:$Q$501),$R8&lt;&gt;LOOKUP(2,1/(($A$2:$A$501=$A8)*($S$2:$S$501=$S8)*($B$2:$B$501="")*($O$2:$O$501="")),$R$2:$R$501),$T8&lt;&gt;LOOKUP(2,1/(($A$2:$A$501=$A8)*($S$2:$S$501=$S8)*($B$2:$B$501="")*($O$2:$O$501="")),$T$2:$T$501),$U8&lt;&gt;LOOKUP(2,1/(($A$2:$A$501=$A8)*($S$2:$S$501=$S8)*($B$2:$B$501="")*($O$2:$O$501="")),$U$2:$U$501)),FALSE)),"Dependent row does not match the employee row for eligibility, status, coverage level, or funding; ",""))</f>
        <v/>
      </c>
      <c r="AB8">
        <f>IF(COUNTA($A8:$U8)=0,"",IF($L8="","Birthdate is required; ","")&amp;IF(AND($L8&lt;&gt;"",OR(NOT(ISNUMBER($L8)),$L8&lt;=DATE(1900,1,1),$L8&gt;TODAY())),"Birthdate must be an exact valid past date; ","")&amp;IF($P8="","Eligibility Date is required; ","")&amp;IF(AND($P8&lt;&gt;"",OR(NOT(ISNUMBER($P8)),$P8&lt;=DATE(1900,1,1))),"Eligibility Date must be a valid date; ","")&amp;IF(AND($R8="Terminated",$Q8=""),"Termination Date is required when Status is Terminated; ","")&amp;IF(AND($Q8&lt;&gt;"",OR(NOT(ISNUMBER($Q8)),$Q8&lt;=DATE(1900,1,1))),"Termination Date must be a valid date; ","")&amp;IF(AND(ISNUMBER($P8),ISNUMBER($Q8),$Q8&lt;$P8),"Termination Date cannot be before Eligibility Date; ","")&amp;IF($R8="","Status is required; ","")&amp;IF(AND($R8&lt;&gt;"",$R8&lt;&gt;"Active",$R8&lt;&gt;"Terminated"),"Status must be Active or Terminated; ","")&amp;IF(AND('START HERE'!$C$8="Terminations Only",$R8&lt;&gt;"Terminated"),"Terminations Only files must contain terminated records; ",""))</f>
        <v/>
      </c>
      <c r="AC8">
        <f>IF(COUNTA($A8:$U8)=0,"",IF($S8="","Plan Name is required; ","")&amp;IF($T8="","Benefit Coverage Level is required; ","")&amp;IF(AND($U8&lt;&gt;"",OR(NOT(ISNUMBER($U8)),$U8&lt;0)),"Plan Funding Amount must be a nonnegative number; ","")&amp;IF(AND($A8&lt;&gt;"",$S8&lt;&gt;"",COUNTIFS($A$2:$A$501,$A8,$B$2:$B$501,$B8,$S$2:$S$501,$S8)&gt;1),"Duplicate participant and plan row; ",""))</f>
        <v/>
      </c>
      <c r="AD8">
        <f>IF(COUNTA($A8:$U8)=0,"",IF(AND($X8="Employee",$M8="",$N8=""),"No employee phone or email provided; ","")&amp;IF(AND($R8="Active",$Q8&lt;&gt;""),"Active record includes a Termination Date; confirm this is intentional; ","")&amp;IF(AND($B8&lt;&gt;"",$B8&amp;""&lt;&gt;$A8&amp;"",COUNTIF($A$2:$A$501,$B8)&gt;0),"Dependent SSN also appears as an Employee SSN elsewhere; confirm dual-employee coverage is intentional; ","")&amp;IF(AND($B8&lt;&gt;"",COUNTIF($B$2:$B$501,$B8)&gt;COUNTIFS($A$2:$A$501,$A8,$B$2:$B$501,$B8)),"Dependent SSN appears under more than one employee; confirm duplicate family coverage is intentional; ","")&amp;IF(AND(ROW()&gt;2,$A8&lt;&gt;"",$A8&lt;&gt;$A7,COUNTIF($A$2:$A7,$A8)&gt;0),"This household appears in more than one section of the census; keep the family together; ","")&amp;IF(OR(AND($C8&lt;&gt;"",LEN($C8&amp;"")&lt;&gt;LEN(TRIM($C8&amp;""))),AND($D8&lt;&gt;"",LEN($D8&amp;"")&lt;&gt;LEN(TRIM($D8&amp;""))),AND($E8&lt;&gt;"",LEN($E8&amp;"")&lt;&gt;LEN(TRIM($E8&amp;""))),AND($F8&lt;&gt;"",LEN($F8&amp;"")&lt;&gt;LEN(TRIM($F8&amp;""))),AND($G8&lt;&gt;"",LEN($G8&amp;"")&lt;&gt;LEN(TRIM($G8&amp;""))),AND($H8&lt;&gt;"",LEN($H8&amp;"")&lt;&gt;LEN(TRIM($H8&amp;""))),AND($I8&lt;&gt;"",LEN($I8&amp;"")&lt;&gt;LEN(TRIM($I8&amp;""))),AND($J8&lt;&gt;"",LEN($J8&amp;"")&lt;&gt;LEN(TRIM($J8&amp;""))),AND($K8&lt;&gt;"",LEN($K8&amp;"")&lt;&gt;LEN(TRIM($K8&amp;""))),AND($M8&lt;&gt;"",LEN($M8&amp;"")&lt;&gt;LEN(TRIM($M8&amp;""))),AND($N8&lt;&gt;"",LEN($N8&amp;"")&lt;&gt;LEN(TRIM($N8&amp;""))),AND($O8&lt;&gt;"",LEN($O8&amp;"")&lt;&gt;LEN(TRIM($O8&amp;""))),AND($R8&lt;&gt;"",LEN($R8&amp;"")&lt;&gt;LEN(TRIM($R8&amp;""))),AND($S8&lt;&gt;"",LEN($S8&amp;"")&lt;&gt;LEN(TRIM($S8&amp;""))),AND($T8&lt;&gt;"",LEN($T8&amp;"")&lt;&gt;LEN(TRIM($T8&amp;"")))),"Remove leading or trailing spaces from text fields; ","")&amp;IF(OR(AND(LEN($C8)&gt;1,OR(EXACT($C8,UPPER($C8)),EXACT($C8,LOWER($C8)))),AND(LEN($D8)&gt;1,OR(EXACT($D8,UPPER($D8)),EXACT($D8,LOWER($D8)))),AND(LEN($H8)&gt;1,OR(EXACT($H8,UPPER($H8)),EXACT($H8,LOWER($H8))))),"Review capitalization in First Name, Last Name, or City; ","")&amp;IF(AND($N8&lt;&gt;"",NOT(EXACT($N8,LOWER($N8)))),"Email will be standardized to lowercase in the clean output; ","")&amp;IF(AND(OR('START HERE'!$C$8="Initial Enrollment",'START HERE'!$C$8="Open Enrollment"),$R8="Terminated"),"A terminated row is included in an initial or open enrollment file; confirm this is intentional; ",""))</f>
        <v/>
      </c>
      <c r="AE8">
        <f>IF(COUNTA($A8:$U8)=0,"",IF(OR($A8="",AND($A8&lt;&gt;"",NOT(IFERROR(AND(LEN($A8&amp;"")=9,ISNUMBER(--($A8&amp;""))),FALSE))),AND($A8&lt;&gt;"",OR($A8="123456789",$A8="987654321",$A8="012345678",$A8=REPT(LEFT($A8&amp;"",1),9)))),"Employee SSN, ","")&amp;IF(OR(AND($O8&lt;&gt;"",$B8=""),AND($B8&lt;&gt;"",OR(NOT(IFERROR(AND(LEN($B8&amp;"")=9,ISNUMBER(--($B8&amp;""))),FALSE)),$B8=$A8,$B8="123456789",$B8="987654321",$B8="012345678",$B8=REPT(LEFT($B8&amp;"",1),9)))),"Dependent SSN, ","")&amp;IF(OR($C8="",LEN($C8)&gt;19,AND($C8&lt;&gt;"",SUMPRODUCT(--(ROW($1:$19)&lt;=LEN($C8&amp;"")),--ISERROR(FIND(MID($C8&amp;"",ROW($1:$19),1),"ABCDEFGHIJKLMNOPQRSTUVWXYZabcdefghijklmnopqrstuvwxyz .,")))&gt;0)),"First Name, ","")&amp;IF(OR($D8="",LEN($D8)&gt;26,AND($D8&lt;&gt;"",SUMPRODUCT(--(ROW($1:$26)&lt;=LEN($D8&amp;"")),--ISERROR(FIND(MID($D8&amp;"",ROW($1:$26),1),"ABCDEFGHIJKLMNOPQRSTUVWXYZabcdefghijklmnopqrstuvwxyz .,")))&gt;0)),"Last Name, ","")&amp;IF(OR(LEN($E8)&gt;1,AND($E8&lt;&gt;"",SUMPRODUCT(--(ROW($1:$1)&lt;=LEN($E8&amp;"")),--ISERROR(FIND(MID($E8&amp;"",ROW($1:$1),1),"ABCDEFGHIJKLMNOPQRSTUVWXYZabcdefghijklmnopqrstuvwxyz .,")))&gt;0)),"Middle Initial, ","")&amp;IF(OR($F8="",LEN($F8)&gt;75),"Address, ","")&amp;IF(OR($H8="",LEN($H8)&gt;30),"City, ","")&amp;IF(AND($K8="US",OR($I8="",LEN($I8)&lt;&gt;2)),"State, ","")&amp;IF($J8="","ZIP, ","")&amp;IF(OR($K8="",AND($K8&lt;&gt;"US",$K8&lt;&gt;"CA")),"Country, ","")&amp;IF(OR($L8="",AND($L8&lt;&gt;"",OR(NOT(ISNUMBER($L8)),$L8&lt;=DATE(1900,1,1),$L8&gt;TODAY()))),"Birthdate, ","")&amp;IF(AND($N8&lt;&gt;"",NOT(IFERROR(AND(ISNUMBER(SEARCH("@",$N8)),ISNUMBER(SEARCH(".",$N8,SEARCH("@",$N8)+2))),FALSE))),"Email, ","")&amp;IF(OR(AND($B8&lt;&gt;"",$O8=""),AND($O8&lt;&gt;"",$O8&lt;&gt;"Spouse or Common Law Spouse",$O8&lt;&gt;"Domestic Partner",$O8&lt;&gt;"Child",$O8&lt;&gt;"Other",$O8&lt;&gt;"Estate",$O8&lt;&gt;"Unknown")),"Dependent Relationship, ","")&amp;IF($AA8&lt;&gt;"","Household, ","")&amp;IF(OR($P8="",AND($P8&lt;&gt;"",OR(NOT(ISNUMBER($P8)),$P8&lt;=DATE(1900,1,1)))),"Eligibility Date, ","")&amp;IF(OR(AND($R8="Terminated",$Q8=""),AND($Q8&lt;&gt;"",OR(NOT(ISNUMBER($Q8)),$Q8&lt;=DATE(1900,1,1))),AND(ISNUMBER($P8),ISNUMBER($Q8),$Q8&lt;$P8)),"Termination Date, ","")&amp;IF(OR($R8="",AND($R8&lt;&gt;"Active",$R8&lt;&gt;"Terminated"),AND('START HERE'!$C$8="Terminations Only",$R8&lt;&gt;"Terminated")),"Status, ","")&amp;IF($S8="","Plan Name, ","")&amp;IF($T8="","Coverage Level, ","")&amp;IF(AND($U8&lt;&gt;"",OR(NOT(ISNUMBER($U8)),$U8&lt;0)),"Funding, ","")&amp;IF(AND($A8&lt;&gt;"",$S8&lt;&gt;"",COUNTIFS($A$2:$A$501,$A8,$B$2:$B$501,$B8,$S$2:$S$501,$S8)&gt;1),"Duplicate Row, ",""))</f>
        <v/>
      </c>
      <c r="AF8">
        <f>IF(COUNTA($A8:$U8)=0,"",$Y8&amp;$Z8&amp;$AA8&amp;$AB8&amp;$AC8)</f>
        <v/>
      </c>
      <c r="AG8">
        <f>IF($N8="","",LOWER(TRIM($N8)))</f>
        <v/>
      </c>
      <c r="AH8">
        <f>IF($A8="","",COUNTIFS($A$2:$A$501,$A8,$AI$2:$AI$501,1))</f>
        <v/>
      </c>
      <c r="AI8">
        <f>IF(COUNTA($A8:$U8)=0,"",--($AF8&lt;&gt;""))</f>
        <v/>
      </c>
      <c r="AJ8">
        <f>IF(COUNTA($A8:$U8)=0,"",--($AD8&lt;&gt;""))</f>
        <v/>
      </c>
    </row>
    <row r="9" ht="20" customHeight="1">
      <c r="A9" s="80" t="n"/>
      <c r="B9" s="80" t="n"/>
      <c r="C9" s="81" t="n"/>
      <c r="D9" s="81" t="n"/>
      <c r="E9" s="80" t="n"/>
      <c r="F9" s="81" t="n"/>
      <c r="G9" s="81" t="n"/>
      <c r="H9" s="81" t="n"/>
      <c r="I9" s="80" t="n"/>
      <c r="J9" s="80" t="n"/>
      <c r="K9" s="80" t="n"/>
      <c r="L9" s="82" t="n"/>
      <c r="M9" s="80" t="n"/>
      <c r="N9" s="80" t="n"/>
      <c r="O9" s="80" t="n"/>
      <c r="P9" s="82" t="n"/>
      <c r="Q9" s="82" t="n"/>
      <c r="R9" s="80" t="n"/>
      <c r="S9" s="80" t="n"/>
      <c r="T9" s="80" t="n"/>
      <c r="U9" s="83" t="n"/>
      <c r="V9">
        <f>IF($A9="","",IF($A9=$A8,$V8,IF($V8="",0,1-$V8)))</f>
        <v/>
      </c>
      <c r="W9">
        <f>IF($B9&lt;&gt;"",$B9,$A9)</f>
        <v/>
      </c>
      <c r="X9">
        <f>IF(COUNTA($A9:$U9)=0,"",IF(OR($B9&lt;&gt;"",$O9&lt;&gt;""),"Dependent","Employee"))</f>
        <v/>
      </c>
      <c r="Y9">
        <f>IF(COUNTA($A9:$U9)=0,"",IF($A9="","Employee SSN is required; ","")&amp;IF($C9="","First Name is required; ","")&amp;IF(LEN($C9&amp;"")&gt;19,"First Name exceeds 19 characters; ","")&amp;IF(AND($C9&lt;&gt;"",SUMPRODUCT(--(ROW($1:$19)&lt;=LEN($C9&amp;"")),--ISERROR(FIND(MID($C9&amp;"",ROW($1:$19),1),"ABCDEFGHIJKLMNOPQRSTUVWXYZabcdefghijklmnopqrstuvwxyz .,")))&gt;0),"First Name contains unsupported or encoded characters; use plain A-Z letters only; ","")&amp;IF($D9="","Last Name is required; ","")&amp;IF(LEN($D9&amp;"")&gt;26,"Last Name exceeds 26 characters; ","")&amp;IF(AND($D9&lt;&gt;"",SUMPRODUCT(--(ROW($1:$26)&lt;=LEN($D9&amp;"")),--ISERROR(FIND(MID($D9&amp;"",ROW($1:$26),1),"ABCDEFGHIJKLMNOPQRSTUVWXYZabcdefghijklmnopqrstuvwxyz .,")))&gt;0),"Last Name contains unsupported or encoded characters; use plain A-Z letters only; ","")&amp;IF(LEN($E9&amp;"")&gt;1,"Middle Initial may contain only one character; ","")&amp;IF(AND($E9&lt;&gt;"",SUMPRODUCT(--(ROW($1:$1)&lt;=LEN($E9&amp;"")),--ISERROR(FIND(MID($E9&amp;"",ROW($1:$1),1),"ABCDEFGHIJKLMNOPQRSTUVWXYZabcdefghijklmnopqrstuvwxyz .,")))&gt;0),"Middle Initial must be a plain A-Z letter; ","")&amp;IF($F9="","Address is required; ","")&amp;IF(LEN($F9&amp;"")&gt;75,"Address exceeds 75 characters; ","")&amp;IF(LEN($G9&amp;"")&gt;75,"Address 2 exceeds 75 characters; ","")&amp;IF($H9="","City is required; ","")&amp;IF(LEN($H9&amp;"")&gt;30,"City exceeds 30 characters; ","")&amp;IF($K9="","Country is required; ","")&amp;IF(AND($K9&lt;&gt;"",$K9&lt;&gt;"US",$K9&lt;&gt;"CA"),"Country must be US or CA; ","")&amp;IF(AND($K9="US",OR($I9="",LEN($I9&amp;"")&lt;&gt;2)),"Use a 2-letter state code; ","")&amp;IF($J9="","ZIP or postal code is required; ","")&amp;IF(AND($K9="US",$J9&lt;&gt;"",NOT(IFERROR(OR(AND(LEN($J9&amp;"")=5,ISNUMBER(--($J9&amp;""))),AND(LEN($J9&amp;"")=9,ISNUMBER(--($J9&amp;""))),AND(LEN($J9&amp;"")=10,MID($J9&amp;"",6,1)="-",ISNUMBER(--SUBSTITUTE($J9&amp;"","-","")))),FALSE))),"US ZIP must be 5 or 9 digits, with an optional ZIP+4 hyphen; ","")&amp;IF(AND($N9&lt;&gt;"",NOT(IFERROR(AND(ISNUMBER(SEARCH("@",$N9)),ISNUMBER(SEARCH(".",$N9,SEARCH("@",$N9)+2))),FALSE))),"Email format appears invalid; ","")&amp;IF(AND($O9&lt;&gt;"",$B9=""),"Dependent SSN is required for every dependent; ","")&amp;IF(AND($B9&lt;&gt;"",$O9=""),"Dependent Relationship is required when Dependent SSN is entered; ","")&amp;IF(AND($O9&lt;&gt;"",$O9&lt;&gt;"Spouse or Common Law Spouse",$O9&lt;&gt;"Domestic Partner",$O9&lt;&gt;"Child",$O9&lt;&gt;"Other",$O9&lt;&gt;"Estate",$O9&lt;&gt;"Unknown"),"Dependent Relationship must use one of the approved options; ",""))</f>
        <v/>
      </c>
      <c r="Z9">
        <f>IF(COUNTA($A9:$U9)=0,"",IF(AND($A9&lt;&gt;"",NOT(IFERROR(AND(LEN($A9&amp;"")=9,ISNUMBER(--($A9&amp;""))),FALSE))),"Employee SSN must contain exactly 9 digits; ","")&amp;IF(AND($A9&lt;&gt;"",OR($A9="123456789",$A9="987654321",$A9="012345678",$A9=REPT(LEFT($A9&amp;"",1),9))),"Employee SSN appears to be a placeholder; ","")&amp;IF(AND($B9&lt;&gt;"",NOT(IFERROR(AND(LEN($B9&amp;"")=9,ISNUMBER(--($B9&amp;""))),FALSE))),"Dependent SSN must contain exactly 9 digits; ","")&amp;IF(AND($B9&lt;&gt;"",OR($B9="123456789",$B9="987654321",$B9="012345678",$B9=REPT(LEFT($B9&amp;"",1),9))),"Dependent SSN appears to be a placeholder; ","")&amp;IF(AND($A9&lt;&gt;"",$B9&lt;&gt;"",$A9&amp;""=$B9&amp;""),"Dependent SSN cannot match Employee SSN; ","")&amp;IF(AND($W9&lt;&gt;"",OR(COUNTIFS($W$2:$W$501,$W9,$C$2:$C$501,"&lt;&gt;"&amp;$C9)&gt;0,COUNTIFS($W$2:$W$501,$W9,$D$2:$D$501,"&lt;&gt;"&amp;$D9)&gt;0,COUNTIFS($W$2:$W$501,$W9,$L$2:$L$501,"&lt;&gt;"&amp;$L9)&gt;0)),"The same SSN is associated with a different name or birthdate; ",""))</f>
        <v/>
      </c>
      <c r="AA9">
        <f>IF(COUNTA($A9:$U9)=0,"",IF(AND($A9&lt;&gt;"",$S9&lt;&gt;"",COUNTIFS($A$2:$A$501,$A9,$S$2:$S$501,$S9,$B$2:$B$501,"",$O$2:$O$501,"")=0),"Add an employee row for this household and plan; ","")&amp;IF(AND($X9="Dependent",COUNTIFS($A$2:$A9,$A9,$S$2:$S9,$S9,$B$2:$B9,"",$O$2:$O9,"")=0),"Place the employee row before dependent rows for this plan; ","")&amp;IF(AND($X9="Dependent",COUNTIFS($A$2:$A$501,$A9,$S$2:$S$501,$S9,$B$2:$B$501,"",$O$2:$O$501,"")&gt;0,IFERROR(OR($P9&lt;&gt;LOOKUP(2,1/(($A$2:$A$501=$A9)*($S$2:$S$501=$S9)*($B$2:$B$501="")*($O$2:$O$501="")),$P$2:$P$501),$Q9&lt;&gt;LOOKUP(2,1/(($A$2:$A$501=$A9)*($S$2:$S$501=$S9)*($B$2:$B$501="")*($O$2:$O$501="")),$Q$2:$Q$501),$R9&lt;&gt;LOOKUP(2,1/(($A$2:$A$501=$A9)*($S$2:$S$501=$S9)*($B$2:$B$501="")*($O$2:$O$501="")),$R$2:$R$501),$T9&lt;&gt;LOOKUP(2,1/(($A$2:$A$501=$A9)*($S$2:$S$501=$S9)*($B$2:$B$501="")*($O$2:$O$501="")),$T$2:$T$501),$U9&lt;&gt;LOOKUP(2,1/(($A$2:$A$501=$A9)*($S$2:$S$501=$S9)*($B$2:$B$501="")*($O$2:$O$501="")),$U$2:$U$501)),FALSE)),"Dependent row does not match the employee row for eligibility, status, coverage level, or funding; ",""))</f>
        <v/>
      </c>
      <c r="AB9">
        <f>IF(COUNTA($A9:$U9)=0,"",IF($L9="","Birthdate is required; ","")&amp;IF(AND($L9&lt;&gt;"",OR(NOT(ISNUMBER($L9)),$L9&lt;=DATE(1900,1,1),$L9&gt;TODAY())),"Birthdate must be an exact valid past date; ","")&amp;IF($P9="","Eligibility Date is required; ","")&amp;IF(AND($P9&lt;&gt;"",OR(NOT(ISNUMBER($P9)),$P9&lt;=DATE(1900,1,1))),"Eligibility Date must be a valid date; ","")&amp;IF(AND($R9="Terminated",$Q9=""),"Termination Date is required when Status is Terminated; ","")&amp;IF(AND($Q9&lt;&gt;"",OR(NOT(ISNUMBER($Q9)),$Q9&lt;=DATE(1900,1,1))),"Termination Date must be a valid date; ","")&amp;IF(AND(ISNUMBER($P9),ISNUMBER($Q9),$Q9&lt;$P9),"Termination Date cannot be before Eligibility Date; ","")&amp;IF($R9="","Status is required; ","")&amp;IF(AND($R9&lt;&gt;"",$R9&lt;&gt;"Active",$R9&lt;&gt;"Terminated"),"Status must be Active or Terminated; ","")&amp;IF(AND('START HERE'!$C$8="Terminations Only",$R9&lt;&gt;"Terminated"),"Terminations Only files must contain terminated records; ",""))</f>
        <v/>
      </c>
      <c r="AC9">
        <f>IF(COUNTA($A9:$U9)=0,"",IF($S9="","Plan Name is required; ","")&amp;IF($T9="","Benefit Coverage Level is required; ","")&amp;IF(AND($U9&lt;&gt;"",OR(NOT(ISNUMBER($U9)),$U9&lt;0)),"Plan Funding Amount must be a nonnegative number; ","")&amp;IF(AND($A9&lt;&gt;"",$S9&lt;&gt;"",COUNTIFS($A$2:$A$501,$A9,$B$2:$B$501,$B9,$S$2:$S$501,$S9)&gt;1),"Duplicate participant and plan row; ",""))</f>
        <v/>
      </c>
      <c r="AD9">
        <f>IF(COUNTA($A9:$U9)=0,"",IF(AND($X9="Employee",$M9="",$N9=""),"No employee phone or email provided; ","")&amp;IF(AND($R9="Active",$Q9&lt;&gt;""),"Active record includes a Termination Date; confirm this is intentional; ","")&amp;IF(AND($B9&lt;&gt;"",$B9&amp;""&lt;&gt;$A9&amp;"",COUNTIF($A$2:$A$501,$B9)&gt;0),"Dependent SSN also appears as an Employee SSN elsewhere; confirm dual-employee coverage is intentional; ","")&amp;IF(AND($B9&lt;&gt;"",COUNTIF($B$2:$B$501,$B9)&gt;COUNTIFS($A$2:$A$501,$A9,$B$2:$B$501,$B9)),"Dependent SSN appears under more than one employee; confirm duplicate family coverage is intentional; ","")&amp;IF(AND(ROW()&gt;2,$A9&lt;&gt;"",$A9&lt;&gt;$A8,COUNTIF($A$2:$A8,$A9)&gt;0),"This household appears in more than one section of the census; keep the family together; ","")&amp;IF(OR(AND($C9&lt;&gt;"",LEN($C9&amp;"")&lt;&gt;LEN(TRIM($C9&amp;""))),AND($D9&lt;&gt;"",LEN($D9&amp;"")&lt;&gt;LEN(TRIM($D9&amp;""))),AND($E9&lt;&gt;"",LEN($E9&amp;"")&lt;&gt;LEN(TRIM($E9&amp;""))),AND($F9&lt;&gt;"",LEN($F9&amp;"")&lt;&gt;LEN(TRIM($F9&amp;""))),AND($G9&lt;&gt;"",LEN($G9&amp;"")&lt;&gt;LEN(TRIM($G9&amp;""))),AND($H9&lt;&gt;"",LEN($H9&amp;"")&lt;&gt;LEN(TRIM($H9&amp;""))),AND($I9&lt;&gt;"",LEN($I9&amp;"")&lt;&gt;LEN(TRIM($I9&amp;""))),AND($J9&lt;&gt;"",LEN($J9&amp;"")&lt;&gt;LEN(TRIM($J9&amp;""))),AND($K9&lt;&gt;"",LEN($K9&amp;"")&lt;&gt;LEN(TRIM($K9&amp;""))),AND($M9&lt;&gt;"",LEN($M9&amp;"")&lt;&gt;LEN(TRIM($M9&amp;""))),AND($N9&lt;&gt;"",LEN($N9&amp;"")&lt;&gt;LEN(TRIM($N9&amp;""))),AND($O9&lt;&gt;"",LEN($O9&amp;"")&lt;&gt;LEN(TRIM($O9&amp;""))),AND($R9&lt;&gt;"",LEN($R9&amp;"")&lt;&gt;LEN(TRIM($R9&amp;""))),AND($S9&lt;&gt;"",LEN($S9&amp;"")&lt;&gt;LEN(TRIM($S9&amp;""))),AND($T9&lt;&gt;"",LEN($T9&amp;"")&lt;&gt;LEN(TRIM($T9&amp;"")))),"Remove leading or trailing spaces from text fields; ","")&amp;IF(OR(AND(LEN($C9)&gt;1,OR(EXACT($C9,UPPER($C9)),EXACT($C9,LOWER($C9)))),AND(LEN($D9)&gt;1,OR(EXACT($D9,UPPER($D9)),EXACT($D9,LOWER($D9)))),AND(LEN($H9)&gt;1,OR(EXACT($H9,UPPER($H9)),EXACT($H9,LOWER($H9))))),"Review capitalization in First Name, Last Name, or City; ","")&amp;IF(AND($N9&lt;&gt;"",NOT(EXACT($N9,LOWER($N9)))),"Email will be standardized to lowercase in the clean output; ","")&amp;IF(AND(OR('START HERE'!$C$8="Initial Enrollment",'START HERE'!$C$8="Open Enrollment"),$R9="Terminated"),"A terminated row is included in an initial or open enrollment file; confirm this is intentional; ",""))</f>
        <v/>
      </c>
      <c r="AE9">
        <f>IF(COUNTA($A9:$U9)=0,"",IF(OR($A9="",AND($A9&lt;&gt;"",NOT(IFERROR(AND(LEN($A9&amp;"")=9,ISNUMBER(--($A9&amp;""))),FALSE))),AND($A9&lt;&gt;"",OR($A9="123456789",$A9="987654321",$A9="012345678",$A9=REPT(LEFT($A9&amp;"",1),9)))),"Employee SSN, ","")&amp;IF(OR(AND($O9&lt;&gt;"",$B9=""),AND($B9&lt;&gt;"",OR(NOT(IFERROR(AND(LEN($B9&amp;"")=9,ISNUMBER(--($B9&amp;""))),FALSE)),$B9=$A9,$B9="123456789",$B9="987654321",$B9="012345678",$B9=REPT(LEFT($B9&amp;"",1),9)))),"Dependent SSN, ","")&amp;IF(OR($C9="",LEN($C9)&gt;19,AND($C9&lt;&gt;"",SUMPRODUCT(--(ROW($1:$19)&lt;=LEN($C9&amp;"")),--ISERROR(FIND(MID($C9&amp;"",ROW($1:$19),1),"ABCDEFGHIJKLMNOPQRSTUVWXYZabcdefghijklmnopqrstuvwxyz .,")))&gt;0)),"First Name, ","")&amp;IF(OR($D9="",LEN($D9)&gt;26,AND($D9&lt;&gt;"",SUMPRODUCT(--(ROW($1:$26)&lt;=LEN($D9&amp;"")),--ISERROR(FIND(MID($D9&amp;"",ROW($1:$26),1),"ABCDEFGHIJKLMNOPQRSTUVWXYZabcdefghijklmnopqrstuvwxyz .,")))&gt;0)),"Last Name, ","")&amp;IF(OR(LEN($E9)&gt;1,AND($E9&lt;&gt;"",SUMPRODUCT(--(ROW($1:$1)&lt;=LEN($E9&amp;"")),--ISERROR(FIND(MID($E9&amp;"",ROW($1:$1),1),"ABCDEFGHIJKLMNOPQRSTUVWXYZabcdefghijklmnopqrstuvwxyz .,")))&gt;0)),"Middle Initial, ","")&amp;IF(OR($F9="",LEN($F9)&gt;75),"Address, ","")&amp;IF(OR($H9="",LEN($H9)&gt;30),"City, ","")&amp;IF(AND($K9="US",OR($I9="",LEN($I9)&lt;&gt;2)),"State, ","")&amp;IF($J9="","ZIP, ","")&amp;IF(OR($K9="",AND($K9&lt;&gt;"US",$K9&lt;&gt;"CA")),"Country, ","")&amp;IF(OR($L9="",AND($L9&lt;&gt;"",OR(NOT(ISNUMBER($L9)),$L9&lt;=DATE(1900,1,1),$L9&gt;TODAY()))),"Birthdate, ","")&amp;IF(AND($N9&lt;&gt;"",NOT(IFERROR(AND(ISNUMBER(SEARCH("@",$N9)),ISNUMBER(SEARCH(".",$N9,SEARCH("@",$N9)+2))),FALSE))),"Email, ","")&amp;IF(OR(AND($B9&lt;&gt;"",$O9=""),AND($O9&lt;&gt;"",$O9&lt;&gt;"Spouse or Common Law Spouse",$O9&lt;&gt;"Domestic Partner",$O9&lt;&gt;"Child",$O9&lt;&gt;"Other",$O9&lt;&gt;"Estate",$O9&lt;&gt;"Unknown")),"Dependent Relationship, ","")&amp;IF($AA9&lt;&gt;"","Household, ","")&amp;IF(OR($P9="",AND($P9&lt;&gt;"",OR(NOT(ISNUMBER($P9)),$P9&lt;=DATE(1900,1,1)))),"Eligibility Date, ","")&amp;IF(OR(AND($R9="Terminated",$Q9=""),AND($Q9&lt;&gt;"",OR(NOT(ISNUMBER($Q9)),$Q9&lt;=DATE(1900,1,1))),AND(ISNUMBER($P9),ISNUMBER($Q9),$Q9&lt;$P9)),"Termination Date, ","")&amp;IF(OR($R9="",AND($R9&lt;&gt;"Active",$R9&lt;&gt;"Terminated"),AND('START HERE'!$C$8="Terminations Only",$R9&lt;&gt;"Terminated")),"Status, ","")&amp;IF($S9="","Plan Name, ","")&amp;IF($T9="","Coverage Level, ","")&amp;IF(AND($U9&lt;&gt;"",OR(NOT(ISNUMBER($U9)),$U9&lt;0)),"Funding, ","")&amp;IF(AND($A9&lt;&gt;"",$S9&lt;&gt;"",COUNTIFS($A$2:$A$501,$A9,$B$2:$B$501,$B9,$S$2:$S$501,$S9)&gt;1),"Duplicate Row, ",""))</f>
        <v/>
      </c>
      <c r="AF9">
        <f>IF(COUNTA($A9:$U9)=0,"",$Y9&amp;$Z9&amp;$AA9&amp;$AB9&amp;$AC9)</f>
        <v/>
      </c>
      <c r="AG9">
        <f>IF($N9="","",LOWER(TRIM($N9)))</f>
        <v/>
      </c>
      <c r="AH9">
        <f>IF($A9="","",COUNTIFS($A$2:$A$501,$A9,$AI$2:$AI$501,1))</f>
        <v/>
      </c>
      <c r="AI9">
        <f>IF(COUNTA($A9:$U9)=0,"",--($AF9&lt;&gt;""))</f>
        <v/>
      </c>
      <c r="AJ9">
        <f>IF(COUNTA($A9:$U9)=0,"",--($AD9&lt;&gt;""))</f>
        <v/>
      </c>
    </row>
    <row r="10" ht="20" customHeight="1">
      <c r="A10" s="80" t="n"/>
      <c r="B10" s="80" t="n"/>
      <c r="C10" s="81" t="n"/>
      <c r="D10" s="81" t="n"/>
      <c r="E10" s="80" t="n"/>
      <c r="F10" s="81" t="n"/>
      <c r="G10" s="81" t="n"/>
      <c r="H10" s="81" t="n"/>
      <c r="I10" s="80" t="n"/>
      <c r="J10" s="80" t="n"/>
      <c r="K10" s="80" t="n"/>
      <c r="L10" s="82" t="n"/>
      <c r="M10" s="80" t="n"/>
      <c r="N10" s="80" t="n"/>
      <c r="O10" s="80" t="n"/>
      <c r="P10" s="82" t="n"/>
      <c r="Q10" s="82" t="n"/>
      <c r="R10" s="80" t="n"/>
      <c r="S10" s="80" t="n"/>
      <c r="T10" s="80" t="n"/>
      <c r="U10" s="83" t="n"/>
      <c r="V10">
        <f>IF($A10="","",IF($A10=$A9,$V9,IF($V9="",0,1-$V9)))</f>
        <v/>
      </c>
      <c r="W10">
        <f>IF($B10&lt;&gt;"",$B10,$A10)</f>
        <v/>
      </c>
      <c r="X10">
        <f>IF(COUNTA($A10:$U10)=0,"",IF(OR($B10&lt;&gt;"",$O10&lt;&gt;""),"Dependent","Employee"))</f>
        <v/>
      </c>
      <c r="Y10">
        <f>IF(COUNTA($A10:$U10)=0,"",IF($A10="","Employee SSN is required; ","")&amp;IF($C10="","First Name is required; ","")&amp;IF(LEN($C10&amp;"")&gt;19,"First Name exceeds 19 characters; ","")&amp;IF(AND($C10&lt;&gt;"",SUMPRODUCT(--(ROW($1:$19)&lt;=LEN($C10&amp;"")),--ISERROR(FIND(MID($C10&amp;"",ROW($1:$19),1),"ABCDEFGHIJKLMNOPQRSTUVWXYZabcdefghijklmnopqrstuvwxyz .,")))&gt;0),"First Name contains unsupported or encoded characters; use plain A-Z letters only; ","")&amp;IF($D10="","Last Name is required; ","")&amp;IF(LEN($D10&amp;"")&gt;26,"Last Name exceeds 26 characters; ","")&amp;IF(AND($D10&lt;&gt;"",SUMPRODUCT(--(ROW($1:$26)&lt;=LEN($D10&amp;"")),--ISERROR(FIND(MID($D10&amp;"",ROW($1:$26),1),"ABCDEFGHIJKLMNOPQRSTUVWXYZabcdefghijklmnopqrstuvwxyz .,")))&gt;0),"Last Name contains unsupported or encoded characters; use plain A-Z letters only; ","")&amp;IF(LEN($E10&amp;"")&gt;1,"Middle Initial may contain only one character; ","")&amp;IF(AND($E10&lt;&gt;"",SUMPRODUCT(--(ROW($1:$1)&lt;=LEN($E10&amp;"")),--ISERROR(FIND(MID($E10&amp;"",ROW($1:$1),1),"ABCDEFGHIJKLMNOPQRSTUVWXYZabcdefghijklmnopqrstuvwxyz .,")))&gt;0),"Middle Initial must be a plain A-Z letter; ","")&amp;IF($F10="","Address is required; ","")&amp;IF(LEN($F10&amp;"")&gt;75,"Address exceeds 75 characters; ","")&amp;IF(LEN($G10&amp;"")&gt;75,"Address 2 exceeds 75 characters; ","")&amp;IF($H10="","City is required; ","")&amp;IF(LEN($H10&amp;"")&gt;30,"City exceeds 30 characters; ","")&amp;IF($K10="","Country is required; ","")&amp;IF(AND($K10&lt;&gt;"",$K10&lt;&gt;"US",$K10&lt;&gt;"CA"),"Country must be US or CA; ","")&amp;IF(AND($K10="US",OR($I10="",LEN($I10&amp;"")&lt;&gt;2)),"Use a 2-letter state code; ","")&amp;IF($J10="","ZIP or postal code is required; ","")&amp;IF(AND($K10="US",$J10&lt;&gt;"",NOT(IFERROR(OR(AND(LEN($J10&amp;"")=5,ISNUMBER(--($J10&amp;""))),AND(LEN($J10&amp;"")=9,ISNUMBER(--($J10&amp;""))),AND(LEN($J10&amp;"")=10,MID($J10&amp;"",6,1)="-",ISNUMBER(--SUBSTITUTE($J10&amp;"","-","")))),FALSE))),"US ZIP must be 5 or 9 digits, with an optional ZIP+4 hyphen; ","")&amp;IF(AND($N10&lt;&gt;"",NOT(IFERROR(AND(ISNUMBER(SEARCH("@",$N10)),ISNUMBER(SEARCH(".",$N10,SEARCH("@",$N10)+2))),FALSE))),"Email format appears invalid; ","")&amp;IF(AND($O10&lt;&gt;"",$B10=""),"Dependent SSN is required for every dependent; ","")&amp;IF(AND($B10&lt;&gt;"",$O10=""),"Dependent Relationship is required when Dependent SSN is entered; ","")&amp;IF(AND($O10&lt;&gt;"",$O10&lt;&gt;"Spouse or Common Law Spouse",$O10&lt;&gt;"Domestic Partner",$O10&lt;&gt;"Child",$O10&lt;&gt;"Other",$O10&lt;&gt;"Estate",$O10&lt;&gt;"Unknown"),"Dependent Relationship must use one of the approved options; ",""))</f>
        <v/>
      </c>
      <c r="Z10">
        <f>IF(COUNTA($A10:$U10)=0,"",IF(AND($A10&lt;&gt;"",NOT(IFERROR(AND(LEN($A10&amp;"")=9,ISNUMBER(--($A10&amp;""))),FALSE))),"Employee SSN must contain exactly 9 digits; ","")&amp;IF(AND($A10&lt;&gt;"",OR($A10="123456789",$A10="987654321",$A10="012345678",$A10=REPT(LEFT($A10&amp;"",1),9))),"Employee SSN appears to be a placeholder; ","")&amp;IF(AND($B10&lt;&gt;"",NOT(IFERROR(AND(LEN($B10&amp;"")=9,ISNUMBER(--($B10&amp;""))),FALSE))),"Dependent SSN must contain exactly 9 digits; ","")&amp;IF(AND($B10&lt;&gt;"",OR($B10="123456789",$B10="987654321",$B10="012345678",$B10=REPT(LEFT($B10&amp;"",1),9))),"Dependent SSN appears to be a placeholder; ","")&amp;IF(AND($A10&lt;&gt;"",$B10&lt;&gt;"",$A10&amp;""=$B10&amp;""),"Dependent SSN cannot match Employee SSN; ","")&amp;IF(AND($W10&lt;&gt;"",OR(COUNTIFS($W$2:$W$501,$W10,$C$2:$C$501,"&lt;&gt;"&amp;$C10)&gt;0,COUNTIFS($W$2:$W$501,$W10,$D$2:$D$501,"&lt;&gt;"&amp;$D10)&gt;0,COUNTIFS($W$2:$W$501,$W10,$L$2:$L$501,"&lt;&gt;"&amp;$L10)&gt;0)),"The same SSN is associated with a different name or birthdate; ",""))</f>
        <v/>
      </c>
      <c r="AA10">
        <f>IF(COUNTA($A10:$U10)=0,"",IF(AND($A10&lt;&gt;"",$S10&lt;&gt;"",COUNTIFS($A$2:$A$501,$A10,$S$2:$S$501,$S10,$B$2:$B$501,"",$O$2:$O$501,"")=0),"Add an employee row for this household and plan; ","")&amp;IF(AND($X10="Dependent",COUNTIFS($A$2:$A10,$A10,$S$2:$S10,$S10,$B$2:$B10,"",$O$2:$O10,"")=0),"Place the employee row before dependent rows for this plan; ","")&amp;IF(AND($X10="Dependent",COUNTIFS($A$2:$A$501,$A10,$S$2:$S$501,$S10,$B$2:$B$501,"",$O$2:$O$501,"")&gt;0,IFERROR(OR($P10&lt;&gt;LOOKUP(2,1/(($A$2:$A$501=$A10)*($S$2:$S$501=$S10)*($B$2:$B$501="")*($O$2:$O$501="")),$P$2:$P$501),$Q10&lt;&gt;LOOKUP(2,1/(($A$2:$A$501=$A10)*($S$2:$S$501=$S10)*($B$2:$B$501="")*($O$2:$O$501="")),$Q$2:$Q$501),$R10&lt;&gt;LOOKUP(2,1/(($A$2:$A$501=$A10)*($S$2:$S$501=$S10)*($B$2:$B$501="")*($O$2:$O$501="")),$R$2:$R$501),$T10&lt;&gt;LOOKUP(2,1/(($A$2:$A$501=$A10)*($S$2:$S$501=$S10)*($B$2:$B$501="")*($O$2:$O$501="")),$T$2:$T$501),$U10&lt;&gt;LOOKUP(2,1/(($A$2:$A$501=$A10)*($S$2:$S$501=$S10)*($B$2:$B$501="")*($O$2:$O$501="")),$U$2:$U$501)),FALSE)),"Dependent row does not match the employee row for eligibility, status, coverage level, or funding; ",""))</f>
        <v/>
      </c>
      <c r="AB10">
        <f>IF(COUNTA($A10:$U10)=0,"",IF($L10="","Birthdate is required; ","")&amp;IF(AND($L10&lt;&gt;"",OR(NOT(ISNUMBER($L10)),$L10&lt;=DATE(1900,1,1),$L10&gt;TODAY())),"Birthdate must be an exact valid past date; ","")&amp;IF($P10="","Eligibility Date is required; ","")&amp;IF(AND($P10&lt;&gt;"",OR(NOT(ISNUMBER($P10)),$P10&lt;=DATE(1900,1,1))),"Eligibility Date must be a valid date; ","")&amp;IF(AND($R10="Terminated",$Q10=""),"Termination Date is required when Status is Terminated; ","")&amp;IF(AND($Q10&lt;&gt;"",OR(NOT(ISNUMBER($Q10)),$Q10&lt;=DATE(1900,1,1))),"Termination Date must be a valid date; ","")&amp;IF(AND(ISNUMBER($P10),ISNUMBER($Q10),$Q10&lt;$P10),"Termination Date cannot be before Eligibility Date; ","")&amp;IF($R10="","Status is required; ","")&amp;IF(AND($R10&lt;&gt;"",$R10&lt;&gt;"Active",$R10&lt;&gt;"Terminated"),"Status must be Active or Terminated; ","")&amp;IF(AND('START HERE'!$C$8="Terminations Only",$R10&lt;&gt;"Terminated"),"Terminations Only files must contain terminated records; ",""))</f>
        <v/>
      </c>
      <c r="AC10">
        <f>IF(COUNTA($A10:$U10)=0,"",IF($S10="","Plan Name is required; ","")&amp;IF($T10="","Benefit Coverage Level is required; ","")&amp;IF(AND($U10&lt;&gt;"",OR(NOT(ISNUMBER($U10)),$U10&lt;0)),"Plan Funding Amount must be a nonnegative number; ","")&amp;IF(AND($A10&lt;&gt;"",$S10&lt;&gt;"",COUNTIFS($A$2:$A$501,$A10,$B$2:$B$501,$B10,$S$2:$S$501,$S10)&gt;1),"Duplicate participant and plan row; ",""))</f>
        <v/>
      </c>
      <c r="AD10">
        <f>IF(COUNTA($A10:$U10)=0,"",IF(AND($X10="Employee",$M10="",$N10=""),"No employee phone or email provided; ","")&amp;IF(AND($R10="Active",$Q10&lt;&gt;""),"Active record includes a Termination Date; confirm this is intentional; ","")&amp;IF(AND($B10&lt;&gt;"",$B10&amp;""&lt;&gt;$A10&amp;"",COUNTIF($A$2:$A$501,$B10)&gt;0),"Dependent SSN also appears as an Employee SSN elsewhere; confirm dual-employee coverage is intentional; ","")&amp;IF(AND($B10&lt;&gt;"",COUNTIF($B$2:$B$501,$B10)&gt;COUNTIFS($A$2:$A$501,$A10,$B$2:$B$501,$B10)),"Dependent SSN appears under more than one employee; confirm duplicate family coverage is intentional; ","")&amp;IF(AND(ROW()&gt;2,$A10&lt;&gt;"",$A10&lt;&gt;$A9,COUNTIF($A$2:$A9,$A10)&gt;0),"This household appears in more than one section of the census; keep the family together; ","")&amp;IF(OR(AND($C10&lt;&gt;"",LEN($C10&amp;"")&lt;&gt;LEN(TRIM($C10&amp;""))),AND($D10&lt;&gt;"",LEN($D10&amp;"")&lt;&gt;LEN(TRIM($D10&amp;""))),AND($E10&lt;&gt;"",LEN($E10&amp;"")&lt;&gt;LEN(TRIM($E10&amp;""))),AND($F10&lt;&gt;"",LEN($F10&amp;"")&lt;&gt;LEN(TRIM($F10&amp;""))),AND($G10&lt;&gt;"",LEN($G10&amp;"")&lt;&gt;LEN(TRIM($G10&amp;""))),AND($H10&lt;&gt;"",LEN($H10&amp;"")&lt;&gt;LEN(TRIM($H10&amp;""))),AND($I10&lt;&gt;"",LEN($I10&amp;"")&lt;&gt;LEN(TRIM($I10&amp;""))),AND($J10&lt;&gt;"",LEN($J10&amp;"")&lt;&gt;LEN(TRIM($J10&amp;""))),AND($K10&lt;&gt;"",LEN($K10&amp;"")&lt;&gt;LEN(TRIM($K10&amp;""))),AND($M10&lt;&gt;"",LEN($M10&amp;"")&lt;&gt;LEN(TRIM($M10&amp;""))),AND($N10&lt;&gt;"",LEN($N10&amp;"")&lt;&gt;LEN(TRIM($N10&amp;""))),AND($O10&lt;&gt;"",LEN($O10&amp;"")&lt;&gt;LEN(TRIM($O10&amp;""))),AND($R10&lt;&gt;"",LEN($R10&amp;"")&lt;&gt;LEN(TRIM($R10&amp;""))),AND($S10&lt;&gt;"",LEN($S10&amp;"")&lt;&gt;LEN(TRIM($S10&amp;""))),AND($T10&lt;&gt;"",LEN($T10&amp;"")&lt;&gt;LEN(TRIM($T10&amp;"")))),"Remove leading or trailing spaces from text fields; ","")&amp;IF(OR(AND(LEN($C10)&gt;1,OR(EXACT($C10,UPPER($C10)),EXACT($C10,LOWER($C10)))),AND(LEN($D10)&gt;1,OR(EXACT($D10,UPPER($D10)),EXACT($D10,LOWER($D10)))),AND(LEN($H10)&gt;1,OR(EXACT($H10,UPPER($H10)),EXACT($H10,LOWER($H10))))),"Review capitalization in First Name, Last Name, or City; ","")&amp;IF(AND($N10&lt;&gt;"",NOT(EXACT($N10,LOWER($N10)))),"Email will be standardized to lowercase in the clean output; ","")&amp;IF(AND(OR('START HERE'!$C$8="Initial Enrollment",'START HERE'!$C$8="Open Enrollment"),$R10="Terminated"),"A terminated row is included in an initial or open enrollment file; confirm this is intentional; ",""))</f>
        <v/>
      </c>
      <c r="AE10">
        <f>IF(COUNTA($A10:$U10)=0,"",IF(OR($A10="",AND($A10&lt;&gt;"",NOT(IFERROR(AND(LEN($A10&amp;"")=9,ISNUMBER(--($A10&amp;""))),FALSE))),AND($A10&lt;&gt;"",OR($A10="123456789",$A10="987654321",$A10="012345678",$A10=REPT(LEFT($A10&amp;"",1),9)))),"Employee SSN, ","")&amp;IF(OR(AND($O10&lt;&gt;"",$B10=""),AND($B10&lt;&gt;"",OR(NOT(IFERROR(AND(LEN($B10&amp;"")=9,ISNUMBER(--($B10&amp;""))),FALSE)),$B10=$A10,$B10="123456789",$B10="987654321",$B10="012345678",$B10=REPT(LEFT($B10&amp;"",1),9)))),"Dependent SSN, ","")&amp;IF(OR($C10="",LEN($C10)&gt;19,AND($C10&lt;&gt;"",SUMPRODUCT(--(ROW($1:$19)&lt;=LEN($C10&amp;"")),--ISERROR(FIND(MID($C10&amp;"",ROW($1:$19),1),"ABCDEFGHIJKLMNOPQRSTUVWXYZabcdefghijklmnopqrstuvwxyz .,")))&gt;0)),"First Name, ","")&amp;IF(OR($D10="",LEN($D10)&gt;26,AND($D10&lt;&gt;"",SUMPRODUCT(--(ROW($1:$26)&lt;=LEN($D10&amp;"")),--ISERROR(FIND(MID($D10&amp;"",ROW($1:$26),1),"ABCDEFGHIJKLMNOPQRSTUVWXYZabcdefghijklmnopqrstuvwxyz .,")))&gt;0)),"Last Name, ","")&amp;IF(OR(LEN($E10)&gt;1,AND($E10&lt;&gt;"",SUMPRODUCT(--(ROW($1:$1)&lt;=LEN($E10&amp;"")),--ISERROR(FIND(MID($E10&amp;"",ROW($1:$1),1),"ABCDEFGHIJKLMNOPQRSTUVWXYZabcdefghijklmnopqrstuvwxyz .,")))&gt;0)),"Middle Initial, ","")&amp;IF(OR($F10="",LEN($F10)&gt;75),"Address, ","")&amp;IF(OR($H10="",LEN($H10)&gt;30),"City, ","")&amp;IF(AND($K10="US",OR($I10="",LEN($I10)&lt;&gt;2)),"State, ","")&amp;IF($J10="","ZIP, ","")&amp;IF(OR($K10="",AND($K10&lt;&gt;"US",$K10&lt;&gt;"CA")),"Country, ","")&amp;IF(OR($L10="",AND($L10&lt;&gt;"",OR(NOT(ISNUMBER($L10)),$L10&lt;=DATE(1900,1,1),$L10&gt;TODAY()))),"Birthdate, ","")&amp;IF(AND($N10&lt;&gt;"",NOT(IFERROR(AND(ISNUMBER(SEARCH("@",$N10)),ISNUMBER(SEARCH(".",$N10,SEARCH("@",$N10)+2))),FALSE))),"Email, ","")&amp;IF(OR(AND($B10&lt;&gt;"",$O10=""),AND($O10&lt;&gt;"",$O10&lt;&gt;"Spouse or Common Law Spouse",$O10&lt;&gt;"Domestic Partner",$O10&lt;&gt;"Child",$O10&lt;&gt;"Other",$O10&lt;&gt;"Estate",$O10&lt;&gt;"Unknown")),"Dependent Relationship, ","")&amp;IF($AA10&lt;&gt;"","Household, ","")&amp;IF(OR($P10="",AND($P10&lt;&gt;"",OR(NOT(ISNUMBER($P10)),$P10&lt;=DATE(1900,1,1)))),"Eligibility Date, ","")&amp;IF(OR(AND($R10="Terminated",$Q10=""),AND($Q10&lt;&gt;"",OR(NOT(ISNUMBER($Q10)),$Q10&lt;=DATE(1900,1,1))),AND(ISNUMBER($P10),ISNUMBER($Q10),$Q10&lt;$P10)),"Termination Date, ","")&amp;IF(OR($R10="",AND($R10&lt;&gt;"Active",$R10&lt;&gt;"Terminated"),AND('START HERE'!$C$8="Terminations Only",$R10&lt;&gt;"Terminated")),"Status, ","")&amp;IF($S10="","Plan Name, ","")&amp;IF($T10="","Coverage Level, ","")&amp;IF(AND($U10&lt;&gt;"",OR(NOT(ISNUMBER($U10)),$U10&lt;0)),"Funding, ","")&amp;IF(AND($A10&lt;&gt;"",$S10&lt;&gt;"",COUNTIFS($A$2:$A$501,$A10,$B$2:$B$501,$B10,$S$2:$S$501,$S10)&gt;1),"Duplicate Row, ",""))</f>
        <v/>
      </c>
      <c r="AF10">
        <f>IF(COUNTA($A10:$U10)=0,"",$Y10&amp;$Z10&amp;$AA10&amp;$AB10&amp;$AC10)</f>
        <v/>
      </c>
      <c r="AG10">
        <f>IF($N10="","",LOWER(TRIM($N10)))</f>
        <v/>
      </c>
      <c r="AH10">
        <f>IF($A10="","",COUNTIFS($A$2:$A$501,$A10,$AI$2:$AI$501,1))</f>
        <v/>
      </c>
      <c r="AI10">
        <f>IF(COUNTA($A10:$U10)=0,"",--($AF10&lt;&gt;""))</f>
        <v/>
      </c>
      <c r="AJ10">
        <f>IF(COUNTA($A10:$U10)=0,"",--($AD10&lt;&gt;""))</f>
        <v/>
      </c>
    </row>
    <row r="11" ht="20" customHeight="1">
      <c r="A11" s="80" t="n"/>
      <c r="B11" s="80" t="n"/>
      <c r="C11" s="81" t="n"/>
      <c r="D11" s="81" t="n"/>
      <c r="E11" s="80" t="n"/>
      <c r="F11" s="81" t="n"/>
      <c r="G11" s="81" t="n"/>
      <c r="H11" s="81" t="n"/>
      <c r="I11" s="80" t="n"/>
      <c r="J11" s="80" t="n"/>
      <c r="K11" s="80" t="n"/>
      <c r="L11" s="82" t="n"/>
      <c r="M11" s="80" t="n"/>
      <c r="N11" s="80" t="n"/>
      <c r="O11" s="80" t="n"/>
      <c r="P11" s="82" t="n"/>
      <c r="Q11" s="82" t="n"/>
      <c r="R11" s="80" t="n"/>
      <c r="S11" s="80" t="n"/>
      <c r="T11" s="80" t="n"/>
      <c r="U11" s="83" t="n"/>
      <c r="V11">
        <f>IF($A11="","",IF($A11=$A10,$V10,IF($V10="",0,1-$V10)))</f>
        <v/>
      </c>
      <c r="W11">
        <f>IF($B11&lt;&gt;"",$B11,$A11)</f>
        <v/>
      </c>
      <c r="X11">
        <f>IF(COUNTA($A11:$U11)=0,"",IF(OR($B11&lt;&gt;"",$O11&lt;&gt;""),"Dependent","Employee"))</f>
        <v/>
      </c>
      <c r="Y11">
        <f>IF(COUNTA($A11:$U11)=0,"",IF($A11="","Employee SSN is required; ","")&amp;IF($C11="","First Name is required; ","")&amp;IF(LEN($C11&amp;"")&gt;19,"First Name exceeds 19 characters; ","")&amp;IF(AND($C11&lt;&gt;"",SUMPRODUCT(--(ROW($1:$19)&lt;=LEN($C11&amp;"")),--ISERROR(FIND(MID($C11&amp;"",ROW($1:$19),1),"ABCDEFGHIJKLMNOPQRSTUVWXYZabcdefghijklmnopqrstuvwxyz .,")))&gt;0),"First Name contains unsupported or encoded characters; use plain A-Z letters only; ","")&amp;IF($D11="","Last Name is required; ","")&amp;IF(LEN($D11&amp;"")&gt;26,"Last Name exceeds 26 characters; ","")&amp;IF(AND($D11&lt;&gt;"",SUMPRODUCT(--(ROW($1:$26)&lt;=LEN($D11&amp;"")),--ISERROR(FIND(MID($D11&amp;"",ROW($1:$26),1),"ABCDEFGHIJKLMNOPQRSTUVWXYZabcdefghijklmnopqrstuvwxyz .,")))&gt;0),"Last Name contains unsupported or encoded characters; use plain A-Z letters only; ","")&amp;IF(LEN($E11&amp;"")&gt;1,"Middle Initial may contain only one character; ","")&amp;IF(AND($E11&lt;&gt;"",SUMPRODUCT(--(ROW($1:$1)&lt;=LEN($E11&amp;"")),--ISERROR(FIND(MID($E11&amp;"",ROW($1:$1),1),"ABCDEFGHIJKLMNOPQRSTUVWXYZabcdefghijklmnopqrstuvwxyz .,")))&gt;0),"Middle Initial must be a plain A-Z letter; ","")&amp;IF($F11="","Address is required; ","")&amp;IF(LEN($F11&amp;"")&gt;75,"Address exceeds 75 characters; ","")&amp;IF(LEN($G11&amp;"")&gt;75,"Address 2 exceeds 75 characters; ","")&amp;IF($H11="","City is required; ","")&amp;IF(LEN($H11&amp;"")&gt;30,"City exceeds 30 characters; ","")&amp;IF($K11="","Country is required; ","")&amp;IF(AND($K11&lt;&gt;"",$K11&lt;&gt;"US",$K11&lt;&gt;"CA"),"Country must be US or CA; ","")&amp;IF(AND($K11="US",OR($I11="",LEN($I11&amp;"")&lt;&gt;2)),"Use a 2-letter state code; ","")&amp;IF($J11="","ZIP or postal code is required; ","")&amp;IF(AND($K11="US",$J11&lt;&gt;"",NOT(IFERROR(OR(AND(LEN($J11&amp;"")=5,ISNUMBER(--($J11&amp;""))),AND(LEN($J11&amp;"")=9,ISNUMBER(--($J11&amp;""))),AND(LEN($J11&amp;"")=10,MID($J11&amp;"",6,1)="-",ISNUMBER(--SUBSTITUTE($J11&amp;"","-","")))),FALSE))),"US ZIP must be 5 or 9 digits, with an optional ZIP+4 hyphen; ","")&amp;IF(AND($N11&lt;&gt;"",NOT(IFERROR(AND(ISNUMBER(SEARCH("@",$N11)),ISNUMBER(SEARCH(".",$N11,SEARCH("@",$N11)+2))),FALSE))),"Email format appears invalid; ","")&amp;IF(AND($O11&lt;&gt;"",$B11=""),"Dependent SSN is required for every dependent; ","")&amp;IF(AND($B11&lt;&gt;"",$O11=""),"Dependent Relationship is required when Dependent SSN is entered; ","")&amp;IF(AND($O11&lt;&gt;"",$O11&lt;&gt;"Spouse or Common Law Spouse",$O11&lt;&gt;"Domestic Partner",$O11&lt;&gt;"Child",$O11&lt;&gt;"Other",$O11&lt;&gt;"Estate",$O11&lt;&gt;"Unknown"),"Dependent Relationship must use one of the approved options; ",""))</f>
        <v/>
      </c>
      <c r="Z11">
        <f>IF(COUNTA($A11:$U11)=0,"",IF(AND($A11&lt;&gt;"",NOT(IFERROR(AND(LEN($A11&amp;"")=9,ISNUMBER(--($A11&amp;""))),FALSE))),"Employee SSN must contain exactly 9 digits; ","")&amp;IF(AND($A11&lt;&gt;"",OR($A11="123456789",$A11="987654321",$A11="012345678",$A11=REPT(LEFT($A11&amp;"",1),9))),"Employee SSN appears to be a placeholder; ","")&amp;IF(AND($B11&lt;&gt;"",NOT(IFERROR(AND(LEN($B11&amp;"")=9,ISNUMBER(--($B11&amp;""))),FALSE))),"Dependent SSN must contain exactly 9 digits; ","")&amp;IF(AND($B11&lt;&gt;"",OR($B11="123456789",$B11="987654321",$B11="012345678",$B11=REPT(LEFT($B11&amp;"",1),9))),"Dependent SSN appears to be a placeholder; ","")&amp;IF(AND($A11&lt;&gt;"",$B11&lt;&gt;"",$A11&amp;""=$B11&amp;""),"Dependent SSN cannot match Employee SSN; ","")&amp;IF(AND($W11&lt;&gt;"",OR(COUNTIFS($W$2:$W$501,$W11,$C$2:$C$501,"&lt;&gt;"&amp;$C11)&gt;0,COUNTIFS($W$2:$W$501,$W11,$D$2:$D$501,"&lt;&gt;"&amp;$D11)&gt;0,COUNTIFS($W$2:$W$501,$W11,$L$2:$L$501,"&lt;&gt;"&amp;$L11)&gt;0)),"The same SSN is associated with a different name or birthdate; ",""))</f>
        <v/>
      </c>
      <c r="AA11">
        <f>IF(COUNTA($A11:$U11)=0,"",IF(AND($A11&lt;&gt;"",$S11&lt;&gt;"",COUNTIFS($A$2:$A$501,$A11,$S$2:$S$501,$S11,$B$2:$B$501,"",$O$2:$O$501,"")=0),"Add an employee row for this household and plan; ","")&amp;IF(AND($X11="Dependent",COUNTIFS($A$2:$A11,$A11,$S$2:$S11,$S11,$B$2:$B11,"",$O$2:$O11,"")=0),"Place the employee row before dependent rows for this plan; ","")&amp;IF(AND($X11="Dependent",COUNTIFS($A$2:$A$501,$A11,$S$2:$S$501,$S11,$B$2:$B$501,"",$O$2:$O$501,"")&gt;0,IFERROR(OR($P11&lt;&gt;LOOKUP(2,1/(($A$2:$A$501=$A11)*($S$2:$S$501=$S11)*($B$2:$B$501="")*($O$2:$O$501="")),$P$2:$P$501),$Q11&lt;&gt;LOOKUP(2,1/(($A$2:$A$501=$A11)*($S$2:$S$501=$S11)*($B$2:$B$501="")*($O$2:$O$501="")),$Q$2:$Q$501),$R11&lt;&gt;LOOKUP(2,1/(($A$2:$A$501=$A11)*($S$2:$S$501=$S11)*($B$2:$B$501="")*($O$2:$O$501="")),$R$2:$R$501),$T11&lt;&gt;LOOKUP(2,1/(($A$2:$A$501=$A11)*($S$2:$S$501=$S11)*($B$2:$B$501="")*($O$2:$O$501="")),$T$2:$T$501),$U11&lt;&gt;LOOKUP(2,1/(($A$2:$A$501=$A11)*($S$2:$S$501=$S11)*($B$2:$B$501="")*($O$2:$O$501="")),$U$2:$U$501)),FALSE)),"Dependent row does not match the employee row for eligibility, status, coverage level, or funding; ",""))</f>
        <v/>
      </c>
      <c r="AB11">
        <f>IF(COUNTA($A11:$U11)=0,"",IF($L11="","Birthdate is required; ","")&amp;IF(AND($L11&lt;&gt;"",OR(NOT(ISNUMBER($L11)),$L11&lt;=DATE(1900,1,1),$L11&gt;TODAY())),"Birthdate must be an exact valid past date; ","")&amp;IF($P11="","Eligibility Date is required; ","")&amp;IF(AND($P11&lt;&gt;"",OR(NOT(ISNUMBER($P11)),$P11&lt;=DATE(1900,1,1))),"Eligibility Date must be a valid date; ","")&amp;IF(AND($R11="Terminated",$Q11=""),"Termination Date is required when Status is Terminated; ","")&amp;IF(AND($Q11&lt;&gt;"",OR(NOT(ISNUMBER($Q11)),$Q11&lt;=DATE(1900,1,1))),"Termination Date must be a valid date; ","")&amp;IF(AND(ISNUMBER($P11),ISNUMBER($Q11),$Q11&lt;$P11),"Termination Date cannot be before Eligibility Date; ","")&amp;IF($R11="","Status is required; ","")&amp;IF(AND($R11&lt;&gt;"",$R11&lt;&gt;"Active",$R11&lt;&gt;"Terminated"),"Status must be Active or Terminated; ","")&amp;IF(AND('START HERE'!$C$8="Terminations Only",$R11&lt;&gt;"Terminated"),"Terminations Only files must contain terminated records; ",""))</f>
        <v/>
      </c>
      <c r="AC11">
        <f>IF(COUNTA($A11:$U11)=0,"",IF($S11="","Plan Name is required; ","")&amp;IF($T11="","Benefit Coverage Level is required; ","")&amp;IF(AND($U11&lt;&gt;"",OR(NOT(ISNUMBER($U11)),$U11&lt;0)),"Plan Funding Amount must be a nonnegative number; ","")&amp;IF(AND($A11&lt;&gt;"",$S11&lt;&gt;"",COUNTIFS($A$2:$A$501,$A11,$B$2:$B$501,$B11,$S$2:$S$501,$S11)&gt;1),"Duplicate participant and plan row; ",""))</f>
        <v/>
      </c>
      <c r="AD11">
        <f>IF(COUNTA($A11:$U11)=0,"",IF(AND($X11="Employee",$M11="",$N11=""),"No employee phone or email provided; ","")&amp;IF(AND($R11="Active",$Q11&lt;&gt;""),"Active record includes a Termination Date; confirm this is intentional; ","")&amp;IF(AND($B11&lt;&gt;"",$B11&amp;""&lt;&gt;$A11&amp;"",COUNTIF($A$2:$A$501,$B11)&gt;0),"Dependent SSN also appears as an Employee SSN elsewhere; confirm dual-employee coverage is intentional; ","")&amp;IF(AND($B11&lt;&gt;"",COUNTIF($B$2:$B$501,$B11)&gt;COUNTIFS($A$2:$A$501,$A11,$B$2:$B$501,$B11)),"Dependent SSN appears under more than one employee; confirm duplicate family coverage is intentional; ","")&amp;IF(AND(ROW()&gt;2,$A11&lt;&gt;"",$A11&lt;&gt;$A10,COUNTIF($A$2:$A10,$A11)&gt;0),"This household appears in more than one section of the census; keep the family together; ","")&amp;IF(OR(AND($C11&lt;&gt;"",LEN($C11&amp;"")&lt;&gt;LEN(TRIM($C11&amp;""))),AND($D11&lt;&gt;"",LEN($D11&amp;"")&lt;&gt;LEN(TRIM($D11&amp;""))),AND($E11&lt;&gt;"",LEN($E11&amp;"")&lt;&gt;LEN(TRIM($E11&amp;""))),AND($F11&lt;&gt;"",LEN($F11&amp;"")&lt;&gt;LEN(TRIM($F11&amp;""))),AND($G11&lt;&gt;"",LEN($G11&amp;"")&lt;&gt;LEN(TRIM($G11&amp;""))),AND($H11&lt;&gt;"",LEN($H11&amp;"")&lt;&gt;LEN(TRIM($H11&amp;""))),AND($I11&lt;&gt;"",LEN($I11&amp;"")&lt;&gt;LEN(TRIM($I11&amp;""))),AND($J11&lt;&gt;"",LEN($J11&amp;"")&lt;&gt;LEN(TRIM($J11&amp;""))),AND($K11&lt;&gt;"",LEN($K11&amp;"")&lt;&gt;LEN(TRIM($K11&amp;""))),AND($M11&lt;&gt;"",LEN($M11&amp;"")&lt;&gt;LEN(TRIM($M11&amp;""))),AND($N11&lt;&gt;"",LEN($N11&amp;"")&lt;&gt;LEN(TRIM($N11&amp;""))),AND($O11&lt;&gt;"",LEN($O11&amp;"")&lt;&gt;LEN(TRIM($O11&amp;""))),AND($R11&lt;&gt;"",LEN($R11&amp;"")&lt;&gt;LEN(TRIM($R11&amp;""))),AND($S11&lt;&gt;"",LEN($S11&amp;"")&lt;&gt;LEN(TRIM($S11&amp;""))),AND($T11&lt;&gt;"",LEN($T11&amp;"")&lt;&gt;LEN(TRIM($T11&amp;"")))),"Remove leading or trailing spaces from text fields; ","")&amp;IF(OR(AND(LEN($C11)&gt;1,OR(EXACT($C11,UPPER($C11)),EXACT($C11,LOWER($C11)))),AND(LEN($D11)&gt;1,OR(EXACT($D11,UPPER($D11)),EXACT($D11,LOWER($D11)))),AND(LEN($H11)&gt;1,OR(EXACT($H11,UPPER($H11)),EXACT($H11,LOWER($H11))))),"Review capitalization in First Name, Last Name, or City; ","")&amp;IF(AND($N11&lt;&gt;"",NOT(EXACT($N11,LOWER($N11)))),"Email will be standardized to lowercase in the clean output; ","")&amp;IF(AND(OR('START HERE'!$C$8="Initial Enrollment",'START HERE'!$C$8="Open Enrollment"),$R11="Terminated"),"A terminated row is included in an initial or open enrollment file; confirm this is intentional; ",""))</f>
        <v/>
      </c>
      <c r="AE11">
        <f>IF(COUNTA($A11:$U11)=0,"",IF(OR($A11="",AND($A11&lt;&gt;"",NOT(IFERROR(AND(LEN($A11&amp;"")=9,ISNUMBER(--($A11&amp;""))),FALSE))),AND($A11&lt;&gt;"",OR($A11="123456789",$A11="987654321",$A11="012345678",$A11=REPT(LEFT($A11&amp;"",1),9)))),"Employee SSN, ","")&amp;IF(OR(AND($O11&lt;&gt;"",$B11=""),AND($B11&lt;&gt;"",OR(NOT(IFERROR(AND(LEN($B11&amp;"")=9,ISNUMBER(--($B11&amp;""))),FALSE)),$B11=$A11,$B11="123456789",$B11="987654321",$B11="012345678",$B11=REPT(LEFT($B11&amp;"",1),9)))),"Dependent SSN, ","")&amp;IF(OR($C11="",LEN($C11)&gt;19,AND($C11&lt;&gt;"",SUMPRODUCT(--(ROW($1:$19)&lt;=LEN($C11&amp;"")),--ISERROR(FIND(MID($C11&amp;"",ROW($1:$19),1),"ABCDEFGHIJKLMNOPQRSTUVWXYZabcdefghijklmnopqrstuvwxyz .,")))&gt;0)),"First Name, ","")&amp;IF(OR($D11="",LEN($D11)&gt;26,AND($D11&lt;&gt;"",SUMPRODUCT(--(ROW($1:$26)&lt;=LEN($D11&amp;"")),--ISERROR(FIND(MID($D11&amp;"",ROW($1:$26),1),"ABCDEFGHIJKLMNOPQRSTUVWXYZabcdefghijklmnopqrstuvwxyz .,")))&gt;0)),"Last Name, ","")&amp;IF(OR(LEN($E11)&gt;1,AND($E11&lt;&gt;"",SUMPRODUCT(--(ROW($1:$1)&lt;=LEN($E11&amp;"")),--ISERROR(FIND(MID($E11&amp;"",ROW($1:$1),1),"ABCDEFGHIJKLMNOPQRSTUVWXYZabcdefghijklmnopqrstuvwxyz .,")))&gt;0)),"Middle Initial, ","")&amp;IF(OR($F11="",LEN($F11)&gt;75),"Address, ","")&amp;IF(OR($H11="",LEN($H11)&gt;30),"City, ","")&amp;IF(AND($K11="US",OR($I11="",LEN($I11)&lt;&gt;2)),"State, ","")&amp;IF($J11="","ZIP, ","")&amp;IF(OR($K11="",AND($K11&lt;&gt;"US",$K11&lt;&gt;"CA")),"Country, ","")&amp;IF(OR($L11="",AND($L11&lt;&gt;"",OR(NOT(ISNUMBER($L11)),$L11&lt;=DATE(1900,1,1),$L11&gt;TODAY()))),"Birthdate, ","")&amp;IF(AND($N11&lt;&gt;"",NOT(IFERROR(AND(ISNUMBER(SEARCH("@",$N11)),ISNUMBER(SEARCH(".",$N11,SEARCH("@",$N11)+2))),FALSE))),"Email, ","")&amp;IF(OR(AND($B11&lt;&gt;"",$O11=""),AND($O11&lt;&gt;"",$O11&lt;&gt;"Spouse or Common Law Spouse",$O11&lt;&gt;"Domestic Partner",$O11&lt;&gt;"Child",$O11&lt;&gt;"Other",$O11&lt;&gt;"Estate",$O11&lt;&gt;"Unknown")),"Dependent Relationship, ","")&amp;IF($AA11&lt;&gt;"","Household, ","")&amp;IF(OR($P11="",AND($P11&lt;&gt;"",OR(NOT(ISNUMBER($P11)),$P11&lt;=DATE(1900,1,1)))),"Eligibility Date, ","")&amp;IF(OR(AND($R11="Terminated",$Q11=""),AND($Q11&lt;&gt;"",OR(NOT(ISNUMBER($Q11)),$Q11&lt;=DATE(1900,1,1))),AND(ISNUMBER($P11),ISNUMBER($Q11),$Q11&lt;$P11)),"Termination Date, ","")&amp;IF(OR($R11="",AND($R11&lt;&gt;"Active",$R11&lt;&gt;"Terminated"),AND('START HERE'!$C$8="Terminations Only",$R11&lt;&gt;"Terminated")),"Status, ","")&amp;IF($S11="","Plan Name, ","")&amp;IF($T11="","Coverage Level, ","")&amp;IF(AND($U11&lt;&gt;"",OR(NOT(ISNUMBER($U11)),$U11&lt;0)),"Funding, ","")&amp;IF(AND($A11&lt;&gt;"",$S11&lt;&gt;"",COUNTIFS($A$2:$A$501,$A11,$B$2:$B$501,$B11,$S$2:$S$501,$S11)&gt;1),"Duplicate Row, ",""))</f>
        <v/>
      </c>
      <c r="AF11">
        <f>IF(COUNTA($A11:$U11)=0,"",$Y11&amp;$Z11&amp;$AA11&amp;$AB11&amp;$AC11)</f>
        <v/>
      </c>
      <c r="AG11">
        <f>IF($N11="","",LOWER(TRIM($N11)))</f>
        <v/>
      </c>
      <c r="AH11">
        <f>IF($A11="","",COUNTIFS($A$2:$A$501,$A11,$AI$2:$AI$501,1))</f>
        <v/>
      </c>
      <c r="AI11">
        <f>IF(COUNTA($A11:$U11)=0,"",--($AF11&lt;&gt;""))</f>
        <v/>
      </c>
      <c r="AJ11">
        <f>IF(COUNTA($A11:$U11)=0,"",--($AD11&lt;&gt;""))</f>
        <v/>
      </c>
    </row>
    <row r="12" ht="20" customHeight="1">
      <c r="A12" s="80" t="n"/>
      <c r="B12" s="80" t="n"/>
      <c r="C12" s="81" t="n"/>
      <c r="D12" s="81" t="n"/>
      <c r="E12" s="80" t="n"/>
      <c r="F12" s="81" t="n"/>
      <c r="G12" s="81" t="n"/>
      <c r="H12" s="81" t="n"/>
      <c r="I12" s="80" t="n"/>
      <c r="J12" s="80" t="n"/>
      <c r="K12" s="80" t="n"/>
      <c r="L12" s="82" t="n"/>
      <c r="M12" s="80" t="n"/>
      <c r="N12" s="80" t="n"/>
      <c r="O12" s="80" t="n"/>
      <c r="P12" s="82" t="n"/>
      <c r="Q12" s="82" t="n"/>
      <c r="R12" s="80" t="n"/>
      <c r="S12" s="80" t="n"/>
      <c r="T12" s="80" t="n"/>
      <c r="U12" s="83" t="n"/>
      <c r="V12">
        <f>IF($A12="","",IF($A12=$A11,$V11,IF($V11="",0,1-$V11)))</f>
        <v/>
      </c>
      <c r="W12">
        <f>IF($B12&lt;&gt;"",$B12,$A12)</f>
        <v/>
      </c>
      <c r="X12">
        <f>IF(COUNTA($A12:$U12)=0,"",IF(OR($B12&lt;&gt;"",$O12&lt;&gt;""),"Dependent","Employee"))</f>
        <v/>
      </c>
      <c r="Y12">
        <f>IF(COUNTA($A12:$U12)=0,"",IF($A12="","Employee SSN is required; ","")&amp;IF($C12="","First Name is required; ","")&amp;IF(LEN($C12&amp;"")&gt;19,"First Name exceeds 19 characters; ","")&amp;IF(AND($C12&lt;&gt;"",SUMPRODUCT(--(ROW($1:$19)&lt;=LEN($C12&amp;"")),--ISERROR(FIND(MID($C12&amp;"",ROW($1:$19),1),"ABCDEFGHIJKLMNOPQRSTUVWXYZabcdefghijklmnopqrstuvwxyz .,")))&gt;0),"First Name contains unsupported or encoded characters; use plain A-Z letters only; ","")&amp;IF($D12="","Last Name is required; ","")&amp;IF(LEN($D12&amp;"")&gt;26,"Last Name exceeds 26 characters; ","")&amp;IF(AND($D12&lt;&gt;"",SUMPRODUCT(--(ROW($1:$26)&lt;=LEN($D12&amp;"")),--ISERROR(FIND(MID($D12&amp;"",ROW($1:$26),1),"ABCDEFGHIJKLMNOPQRSTUVWXYZabcdefghijklmnopqrstuvwxyz .,")))&gt;0),"Last Name contains unsupported or encoded characters; use plain A-Z letters only; ","")&amp;IF(LEN($E12&amp;"")&gt;1,"Middle Initial may contain only one character; ","")&amp;IF(AND($E12&lt;&gt;"",SUMPRODUCT(--(ROW($1:$1)&lt;=LEN($E12&amp;"")),--ISERROR(FIND(MID($E12&amp;"",ROW($1:$1),1),"ABCDEFGHIJKLMNOPQRSTUVWXYZabcdefghijklmnopqrstuvwxyz .,")))&gt;0),"Middle Initial must be a plain A-Z letter; ","")&amp;IF($F12="","Address is required; ","")&amp;IF(LEN($F12&amp;"")&gt;75,"Address exceeds 75 characters; ","")&amp;IF(LEN($G12&amp;"")&gt;75,"Address 2 exceeds 75 characters; ","")&amp;IF($H12="","City is required; ","")&amp;IF(LEN($H12&amp;"")&gt;30,"City exceeds 30 characters; ","")&amp;IF($K12="","Country is required; ","")&amp;IF(AND($K12&lt;&gt;"",$K12&lt;&gt;"US",$K12&lt;&gt;"CA"),"Country must be US or CA; ","")&amp;IF(AND($K12="US",OR($I12="",LEN($I12&amp;"")&lt;&gt;2)),"Use a 2-letter state code; ","")&amp;IF($J12="","ZIP or postal code is required; ","")&amp;IF(AND($K12="US",$J12&lt;&gt;"",NOT(IFERROR(OR(AND(LEN($J12&amp;"")=5,ISNUMBER(--($J12&amp;""))),AND(LEN($J12&amp;"")=9,ISNUMBER(--($J12&amp;""))),AND(LEN($J12&amp;"")=10,MID($J12&amp;"",6,1)="-",ISNUMBER(--SUBSTITUTE($J12&amp;"","-","")))),FALSE))),"US ZIP must be 5 or 9 digits, with an optional ZIP+4 hyphen; ","")&amp;IF(AND($N12&lt;&gt;"",NOT(IFERROR(AND(ISNUMBER(SEARCH("@",$N12)),ISNUMBER(SEARCH(".",$N12,SEARCH("@",$N12)+2))),FALSE))),"Email format appears invalid; ","")&amp;IF(AND($O12&lt;&gt;"",$B12=""),"Dependent SSN is required for every dependent; ","")&amp;IF(AND($B12&lt;&gt;"",$O12=""),"Dependent Relationship is required when Dependent SSN is entered; ","")&amp;IF(AND($O12&lt;&gt;"",$O12&lt;&gt;"Spouse or Common Law Spouse",$O12&lt;&gt;"Domestic Partner",$O12&lt;&gt;"Child",$O12&lt;&gt;"Other",$O12&lt;&gt;"Estate",$O12&lt;&gt;"Unknown"),"Dependent Relationship must use one of the approved options; ",""))</f>
        <v/>
      </c>
      <c r="Z12">
        <f>IF(COUNTA($A12:$U12)=0,"",IF(AND($A12&lt;&gt;"",NOT(IFERROR(AND(LEN($A12&amp;"")=9,ISNUMBER(--($A12&amp;""))),FALSE))),"Employee SSN must contain exactly 9 digits; ","")&amp;IF(AND($A12&lt;&gt;"",OR($A12="123456789",$A12="987654321",$A12="012345678",$A12=REPT(LEFT($A12&amp;"",1),9))),"Employee SSN appears to be a placeholder; ","")&amp;IF(AND($B12&lt;&gt;"",NOT(IFERROR(AND(LEN($B12&amp;"")=9,ISNUMBER(--($B12&amp;""))),FALSE))),"Dependent SSN must contain exactly 9 digits; ","")&amp;IF(AND($B12&lt;&gt;"",OR($B12="123456789",$B12="987654321",$B12="012345678",$B12=REPT(LEFT($B12&amp;"",1),9))),"Dependent SSN appears to be a placeholder; ","")&amp;IF(AND($A12&lt;&gt;"",$B12&lt;&gt;"",$A12&amp;""=$B12&amp;""),"Dependent SSN cannot match Employee SSN; ","")&amp;IF(AND($W12&lt;&gt;"",OR(COUNTIFS($W$2:$W$501,$W12,$C$2:$C$501,"&lt;&gt;"&amp;$C12)&gt;0,COUNTIFS($W$2:$W$501,$W12,$D$2:$D$501,"&lt;&gt;"&amp;$D12)&gt;0,COUNTIFS($W$2:$W$501,$W12,$L$2:$L$501,"&lt;&gt;"&amp;$L12)&gt;0)),"The same SSN is associated with a different name or birthdate; ",""))</f>
        <v/>
      </c>
      <c r="AA12">
        <f>IF(COUNTA($A12:$U12)=0,"",IF(AND($A12&lt;&gt;"",$S12&lt;&gt;"",COUNTIFS($A$2:$A$501,$A12,$S$2:$S$501,$S12,$B$2:$B$501,"",$O$2:$O$501,"")=0),"Add an employee row for this household and plan; ","")&amp;IF(AND($X12="Dependent",COUNTIFS($A$2:$A12,$A12,$S$2:$S12,$S12,$B$2:$B12,"",$O$2:$O12,"")=0),"Place the employee row before dependent rows for this plan; ","")&amp;IF(AND($X12="Dependent",COUNTIFS($A$2:$A$501,$A12,$S$2:$S$501,$S12,$B$2:$B$501,"",$O$2:$O$501,"")&gt;0,IFERROR(OR($P12&lt;&gt;LOOKUP(2,1/(($A$2:$A$501=$A12)*($S$2:$S$501=$S12)*($B$2:$B$501="")*($O$2:$O$501="")),$P$2:$P$501),$Q12&lt;&gt;LOOKUP(2,1/(($A$2:$A$501=$A12)*($S$2:$S$501=$S12)*($B$2:$B$501="")*($O$2:$O$501="")),$Q$2:$Q$501),$R12&lt;&gt;LOOKUP(2,1/(($A$2:$A$501=$A12)*($S$2:$S$501=$S12)*($B$2:$B$501="")*($O$2:$O$501="")),$R$2:$R$501),$T12&lt;&gt;LOOKUP(2,1/(($A$2:$A$501=$A12)*($S$2:$S$501=$S12)*($B$2:$B$501="")*($O$2:$O$501="")),$T$2:$T$501),$U12&lt;&gt;LOOKUP(2,1/(($A$2:$A$501=$A12)*($S$2:$S$501=$S12)*($B$2:$B$501="")*($O$2:$O$501="")),$U$2:$U$501)),FALSE)),"Dependent row does not match the employee row for eligibility, status, coverage level, or funding; ",""))</f>
        <v/>
      </c>
      <c r="AB12">
        <f>IF(COUNTA($A12:$U12)=0,"",IF($L12="","Birthdate is required; ","")&amp;IF(AND($L12&lt;&gt;"",OR(NOT(ISNUMBER($L12)),$L12&lt;=DATE(1900,1,1),$L12&gt;TODAY())),"Birthdate must be an exact valid past date; ","")&amp;IF($P12="","Eligibility Date is required; ","")&amp;IF(AND($P12&lt;&gt;"",OR(NOT(ISNUMBER($P12)),$P12&lt;=DATE(1900,1,1))),"Eligibility Date must be a valid date; ","")&amp;IF(AND($R12="Terminated",$Q12=""),"Termination Date is required when Status is Terminated; ","")&amp;IF(AND($Q12&lt;&gt;"",OR(NOT(ISNUMBER($Q12)),$Q12&lt;=DATE(1900,1,1))),"Termination Date must be a valid date; ","")&amp;IF(AND(ISNUMBER($P12),ISNUMBER($Q12),$Q12&lt;$P12),"Termination Date cannot be before Eligibility Date; ","")&amp;IF($R12="","Status is required; ","")&amp;IF(AND($R12&lt;&gt;"",$R12&lt;&gt;"Active",$R12&lt;&gt;"Terminated"),"Status must be Active or Terminated; ","")&amp;IF(AND('START HERE'!$C$8="Terminations Only",$R12&lt;&gt;"Terminated"),"Terminations Only files must contain terminated records; ",""))</f>
        <v/>
      </c>
      <c r="AC12">
        <f>IF(COUNTA($A12:$U12)=0,"",IF($S12="","Plan Name is required; ","")&amp;IF($T12="","Benefit Coverage Level is required; ","")&amp;IF(AND($U12&lt;&gt;"",OR(NOT(ISNUMBER($U12)),$U12&lt;0)),"Plan Funding Amount must be a nonnegative number; ","")&amp;IF(AND($A12&lt;&gt;"",$S12&lt;&gt;"",COUNTIFS($A$2:$A$501,$A12,$B$2:$B$501,$B12,$S$2:$S$501,$S12)&gt;1),"Duplicate participant and plan row; ",""))</f>
        <v/>
      </c>
      <c r="AD12">
        <f>IF(COUNTA($A12:$U12)=0,"",IF(AND($X12="Employee",$M12="",$N12=""),"No employee phone or email provided; ","")&amp;IF(AND($R12="Active",$Q12&lt;&gt;""),"Active record includes a Termination Date; confirm this is intentional; ","")&amp;IF(AND($B12&lt;&gt;"",$B12&amp;""&lt;&gt;$A12&amp;"",COUNTIF($A$2:$A$501,$B12)&gt;0),"Dependent SSN also appears as an Employee SSN elsewhere; confirm dual-employee coverage is intentional; ","")&amp;IF(AND($B12&lt;&gt;"",COUNTIF($B$2:$B$501,$B12)&gt;COUNTIFS($A$2:$A$501,$A12,$B$2:$B$501,$B12)),"Dependent SSN appears under more than one employee; confirm duplicate family coverage is intentional; ","")&amp;IF(AND(ROW()&gt;2,$A12&lt;&gt;"",$A12&lt;&gt;$A11,COUNTIF($A$2:$A11,$A12)&gt;0),"This household appears in more than one section of the census; keep the family together; ","")&amp;IF(OR(AND($C12&lt;&gt;"",LEN($C12&amp;"")&lt;&gt;LEN(TRIM($C12&amp;""))),AND($D12&lt;&gt;"",LEN($D12&amp;"")&lt;&gt;LEN(TRIM($D12&amp;""))),AND($E12&lt;&gt;"",LEN($E12&amp;"")&lt;&gt;LEN(TRIM($E12&amp;""))),AND($F12&lt;&gt;"",LEN($F12&amp;"")&lt;&gt;LEN(TRIM($F12&amp;""))),AND($G12&lt;&gt;"",LEN($G12&amp;"")&lt;&gt;LEN(TRIM($G12&amp;""))),AND($H12&lt;&gt;"",LEN($H12&amp;"")&lt;&gt;LEN(TRIM($H12&amp;""))),AND($I12&lt;&gt;"",LEN($I12&amp;"")&lt;&gt;LEN(TRIM($I12&amp;""))),AND($J12&lt;&gt;"",LEN($J12&amp;"")&lt;&gt;LEN(TRIM($J12&amp;""))),AND($K12&lt;&gt;"",LEN($K12&amp;"")&lt;&gt;LEN(TRIM($K12&amp;""))),AND($M12&lt;&gt;"",LEN($M12&amp;"")&lt;&gt;LEN(TRIM($M12&amp;""))),AND($N12&lt;&gt;"",LEN($N12&amp;"")&lt;&gt;LEN(TRIM($N12&amp;""))),AND($O12&lt;&gt;"",LEN($O12&amp;"")&lt;&gt;LEN(TRIM($O12&amp;""))),AND($R12&lt;&gt;"",LEN($R12&amp;"")&lt;&gt;LEN(TRIM($R12&amp;""))),AND($S12&lt;&gt;"",LEN($S12&amp;"")&lt;&gt;LEN(TRIM($S12&amp;""))),AND($T12&lt;&gt;"",LEN($T12&amp;"")&lt;&gt;LEN(TRIM($T12&amp;"")))),"Remove leading or trailing spaces from text fields; ","")&amp;IF(OR(AND(LEN($C12)&gt;1,OR(EXACT($C12,UPPER($C12)),EXACT($C12,LOWER($C12)))),AND(LEN($D12)&gt;1,OR(EXACT($D12,UPPER($D12)),EXACT($D12,LOWER($D12)))),AND(LEN($H12)&gt;1,OR(EXACT($H12,UPPER($H12)),EXACT($H12,LOWER($H12))))),"Review capitalization in First Name, Last Name, or City; ","")&amp;IF(AND($N12&lt;&gt;"",NOT(EXACT($N12,LOWER($N12)))),"Email will be standardized to lowercase in the clean output; ","")&amp;IF(AND(OR('START HERE'!$C$8="Initial Enrollment",'START HERE'!$C$8="Open Enrollment"),$R12="Terminated"),"A terminated row is included in an initial or open enrollment file; confirm this is intentional; ",""))</f>
        <v/>
      </c>
      <c r="AE12">
        <f>IF(COUNTA($A12:$U12)=0,"",IF(OR($A12="",AND($A12&lt;&gt;"",NOT(IFERROR(AND(LEN($A12&amp;"")=9,ISNUMBER(--($A12&amp;""))),FALSE))),AND($A12&lt;&gt;"",OR($A12="123456789",$A12="987654321",$A12="012345678",$A12=REPT(LEFT($A12&amp;"",1),9)))),"Employee SSN, ","")&amp;IF(OR(AND($O12&lt;&gt;"",$B12=""),AND($B12&lt;&gt;"",OR(NOT(IFERROR(AND(LEN($B12&amp;"")=9,ISNUMBER(--($B12&amp;""))),FALSE)),$B12=$A12,$B12="123456789",$B12="987654321",$B12="012345678",$B12=REPT(LEFT($B12&amp;"",1),9)))),"Dependent SSN, ","")&amp;IF(OR($C12="",LEN($C12)&gt;19,AND($C12&lt;&gt;"",SUMPRODUCT(--(ROW($1:$19)&lt;=LEN($C12&amp;"")),--ISERROR(FIND(MID($C12&amp;"",ROW($1:$19),1),"ABCDEFGHIJKLMNOPQRSTUVWXYZabcdefghijklmnopqrstuvwxyz .,")))&gt;0)),"First Name, ","")&amp;IF(OR($D12="",LEN($D12)&gt;26,AND($D12&lt;&gt;"",SUMPRODUCT(--(ROW($1:$26)&lt;=LEN($D12&amp;"")),--ISERROR(FIND(MID($D12&amp;"",ROW($1:$26),1),"ABCDEFGHIJKLMNOPQRSTUVWXYZabcdefghijklmnopqrstuvwxyz .,")))&gt;0)),"Last Name, ","")&amp;IF(OR(LEN($E12)&gt;1,AND($E12&lt;&gt;"",SUMPRODUCT(--(ROW($1:$1)&lt;=LEN($E12&amp;"")),--ISERROR(FIND(MID($E12&amp;"",ROW($1:$1),1),"ABCDEFGHIJKLMNOPQRSTUVWXYZabcdefghijklmnopqrstuvwxyz .,")))&gt;0)),"Middle Initial, ","")&amp;IF(OR($F12="",LEN($F12)&gt;75),"Address, ","")&amp;IF(OR($H12="",LEN($H12)&gt;30),"City, ","")&amp;IF(AND($K12="US",OR($I12="",LEN($I12)&lt;&gt;2)),"State, ","")&amp;IF($J12="","ZIP, ","")&amp;IF(OR($K12="",AND($K12&lt;&gt;"US",$K12&lt;&gt;"CA")),"Country, ","")&amp;IF(OR($L12="",AND($L12&lt;&gt;"",OR(NOT(ISNUMBER($L12)),$L12&lt;=DATE(1900,1,1),$L12&gt;TODAY()))),"Birthdate, ","")&amp;IF(AND($N12&lt;&gt;"",NOT(IFERROR(AND(ISNUMBER(SEARCH("@",$N12)),ISNUMBER(SEARCH(".",$N12,SEARCH("@",$N12)+2))),FALSE))),"Email, ","")&amp;IF(OR(AND($B12&lt;&gt;"",$O12=""),AND($O12&lt;&gt;"",$O12&lt;&gt;"Spouse or Common Law Spouse",$O12&lt;&gt;"Domestic Partner",$O12&lt;&gt;"Child",$O12&lt;&gt;"Other",$O12&lt;&gt;"Estate",$O12&lt;&gt;"Unknown")),"Dependent Relationship, ","")&amp;IF($AA12&lt;&gt;"","Household, ","")&amp;IF(OR($P12="",AND($P12&lt;&gt;"",OR(NOT(ISNUMBER($P12)),$P12&lt;=DATE(1900,1,1)))),"Eligibility Date, ","")&amp;IF(OR(AND($R12="Terminated",$Q12=""),AND($Q12&lt;&gt;"",OR(NOT(ISNUMBER($Q12)),$Q12&lt;=DATE(1900,1,1))),AND(ISNUMBER($P12),ISNUMBER($Q12),$Q12&lt;$P12)),"Termination Date, ","")&amp;IF(OR($R12="",AND($R12&lt;&gt;"Active",$R12&lt;&gt;"Terminated"),AND('START HERE'!$C$8="Terminations Only",$R12&lt;&gt;"Terminated")),"Status, ","")&amp;IF($S12="","Plan Name, ","")&amp;IF($T12="","Coverage Level, ","")&amp;IF(AND($U12&lt;&gt;"",OR(NOT(ISNUMBER($U12)),$U12&lt;0)),"Funding, ","")&amp;IF(AND($A12&lt;&gt;"",$S12&lt;&gt;"",COUNTIFS($A$2:$A$501,$A12,$B$2:$B$501,$B12,$S$2:$S$501,$S12)&gt;1),"Duplicate Row, ",""))</f>
        <v/>
      </c>
      <c r="AF12">
        <f>IF(COUNTA($A12:$U12)=0,"",$Y12&amp;$Z12&amp;$AA12&amp;$AB12&amp;$AC12)</f>
        <v/>
      </c>
      <c r="AG12">
        <f>IF($N12="","",LOWER(TRIM($N12)))</f>
        <v/>
      </c>
      <c r="AH12">
        <f>IF($A12="","",COUNTIFS($A$2:$A$501,$A12,$AI$2:$AI$501,1))</f>
        <v/>
      </c>
      <c r="AI12">
        <f>IF(COUNTA($A12:$U12)=0,"",--($AF12&lt;&gt;""))</f>
        <v/>
      </c>
      <c r="AJ12">
        <f>IF(COUNTA($A12:$U12)=0,"",--($AD12&lt;&gt;""))</f>
        <v/>
      </c>
    </row>
    <row r="13" ht="20" customHeight="1">
      <c r="A13" s="80" t="n"/>
      <c r="B13" s="80" t="n"/>
      <c r="C13" s="81" t="n"/>
      <c r="D13" s="81" t="n"/>
      <c r="E13" s="80" t="n"/>
      <c r="F13" s="81" t="n"/>
      <c r="G13" s="81" t="n"/>
      <c r="H13" s="81" t="n"/>
      <c r="I13" s="80" t="n"/>
      <c r="J13" s="80" t="n"/>
      <c r="K13" s="80" t="n"/>
      <c r="L13" s="82" t="n"/>
      <c r="M13" s="80" t="n"/>
      <c r="N13" s="80" t="n"/>
      <c r="O13" s="80" t="n"/>
      <c r="P13" s="82" t="n"/>
      <c r="Q13" s="82" t="n"/>
      <c r="R13" s="80" t="n"/>
      <c r="S13" s="80" t="n"/>
      <c r="T13" s="80" t="n"/>
      <c r="U13" s="83" t="n"/>
      <c r="V13">
        <f>IF($A13="","",IF($A13=$A12,$V12,IF($V12="",0,1-$V12)))</f>
        <v/>
      </c>
      <c r="W13">
        <f>IF($B13&lt;&gt;"",$B13,$A13)</f>
        <v/>
      </c>
      <c r="X13">
        <f>IF(COUNTA($A13:$U13)=0,"",IF(OR($B13&lt;&gt;"",$O13&lt;&gt;""),"Dependent","Employee"))</f>
        <v/>
      </c>
      <c r="Y13">
        <f>IF(COUNTA($A13:$U13)=0,"",IF($A13="","Employee SSN is required; ","")&amp;IF($C13="","First Name is required; ","")&amp;IF(LEN($C13&amp;"")&gt;19,"First Name exceeds 19 characters; ","")&amp;IF(AND($C13&lt;&gt;"",SUMPRODUCT(--(ROW($1:$19)&lt;=LEN($C13&amp;"")),--ISERROR(FIND(MID($C13&amp;"",ROW($1:$19),1),"ABCDEFGHIJKLMNOPQRSTUVWXYZabcdefghijklmnopqrstuvwxyz .,")))&gt;0),"First Name contains unsupported or encoded characters; use plain A-Z letters only; ","")&amp;IF($D13="","Last Name is required; ","")&amp;IF(LEN($D13&amp;"")&gt;26,"Last Name exceeds 26 characters; ","")&amp;IF(AND($D13&lt;&gt;"",SUMPRODUCT(--(ROW($1:$26)&lt;=LEN($D13&amp;"")),--ISERROR(FIND(MID($D13&amp;"",ROW($1:$26),1),"ABCDEFGHIJKLMNOPQRSTUVWXYZabcdefghijklmnopqrstuvwxyz .,")))&gt;0),"Last Name contains unsupported or encoded characters; use plain A-Z letters only; ","")&amp;IF(LEN($E13&amp;"")&gt;1,"Middle Initial may contain only one character; ","")&amp;IF(AND($E13&lt;&gt;"",SUMPRODUCT(--(ROW($1:$1)&lt;=LEN($E13&amp;"")),--ISERROR(FIND(MID($E13&amp;"",ROW($1:$1),1),"ABCDEFGHIJKLMNOPQRSTUVWXYZabcdefghijklmnopqrstuvwxyz .,")))&gt;0),"Middle Initial must be a plain A-Z letter; ","")&amp;IF($F13="","Address is required; ","")&amp;IF(LEN($F13&amp;"")&gt;75,"Address exceeds 75 characters; ","")&amp;IF(LEN($G13&amp;"")&gt;75,"Address 2 exceeds 75 characters; ","")&amp;IF($H13="","City is required; ","")&amp;IF(LEN($H13&amp;"")&gt;30,"City exceeds 30 characters; ","")&amp;IF($K13="","Country is required; ","")&amp;IF(AND($K13&lt;&gt;"",$K13&lt;&gt;"US",$K13&lt;&gt;"CA"),"Country must be US or CA; ","")&amp;IF(AND($K13="US",OR($I13="",LEN($I13&amp;"")&lt;&gt;2)),"Use a 2-letter state code; ","")&amp;IF($J13="","ZIP or postal code is required; ","")&amp;IF(AND($K13="US",$J13&lt;&gt;"",NOT(IFERROR(OR(AND(LEN($J13&amp;"")=5,ISNUMBER(--($J13&amp;""))),AND(LEN($J13&amp;"")=9,ISNUMBER(--($J13&amp;""))),AND(LEN($J13&amp;"")=10,MID($J13&amp;"",6,1)="-",ISNUMBER(--SUBSTITUTE($J13&amp;"","-","")))),FALSE))),"US ZIP must be 5 or 9 digits, with an optional ZIP+4 hyphen; ","")&amp;IF(AND($N13&lt;&gt;"",NOT(IFERROR(AND(ISNUMBER(SEARCH("@",$N13)),ISNUMBER(SEARCH(".",$N13,SEARCH("@",$N13)+2))),FALSE))),"Email format appears invalid; ","")&amp;IF(AND($O13&lt;&gt;"",$B13=""),"Dependent SSN is required for every dependent; ","")&amp;IF(AND($B13&lt;&gt;"",$O13=""),"Dependent Relationship is required when Dependent SSN is entered; ","")&amp;IF(AND($O13&lt;&gt;"",$O13&lt;&gt;"Spouse or Common Law Spouse",$O13&lt;&gt;"Domestic Partner",$O13&lt;&gt;"Child",$O13&lt;&gt;"Other",$O13&lt;&gt;"Estate",$O13&lt;&gt;"Unknown"),"Dependent Relationship must use one of the approved options; ",""))</f>
        <v/>
      </c>
      <c r="Z13">
        <f>IF(COUNTA($A13:$U13)=0,"",IF(AND($A13&lt;&gt;"",NOT(IFERROR(AND(LEN($A13&amp;"")=9,ISNUMBER(--($A13&amp;""))),FALSE))),"Employee SSN must contain exactly 9 digits; ","")&amp;IF(AND($A13&lt;&gt;"",OR($A13="123456789",$A13="987654321",$A13="012345678",$A13=REPT(LEFT($A13&amp;"",1),9))),"Employee SSN appears to be a placeholder; ","")&amp;IF(AND($B13&lt;&gt;"",NOT(IFERROR(AND(LEN($B13&amp;"")=9,ISNUMBER(--($B13&amp;""))),FALSE))),"Dependent SSN must contain exactly 9 digits; ","")&amp;IF(AND($B13&lt;&gt;"",OR($B13="123456789",$B13="987654321",$B13="012345678",$B13=REPT(LEFT($B13&amp;"",1),9))),"Dependent SSN appears to be a placeholder; ","")&amp;IF(AND($A13&lt;&gt;"",$B13&lt;&gt;"",$A13&amp;""=$B13&amp;""),"Dependent SSN cannot match Employee SSN; ","")&amp;IF(AND($W13&lt;&gt;"",OR(COUNTIFS($W$2:$W$501,$W13,$C$2:$C$501,"&lt;&gt;"&amp;$C13)&gt;0,COUNTIFS($W$2:$W$501,$W13,$D$2:$D$501,"&lt;&gt;"&amp;$D13)&gt;0,COUNTIFS($W$2:$W$501,$W13,$L$2:$L$501,"&lt;&gt;"&amp;$L13)&gt;0)),"The same SSN is associated with a different name or birthdate; ",""))</f>
        <v/>
      </c>
      <c r="AA13">
        <f>IF(COUNTA($A13:$U13)=0,"",IF(AND($A13&lt;&gt;"",$S13&lt;&gt;"",COUNTIFS($A$2:$A$501,$A13,$S$2:$S$501,$S13,$B$2:$B$501,"",$O$2:$O$501,"")=0),"Add an employee row for this household and plan; ","")&amp;IF(AND($X13="Dependent",COUNTIFS($A$2:$A13,$A13,$S$2:$S13,$S13,$B$2:$B13,"",$O$2:$O13,"")=0),"Place the employee row before dependent rows for this plan; ","")&amp;IF(AND($X13="Dependent",COUNTIFS($A$2:$A$501,$A13,$S$2:$S$501,$S13,$B$2:$B$501,"",$O$2:$O$501,"")&gt;0,IFERROR(OR($P13&lt;&gt;LOOKUP(2,1/(($A$2:$A$501=$A13)*($S$2:$S$501=$S13)*($B$2:$B$501="")*($O$2:$O$501="")),$P$2:$P$501),$Q13&lt;&gt;LOOKUP(2,1/(($A$2:$A$501=$A13)*($S$2:$S$501=$S13)*($B$2:$B$501="")*($O$2:$O$501="")),$Q$2:$Q$501),$R13&lt;&gt;LOOKUP(2,1/(($A$2:$A$501=$A13)*($S$2:$S$501=$S13)*($B$2:$B$501="")*($O$2:$O$501="")),$R$2:$R$501),$T13&lt;&gt;LOOKUP(2,1/(($A$2:$A$501=$A13)*($S$2:$S$501=$S13)*($B$2:$B$501="")*($O$2:$O$501="")),$T$2:$T$501),$U13&lt;&gt;LOOKUP(2,1/(($A$2:$A$501=$A13)*($S$2:$S$501=$S13)*($B$2:$B$501="")*($O$2:$O$501="")),$U$2:$U$501)),FALSE)),"Dependent row does not match the employee row for eligibility, status, coverage level, or funding; ",""))</f>
        <v/>
      </c>
      <c r="AB13">
        <f>IF(COUNTA($A13:$U13)=0,"",IF($L13="","Birthdate is required; ","")&amp;IF(AND($L13&lt;&gt;"",OR(NOT(ISNUMBER($L13)),$L13&lt;=DATE(1900,1,1),$L13&gt;TODAY())),"Birthdate must be an exact valid past date; ","")&amp;IF($P13="","Eligibility Date is required; ","")&amp;IF(AND($P13&lt;&gt;"",OR(NOT(ISNUMBER($P13)),$P13&lt;=DATE(1900,1,1))),"Eligibility Date must be a valid date; ","")&amp;IF(AND($R13="Terminated",$Q13=""),"Termination Date is required when Status is Terminated; ","")&amp;IF(AND($Q13&lt;&gt;"",OR(NOT(ISNUMBER($Q13)),$Q13&lt;=DATE(1900,1,1))),"Termination Date must be a valid date; ","")&amp;IF(AND(ISNUMBER($P13),ISNUMBER($Q13),$Q13&lt;$P13),"Termination Date cannot be before Eligibility Date; ","")&amp;IF($R13="","Status is required; ","")&amp;IF(AND($R13&lt;&gt;"",$R13&lt;&gt;"Active",$R13&lt;&gt;"Terminated"),"Status must be Active or Terminated; ","")&amp;IF(AND('START HERE'!$C$8="Terminations Only",$R13&lt;&gt;"Terminated"),"Terminations Only files must contain terminated records; ",""))</f>
        <v/>
      </c>
      <c r="AC13">
        <f>IF(COUNTA($A13:$U13)=0,"",IF($S13="","Plan Name is required; ","")&amp;IF($T13="","Benefit Coverage Level is required; ","")&amp;IF(AND($U13&lt;&gt;"",OR(NOT(ISNUMBER($U13)),$U13&lt;0)),"Plan Funding Amount must be a nonnegative number; ","")&amp;IF(AND($A13&lt;&gt;"",$S13&lt;&gt;"",COUNTIFS($A$2:$A$501,$A13,$B$2:$B$501,$B13,$S$2:$S$501,$S13)&gt;1),"Duplicate participant and plan row; ",""))</f>
        <v/>
      </c>
      <c r="AD13">
        <f>IF(COUNTA($A13:$U13)=0,"",IF(AND($X13="Employee",$M13="",$N13=""),"No employee phone or email provided; ","")&amp;IF(AND($R13="Active",$Q13&lt;&gt;""),"Active record includes a Termination Date; confirm this is intentional; ","")&amp;IF(AND($B13&lt;&gt;"",$B13&amp;""&lt;&gt;$A13&amp;"",COUNTIF($A$2:$A$501,$B13)&gt;0),"Dependent SSN also appears as an Employee SSN elsewhere; confirm dual-employee coverage is intentional; ","")&amp;IF(AND($B13&lt;&gt;"",COUNTIF($B$2:$B$501,$B13)&gt;COUNTIFS($A$2:$A$501,$A13,$B$2:$B$501,$B13)),"Dependent SSN appears under more than one employee; confirm duplicate family coverage is intentional; ","")&amp;IF(AND(ROW()&gt;2,$A13&lt;&gt;"",$A13&lt;&gt;$A12,COUNTIF($A$2:$A12,$A13)&gt;0),"This household appears in more than one section of the census; keep the family together; ","")&amp;IF(OR(AND($C13&lt;&gt;"",LEN($C13&amp;"")&lt;&gt;LEN(TRIM($C13&amp;""))),AND($D13&lt;&gt;"",LEN($D13&amp;"")&lt;&gt;LEN(TRIM($D13&amp;""))),AND($E13&lt;&gt;"",LEN($E13&amp;"")&lt;&gt;LEN(TRIM($E13&amp;""))),AND($F13&lt;&gt;"",LEN($F13&amp;"")&lt;&gt;LEN(TRIM($F13&amp;""))),AND($G13&lt;&gt;"",LEN($G13&amp;"")&lt;&gt;LEN(TRIM($G13&amp;""))),AND($H13&lt;&gt;"",LEN($H13&amp;"")&lt;&gt;LEN(TRIM($H13&amp;""))),AND($I13&lt;&gt;"",LEN($I13&amp;"")&lt;&gt;LEN(TRIM($I13&amp;""))),AND($J13&lt;&gt;"",LEN($J13&amp;"")&lt;&gt;LEN(TRIM($J13&amp;""))),AND($K13&lt;&gt;"",LEN($K13&amp;"")&lt;&gt;LEN(TRIM($K13&amp;""))),AND($M13&lt;&gt;"",LEN($M13&amp;"")&lt;&gt;LEN(TRIM($M13&amp;""))),AND($N13&lt;&gt;"",LEN($N13&amp;"")&lt;&gt;LEN(TRIM($N13&amp;""))),AND($O13&lt;&gt;"",LEN($O13&amp;"")&lt;&gt;LEN(TRIM($O13&amp;""))),AND($R13&lt;&gt;"",LEN($R13&amp;"")&lt;&gt;LEN(TRIM($R13&amp;""))),AND($S13&lt;&gt;"",LEN($S13&amp;"")&lt;&gt;LEN(TRIM($S13&amp;""))),AND($T13&lt;&gt;"",LEN($T13&amp;"")&lt;&gt;LEN(TRIM($T13&amp;"")))),"Remove leading or trailing spaces from text fields; ","")&amp;IF(OR(AND(LEN($C13)&gt;1,OR(EXACT($C13,UPPER($C13)),EXACT($C13,LOWER($C13)))),AND(LEN($D13)&gt;1,OR(EXACT($D13,UPPER($D13)),EXACT($D13,LOWER($D13)))),AND(LEN($H13)&gt;1,OR(EXACT($H13,UPPER($H13)),EXACT($H13,LOWER($H13))))),"Review capitalization in First Name, Last Name, or City; ","")&amp;IF(AND($N13&lt;&gt;"",NOT(EXACT($N13,LOWER($N13)))),"Email will be standardized to lowercase in the clean output; ","")&amp;IF(AND(OR('START HERE'!$C$8="Initial Enrollment",'START HERE'!$C$8="Open Enrollment"),$R13="Terminated"),"A terminated row is included in an initial or open enrollment file; confirm this is intentional; ",""))</f>
        <v/>
      </c>
      <c r="AE13">
        <f>IF(COUNTA($A13:$U13)=0,"",IF(OR($A13="",AND($A13&lt;&gt;"",NOT(IFERROR(AND(LEN($A13&amp;"")=9,ISNUMBER(--($A13&amp;""))),FALSE))),AND($A13&lt;&gt;"",OR($A13="123456789",$A13="987654321",$A13="012345678",$A13=REPT(LEFT($A13&amp;"",1),9)))),"Employee SSN, ","")&amp;IF(OR(AND($O13&lt;&gt;"",$B13=""),AND($B13&lt;&gt;"",OR(NOT(IFERROR(AND(LEN($B13&amp;"")=9,ISNUMBER(--($B13&amp;""))),FALSE)),$B13=$A13,$B13="123456789",$B13="987654321",$B13="012345678",$B13=REPT(LEFT($B13&amp;"",1),9)))),"Dependent SSN, ","")&amp;IF(OR($C13="",LEN($C13)&gt;19,AND($C13&lt;&gt;"",SUMPRODUCT(--(ROW($1:$19)&lt;=LEN($C13&amp;"")),--ISERROR(FIND(MID($C13&amp;"",ROW($1:$19),1),"ABCDEFGHIJKLMNOPQRSTUVWXYZabcdefghijklmnopqrstuvwxyz .,")))&gt;0)),"First Name, ","")&amp;IF(OR($D13="",LEN($D13)&gt;26,AND($D13&lt;&gt;"",SUMPRODUCT(--(ROW($1:$26)&lt;=LEN($D13&amp;"")),--ISERROR(FIND(MID($D13&amp;"",ROW($1:$26),1),"ABCDEFGHIJKLMNOPQRSTUVWXYZabcdefghijklmnopqrstuvwxyz .,")))&gt;0)),"Last Name, ","")&amp;IF(OR(LEN($E13)&gt;1,AND($E13&lt;&gt;"",SUMPRODUCT(--(ROW($1:$1)&lt;=LEN($E13&amp;"")),--ISERROR(FIND(MID($E13&amp;"",ROW($1:$1),1),"ABCDEFGHIJKLMNOPQRSTUVWXYZabcdefghijklmnopqrstuvwxyz .,")))&gt;0)),"Middle Initial, ","")&amp;IF(OR($F13="",LEN($F13)&gt;75),"Address, ","")&amp;IF(OR($H13="",LEN($H13)&gt;30),"City, ","")&amp;IF(AND($K13="US",OR($I13="",LEN($I13)&lt;&gt;2)),"State, ","")&amp;IF($J13="","ZIP, ","")&amp;IF(OR($K13="",AND($K13&lt;&gt;"US",$K13&lt;&gt;"CA")),"Country, ","")&amp;IF(OR($L13="",AND($L13&lt;&gt;"",OR(NOT(ISNUMBER($L13)),$L13&lt;=DATE(1900,1,1),$L13&gt;TODAY()))),"Birthdate, ","")&amp;IF(AND($N13&lt;&gt;"",NOT(IFERROR(AND(ISNUMBER(SEARCH("@",$N13)),ISNUMBER(SEARCH(".",$N13,SEARCH("@",$N13)+2))),FALSE))),"Email, ","")&amp;IF(OR(AND($B13&lt;&gt;"",$O13=""),AND($O13&lt;&gt;"",$O13&lt;&gt;"Spouse or Common Law Spouse",$O13&lt;&gt;"Domestic Partner",$O13&lt;&gt;"Child",$O13&lt;&gt;"Other",$O13&lt;&gt;"Estate",$O13&lt;&gt;"Unknown")),"Dependent Relationship, ","")&amp;IF($AA13&lt;&gt;"","Household, ","")&amp;IF(OR($P13="",AND($P13&lt;&gt;"",OR(NOT(ISNUMBER($P13)),$P13&lt;=DATE(1900,1,1)))),"Eligibility Date, ","")&amp;IF(OR(AND($R13="Terminated",$Q13=""),AND($Q13&lt;&gt;"",OR(NOT(ISNUMBER($Q13)),$Q13&lt;=DATE(1900,1,1))),AND(ISNUMBER($P13),ISNUMBER($Q13),$Q13&lt;$P13)),"Termination Date, ","")&amp;IF(OR($R13="",AND($R13&lt;&gt;"Active",$R13&lt;&gt;"Terminated"),AND('START HERE'!$C$8="Terminations Only",$R13&lt;&gt;"Terminated")),"Status, ","")&amp;IF($S13="","Plan Name, ","")&amp;IF($T13="","Coverage Level, ","")&amp;IF(AND($U13&lt;&gt;"",OR(NOT(ISNUMBER($U13)),$U13&lt;0)),"Funding, ","")&amp;IF(AND($A13&lt;&gt;"",$S13&lt;&gt;"",COUNTIFS($A$2:$A$501,$A13,$B$2:$B$501,$B13,$S$2:$S$501,$S13)&gt;1),"Duplicate Row, ",""))</f>
        <v/>
      </c>
      <c r="AF13">
        <f>IF(COUNTA($A13:$U13)=0,"",$Y13&amp;$Z13&amp;$AA13&amp;$AB13&amp;$AC13)</f>
        <v/>
      </c>
      <c r="AG13">
        <f>IF($N13="","",LOWER(TRIM($N13)))</f>
        <v/>
      </c>
      <c r="AH13">
        <f>IF($A13="","",COUNTIFS($A$2:$A$501,$A13,$AI$2:$AI$501,1))</f>
        <v/>
      </c>
      <c r="AI13">
        <f>IF(COUNTA($A13:$U13)=0,"",--($AF13&lt;&gt;""))</f>
        <v/>
      </c>
      <c r="AJ13">
        <f>IF(COUNTA($A13:$U13)=0,"",--($AD13&lt;&gt;""))</f>
        <v/>
      </c>
    </row>
    <row r="14" ht="20" customHeight="1">
      <c r="A14" s="80" t="n"/>
      <c r="B14" s="80" t="n"/>
      <c r="C14" s="81" t="n"/>
      <c r="D14" s="81" t="n"/>
      <c r="E14" s="80" t="n"/>
      <c r="F14" s="81" t="n"/>
      <c r="G14" s="81" t="n"/>
      <c r="H14" s="81" t="n"/>
      <c r="I14" s="80" t="n"/>
      <c r="J14" s="80" t="n"/>
      <c r="K14" s="80" t="n"/>
      <c r="L14" s="82" t="n"/>
      <c r="M14" s="80" t="n"/>
      <c r="N14" s="80" t="n"/>
      <c r="O14" s="80" t="n"/>
      <c r="P14" s="82" t="n"/>
      <c r="Q14" s="82" t="n"/>
      <c r="R14" s="80" t="n"/>
      <c r="S14" s="80" t="n"/>
      <c r="T14" s="80" t="n"/>
      <c r="U14" s="83" t="n"/>
      <c r="V14">
        <f>IF($A14="","",IF($A14=$A13,$V13,IF($V13="",0,1-$V13)))</f>
        <v/>
      </c>
      <c r="W14">
        <f>IF($B14&lt;&gt;"",$B14,$A14)</f>
        <v/>
      </c>
      <c r="X14">
        <f>IF(COUNTA($A14:$U14)=0,"",IF(OR($B14&lt;&gt;"",$O14&lt;&gt;""),"Dependent","Employee"))</f>
        <v/>
      </c>
      <c r="Y14">
        <f>IF(COUNTA($A14:$U14)=0,"",IF($A14="","Employee SSN is required; ","")&amp;IF($C14="","First Name is required; ","")&amp;IF(LEN($C14&amp;"")&gt;19,"First Name exceeds 19 characters; ","")&amp;IF(AND($C14&lt;&gt;"",SUMPRODUCT(--(ROW($1:$19)&lt;=LEN($C14&amp;"")),--ISERROR(FIND(MID($C14&amp;"",ROW($1:$19),1),"ABCDEFGHIJKLMNOPQRSTUVWXYZabcdefghijklmnopqrstuvwxyz .,")))&gt;0),"First Name contains unsupported or encoded characters; use plain A-Z letters only; ","")&amp;IF($D14="","Last Name is required; ","")&amp;IF(LEN($D14&amp;"")&gt;26,"Last Name exceeds 26 characters; ","")&amp;IF(AND($D14&lt;&gt;"",SUMPRODUCT(--(ROW($1:$26)&lt;=LEN($D14&amp;"")),--ISERROR(FIND(MID($D14&amp;"",ROW($1:$26),1),"ABCDEFGHIJKLMNOPQRSTUVWXYZabcdefghijklmnopqrstuvwxyz .,")))&gt;0),"Last Name contains unsupported or encoded characters; use plain A-Z letters only; ","")&amp;IF(LEN($E14&amp;"")&gt;1,"Middle Initial may contain only one character; ","")&amp;IF(AND($E14&lt;&gt;"",SUMPRODUCT(--(ROW($1:$1)&lt;=LEN($E14&amp;"")),--ISERROR(FIND(MID($E14&amp;"",ROW($1:$1),1),"ABCDEFGHIJKLMNOPQRSTUVWXYZabcdefghijklmnopqrstuvwxyz .,")))&gt;0),"Middle Initial must be a plain A-Z letter; ","")&amp;IF($F14="","Address is required; ","")&amp;IF(LEN($F14&amp;"")&gt;75,"Address exceeds 75 characters; ","")&amp;IF(LEN($G14&amp;"")&gt;75,"Address 2 exceeds 75 characters; ","")&amp;IF($H14="","City is required; ","")&amp;IF(LEN($H14&amp;"")&gt;30,"City exceeds 30 characters; ","")&amp;IF($K14="","Country is required; ","")&amp;IF(AND($K14&lt;&gt;"",$K14&lt;&gt;"US",$K14&lt;&gt;"CA"),"Country must be US or CA; ","")&amp;IF(AND($K14="US",OR($I14="",LEN($I14&amp;"")&lt;&gt;2)),"Use a 2-letter state code; ","")&amp;IF($J14="","ZIP or postal code is required; ","")&amp;IF(AND($K14="US",$J14&lt;&gt;"",NOT(IFERROR(OR(AND(LEN($J14&amp;"")=5,ISNUMBER(--($J14&amp;""))),AND(LEN($J14&amp;"")=9,ISNUMBER(--($J14&amp;""))),AND(LEN($J14&amp;"")=10,MID($J14&amp;"",6,1)="-",ISNUMBER(--SUBSTITUTE($J14&amp;"","-","")))),FALSE))),"US ZIP must be 5 or 9 digits, with an optional ZIP+4 hyphen; ","")&amp;IF(AND($N14&lt;&gt;"",NOT(IFERROR(AND(ISNUMBER(SEARCH("@",$N14)),ISNUMBER(SEARCH(".",$N14,SEARCH("@",$N14)+2))),FALSE))),"Email format appears invalid; ","")&amp;IF(AND($O14&lt;&gt;"",$B14=""),"Dependent SSN is required for every dependent; ","")&amp;IF(AND($B14&lt;&gt;"",$O14=""),"Dependent Relationship is required when Dependent SSN is entered; ","")&amp;IF(AND($O14&lt;&gt;"",$O14&lt;&gt;"Spouse or Common Law Spouse",$O14&lt;&gt;"Domestic Partner",$O14&lt;&gt;"Child",$O14&lt;&gt;"Other",$O14&lt;&gt;"Estate",$O14&lt;&gt;"Unknown"),"Dependent Relationship must use one of the approved options; ",""))</f>
        <v/>
      </c>
      <c r="Z14">
        <f>IF(COUNTA($A14:$U14)=0,"",IF(AND($A14&lt;&gt;"",NOT(IFERROR(AND(LEN($A14&amp;"")=9,ISNUMBER(--($A14&amp;""))),FALSE))),"Employee SSN must contain exactly 9 digits; ","")&amp;IF(AND($A14&lt;&gt;"",OR($A14="123456789",$A14="987654321",$A14="012345678",$A14=REPT(LEFT($A14&amp;"",1),9))),"Employee SSN appears to be a placeholder; ","")&amp;IF(AND($B14&lt;&gt;"",NOT(IFERROR(AND(LEN($B14&amp;"")=9,ISNUMBER(--($B14&amp;""))),FALSE))),"Dependent SSN must contain exactly 9 digits; ","")&amp;IF(AND($B14&lt;&gt;"",OR($B14="123456789",$B14="987654321",$B14="012345678",$B14=REPT(LEFT($B14&amp;"",1),9))),"Dependent SSN appears to be a placeholder; ","")&amp;IF(AND($A14&lt;&gt;"",$B14&lt;&gt;"",$A14&amp;""=$B14&amp;""),"Dependent SSN cannot match Employee SSN; ","")&amp;IF(AND($W14&lt;&gt;"",OR(COUNTIFS($W$2:$W$501,$W14,$C$2:$C$501,"&lt;&gt;"&amp;$C14)&gt;0,COUNTIFS($W$2:$W$501,$W14,$D$2:$D$501,"&lt;&gt;"&amp;$D14)&gt;0,COUNTIFS($W$2:$W$501,$W14,$L$2:$L$501,"&lt;&gt;"&amp;$L14)&gt;0)),"The same SSN is associated with a different name or birthdate; ",""))</f>
        <v/>
      </c>
      <c r="AA14">
        <f>IF(COUNTA($A14:$U14)=0,"",IF(AND($A14&lt;&gt;"",$S14&lt;&gt;"",COUNTIFS($A$2:$A$501,$A14,$S$2:$S$501,$S14,$B$2:$B$501,"",$O$2:$O$501,"")=0),"Add an employee row for this household and plan; ","")&amp;IF(AND($X14="Dependent",COUNTIFS($A$2:$A14,$A14,$S$2:$S14,$S14,$B$2:$B14,"",$O$2:$O14,"")=0),"Place the employee row before dependent rows for this plan; ","")&amp;IF(AND($X14="Dependent",COUNTIFS($A$2:$A$501,$A14,$S$2:$S$501,$S14,$B$2:$B$501,"",$O$2:$O$501,"")&gt;0,IFERROR(OR($P14&lt;&gt;LOOKUP(2,1/(($A$2:$A$501=$A14)*($S$2:$S$501=$S14)*($B$2:$B$501="")*($O$2:$O$501="")),$P$2:$P$501),$Q14&lt;&gt;LOOKUP(2,1/(($A$2:$A$501=$A14)*($S$2:$S$501=$S14)*($B$2:$B$501="")*($O$2:$O$501="")),$Q$2:$Q$501),$R14&lt;&gt;LOOKUP(2,1/(($A$2:$A$501=$A14)*($S$2:$S$501=$S14)*($B$2:$B$501="")*($O$2:$O$501="")),$R$2:$R$501),$T14&lt;&gt;LOOKUP(2,1/(($A$2:$A$501=$A14)*($S$2:$S$501=$S14)*($B$2:$B$501="")*($O$2:$O$501="")),$T$2:$T$501),$U14&lt;&gt;LOOKUP(2,1/(($A$2:$A$501=$A14)*($S$2:$S$501=$S14)*($B$2:$B$501="")*($O$2:$O$501="")),$U$2:$U$501)),FALSE)),"Dependent row does not match the employee row for eligibility, status, coverage level, or funding; ",""))</f>
        <v/>
      </c>
      <c r="AB14">
        <f>IF(COUNTA($A14:$U14)=0,"",IF($L14="","Birthdate is required; ","")&amp;IF(AND($L14&lt;&gt;"",OR(NOT(ISNUMBER($L14)),$L14&lt;=DATE(1900,1,1),$L14&gt;TODAY())),"Birthdate must be an exact valid past date; ","")&amp;IF($P14="","Eligibility Date is required; ","")&amp;IF(AND($P14&lt;&gt;"",OR(NOT(ISNUMBER($P14)),$P14&lt;=DATE(1900,1,1))),"Eligibility Date must be a valid date; ","")&amp;IF(AND($R14="Terminated",$Q14=""),"Termination Date is required when Status is Terminated; ","")&amp;IF(AND($Q14&lt;&gt;"",OR(NOT(ISNUMBER($Q14)),$Q14&lt;=DATE(1900,1,1))),"Termination Date must be a valid date; ","")&amp;IF(AND(ISNUMBER($P14),ISNUMBER($Q14),$Q14&lt;$P14),"Termination Date cannot be before Eligibility Date; ","")&amp;IF($R14="","Status is required; ","")&amp;IF(AND($R14&lt;&gt;"",$R14&lt;&gt;"Active",$R14&lt;&gt;"Terminated"),"Status must be Active or Terminated; ","")&amp;IF(AND('START HERE'!$C$8="Terminations Only",$R14&lt;&gt;"Terminated"),"Terminations Only files must contain terminated records; ",""))</f>
        <v/>
      </c>
      <c r="AC14">
        <f>IF(COUNTA($A14:$U14)=0,"",IF($S14="","Plan Name is required; ","")&amp;IF($T14="","Benefit Coverage Level is required; ","")&amp;IF(AND($U14&lt;&gt;"",OR(NOT(ISNUMBER($U14)),$U14&lt;0)),"Plan Funding Amount must be a nonnegative number; ","")&amp;IF(AND($A14&lt;&gt;"",$S14&lt;&gt;"",COUNTIFS($A$2:$A$501,$A14,$B$2:$B$501,$B14,$S$2:$S$501,$S14)&gt;1),"Duplicate participant and plan row; ",""))</f>
        <v/>
      </c>
      <c r="AD14">
        <f>IF(COUNTA($A14:$U14)=0,"",IF(AND($X14="Employee",$M14="",$N14=""),"No employee phone or email provided; ","")&amp;IF(AND($R14="Active",$Q14&lt;&gt;""),"Active record includes a Termination Date; confirm this is intentional; ","")&amp;IF(AND($B14&lt;&gt;"",$B14&amp;""&lt;&gt;$A14&amp;"",COUNTIF($A$2:$A$501,$B14)&gt;0),"Dependent SSN also appears as an Employee SSN elsewhere; confirm dual-employee coverage is intentional; ","")&amp;IF(AND($B14&lt;&gt;"",COUNTIF($B$2:$B$501,$B14)&gt;COUNTIFS($A$2:$A$501,$A14,$B$2:$B$501,$B14)),"Dependent SSN appears under more than one employee; confirm duplicate family coverage is intentional; ","")&amp;IF(AND(ROW()&gt;2,$A14&lt;&gt;"",$A14&lt;&gt;$A13,COUNTIF($A$2:$A13,$A14)&gt;0),"This household appears in more than one section of the census; keep the family together; ","")&amp;IF(OR(AND($C14&lt;&gt;"",LEN($C14&amp;"")&lt;&gt;LEN(TRIM($C14&amp;""))),AND($D14&lt;&gt;"",LEN($D14&amp;"")&lt;&gt;LEN(TRIM($D14&amp;""))),AND($E14&lt;&gt;"",LEN($E14&amp;"")&lt;&gt;LEN(TRIM($E14&amp;""))),AND($F14&lt;&gt;"",LEN($F14&amp;"")&lt;&gt;LEN(TRIM($F14&amp;""))),AND($G14&lt;&gt;"",LEN($G14&amp;"")&lt;&gt;LEN(TRIM($G14&amp;""))),AND($H14&lt;&gt;"",LEN($H14&amp;"")&lt;&gt;LEN(TRIM($H14&amp;""))),AND($I14&lt;&gt;"",LEN($I14&amp;"")&lt;&gt;LEN(TRIM($I14&amp;""))),AND($J14&lt;&gt;"",LEN($J14&amp;"")&lt;&gt;LEN(TRIM($J14&amp;""))),AND($K14&lt;&gt;"",LEN($K14&amp;"")&lt;&gt;LEN(TRIM($K14&amp;""))),AND($M14&lt;&gt;"",LEN($M14&amp;"")&lt;&gt;LEN(TRIM($M14&amp;""))),AND($N14&lt;&gt;"",LEN($N14&amp;"")&lt;&gt;LEN(TRIM($N14&amp;""))),AND($O14&lt;&gt;"",LEN($O14&amp;"")&lt;&gt;LEN(TRIM($O14&amp;""))),AND($R14&lt;&gt;"",LEN($R14&amp;"")&lt;&gt;LEN(TRIM($R14&amp;""))),AND($S14&lt;&gt;"",LEN($S14&amp;"")&lt;&gt;LEN(TRIM($S14&amp;""))),AND($T14&lt;&gt;"",LEN($T14&amp;"")&lt;&gt;LEN(TRIM($T14&amp;"")))),"Remove leading or trailing spaces from text fields; ","")&amp;IF(OR(AND(LEN($C14)&gt;1,OR(EXACT($C14,UPPER($C14)),EXACT($C14,LOWER($C14)))),AND(LEN($D14)&gt;1,OR(EXACT($D14,UPPER($D14)),EXACT($D14,LOWER($D14)))),AND(LEN($H14)&gt;1,OR(EXACT($H14,UPPER($H14)),EXACT($H14,LOWER($H14))))),"Review capitalization in First Name, Last Name, or City; ","")&amp;IF(AND($N14&lt;&gt;"",NOT(EXACT($N14,LOWER($N14)))),"Email will be standardized to lowercase in the clean output; ","")&amp;IF(AND(OR('START HERE'!$C$8="Initial Enrollment",'START HERE'!$C$8="Open Enrollment"),$R14="Terminated"),"A terminated row is included in an initial or open enrollment file; confirm this is intentional; ",""))</f>
        <v/>
      </c>
      <c r="AE14">
        <f>IF(COUNTA($A14:$U14)=0,"",IF(OR($A14="",AND($A14&lt;&gt;"",NOT(IFERROR(AND(LEN($A14&amp;"")=9,ISNUMBER(--($A14&amp;""))),FALSE))),AND($A14&lt;&gt;"",OR($A14="123456789",$A14="987654321",$A14="012345678",$A14=REPT(LEFT($A14&amp;"",1),9)))),"Employee SSN, ","")&amp;IF(OR(AND($O14&lt;&gt;"",$B14=""),AND($B14&lt;&gt;"",OR(NOT(IFERROR(AND(LEN($B14&amp;"")=9,ISNUMBER(--($B14&amp;""))),FALSE)),$B14=$A14,$B14="123456789",$B14="987654321",$B14="012345678",$B14=REPT(LEFT($B14&amp;"",1),9)))),"Dependent SSN, ","")&amp;IF(OR($C14="",LEN($C14)&gt;19,AND($C14&lt;&gt;"",SUMPRODUCT(--(ROW($1:$19)&lt;=LEN($C14&amp;"")),--ISERROR(FIND(MID($C14&amp;"",ROW($1:$19),1),"ABCDEFGHIJKLMNOPQRSTUVWXYZabcdefghijklmnopqrstuvwxyz .,")))&gt;0)),"First Name, ","")&amp;IF(OR($D14="",LEN($D14)&gt;26,AND($D14&lt;&gt;"",SUMPRODUCT(--(ROW($1:$26)&lt;=LEN($D14&amp;"")),--ISERROR(FIND(MID($D14&amp;"",ROW($1:$26),1),"ABCDEFGHIJKLMNOPQRSTUVWXYZabcdefghijklmnopqrstuvwxyz .,")))&gt;0)),"Last Name, ","")&amp;IF(OR(LEN($E14)&gt;1,AND($E14&lt;&gt;"",SUMPRODUCT(--(ROW($1:$1)&lt;=LEN($E14&amp;"")),--ISERROR(FIND(MID($E14&amp;"",ROW($1:$1),1),"ABCDEFGHIJKLMNOPQRSTUVWXYZabcdefghijklmnopqrstuvwxyz .,")))&gt;0)),"Middle Initial, ","")&amp;IF(OR($F14="",LEN($F14)&gt;75),"Address, ","")&amp;IF(OR($H14="",LEN($H14)&gt;30),"City, ","")&amp;IF(AND($K14="US",OR($I14="",LEN($I14)&lt;&gt;2)),"State, ","")&amp;IF($J14="","ZIP, ","")&amp;IF(OR($K14="",AND($K14&lt;&gt;"US",$K14&lt;&gt;"CA")),"Country, ","")&amp;IF(OR($L14="",AND($L14&lt;&gt;"",OR(NOT(ISNUMBER($L14)),$L14&lt;=DATE(1900,1,1),$L14&gt;TODAY()))),"Birthdate, ","")&amp;IF(AND($N14&lt;&gt;"",NOT(IFERROR(AND(ISNUMBER(SEARCH("@",$N14)),ISNUMBER(SEARCH(".",$N14,SEARCH("@",$N14)+2))),FALSE))),"Email, ","")&amp;IF(OR(AND($B14&lt;&gt;"",$O14=""),AND($O14&lt;&gt;"",$O14&lt;&gt;"Spouse or Common Law Spouse",$O14&lt;&gt;"Domestic Partner",$O14&lt;&gt;"Child",$O14&lt;&gt;"Other",$O14&lt;&gt;"Estate",$O14&lt;&gt;"Unknown")),"Dependent Relationship, ","")&amp;IF($AA14&lt;&gt;"","Household, ","")&amp;IF(OR($P14="",AND($P14&lt;&gt;"",OR(NOT(ISNUMBER($P14)),$P14&lt;=DATE(1900,1,1)))),"Eligibility Date, ","")&amp;IF(OR(AND($R14="Terminated",$Q14=""),AND($Q14&lt;&gt;"",OR(NOT(ISNUMBER($Q14)),$Q14&lt;=DATE(1900,1,1))),AND(ISNUMBER($P14),ISNUMBER($Q14),$Q14&lt;$P14)),"Termination Date, ","")&amp;IF(OR($R14="",AND($R14&lt;&gt;"Active",$R14&lt;&gt;"Terminated"),AND('START HERE'!$C$8="Terminations Only",$R14&lt;&gt;"Terminated")),"Status, ","")&amp;IF($S14="","Plan Name, ","")&amp;IF($T14="","Coverage Level, ","")&amp;IF(AND($U14&lt;&gt;"",OR(NOT(ISNUMBER($U14)),$U14&lt;0)),"Funding, ","")&amp;IF(AND($A14&lt;&gt;"",$S14&lt;&gt;"",COUNTIFS($A$2:$A$501,$A14,$B$2:$B$501,$B14,$S$2:$S$501,$S14)&gt;1),"Duplicate Row, ",""))</f>
        <v/>
      </c>
      <c r="AF14">
        <f>IF(COUNTA($A14:$U14)=0,"",$Y14&amp;$Z14&amp;$AA14&amp;$AB14&amp;$AC14)</f>
        <v/>
      </c>
      <c r="AG14">
        <f>IF($N14="","",LOWER(TRIM($N14)))</f>
        <v/>
      </c>
      <c r="AH14">
        <f>IF($A14="","",COUNTIFS($A$2:$A$501,$A14,$AI$2:$AI$501,1))</f>
        <v/>
      </c>
      <c r="AI14">
        <f>IF(COUNTA($A14:$U14)=0,"",--($AF14&lt;&gt;""))</f>
        <v/>
      </c>
      <c r="AJ14">
        <f>IF(COUNTA($A14:$U14)=0,"",--($AD14&lt;&gt;""))</f>
        <v/>
      </c>
    </row>
    <row r="15" ht="20" customHeight="1">
      <c r="A15" s="80" t="n"/>
      <c r="B15" s="80" t="n"/>
      <c r="C15" s="81" t="n"/>
      <c r="D15" s="81" t="n"/>
      <c r="E15" s="80" t="n"/>
      <c r="F15" s="81" t="n"/>
      <c r="G15" s="81" t="n"/>
      <c r="H15" s="81" t="n"/>
      <c r="I15" s="80" t="n"/>
      <c r="J15" s="80" t="n"/>
      <c r="K15" s="80" t="n"/>
      <c r="L15" s="82" t="n"/>
      <c r="M15" s="80" t="n"/>
      <c r="N15" s="80" t="n"/>
      <c r="O15" s="80" t="n"/>
      <c r="P15" s="82" t="n"/>
      <c r="Q15" s="82" t="n"/>
      <c r="R15" s="80" t="n"/>
      <c r="S15" s="80" t="n"/>
      <c r="T15" s="80" t="n"/>
      <c r="U15" s="83" t="n"/>
      <c r="V15">
        <f>IF($A15="","",IF($A15=$A14,$V14,IF($V14="",0,1-$V14)))</f>
        <v/>
      </c>
      <c r="W15">
        <f>IF($B15&lt;&gt;"",$B15,$A15)</f>
        <v/>
      </c>
      <c r="X15">
        <f>IF(COUNTA($A15:$U15)=0,"",IF(OR($B15&lt;&gt;"",$O15&lt;&gt;""),"Dependent","Employee"))</f>
        <v/>
      </c>
      <c r="Y15">
        <f>IF(COUNTA($A15:$U15)=0,"",IF($A15="","Employee SSN is required; ","")&amp;IF($C15="","First Name is required; ","")&amp;IF(LEN($C15&amp;"")&gt;19,"First Name exceeds 19 characters; ","")&amp;IF(AND($C15&lt;&gt;"",SUMPRODUCT(--(ROW($1:$19)&lt;=LEN($C15&amp;"")),--ISERROR(FIND(MID($C15&amp;"",ROW($1:$19),1),"ABCDEFGHIJKLMNOPQRSTUVWXYZabcdefghijklmnopqrstuvwxyz .,")))&gt;0),"First Name contains unsupported or encoded characters; use plain A-Z letters only; ","")&amp;IF($D15="","Last Name is required; ","")&amp;IF(LEN($D15&amp;"")&gt;26,"Last Name exceeds 26 characters; ","")&amp;IF(AND($D15&lt;&gt;"",SUMPRODUCT(--(ROW($1:$26)&lt;=LEN($D15&amp;"")),--ISERROR(FIND(MID($D15&amp;"",ROW($1:$26),1),"ABCDEFGHIJKLMNOPQRSTUVWXYZabcdefghijklmnopqrstuvwxyz .,")))&gt;0),"Last Name contains unsupported or encoded characters; use plain A-Z letters only; ","")&amp;IF(LEN($E15&amp;"")&gt;1,"Middle Initial may contain only one character; ","")&amp;IF(AND($E15&lt;&gt;"",SUMPRODUCT(--(ROW($1:$1)&lt;=LEN($E15&amp;"")),--ISERROR(FIND(MID($E15&amp;"",ROW($1:$1),1),"ABCDEFGHIJKLMNOPQRSTUVWXYZabcdefghijklmnopqrstuvwxyz .,")))&gt;0),"Middle Initial must be a plain A-Z letter; ","")&amp;IF($F15="","Address is required; ","")&amp;IF(LEN($F15&amp;"")&gt;75,"Address exceeds 75 characters; ","")&amp;IF(LEN($G15&amp;"")&gt;75,"Address 2 exceeds 75 characters; ","")&amp;IF($H15="","City is required; ","")&amp;IF(LEN($H15&amp;"")&gt;30,"City exceeds 30 characters; ","")&amp;IF($K15="","Country is required; ","")&amp;IF(AND($K15&lt;&gt;"",$K15&lt;&gt;"US",$K15&lt;&gt;"CA"),"Country must be US or CA; ","")&amp;IF(AND($K15="US",OR($I15="",LEN($I15&amp;"")&lt;&gt;2)),"Use a 2-letter state code; ","")&amp;IF($J15="","ZIP or postal code is required; ","")&amp;IF(AND($K15="US",$J15&lt;&gt;"",NOT(IFERROR(OR(AND(LEN($J15&amp;"")=5,ISNUMBER(--($J15&amp;""))),AND(LEN($J15&amp;"")=9,ISNUMBER(--($J15&amp;""))),AND(LEN($J15&amp;"")=10,MID($J15&amp;"",6,1)="-",ISNUMBER(--SUBSTITUTE($J15&amp;"","-","")))),FALSE))),"US ZIP must be 5 or 9 digits, with an optional ZIP+4 hyphen; ","")&amp;IF(AND($N15&lt;&gt;"",NOT(IFERROR(AND(ISNUMBER(SEARCH("@",$N15)),ISNUMBER(SEARCH(".",$N15,SEARCH("@",$N15)+2))),FALSE))),"Email format appears invalid; ","")&amp;IF(AND($O15&lt;&gt;"",$B15=""),"Dependent SSN is required for every dependent; ","")&amp;IF(AND($B15&lt;&gt;"",$O15=""),"Dependent Relationship is required when Dependent SSN is entered; ","")&amp;IF(AND($O15&lt;&gt;"",$O15&lt;&gt;"Spouse or Common Law Spouse",$O15&lt;&gt;"Domestic Partner",$O15&lt;&gt;"Child",$O15&lt;&gt;"Other",$O15&lt;&gt;"Estate",$O15&lt;&gt;"Unknown"),"Dependent Relationship must use one of the approved options; ",""))</f>
        <v/>
      </c>
      <c r="Z15">
        <f>IF(COUNTA($A15:$U15)=0,"",IF(AND($A15&lt;&gt;"",NOT(IFERROR(AND(LEN($A15&amp;"")=9,ISNUMBER(--($A15&amp;""))),FALSE))),"Employee SSN must contain exactly 9 digits; ","")&amp;IF(AND($A15&lt;&gt;"",OR($A15="123456789",$A15="987654321",$A15="012345678",$A15=REPT(LEFT($A15&amp;"",1),9))),"Employee SSN appears to be a placeholder; ","")&amp;IF(AND($B15&lt;&gt;"",NOT(IFERROR(AND(LEN($B15&amp;"")=9,ISNUMBER(--($B15&amp;""))),FALSE))),"Dependent SSN must contain exactly 9 digits; ","")&amp;IF(AND($B15&lt;&gt;"",OR($B15="123456789",$B15="987654321",$B15="012345678",$B15=REPT(LEFT($B15&amp;"",1),9))),"Dependent SSN appears to be a placeholder; ","")&amp;IF(AND($A15&lt;&gt;"",$B15&lt;&gt;"",$A15&amp;""=$B15&amp;""),"Dependent SSN cannot match Employee SSN; ","")&amp;IF(AND($W15&lt;&gt;"",OR(COUNTIFS($W$2:$W$501,$W15,$C$2:$C$501,"&lt;&gt;"&amp;$C15)&gt;0,COUNTIFS($W$2:$W$501,$W15,$D$2:$D$501,"&lt;&gt;"&amp;$D15)&gt;0,COUNTIFS($W$2:$W$501,$W15,$L$2:$L$501,"&lt;&gt;"&amp;$L15)&gt;0)),"The same SSN is associated with a different name or birthdate; ",""))</f>
        <v/>
      </c>
      <c r="AA15">
        <f>IF(COUNTA($A15:$U15)=0,"",IF(AND($A15&lt;&gt;"",$S15&lt;&gt;"",COUNTIFS($A$2:$A$501,$A15,$S$2:$S$501,$S15,$B$2:$B$501,"",$O$2:$O$501,"")=0),"Add an employee row for this household and plan; ","")&amp;IF(AND($X15="Dependent",COUNTIFS($A$2:$A15,$A15,$S$2:$S15,$S15,$B$2:$B15,"",$O$2:$O15,"")=0),"Place the employee row before dependent rows for this plan; ","")&amp;IF(AND($X15="Dependent",COUNTIFS($A$2:$A$501,$A15,$S$2:$S$501,$S15,$B$2:$B$501,"",$O$2:$O$501,"")&gt;0,IFERROR(OR($P15&lt;&gt;LOOKUP(2,1/(($A$2:$A$501=$A15)*($S$2:$S$501=$S15)*($B$2:$B$501="")*($O$2:$O$501="")),$P$2:$P$501),$Q15&lt;&gt;LOOKUP(2,1/(($A$2:$A$501=$A15)*($S$2:$S$501=$S15)*($B$2:$B$501="")*($O$2:$O$501="")),$Q$2:$Q$501),$R15&lt;&gt;LOOKUP(2,1/(($A$2:$A$501=$A15)*($S$2:$S$501=$S15)*($B$2:$B$501="")*($O$2:$O$501="")),$R$2:$R$501),$T15&lt;&gt;LOOKUP(2,1/(($A$2:$A$501=$A15)*($S$2:$S$501=$S15)*($B$2:$B$501="")*($O$2:$O$501="")),$T$2:$T$501),$U15&lt;&gt;LOOKUP(2,1/(($A$2:$A$501=$A15)*($S$2:$S$501=$S15)*($B$2:$B$501="")*($O$2:$O$501="")),$U$2:$U$501)),FALSE)),"Dependent row does not match the employee row for eligibility, status, coverage level, or funding; ",""))</f>
        <v/>
      </c>
      <c r="AB15">
        <f>IF(COUNTA($A15:$U15)=0,"",IF($L15="","Birthdate is required; ","")&amp;IF(AND($L15&lt;&gt;"",OR(NOT(ISNUMBER($L15)),$L15&lt;=DATE(1900,1,1),$L15&gt;TODAY())),"Birthdate must be an exact valid past date; ","")&amp;IF($P15="","Eligibility Date is required; ","")&amp;IF(AND($P15&lt;&gt;"",OR(NOT(ISNUMBER($P15)),$P15&lt;=DATE(1900,1,1))),"Eligibility Date must be a valid date; ","")&amp;IF(AND($R15="Terminated",$Q15=""),"Termination Date is required when Status is Terminated; ","")&amp;IF(AND($Q15&lt;&gt;"",OR(NOT(ISNUMBER($Q15)),$Q15&lt;=DATE(1900,1,1))),"Termination Date must be a valid date; ","")&amp;IF(AND(ISNUMBER($P15),ISNUMBER($Q15),$Q15&lt;$P15),"Termination Date cannot be before Eligibility Date; ","")&amp;IF($R15="","Status is required; ","")&amp;IF(AND($R15&lt;&gt;"",$R15&lt;&gt;"Active",$R15&lt;&gt;"Terminated"),"Status must be Active or Terminated; ","")&amp;IF(AND('START HERE'!$C$8="Terminations Only",$R15&lt;&gt;"Terminated"),"Terminations Only files must contain terminated records; ",""))</f>
        <v/>
      </c>
      <c r="AC15">
        <f>IF(COUNTA($A15:$U15)=0,"",IF($S15="","Plan Name is required; ","")&amp;IF($T15="","Benefit Coverage Level is required; ","")&amp;IF(AND($U15&lt;&gt;"",OR(NOT(ISNUMBER($U15)),$U15&lt;0)),"Plan Funding Amount must be a nonnegative number; ","")&amp;IF(AND($A15&lt;&gt;"",$S15&lt;&gt;"",COUNTIFS($A$2:$A$501,$A15,$B$2:$B$501,$B15,$S$2:$S$501,$S15)&gt;1),"Duplicate participant and plan row; ",""))</f>
        <v/>
      </c>
      <c r="AD15">
        <f>IF(COUNTA($A15:$U15)=0,"",IF(AND($X15="Employee",$M15="",$N15=""),"No employee phone or email provided; ","")&amp;IF(AND($R15="Active",$Q15&lt;&gt;""),"Active record includes a Termination Date; confirm this is intentional; ","")&amp;IF(AND($B15&lt;&gt;"",$B15&amp;""&lt;&gt;$A15&amp;"",COUNTIF($A$2:$A$501,$B15)&gt;0),"Dependent SSN also appears as an Employee SSN elsewhere; confirm dual-employee coverage is intentional; ","")&amp;IF(AND($B15&lt;&gt;"",COUNTIF($B$2:$B$501,$B15)&gt;COUNTIFS($A$2:$A$501,$A15,$B$2:$B$501,$B15)),"Dependent SSN appears under more than one employee; confirm duplicate family coverage is intentional; ","")&amp;IF(AND(ROW()&gt;2,$A15&lt;&gt;"",$A15&lt;&gt;$A14,COUNTIF($A$2:$A14,$A15)&gt;0),"This household appears in more than one section of the census; keep the family together; ","")&amp;IF(OR(AND($C15&lt;&gt;"",LEN($C15&amp;"")&lt;&gt;LEN(TRIM($C15&amp;""))),AND($D15&lt;&gt;"",LEN($D15&amp;"")&lt;&gt;LEN(TRIM($D15&amp;""))),AND($E15&lt;&gt;"",LEN($E15&amp;"")&lt;&gt;LEN(TRIM($E15&amp;""))),AND($F15&lt;&gt;"",LEN($F15&amp;"")&lt;&gt;LEN(TRIM($F15&amp;""))),AND($G15&lt;&gt;"",LEN($G15&amp;"")&lt;&gt;LEN(TRIM($G15&amp;""))),AND($H15&lt;&gt;"",LEN($H15&amp;"")&lt;&gt;LEN(TRIM($H15&amp;""))),AND($I15&lt;&gt;"",LEN($I15&amp;"")&lt;&gt;LEN(TRIM($I15&amp;""))),AND($J15&lt;&gt;"",LEN($J15&amp;"")&lt;&gt;LEN(TRIM($J15&amp;""))),AND($K15&lt;&gt;"",LEN($K15&amp;"")&lt;&gt;LEN(TRIM($K15&amp;""))),AND($M15&lt;&gt;"",LEN($M15&amp;"")&lt;&gt;LEN(TRIM($M15&amp;""))),AND($N15&lt;&gt;"",LEN($N15&amp;"")&lt;&gt;LEN(TRIM($N15&amp;""))),AND($O15&lt;&gt;"",LEN($O15&amp;"")&lt;&gt;LEN(TRIM($O15&amp;""))),AND($R15&lt;&gt;"",LEN($R15&amp;"")&lt;&gt;LEN(TRIM($R15&amp;""))),AND($S15&lt;&gt;"",LEN($S15&amp;"")&lt;&gt;LEN(TRIM($S15&amp;""))),AND($T15&lt;&gt;"",LEN($T15&amp;"")&lt;&gt;LEN(TRIM($T15&amp;"")))),"Remove leading or trailing spaces from text fields; ","")&amp;IF(OR(AND(LEN($C15)&gt;1,OR(EXACT($C15,UPPER($C15)),EXACT($C15,LOWER($C15)))),AND(LEN($D15)&gt;1,OR(EXACT($D15,UPPER($D15)),EXACT($D15,LOWER($D15)))),AND(LEN($H15)&gt;1,OR(EXACT($H15,UPPER($H15)),EXACT($H15,LOWER($H15))))),"Review capitalization in First Name, Last Name, or City; ","")&amp;IF(AND($N15&lt;&gt;"",NOT(EXACT($N15,LOWER($N15)))),"Email will be standardized to lowercase in the clean output; ","")&amp;IF(AND(OR('START HERE'!$C$8="Initial Enrollment",'START HERE'!$C$8="Open Enrollment"),$R15="Terminated"),"A terminated row is included in an initial or open enrollment file; confirm this is intentional; ",""))</f>
        <v/>
      </c>
      <c r="AE15">
        <f>IF(COUNTA($A15:$U15)=0,"",IF(OR($A15="",AND($A15&lt;&gt;"",NOT(IFERROR(AND(LEN($A15&amp;"")=9,ISNUMBER(--($A15&amp;""))),FALSE))),AND($A15&lt;&gt;"",OR($A15="123456789",$A15="987654321",$A15="012345678",$A15=REPT(LEFT($A15&amp;"",1),9)))),"Employee SSN, ","")&amp;IF(OR(AND($O15&lt;&gt;"",$B15=""),AND($B15&lt;&gt;"",OR(NOT(IFERROR(AND(LEN($B15&amp;"")=9,ISNUMBER(--($B15&amp;""))),FALSE)),$B15=$A15,$B15="123456789",$B15="987654321",$B15="012345678",$B15=REPT(LEFT($B15&amp;"",1),9)))),"Dependent SSN, ","")&amp;IF(OR($C15="",LEN($C15)&gt;19,AND($C15&lt;&gt;"",SUMPRODUCT(--(ROW($1:$19)&lt;=LEN($C15&amp;"")),--ISERROR(FIND(MID($C15&amp;"",ROW($1:$19),1),"ABCDEFGHIJKLMNOPQRSTUVWXYZabcdefghijklmnopqrstuvwxyz .,")))&gt;0)),"First Name, ","")&amp;IF(OR($D15="",LEN($D15)&gt;26,AND($D15&lt;&gt;"",SUMPRODUCT(--(ROW($1:$26)&lt;=LEN($D15&amp;"")),--ISERROR(FIND(MID($D15&amp;"",ROW($1:$26),1),"ABCDEFGHIJKLMNOPQRSTUVWXYZabcdefghijklmnopqrstuvwxyz .,")))&gt;0)),"Last Name, ","")&amp;IF(OR(LEN($E15)&gt;1,AND($E15&lt;&gt;"",SUMPRODUCT(--(ROW($1:$1)&lt;=LEN($E15&amp;"")),--ISERROR(FIND(MID($E15&amp;"",ROW($1:$1),1),"ABCDEFGHIJKLMNOPQRSTUVWXYZabcdefghijklmnopqrstuvwxyz .,")))&gt;0)),"Middle Initial, ","")&amp;IF(OR($F15="",LEN($F15)&gt;75),"Address, ","")&amp;IF(OR($H15="",LEN($H15)&gt;30),"City, ","")&amp;IF(AND($K15="US",OR($I15="",LEN($I15)&lt;&gt;2)),"State, ","")&amp;IF($J15="","ZIP, ","")&amp;IF(OR($K15="",AND($K15&lt;&gt;"US",$K15&lt;&gt;"CA")),"Country, ","")&amp;IF(OR($L15="",AND($L15&lt;&gt;"",OR(NOT(ISNUMBER($L15)),$L15&lt;=DATE(1900,1,1),$L15&gt;TODAY()))),"Birthdate, ","")&amp;IF(AND($N15&lt;&gt;"",NOT(IFERROR(AND(ISNUMBER(SEARCH("@",$N15)),ISNUMBER(SEARCH(".",$N15,SEARCH("@",$N15)+2))),FALSE))),"Email, ","")&amp;IF(OR(AND($B15&lt;&gt;"",$O15=""),AND($O15&lt;&gt;"",$O15&lt;&gt;"Spouse or Common Law Spouse",$O15&lt;&gt;"Domestic Partner",$O15&lt;&gt;"Child",$O15&lt;&gt;"Other",$O15&lt;&gt;"Estate",$O15&lt;&gt;"Unknown")),"Dependent Relationship, ","")&amp;IF($AA15&lt;&gt;"","Household, ","")&amp;IF(OR($P15="",AND($P15&lt;&gt;"",OR(NOT(ISNUMBER($P15)),$P15&lt;=DATE(1900,1,1)))),"Eligibility Date, ","")&amp;IF(OR(AND($R15="Terminated",$Q15=""),AND($Q15&lt;&gt;"",OR(NOT(ISNUMBER($Q15)),$Q15&lt;=DATE(1900,1,1))),AND(ISNUMBER($P15),ISNUMBER($Q15),$Q15&lt;$P15)),"Termination Date, ","")&amp;IF(OR($R15="",AND($R15&lt;&gt;"Active",$R15&lt;&gt;"Terminated"),AND('START HERE'!$C$8="Terminations Only",$R15&lt;&gt;"Terminated")),"Status, ","")&amp;IF($S15="","Plan Name, ","")&amp;IF($T15="","Coverage Level, ","")&amp;IF(AND($U15&lt;&gt;"",OR(NOT(ISNUMBER($U15)),$U15&lt;0)),"Funding, ","")&amp;IF(AND($A15&lt;&gt;"",$S15&lt;&gt;"",COUNTIFS($A$2:$A$501,$A15,$B$2:$B$501,$B15,$S$2:$S$501,$S15)&gt;1),"Duplicate Row, ",""))</f>
        <v/>
      </c>
      <c r="AF15">
        <f>IF(COUNTA($A15:$U15)=0,"",$Y15&amp;$Z15&amp;$AA15&amp;$AB15&amp;$AC15)</f>
        <v/>
      </c>
      <c r="AG15">
        <f>IF($N15="","",LOWER(TRIM($N15)))</f>
        <v/>
      </c>
      <c r="AH15">
        <f>IF($A15="","",COUNTIFS($A$2:$A$501,$A15,$AI$2:$AI$501,1))</f>
        <v/>
      </c>
      <c r="AI15">
        <f>IF(COUNTA($A15:$U15)=0,"",--($AF15&lt;&gt;""))</f>
        <v/>
      </c>
      <c r="AJ15">
        <f>IF(COUNTA($A15:$U15)=0,"",--($AD15&lt;&gt;""))</f>
        <v/>
      </c>
    </row>
    <row r="16" ht="20" customHeight="1">
      <c r="A16" s="80" t="n"/>
      <c r="B16" s="80" t="n"/>
      <c r="C16" s="81" t="n"/>
      <c r="D16" s="81" t="n"/>
      <c r="E16" s="80" t="n"/>
      <c r="F16" s="81" t="n"/>
      <c r="G16" s="81" t="n"/>
      <c r="H16" s="81" t="n"/>
      <c r="I16" s="80" t="n"/>
      <c r="J16" s="80" t="n"/>
      <c r="K16" s="80" t="n"/>
      <c r="L16" s="82" t="n"/>
      <c r="M16" s="80" t="n"/>
      <c r="N16" s="80" t="n"/>
      <c r="O16" s="80" t="n"/>
      <c r="P16" s="82" t="n"/>
      <c r="Q16" s="82" t="n"/>
      <c r="R16" s="80" t="n"/>
      <c r="S16" s="80" t="n"/>
      <c r="T16" s="80" t="n"/>
      <c r="U16" s="83" t="n"/>
      <c r="V16">
        <f>IF($A16="","",IF($A16=$A15,$V15,IF($V15="",0,1-$V15)))</f>
        <v/>
      </c>
      <c r="W16">
        <f>IF($B16&lt;&gt;"",$B16,$A16)</f>
        <v/>
      </c>
      <c r="X16">
        <f>IF(COUNTA($A16:$U16)=0,"",IF(OR($B16&lt;&gt;"",$O16&lt;&gt;""),"Dependent","Employee"))</f>
        <v/>
      </c>
      <c r="Y16">
        <f>IF(COUNTA($A16:$U16)=0,"",IF($A16="","Employee SSN is required; ","")&amp;IF($C16="","First Name is required; ","")&amp;IF(LEN($C16&amp;"")&gt;19,"First Name exceeds 19 characters; ","")&amp;IF(AND($C16&lt;&gt;"",SUMPRODUCT(--(ROW($1:$19)&lt;=LEN($C16&amp;"")),--ISERROR(FIND(MID($C16&amp;"",ROW($1:$19),1),"ABCDEFGHIJKLMNOPQRSTUVWXYZabcdefghijklmnopqrstuvwxyz .,")))&gt;0),"First Name contains unsupported or encoded characters; use plain A-Z letters only; ","")&amp;IF($D16="","Last Name is required; ","")&amp;IF(LEN($D16&amp;"")&gt;26,"Last Name exceeds 26 characters; ","")&amp;IF(AND($D16&lt;&gt;"",SUMPRODUCT(--(ROW($1:$26)&lt;=LEN($D16&amp;"")),--ISERROR(FIND(MID($D16&amp;"",ROW($1:$26),1),"ABCDEFGHIJKLMNOPQRSTUVWXYZabcdefghijklmnopqrstuvwxyz .,")))&gt;0),"Last Name contains unsupported or encoded characters; use plain A-Z letters only; ","")&amp;IF(LEN($E16&amp;"")&gt;1,"Middle Initial may contain only one character; ","")&amp;IF(AND($E16&lt;&gt;"",SUMPRODUCT(--(ROW($1:$1)&lt;=LEN($E16&amp;"")),--ISERROR(FIND(MID($E16&amp;"",ROW($1:$1),1),"ABCDEFGHIJKLMNOPQRSTUVWXYZabcdefghijklmnopqrstuvwxyz .,")))&gt;0),"Middle Initial must be a plain A-Z letter; ","")&amp;IF($F16="","Address is required; ","")&amp;IF(LEN($F16&amp;"")&gt;75,"Address exceeds 75 characters; ","")&amp;IF(LEN($G16&amp;"")&gt;75,"Address 2 exceeds 75 characters; ","")&amp;IF($H16="","City is required; ","")&amp;IF(LEN($H16&amp;"")&gt;30,"City exceeds 30 characters; ","")&amp;IF($K16="","Country is required; ","")&amp;IF(AND($K16&lt;&gt;"",$K16&lt;&gt;"US",$K16&lt;&gt;"CA"),"Country must be US or CA; ","")&amp;IF(AND($K16="US",OR($I16="",LEN($I16&amp;"")&lt;&gt;2)),"Use a 2-letter state code; ","")&amp;IF($J16="","ZIP or postal code is required; ","")&amp;IF(AND($K16="US",$J16&lt;&gt;"",NOT(IFERROR(OR(AND(LEN($J16&amp;"")=5,ISNUMBER(--($J16&amp;""))),AND(LEN($J16&amp;"")=9,ISNUMBER(--($J16&amp;""))),AND(LEN($J16&amp;"")=10,MID($J16&amp;"",6,1)="-",ISNUMBER(--SUBSTITUTE($J16&amp;"","-","")))),FALSE))),"US ZIP must be 5 or 9 digits, with an optional ZIP+4 hyphen; ","")&amp;IF(AND($N16&lt;&gt;"",NOT(IFERROR(AND(ISNUMBER(SEARCH("@",$N16)),ISNUMBER(SEARCH(".",$N16,SEARCH("@",$N16)+2))),FALSE))),"Email format appears invalid; ","")&amp;IF(AND($O16&lt;&gt;"",$B16=""),"Dependent SSN is required for every dependent; ","")&amp;IF(AND($B16&lt;&gt;"",$O16=""),"Dependent Relationship is required when Dependent SSN is entered; ","")&amp;IF(AND($O16&lt;&gt;"",$O16&lt;&gt;"Spouse or Common Law Spouse",$O16&lt;&gt;"Domestic Partner",$O16&lt;&gt;"Child",$O16&lt;&gt;"Other",$O16&lt;&gt;"Estate",$O16&lt;&gt;"Unknown"),"Dependent Relationship must use one of the approved options; ",""))</f>
        <v/>
      </c>
      <c r="Z16">
        <f>IF(COUNTA($A16:$U16)=0,"",IF(AND($A16&lt;&gt;"",NOT(IFERROR(AND(LEN($A16&amp;"")=9,ISNUMBER(--($A16&amp;""))),FALSE))),"Employee SSN must contain exactly 9 digits; ","")&amp;IF(AND($A16&lt;&gt;"",OR($A16="123456789",$A16="987654321",$A16="012345678",$A16=REPT(LEFT($A16&amp;"",1),9))),"Employee SSN appears to be a placeholder; ","")&amp;IF(AND($B16&lt;&gt;"",NOT(IFERROR(AND(LEN($B16&amp;"")=9,ISNUMBER(--($B16&amp;""))),FALSE))),"Dependent SSN must contain exactly 9 digits; ","")&amp;IF(AND($B16&lt;&gt;"",OR($B16="123456789",$B16="987654321",$B16="012345678",$B16=REPT(LEFT($B16&amp;"",1),9))),"Dependent SSN appears to be a placeholder; ","")&amp;IF(AND($A16&lt;&gt;"",$B16&lt;&gt;"",$A16&amp;""=$B16&amp;""),"Dependent SSN cannot match Employee SSN; ","")&amp;IF(AND($W16&lt;&gt;"",OR(COUNTIFS($W$2:$W$501,$W16,$C$2:$C$501,"&lt;&gt;"&amp;$C16)&gt;0,COUNTIFS($W$2:$W$501,$W16,$D$2:$D$501,"&lt;&gt;"&amp;$D16)&gt;0,COUNTIFS($W$2:$W$501,$W16,$L$2:$L$501,"&lt;&gt;"&amp;$L16)&gt;0)),"The same SSN is associated with a different name or birthdate; ",""))</f>
        <v/>
      </c>
      <c r="AA16">
        <f>IF(COUNTA($A16:$U16)=0,"",IF(AND($A16&lt;&gt;"",$S16&lt;&gt;"",COUNTIFS($A$2:$A$501,$A16,$S$2:$S$501,$S16,$B$2:$B$501,"",$O$2:$O$501,"")=0),"Add an employee row for this household and plan; ","")&amp;IF(AND($X16="Dependent",COUNTIFS($A$2:$A16,$A16,$S$2:$S16,$S16,$B$2:$B16,"",$O$2:$O16,"")=0),"Place the employee row before dependent rows for this plan; ","")&amp;IF(AND($X16="Dependent",COUNTIFS($A$2:$A$501,$A16,$S$2:$S$501,$S16,$B$2:$B$501,"",$O$2:$O$501,"")&gt;0,IFERROR(OR($P16&lt;&gt;LOOKUP(2,1/(($A$2:$A$501=$A16)*($S$2:$S$501=$S16)*($B$2:$B$501="")*($O$2:$O$501="")),$P$2:$P$501),$Q16&lt;&gt;LOOKUP(2,1/(($A$2:$A$501=$A16)*($S$2:$S$501=$S16)*($B$2:$B$501="")*($O$2:$O$501="")),$Q$2:$Q$501),$R16&lt;&gt;LOOKUP(2,1/(($A$2:$A$501=$A16)*($S$2:$S$501=$S16)*($B$2:$B$501="")*($O$2:$O$501="")),$R$2:$R$501),$T16&lt;&gt;LOOKUP(2,1/(($A$2:$A$501=$A16)*($S$2:$S$501=$S16)*($B$2:$B$501="")*($O$2:$O$501="")),$T$2:$T$501),$U16&lt;&gt;LOOKUP(2,1/(($A$2:$A$501=$A16)*($S$2:$S$501=$S16)*($B$2:$B$501="")*($O$2:$O$501="")),$U$2:$U$501)),FALSE)),"Dependent row does not match the employee row for eligibility, status, coverage level, or funding; ",""))</f>
        <v/>
      </c>
      <c r="AB16">
        <f>IF(COUNTA($A16:$U16)=0,"",IF($L16="","Birthdate is required; ","")&amp;IF(AND($L16&lt;&gt;"",OR(NOT(ISNUMBER($L16)),$L16&lt;=DATE(1900,1,1),$L16&gt;TODAY())),"Birthdate must be an exact valid past date; ","")&amp;IF($P16="","Eligibility Date is required; ","")&amp;IF(AND($P16&lt;&gt;"",OR(NOT(ISNUMBER($P16)),$P16&lt;=DATE(1900,1,1))),"Eligibility Date must be a valid date; ","")&amp;IF(AND($R16="Terminated",$Q16=""),"Termination Date is required when Status is Terminated; ","")&amp;IF(AND($Q16&lt;&gt;"",OR(NOT(ISNUMBER($Q16)),$Q16&lt;=DATE(1900,1,1))),"Termination Date must be a valid date; ","")&amp;IF(AND(ISNUMBER($P16),ISNUMBER($Q16),$Q16&lt;$P16),"Termination Date cannot be before Eligibility Date; ","")&amp;IF($R16="","Status is required; ","")&amp;IF(AND($R16&lt;&gt;"",$R16&lt;&gt;"Active",$R16&lt;&gt;"Terminated"),"Status must be Active or Terminated; ","")&amp;IF(AND('START HERE'!$C$8="Terminations Only",$R16&lt;&gt;"Terminated"),"Terminations Only files must contain terminated records; ",""))</f>
        <v/>
      </c>
      <c r="AC16">
        <f>IF(COUNTA($A16:$U16)=0,"",IF($S16="","Plan Name is required; ","")&amp;IF($T16="","Benefit Coverage Level is required; ","")&amp;IF(AND($U16&lt;&gt;"",OR(NOT(ISNUMBER($U16)),$U16&lt;0)),"Plan Funding Amount must be a nonnegative number; ","")&amp;IF(AND($A16&lt;&gt;"",$S16&lt;&gt;"",COUNTIFS($A$2:$A$501,$A16,$B$2:$B$501,$B16,$S$2:$S$501,$S16)&gt;1),"Duplicate participant and plan row; ",""))</f>
        <v/>
      </c>
      <c r="AD16">
        <f>IF(COUNTA($A16:$U16)=0,"",IF(AND($X16="Employee",$M16="",$N16=""),"No employee phone or email provided; ","")&amp;IF(AND($R16="Active",$Q16&lt;&gt;""),"Active record includes a Termination Date; confirm this is intentional; ","")&amp;IF(AND($B16&lt;&gt;"",$B16&amp;""&lt;&gt;$A16&amp;"",COUNTIF($A$2:$A$501,$B16)&gt;0),"Dependent SSN also appears as an Employee SSN elsewhere; confirm dual-employee coverage is intentional; ","")&amp;IF(AND($B16&lt;&gt;"",COUNTIF($B$2:$B$501,$B16)&gt;COUNTIFS($A$2:$A$501,$A16,$B$2:$B$501,$B16)),"Dependent SSN appears under more than one employee; confirm duplicate family coverage is intentional; ","")&amp;IF(AND(ROW()&gt;2,$A16&lt;&gt;"",$A16&lt;&gt;$A15,COUNTIF($A$2:$A15,$A16)&gt;0),"This household appears in more than one section of the census; keep the family together; ","")&amp;IF(OR(AND($C16&lt;&gt;"",LEN($C16&amp;"")&lt;&gt;LEN(TRIM($C16&amp;""))),AND($D16&lt;&gt;"",LEN($D16&amp;"")&lt;&gt;LEN(TRIM($D16&amp;""))),AND($E16&lt;&gt;"",LEN($E16&amp;"")&lt;&gt;LEN(TRIM($E16&amp;""))),AND($F16&lt;&gt;"",LEN($F16&amp;"")&lt;&gt;LEN(TRIM($F16&amp;""))),AND($G16&lt;&gt;"",LEN($G16&amp;"")&lt;&gt;LEN(TRIM($G16&amp;""))),AND($H16&lt;&gt;"",LEN($H16&amp;"")&lt;&gt;LEN(TRIM($H16&amp;""))),AND($I16&lt;&gt;"",LEN($I16&amp;"")&lt;&gt;LEN(TRIM($I16&amp;""))),AND($J16&lt;&gt;"",LEN($J16&amp;"")&lt;&gt;LEN(TRIM($J16&amp;""))),AND($K16&lt;&gt;"",LEN($K16&amp;"")&lt;&gt;LEN(TRIM($K16&amp;""))),AND($M16&lt;&gt;"",LEN($M16&amp;"")&lt;&gt;LEN(TRIM($M16&amp;""))),AND($N16&lt;&gt;"",LEN($N16&amp;"")&lt;&gt;LEN(TRIM($N16&amp;""))),AND($O16&lt;&gt;"",LEN($O16&amp;"")&lt;&gt;LEN(TRIM($O16&amp;""))),AND($R16&lt;&gt;"",LEN($R16&amp;"")&lt;&gt;LEN(TRIM($R16&amp;""))),AND($S16&lt;&gt;"",LEN($S16&amp;"")&lt;&gt;LEN(TRIM($S16&amp;""))),AND($T16&lt;&gt;"",LEN($T16&amp;"")&lt;&gt;LEN(TRIM($T16&amp;"")))),"Remove leading or trailing spaces from text fields; ","")&amp;IF(OR(AND(LEN($C16)&gt;1,OR(EXACT($C16,UPPER($C16)),EXACT($C16,LOWER($C16)))),AND(LEN($D16)&gt;1,OR(EXACT($D16,UPPER($D16)),EXACT($D16,LOWER($D16)))),AND(LEN($H16)&gt;1,OR(EXACT($H16,UPPER($H16)),EXACT($H16,LOWER($H16))))),"Review capitalization in First Name, Last Name, or City; ","")&amp;IF(AND($N16&lt;&gt;"",NOT(EXACT($N16,LOWER($N16)))),"Email will be standardized to lowercase in the clean output; ","")&amp;IF(AND(OR('START HERE'!$C$8="Initial Enrollment",'START HERE'!$C$8="Open Enrollment"),$R16="Terminated"),"A terminated row is included in an initial or open enrollment file; confirm this is intentional; ",""))</f>
        <v/>
      </c>
      <c r="AE16">
        <f>IF(COUNTA($A16:$U16)=0,"",IF(OR($A16="",AND($A16&lt;&gt;"",NOT(IFERROR(AND(LEN($A16&amp;"")=9,ISNUMBER(--($A16&amp;""))),FALSE))),AND($A16&lt;&gt;"",OR($A16="123456789",$A16="987654321",$A16="012345678",$A16=REPT(LEFT($A16&amp;"",1),9)))),"Employee SSN, ","")&amp;IF(OR(AND($O16&lt;&gt;"",$B16=""),AND($B16&lt;&gt;"",OR(NOT(IFERROR(AND(LEN($B16&amp;"")=9,ISNUMBER(--($B16&amp;""))),FALSE)),$B16=$A16,$B16="123456789",$B16="987654321",$B16="012345678",$B16=REPT(LEFT($B16&amp;"",1),9)))),"Dependent SSN, ","")&amp;IF(OR($C16="",LEN($C16)&gt;19,AND($C16&lt;&gt;"",SUMPRODUCT(--(ROW($1:$19)&lt;=LEN($C16&amp;"")),--ISERROR(FIND(MID($C16&amp;"",ROW($1:$19),1),"ABCDEFGHIJKLMNOPQRSTUVWXYZabcdefghijklmnopqrstuvwxyz .,")))&gt;0)),"First Name, ","")&amp;IF(OR($D16="",LEN($D16)&gt;26,AND($D16&lt;&gt;"",SUMPRODUCT(--(ROW($1:$26)&lt;=LEN($D16&amp;"")),--ISERROR(FIND(MID($D16&amp;"",ROW($1:$26),1),"ABCDEFGHIJKLMNOPQRSTUVWXYZabcdefghijklmnopqrstuvwxyz .,")))&gt;0)),"Last Name, ","")&amp;IF(OR(LEN($E16)&gt;1,AND($E16&lt;&gt;"",SUMPRODUCT(--(ROW($1:$1)&lt;=LEN($E16&amp;"")),--ISERROR(FIND(MID($E16&amp;"",ROW($1:$1),1),"ABCDEFGHIJKLMNOPQRSTUVWXYZabcdefghijklmnopqrstuvwxyz .,")))&gt;0)),"Middle Initial, ","")&amp;IF(OR($F16="",LEN($F16)&gt;75),"Address, ","")&amp;IF(OR($H16="",LEN($H16)&gt;30),"City, ","")&amp;IF(AND($K16="US",OR($I16="",LEN($I16)&lt;&gt;2)),"State, ","")&amp;IF($J16="","ZIP, ","")&amp;IF(OR($K16="",AND($K16&lt;&gt;"US",$K16&lt;&gt;"CA")),"Country, ","")&amp;IF(OR($L16="",AND($L16&lt;&gt;"",OR(NOT(ISNUMBER($L16)),$L16&lt;=DATE(1900,1,1),$L16&gt;TODAY()))),"Birthdate, ","")&amp;IF(AND($N16&lt;&gt;"",NOT(IFERROR(AND(ISNUMBER(SEARCH("@",$N16)),ISNUMBER(SEARCH(".",$N16,SEARCH("@",$N16)+2))),FALSE))),"Email, ","")&amp;IF(OR(AND($B16&lt;&gt;"",$O16=""),AND($O16&lt;&gt;"",$O16&lt;&gt;"Spouse or Common Law Spouse",$O16&lt;&gt;"Domestic Partner",$O16&lt;&gt;"Child",$O16&lt;&gt;"Other",$O16&lt;&gt;"Estate",$O16&lt;&gt;"Unknown")),"Dependent Relationship, ","")&amp;IF($AA16&lt;&gt;"","Household, ","")&amp;IF(OR($P16="",AND($P16&lt;&gt;"",OR(NOT(ISNUMBER($P16)),$P16&lt;=DATE(1900,1,1)))),"Eligibility Date, ","")&amp;IF(OR(AND($R16="Terminated",$Q16=""),AND($Q16&lt;&gt;"",OR(NOT(ISNUMBER($Q16)),$Q16&lt;=DATE(1900,1,1))),AND(ISNUMBER($P16),ISNUMBER($Q16),$Q16&lt;$P16)),"Termination Date, ","")&amp;IF(OR($R16="",AND($R16&lt;&gt;"Active",$R16&lt;&gt;"Terminated"),AND('START HERE'!$C$8="Terminations Only",$R16&lt;&gt;"Terminated")),"Status, ","")&amp;IF($S16="","Plan Name, ","")&amp;IF($T16="","Coverage Level, ","")&amp;IF(AND($U16&lt;&gt;"",OR(NOT(ISNUMBER($U16)),$U16&lt;0)),"Funding, ","")&amp;IF(AND($A16&lt;&gt;"",$S16&lt;&gt;"",COUNTIFS($A$2:$A$501,$A16,$B$2:$B$501,$B16,$S$2:$S$501,$S16)&gt;1),"Duplicate Row, ",""))</f>
        <v/>
      </c>
      <c r="AF16">
        <f>IF(COUNTA($A16:$U16)=0,"",$Y16&amp;$Z16&amp;$AA16&amp;$AB16&amp;$AC16)</f>
        <v/>
      </c>
      <c r="AG16">
        <f>IF($N16="","",LOWER(TRIM($N16)))</f>
        <v/>
      </c>
      <c r="AH16">
        <f>IF($A16="","",COUNTIFS($A$2:$A$501,$A16,$AI$2:$AI$501,1))</f>
        <v/>
      </c>
      <c r="AI16">
        <f>IF(COUNTA($A16:$U16)=0,"",--($AF16&lt;&gt;""))</f>
        <v/>
      </c>
      <c r="AJ16">
        <f>IF(COUNTA($A16:$U16)=0,"",--($AD16&lt;&gt;""))</f>
        <v/>
      </c>
    </row>
    <row r="17" ht="20" customHeight="1">
      <c r="A17" s="80" t="n"/>
      <c r="B17" s="80" t="n"/>
      <c r="C17" s="81" t="n"/>
      <c r="D17" s="81" t="n"/>
      <c r="E17" s="80" t="n"/>
      <c r="F17" s="81" t="n"/>
      <c r="G17" s="81" t="n"/>
      <c r="H17" s="81" t="n"/>
      <c r="I17" s="80" t="n"/>
      <c r="J17" s="80" t="n"/>
      <c r="K17" s="80" t="n"/>
      <c r="L17" s="82" t="n"/>
      <c r="M17" s="80" t="n"/>
      <c r="N17" s="80" t="n"/>
      <c r="O17" s="80" t="n"/>
      <c r="P17" s="82" t="n"/>
      <c r="Q17" s="82" t="n"/>
      <c r="R17" s="80" t="n"/>
      <c r="S17" s="80" t="n"/>
      <c r="T17" s="80" t="n"/>
      <c r="U17" s="83" t="n"/>
      <c r="V17">
        <f>IF($A17="","",IF($A17=$A16,$V16,IF($V16="",0,1-$V16)))</f>
        <v/>
      </c>
      <c r="W17">
        <f>IF($B17&lt;&gt;"",$B17,$A17)</f>
        <v/>
      </c>
      <c r="X17">
        <f>IF(COUNTA($A17:$U17)=0,"",IF(OR($B17&lt;&gt;"",$O17&lt;&gt;""),"Dependent","Employee"))</f>
        <v/>
      </c>
      <c r="Y17">
        <f>IF(COUNTA($A17:$U17)=0,"",IF($A17="","Employee SSN is required; ","")&amp;IF($C17="","First Name is required; ","")&amp;IF(LEN($C17&amp;"")&gt;19,"First Name exceeds 19 characters; ","")&amp;IF(AND($C17&lt;&gt;"",SUMPRODUCT(--(ROW($1:$19)&lt;=LEN($C17&amp;"")),--ISERROR(FIND(MID($C17&amp;"",ROW($1:$19),1),"ABCDEFGHIJKLMNOPQRSTUVWXYZabcdefghijklmnopqrstuvwxyz .,")))&gt;0),"First Name contains unsupported or encoded characters; use plain A-Z letters only; ","")&amp;IF($D17="","Last Name is required; ","")&amp;IF(LEN($D17&amp;"")&gt;26,"Last Name exceeds 26 characters; ","")&amp;IF(AND($D17&lt;&gt;"",SUMPRODUCT(--(ROW($1:$26)&lt;=LEN($D17&amp;"")),--ISERROR(FIND(MID($D17&amp;"",ROW($1:$26),1),"ABCDEFGHIJKLMNOPQRSTUVWXYZabcdefghijklmnopqrstuvwxyz .,")))&gt;0),"Last Name contains unsupported or encoded characters; use plain A-Z letters only; ","")&amp;IF(LEN($E17&amp;"")&gt;1,"Middle Initial may contain only one character; ","")&amp;IF(AND($E17&lt;&gt;"",SUMPRODUCT(--(ROW($1:$1)&lt;=LEN($E17&amp;"")),--ISERROR(FIND(MID($E17&amp;"",ROW($1:$1),1),"ABCDEFGHIJKLMNOPQRSTUVWXYZabcdefghijklmnopqrstuvwxyz .,")))&gt;0),"Middle Initial must be a plain A-Z letter; ","")&amp;IF($F17="","Address is required; ","")&amp;IF(LEN($F17&amp;"")&gt;75,"Address exceeds 75 characters; ","")&amp;IF(LEN($G17&amp;"")&gt;75,"Address 2 exceeds 75 characters; ","")&amp;IF($H17="","City is required; ","")&amp;IF(LEN($H17&amp;"")&gt;30,"City exceeds 30 characters; ","")&amp;IF($K17="","Country is required; ","")&amp;IF(AND($K17&lt;&gt;"",$K17&lt;&gt;"US",$K17&lt;&gt;"CA"),"Country must be US or CA; ","")&amp;IF(AND($K17="US",OR($I17="",LEN($I17&amp;"")&lt;&gt;2)),"Use a 2-letter state code; ","")&amp;IF($J17="","ZIP or postal code is required; ","")&amp;IF(AND($K17="US",$J17&lt;&gt;"",NOT(IFERROR(OR(AND(LEN($J17&amp;"")=5,ISNUMBER(--($J17&amp;""))),AND(LEN($J17&amp;"")=9,ISNUMBER(--($J17&amp;""))),AND(LEN($J17&amp;"")=10,MID($J17&amp;"",6,1)="-",ISNUMBER(--SUBSTITUTE($J17&amp;"","-","")))),FALSE))),"US ZIP must be 5 or 9 digits, with an optional ZIP+4 hyphen; ","")&amp;IF(AND($N17&lt;&gt;"",NOT(IFERROR(AND(ISNUMBER(SEARCH("@",$N17)),ISNUMBER(SEARCH(".",$N17,SEARCH("@",$N17)+2))),FALSE))),"Email format appears invalid; ","")&amp;IF(AND($O17&lt;&gt;"",$B17=""),"Dependent SSN is required for every dependent; ","")&amp;IF(AND($B17&lt;&gt;"",$O17=""),"Dependent Relationship is required when Dependent SSN is entered; ","")&amp;IF(AND($O17&lt;&gt;"",$O17&lt;&gt;"Spouse or Common Law Spouse",$O17&lt;&gt;"Domestic Partner",$O17&lt;&gt;"Child",$O17&lt;&gt;"Other",$O17&lt;&gt;"Estate",$O17&lt;&gt;"Unknown"),"Dependent Relationship must use one of the approved options; ",""))</f>
        <v/>
      </c>
      <c r="Z17">
        <f>IF(COUNTA($A17:$U17)=0,"",IF(AND($A17&lt;&gt;"",NOT(IFERROR(AND(LEN($A17&amp;"")=9,ISNUMBER(--($A17&amp;""))),FALSE))),"Employee SSN must contain exactly 9 digits; ","")&amp;IF(AND($A17&lt;&gt;"",OR($A17="123456789",$A17="987654321",$A17="012345678",$A17=REPT(LEFT($A17&amp;"",1),9))),"Employee SSN appears to be a placeholder; ","")&amp;IF(AND($B17&lt;&gt;"",NOT(IFERROR(AND(LEN($B17&amp;"")=9,ISNUMBER(--($B17&amp;""))),FALSE))),"Dependent SSN must contain exactly 9 digits; ","")&amp;IF(AND($B17&lt;&gt;"",OR($B17="123456789",$B17="987654321",$B17="012345678",$B17=REPT(LEFT($B17&amp;"",1),9))),"Dependent SSN appears to be a placeholder; ","")&amp;IF(AND($A17&lt;&gt;"",$B17&lt;&gt;"",$A17&amp;""=$B17&amp;""),"Dependent SSN cannot match Employee SSN; ","")&amp;IF(AND($W17&lt;&gt;"",OR(COUNTIFS($W$2:$W$501,$W17,$C$2:$C$501,"&lt;&gt;"&amp;$C17)&gt;0,COUNTIFS($W$2:$W$501,$W17,$D$2:$D$501,"&lt;&gt;"&amp;$D17)&gt;0,COUNTIFS($W$2:$W$501,$W17,$L$2:$L$501,"&lt;&gt;"&amp;$L17)&gt;0)),"The same SSN is associated with a different name or birthdate; ",""))</f>
        <v/>
      </c>
      <c r="AA17">
        <f>IF(COUNTA($A17:$U17)=0,"",IF(AND($A17&lt;&gt;"",$S17&lt;&gt;"",COUNTIFS($A$2:$A$501,$A17,$S$2:$S$501,$S17,$B$2:$B$501,"",$O$2:$O$501,"")=0),"Add an employee row for this household and plan; ","")&amp;IF(AND($X17="Dependent",COUNTIFS($A$2:$A17,$A17,$S$2:$S17,$S17,$B$2:$B17,"",$O$2:$O17,"")=0),"Place the employee row before dependent rows for this plan; ","")&amp;IF(AND($X17="Dependent",COUNTIFS($A$2:$A$501,$A17,$S$2:$S$501,$S17,$B$2:$B$501,"",$O$2:$O$501,"")&gt;0,IFERROR(OR($P17&lt;&gt;LOOKUP(2,1/(($A$2:$A$501=$A17)*($S$2:$S$501=$S17)*($B$2:$B$501="")*($O$2:$O$501="")),$P$2:$P$501),$Q17&lt;&gt;LOOKUP(2,1/(($A$2:$A$501=$A17)*($S$2:$S$501=$S17)*($B$2:$B$501="")*($O$2:$O$501="")),$Q$2:$Q$501),$R17&lt;&gt;LOOKUP(2,1/(($A$2:$A$501=$A17)*($S$2:$S$501=$S17)*($B$2:$B$501="")*($O$2:$O$501="")),$R$2:$R$501),$T17&lt;&gt;LOOKUP(2,1/(($A$2:$A$501=$A17)*($S$2:$S$501=$S17)*($B$2:$B$501="")*($O$2:$O$501="")),$T$2:$T$501),$U17&lt;&gt;LOOKUP(2,1/(($A$2:$A$501=$A17)*($S$2:$S$501=$S17)*($B$2:$B$501="")*($O$2:$O$501="")),$U$2:$U$501)),FALSE)),"Dependent row does not match the employee row for eligibility, status, coverage level, or funding; ",""))</f>
        <v/>
      </c>
      <c r="AB17">
        <f>IF(COUNTA($A17:$U17)=0,"",IF($L17="","Birthdate is required; ","")&amp;IF(AND($L17&lt;&gt;"",OR(NOT(ISNUMBER($L17)),$L17&lt;=DATE(1900,1,1),$L17&gt;TODAY())),"Birthdate must be an exact valid past date; ","")&amp;IF($P17="","Eligibility Date is required; ","")&amp;IF(AND($P17&lt;&gt;"",OR(NOT(ISNUMBER($P17)),$P17&lt;=DATE(1900,1,1))),"Eligibility Date must be a valid date; ","")&amp;IF(AND($R17="Terminated",$Q17=""),"Termination Date is required when Status is Terminated; ","")&amp;IF(AND($Q17&lt;&gt;"",OR(NOT(ISNUMBER($Q17)),$Q17&lt;=DATE(1900,1,1))),"Termination Date must be a valid date; ","")&amp;IF(AND(ISNUMBER($P17),ISNUMBER($Q17),$Q17&lt;$P17),"Termination Date cannot be before Eligibility Date; ","")&amp;IF($R17="","Status is required; ","")&amp;IF(AND($R17&lt;&gt;"",$R17&lt;&gt;"Active",$R17&lt;&gt;"Terminated"),"Status must be Active or Terminated; ","")&amp;IF(AND('START HERE'!$C$8="Terminations Only",$R17&lt;&gt;"Terminated"),"Terminations Only files must contain terminated records; ",""))</f>
        <v/>
      </c>
      <c r="AC17">
        <f>IF(COUNTA($A17:$U17)=0,"",IF($S17="","Plan Name is required; ","")&amp;IF($T17="","Benefit Coverage Level is required; ","")&amp;IF(AND($U17&lt;&gt;"",OR(NOT(ISNUMBER($U17)),$U17&lt;0)),"Plan Funding Amount must be a nonnegative number; ","")&amp;IF(AND($A17&lt;&gt;"",$S17&lt;&gt;"",COUNTIFS($A$2:$A$501,$A17,$B$2:$B$501,$B17,$S$2:$S$501,$S17)&gt;1),"Duplicate participant and plan row; ",""))</f>
        <v/>
      </c>
      <c r="AD17">
        <f>IF(COUNTA($A17:$U17)=0,"",IF(AND($X17="Employee",$M17="",$N17=""),"No employee phone or email provided; ","")&amp;IF(AND($R17="Active",$Q17&lt;&gt;""),"Active record includes a Termination Date; confirm this is intentional; ","")&amp;IF(AND($B17&lt;&gt;"",$B17&amp;""&lt;&gt;$A17&amp;"",COUNTIF($A$2:$A$501,$B17)&gt;0),"Dependent SSN also appears as an Employee SSN elsewhere; confirm dual-employee coverage is intentional; ","")&amp;IF(AND($B17&lt;&gt;"",COUNTIF($B$2:$B$501,$B17)&gt;COUNTIFS($A$2:$A$501,$A17,$B$2:$B$501,$B17)),"Dependent SSN appears under more than one employee; confirm duplicate family coverage is intentional; ","")&amp;IF(AND(ROW()&gt;2,$A17&lt;&gt;"",$A17&lt;&gt;$A16,COUNTIF($A$2:$A16,$A17)&gt;0),"This household appears in more than one section of the census; keep the family together; ","")&amp;IF(OR(AND($C17&lt;&gt;"",LEN($C17&amp;"")&lt;&gt;LEN(TRIM($C17&amp;""))),AND($D17&lt;&gt;"",LEN($D17&amp;"")&lt;&gt;LEN(TRIM($D17&amp;""))),AND($E17&lt;&gt;"",LEN($E17&amp;"")&lt;&gt;LEN(TRIM($E17&amp;""))),AND($F17&lt;&gt;"",LEN($F17&amp;"")&lt;&gt;LEN(TRIM($F17&amp;""))),AND($G17&lt;&gt;"",LEN($G17&amp;"")&lt;&gt;LEN(TRIM($G17&amp;""))),AND($H17&lt;&gt;"",LEN($H17&amp;"")&lt;&gt;LEN(TRIM($H17&amp;""))),AND($I17&lt;&gt;"",LEN($I17&amp;"")&lt;&gt;LEN(TRIM($I17&amp;""))),AND($J17&lt;&gt;"",LEN($J17&amp;"")&lt;&gt;LEN(TRIM($J17&amp;""))),AND($K17&lt;&gt;"",LEN($K17&amp;"")&lt;&gt;LEN(TRIM($K17&amp;""))),AND($M17&lt;&gt;"",LEN($M17&amp;"")&lt;&gt;LEN(TRIM($M17&amp;""))),AND($N17&lt;&gt;"",LEN($N17&amp;"")&lt;&gt;LEN(TRIM($N17&amp;""))),AND($O17&lt;&gt;"",LEN($O17&amp;"")&lt;&gt;LEN(TRIM($O17&amp;""))),AND($R17&lt;&gt;"",LEN($R17&amp;"")&lt;&gt;LEN(TRIM($R17&amp;""))),AND($S17&lt;&gt;"",LEN($S17&amp;"")&lt;&gt;LEN(TRIM($S17&amp;""))),AND($T17&lt;&gt;"",LEN($T17&amp;"")&lt;&gt;LEN(TRIM($T17&amp;"")))),"Remove leading or trailing spaces from text fields; ","")&amp;IF(OR(AND(LEN($C17)&gt;1,OR(EXACT($C17,UPPER($C17)),EXACT($C17,LOWER($C17)))),AND(LEN($D17)&gt;1,OR(EXACT($D17,UPPER($D17)),EXACT($D17,LOWER($D17)))),AND(LEN($H17)&gt;1,OR(EXACT($H17,UPPER($H17)),EXACT($H17,LOWER($H17))))),"Review capitalization in First Name, Last Name, or City; ","")&amp;IF(AND($N17&lt;&gt;"",NOT(EXACT($N17,LOWER($N17)))),"Email will be standardized to lowercase in the clean output; ","")&amp;IF(AND(OR('START HERE'!$C$8="Initial Enrollment",'START HERE'!$C$8="Open Enrollment"),$R17="Terminated"),"A terminated row is included in an initial or open enrollment file; confirm this is intentional; ",""))</f>
        <v/>
      </c>
      <c r="AE17">
        <f>IF(COUNTA($A17:$U17)=0,"",IF(OR($A17="",AND($A17&lt;&gt;"",NOT(IFERROR(AND(LEN($A17&amp;"")=9,ISNUMBER(--($A17&amp;""))),FALSE))),AND($A17&lt;&gt;"",OR($A17="123456789",$A17="987654321",$A17="012345678",$A17=REPT(LEFT($A17&amp;"",1),9)))),"Employee SSN, ","")&amp;IF(OR(AND($O17&lt;&gt;"",$B17=""),AND($B17&lt;&gt;"",OR(NOT(IFERROR(AND(LEN($B17&amp;"")=9,ISNUMBER(--($B17&amp;""))),FALSE)),$B17=$A17,$B17="123456789",$B17="987654321",$B17="012345678",$B17=REPT(LEFT($B17&amp;"",1),9)))),"Dependent SSN, ","")&amp;IF(OR($C17="",LEN($C17)&gt;19,AND($C17&lt;&gt;"",SUMPRODUCT(--(ROW($1:$19)&lt;=LEN($C17&amp;"")),--ISERROR(FIND(MID($C17&amp;"",ROW($1:$19),1),"ABCDEFGHIJKLMNOPQRSTUVWXYZabcdefghijklmnopqrstuvwxyz .,")))&gt;0)),"First Name, ","")&amp;IF(OR($D17="",LEN($D17)&gt;26,AND($D17&lt;&gt;"",SUMPRODUCT(--(ROW($1:$26)&lt;=LEN($D17&amp;"")),--ISERROR(FIND(MID($D17&amp;"",ROW($1:$26),1),"ABCDEFGHIJKLMNOPQRSTUVWXYZabcdefghijklmnopqrstuvwxyz .,")))&gt;0)),"Last Name, ","")&amp;IF(OR(LEN($E17)&gt;1,AND($E17&lt;&gt;"",SUMPRODUCT(--(ROW($1:$1)&lt;=LEN($E17&amp;"")),--ISERROR(FIND(MID($E17&amp;"",ROW($1:$1),1),"ABCDEFGHIJKLMNOPQRSTUVWXYZabcdefghijklmnopqrstuvwxyz .,")))&gt;0)),"Middle Initial, ","")&amp;IF(OR($F17="",LEN($F17)&gt;75),"Address, ","")&amp;IF(OR($H17="",LEN($H17)&gt;30),"City, ","")&amp;IF(AND($K17="US",OR($I17="",LEN($I17)&lt;&gt;2)),"State, ","")&amp;IF($J17="","ZIP, ","")&amp;IF(OR($K17="",AND($K17&lt;&gt;"US",$K17&lt;&gt;"CA")),"Country, ","")&amp;IF(OR($L17="",AND($L17&lt;&gt;"",OR(NOT(ISNUMBER($L17)),$L17&lt;=DATE(1900,1,1),$L17&gt;TODAY()))),"Birthdate, ","")&amp;IF(AND($N17&lt;&gt;"",NOT(IFERROR(AND(ISNUMBER(SEARCH("@",$N17)),ISNUMBER(SEARCH(".",$N17,SEARCH("@",$N17)+2))),FALSE))),"Email, ","")&amp;IF(OR(AND($B17&lt;&gt;"",$O17=""),AND($O17&lt;&gt;"",$O17&lt;&gt;"Spouse or Common Law Spouse",$O17&lt;&gt;"Domestic Partner",$O17&lt;&gt;"Child",$O17&lt;&gt;"Other",$O17&lt;&gt;"Estate",$O17&lt;&gt;"Unknown")),"Dependent Relationship, ","")&amp;IF($AA17&lt;&gt;"","Household, ","")&amp;IF(OR($P17="",AND($P17&lt;&gt;"",OR(NOT(ISNUMBER($P17)),$P17&lt;=DATE(1900,1,1)))),"Eligibility Date, ","")&amp;IF(OR(AND($R17="Terminated",$Q17=""),AND($Q17&lt;&gt;"",OR(NOT(ISNUMBER($Q17)),$Q17&lt;=DATE(1900,1,1))),AND(ISNUMBER($P17),ISNUMBER($Q17),$Q17&lt;$P17)),"Termination Date, ","")&amp;IF(OR($R17="",AND($R17&lt;&gt;"Active",$R17&lt;&gt;"Terminated"),AND('START HERE'!$C$8="Terminations Only",$R17&lt;&gt;"Terminated")),"Status, ","")&amp;IF($S17="","Plan Name, ","")&amp;IF($T17="","Coverage Level, ","")&amp;IF(AND($U17&lt;&gt;"",OR(NOT(ISNUMBER($U17)),$U17&lt;0)),"Funding, ","")&amp;IF(AND($A17&lt;&gt;"",$S17&lt;&gt;"",COUNTIFS($A$2:$A$501,$A17,$B$2:$B$501,$B17,$S$2:$S$501,$S17)&gt;1),"Duplicate Row, ",""))</f>
        <v/>
      </c>
      <c r="AF17">
        <f>IF(COUNTA($A17:$U17)=0,"",$Y17&amp;$Z17&amp;$AA17&amp;$AB17&amp;$AC17)</f>
        <v/>
      </c>
      <c r="AG17">
        <f>IF($N17="","",LOWER(TRIM($N17)))</f>
        <v/>
      </c>
      <c r="AH17">
        <f>IF($A17="","",COUNTIFS($A$2:$A$501,$A17,$AI$2:$AI$501,1))</f>
        <v/>
      </c>
      <c r="AI17">
        <f>IF(COUNTA($A17:$U17)=0,"",--($AF17&lt;&gt;""))</f>
        <v/>
      </c>
      <c r="AJ17">
        <f>IF(COUNTA($A17:$U17)=0,"",--($AD17&lt;&gt;""))</f>
        <v/>
      </c>
    </row>
    <row r="18" ht="20" customHeight="1">
      <c r="A18" s="80" t="n"/>
      <c r="B18" s="80" t="n"/>
      <c r="C18" s="81" t="n"/>
      <c r="D18" s="81" t="n"/>
      <c r="E18" s="80" t="n"/>
      <c r="F18" s="81" t="n"/>
      <c r="G18" s="81" t="n"/>
      <c r="H18" s="81" t="n"/>
      <c r="I18" s="80" t="n"/>
      <c r="J18" s="80" t="n"/>
      <c r="K18" s="80" t="n"/>
      <c r="L18" s="82" t="n"/>
      <c r="M18" s="80" t="n"/>
      <c r="N18" s="80" t="n"/>
      <c r="O18" s="80" t="n"/>
      <c r="P18" s="82" t="n"/>
      <c r="Q18" s="82" t="n"/>
      <c r="R18" s="80" t="n"/>
      <c r="S18" s="80" t="n"/>
      <c r="T18" s="80" t="n"/>
      <c r="U18" s="83" t="n"/>
      <c r="V18">
        <f>IF($A18="","",IF($A18=$A17,$V17,IF($V17="",0,1-$V17)))</f>
        <v/>
      </c>
      <c r="W18">
        <f>IF($B18&lt;&gt;"",$B18,$A18)</f>
        <v/>
      </c>
      <c r="X18">
        <f>IF(COUNTA($A18:$U18)=0,"",IF(OR($B18&lt;&gt;"",$O18&lt;&gt;""),"Dependent","Employee"))</f>
        <v/>
      </c>
      <c r="Y18">
        <f>IF(COUNTA($A18:$U18)=0,"",IF($A18="","Employee SSN is required; ","")&amp;IF($C18="","First Name is required; ","")&amp;IF(LEN($C18&amp;"")&gt;19,"First Name exceeds 19 characters; ","")&amp;IF(AND($C18&lt;&gt;"",SUMPRODUCT(--(ROW($1:$19)&lt;=LEN($C18&amp;"")),--ISERROR(FIND(MID($C18&amp;"",ROW($1:$19),1),"ABCDEFGHIJKLMNOPQRSTUVWXYZabcdefghijklmnopqrstuvwxyz .,")))&gt;0),"First Name contains unsupported or encoded characters; use plain A-Z letters only; ","")&amp;IF($D18="","Last Name is required; ","")&amp;IF(LEN($D18&amp;"")&gt;26,"Last Name exceeds 26 characters; ","")&amp;IF(AND($D18&lt;&gt;"",SUMPRODUCT(--(ROW($1:$26)&lt;=LEN($D18&amp;"")),--ISERROR(FIND(MID($D18&amp;"",ROW($1:$26),1),"ABCDEFGHIJKLMNOPQRSTUVWXYZabcdefghijklmnopqrstuvwxyz .,")))&gt;0),"Last Name contains unsupported or encoded characters; use plain A-Z letters only; ","")&amp;IF(LEN($E18&amp;"")&gt;1,"Middle Initial may contain only one character; ","")&amp;IF(AND($E18&lt;&gt;"",SUMPRODUCT(--(ROW($1:$1)&lt;=LEN($E18&amp;"")),--ISERROR(FIND(MID($E18&amp;"",ROW($1:$1),1),"ABCDEFGHIJKLMNOPQRSTUVWXYZabcdefghijklmnopqrstuvwxyz .,")))&gt;0),"Middle Initial must be a plain A-Z letter; ","")&amp;IF($F18="","Address is required; ","")&amp;IF(LEN($F18&amp;"")&gt;75,"Address exceeds 75 characters; ","")&amp;IF(LEN($G18&amp;"")&gt;75,"Address 2 exceeds 75 characters; ","")&amp;IF($H18="","City is required; ","")&amp;IF(LEN($H18&amp;"")&gt;30,"City exceeds 30 characters; ","")&amp;IF($K18="","Country is required; ","")&amp;IF(AND($K18&lt;&gt;"",$K18&lt;&gt;"US",$K18&lt;&gt;"CA"),"Country must be US or CA; ","")&amp;IF(AND($K18="US",OR($I18="",LEN($I18&amp;"")&lt;&gt;2)),"Use a 2-letter state code; ","")&amp;IF($J18="","ZIP or postal code is required; ","")&amp;IF(AND($K18="US",$J18&lt;&gt;"",NOT(IFERROR(OR(AND(LEN($J18&amp;"")=5,ISNUMBER(--($J18&amp;""))),AND(LEN($J18&amp;"")=9,ISNUMBER(--($J18&amp;""))),AND(LEN($J18&amp;"")=10,MID($J18&amp;"",6,1)="-",ISNUMBER(--SUBSTITUTE($J18&amp;"","-","")))),FALSE))),"US ZIP must be 5 or 9 digits, with an optional ZIP+4 hyphen; ","")&amp;IF(AND($N18&lt;&gt;"",NOT(IFERROR(AND(ISNUMBER(SEARCH("@",$N18)),ISNUMBER(SEARCH(".",$N18,SEARCH("@",$N18)+2))),FALSE))),"Email format appears invalid; ","")&amp;IF(AND($O18&lt;&gt;"",$B18=""),"Dependent SSN is required for every dependent; ","")&amp;IF(AND($B18&lt;&gt;"",$O18=""),"Dependent Relationship is required when Dependent SSN is entered; ","")&amp;IF(AND($O18&lt;&gt;"",$O18&lt;&gt;"Spouse or Common Law Spouse",$O18&lt;&gt;"Domestic Partner",$O18&lt;&gt;"Child",$O18&lt;&gt;"Other",$O18&lt;&gt;"Estate",$O18&lt;&gt;"Unknown"),"Dependent Relationship must use one of the approved options; ",""))</f>
        <v/>
      </c>
      <c r="Z18">
        <f>IF(COUNTA($A18:$U18)=0,"",IF(AND($A18&lt;&gt;"",NOT(IFERROR(AND(LEN($A18&amp;"")=9,ISNUMBER(--($A18&amp;""))),FALSE))),"Employee SSN must contain exactly 9 digits; ","")&amp;IF(AND($A18&lt;&gt;"",OR($A18="123456789",$A18="987654321",$A18="012345678",$A18=REPT(LEFT($A18&amp;"",1),9))),"Employee SSN appears to be a placeholder; ","")&amp;IF(AND($B18&lt;&gt;"",NOT(IFERROR(AND(LEN($B18&amp;"")=9,ISNUMBER(--($B18&amp;""))),FALSE))),"Dependent SSN must contain exactly 9 digits; ","")&amp;IF(AND($B18&lt;&gt;"",OR($B18="123456789",$B18="987654321",$B18="012345678",$B18=REPT(LEFT($B18&amp;"",1),9))),"Dependent SSN appears to be a placeholder; ","")&amp;IF(AND($A18&lt;&gt;"",$B18&lt;&gt;"",$A18&amp;""=$B18&amp;""),"Dependent SSN cannot match Employee SSN; ","")&amp;IF(AND($W18&lt;&gt;"",OR(COUNTIFS($W$2:$W$501,$W18,$C$2:$C$501,"&lt;&gt;"&amp;$C18)&gt;0,COUNTIFS($W$2:$W$501,$W18,$D$2:$D$501,"&lt;&gt;"&amp;$D18)&gt;0,COUNTIFS($W$2:$W$501,$W18,$L$2:$L$501,"&lt;&gt;"&amp;$L18)&gt;0)),"The same SSN is associated with a different name or birthdate; ",""))</f>
        <v/>
      </c>
      <c r="AA18">
        <f>IF(COUNTA($A18:$U18)=0,"",IF(AND($A18&lt;&gt;"",$S18&lt;&gt;"",COUNTIFS($A$2:$A$501,$A18,$S$2:$S$501,$S18,$B$2:$B$501,"",$O$2:$O$501,"")=0),"Add an employee row for this household and plan; ","")&amp;IF(AND($X18="Dependent",COUNTIFS($A$2:$A18,$A18,$S$2:$S18,$S18,$B$2:$B18,"",$O$2:$O18,"")=0),"Place the employee row before dependent rows for this plan; ","")&amp;IF(AND($X18="Dependent",COUNTIFS($A$2:$A$501,$A18,$S$2:$S$501,$S18,$B$2:$B$501,"",$O$2:$O$501,"")&gt;0,IFERROR(OR($P18&lt;&gt;LOOKUP(2,1/(($A$2:$A$501=$A18)*($S$2:$S$501=$S18)*($B$2:$B$501="")*($O$2:$O$501="")),$P$2:$P$501),$Q18&lt;&gt;LOOKUP(2,1/(($A$2:$A$501=$A18)*($S$2:$S$501=$S18)*($B$2:$B$501="")*($O$2:$O$501="")),$Q$2:$Q$501),$R18&lt;&gt;LOOKUP(2,1/(($A$2:$A$501=$A18)*($S$2:$S$501=$S18)*($B$2:$B$501="")*($O$2:$O$501="")),$R$2:$R$501),$T18&lt;&gt;LOOKUP(2,1/(($A$2:$A$501=$A18)*($S$2:$S$501=$S18)*($B$2:$B$501="")*($O$2:$O$501="")),$T$2:$T$501),$U18&lt;&gt;LOOKUP(2,1/(($A$2:$A$501=$A18)*($S$2:$S$501=$S18)*($B$2:$B$501="")*($O$2:$O$501="")),$U$2:$U$501)),FALSE)),"Dependent row does not match the employee row for eligibility, status, coverage level, or funding; ",""))</f>
        <v/>
      </c>
      <c r="AB18">
        <f>IF(COUNTA($A18:$U18)=0,"",IF($L18="","Birthdate is required; ","")&amp;IF(AND($L18&lt;&gt;"",OR(NOT(ISNUMBER($L18)),$L18&lt;=DATE(1900,1,1),$L18&gt;TODAY())),"Birthdate must be an exact valid past date; ","")&amp;IF($P18="","Eligibility Date is required; ","")&amp;IF(AND($P18&lt;&gt;"",OR(NOT(ISNUMBER($P18)),$P18&lt;=DATE(1900,1,1))),"Eligibility Date must be a valid date; ","")&amp;IF(AND($R18="Terminated",$Q18=""),"Termination Date is required when Status is Terminated; ","")&amp;IF(AND($Q18&lt;&gt;"",OR(NOT(ISNUMBER($Q18)),$Q18&lt;=DATE(1900,1,1))),"Termination Date must be a valid date; ","")&amp;IF(AND(ISNUMBER($P18),ISNUMBER($Q18),$Q18&lt;$P18),"Termination Date cannot be before Eligibility Date; ","")&amp;IF($R18="","Status is required; ","")&amp;IF(AND($R18&lt;&gt;"",$R18&lt;&gt;"Active",$R18&lt;&gt;"Terminated"),"Status must be Active or Terminated; ","")&amp;IF(AND('START HERE'!$C$8="Terminations Only",$R18&lt;&gt;"Terminated"),"Terminations Only files must contain terminated records; ",""))</f>
        <v/>
      </c>
      <c r="AC18">
        <f>IF(COUNTA($A18:$U18)=0,"",IF($S18="","Plan Name is required; ","")&amp;IF($T18="","Benefit Coverage Level is required; ","")&amp;IF(AND($U18&lt;&gt;"",OR(NOT(ISNUMBER($U18)),$U18&lt;0)),"Plan Funding Amount must be a nonnegative number; ","")&amp;IF(AND($A18&lt;&gt;"",$S18&lt;&gt;"",COUNTIFS($A$2:$A$501,$A18,$B$2:$B$501,$B18,$S$2:$S$501,$S18)&gt;1),"Duplicate participant and plan row; ",""))</f>
        <v/>
      </c>
      <c r="AD18">
        <f>IF(COUNTA($A18:$U18)=0,"",IF(AND($X18="Employee",$M18="",$N18=""),"No employee phone or email provided; ","")&amp;IF(AND($R18="Active",$Q18&lt;&gt;""),"Active record includes a Termination Date; confirm this is intentional; ","")&amp;IF(AND($B18&lt;&gt;"",$B18&amp;""&lt;&gt;$A18&amp;"",COUNTIF($A$2:$A$501,$B18)&gt;0),"Dependent SSN also appears as an Employee SSN elsewhere; confirm dual-employee coverage is intentional; ","")&amp;IF(AND($B18&lt;&gt;"",COUNTIF($B$2:$B$501,$B18)&gt;COUNTIFS($A$2:$A$501,$A18,$B$2:$B$501,$B18)),"Dependent SSN appears under more than one employee; confirm duplicate family coverage is intentional; ","")&amp;IF(AND(ROW()&gt;2,$A18&lt;&gt;"",$A18&lt;&gt;$A17,COUNTIF($A$2:$A17,$A18)&gt;0),"This household appears in more than one section of the census; keep the family together; ","")&amp;IF(OR(AND($C18&lt;&gt;"",LEN($C18&amp;"")&lt;&gt;LEN(TRIM($C18&amp;""))),AND($D18&lt;&gt;"",LEN($D18&amp;"")&lt;&gt;LEN(TRIM($D18&amp;""))),AND($E18&lt;&gt;"",LEN($E18&amp;"")&lt;&gt;LEN(TRIM($E18&amp;""))),AND($F18&lt;&gt;"",LEN($F18&amp;"")&lt;&gt;LEN(TRIM($F18&amp;""))),AND($G18&lt;&gt;"",LEN($G18&amp;"")&lt;&gt;LEN(TRIM($G18&amp;""))),AND($H18&lt;&gt;"",LEN($H18&amp;"")&lt;&gt;LEN(TRIM($H18&amp;""))),AND($I18&lt;&gt;"",LEN($I18&amp;"")&lt;&gt;LEN(TRIM($I18&amp;""))),AND($J18&lt;&gt;"",LEN($J18&amp;"")&lt;&gt;LEN(TRIM($J18&amp;""))),AND($K18&lt;&gt;"",LEN($K18&amp;"")&lt;&gt;LEN(TRIM($K18&amp;""))),AND($M18&lt;&gt;"",LEN($M18&amp;"")&lt;&gt;LEN(TRIM($M18&amp;""))),AND($N18&lt;&gt;"",LEN($N18&amp;"")&lt;&gt;LEN(TRIM($N18&amp;""))),AND($O18&lt;&gt;"",LEN($O18&amp;"")&lt;&gt;LEN(TRIM($O18&amp;""))),AND($R18&lt;&gt;"",LEN($R18&amp;"")&lt;&gt;LEN(TRIM($R18&amp;""))),AND($S18&lt;&gt;"",LEN($S18&amp;"")&lt;&gt;LEN(TRIM($S18&amp;""))),AND($T18&lt;&gt;"",LEN($T18&amp;"")&lt;&gt;LEN(TRIM($T18&amp;"")))),"Remove leading or trailing spaces from text fields; ","")&amp;IF(OR(AND(LEN($C18)&gt;1,OR(EXACT($C18,UPPER($C18)),EXACT($C18,LOWER($C18)))),AND(LEN($D18)&gt;1,OR(EXACT($D18,UPPER($D18)),EXACT($D18,LOWER($D18)))),AND(LEN($H18)&gt;1,OR(EXACT($H18,UPPER($H18)),EXACT($H18,LOWER($H18))))),"Review capitalization in First Name, Last Name, or City; ","")&amp;IF(AND($N18&lt;&gt;"",NOT(EXACT($N18,LOWER($N18)))),"Email will be standardized to lowercase in the clean output; ","")&amp;IF(AND(OR('START HERE'!$C$8="Initial Enrollment",'START HERE'!$C$8="Open Enrollment"),$R18="Terminated"),"A terminated row is included in an initial or open enrollment file; confirm this is intentional; ",""))</f>
        <v/>
      </c>
      <c r="AE18">
        <f>IF(COUNTA($A18:$U18)=0,"",IF(OR($A18="",AND($A18&lt;&gt;"",NOT(IFERROR(AND(LEN($A18&amp;"")=9,ISNUMBER(--($A18&amp;""))),FALSE))),AND($A18&lt;&gt;"",OR($A18="123456789",$A18="987654321",$A18="012345678",$A18=REPT(LEFT($A18&amp;"",1),9)))),"Employee SSN, ","")&amp;IF(OR(AND($O18&lt;&gt;"",$B18=""),AND($B18&lt;&gt;"",OR(NOT(IFERROR(AND(LEN($B18&amp;"")=9,ISNUMBER(--($B18&amp;""))),FALSE)),$B18=$A18,$B18="123456789",$B18="987654321",$B18="012345678",$B18=REPT(LEFT($B18&amp;"",1),9)))),"Dependent SSN, ","")&amp;IF(OR($C18="",LEN($C18)&gt;19,AND($C18&lt;&gt;"",SUMPRODUCT(--(ROW($1:$19)&lt;=LEN($C18&amp;"")),--ISERROR(FIND(MID($C18&amp;"",ROW($1:$19),1),"ABCDEFGHIJKLMNOPQRSTUVWXYZabcdefghijklmnopqrstuvwxyz .,")))&gt;0)),"First Name, ","")&amp;IF(OR($D18="",LEN($D18)&gt;26,AND($D18&lt;&gt;"",SUMPRODUCT(--(ROW($1:$26)&lt;=LEN($D18&amp;"")),--ISERROR(FIND(MID($D18&amp;"",ROW($1:$26),1),"ABCDEFGHIJKLMNOPQRSTUVWXYZabcdefghijklmnopqrstuvwxyz .,")))&gt;0)),"Last Name, ","")&amp;IF(OR(LEN($E18)&gt;1,AND($E18&lt;&gt;"",SUMPRODUCT(--(ROW($1:$1)&lt;=LEN($E18&amp;"")),--ISERROR(FIND(MID($E18&amp;"",ROW($1:$1),1),"ABCDEFGHIJKLMNOPQRSTUVWXYZabcdefghijklmnopqrstuvwxyz .,")))&gt;0)),"Middle Initial, ","")&amp;IF(OR($F18="",LEN($F18)&gt;75),"Address, ","")&amp;IF(OR($H18="",LEN($H18)&gt;30),"City, ","")&amp;IF(AND($K18="US",OR($I18="",LEN($I18)&lt;&gt;2)),"State, ","")&amp;IF($J18="","ZIP, ","")&amp;IF(OR($K18="",AND($K18&lt;&gt;"US",$K18&lt;&gt;"CA")),"Country, ","")&amp;IF(OR($L18="",AND($L18&lt;&gt;"",OR(NOT(ISNUMBER($L18)),$L18&lt;=DATE(1900,1,1),$L18&gt;TODAY()))),"Birthdate, ","")&amp;IF(AND($N18&lt;&gt;"",NOT(IFERROR(AND(ISNUMBER(SEARCH("@",$N18)),ISNUMBER(SEARCH(".",$N18,SEARCH("@",$N18)+2))),FALSE))),"Email, ","")&amp;IF(OR(AND($B18&lt;&gt;"",$O18=""),AND($O18&lt;&gt;"",$O18&lt;&gt;"Spouse or Common Law Spouse",$O18&lt;&gt;"Domestic Partner",$O18&lt;&gt;"Child",$O18&lt;&gt;"Other",$O18&lt;&gt;"Estate",$O18&lt;&gt;"Unknown")),"Dependent Relationship, ","")&amp;IF($AA18&lt;&gt;"","Household, ","")&amp;IF(OR($P18="",AND($P18&lt;&gt;"",OR(NOT(ISNUMBER($P18)),$P18&lt;=DATE(1900,1,1)))),"Eligibility Date, ","")&amp;IF(OR(AND($R18="Terminated",$Q18=""),AND($Q18&lt;&gt;"",OR(NOT(ISNUMBER($Q18)),$Q18&lt;=DATE(1900,1,1))),AND(ISNUMBER($P18),ISNUMBER($Q18),$Q18&lt;$P18)),"Termination Date, ","")&amp;IF(OR($R18="",AND($R18&lt;&gt;"Active",$R18&lt;&gt;"Terminated"),AND('START HERE'!$C$8="Terminations Only",$R18&lt;&gt;"Terminated")),"Status, ","")&amp;IF($S18="","Plan Name, ","")&amp;IF($T18="","Coverage Level, ","")&amp;IF(AND($U18&lt;&gt;"",OR(NOT(ISNUMBER($U18)),$U18&lt;0)),"Funding, ","")&amp;IF(AND($A18&lt;&gt;"",$S18&lt;&gt;"",COUNTIFS($A$2:$A$501,$A18,$B$2:$B$501,$B18,$S$2:$S$501,$S18)&gt;1),"Duplicate Row, ",""))</f>
        <v/>
      </c>
      <c r="AF18">
        <f>IF(COUNTA($A18:$U18)=0,"",$Y18&amp;$Z18&amp;$AA18&amp;$AB18&amp;$AC18)</f>
        <v/>
      </c>
      <c r="AG18">
        <f>IF($N18="","",LOWER(TRIM($N18)))</f>
        <v/>
      </c>
      <c r="AH18">
        <f>IF($A18="","",COUNTIFS($A$2:$A$501,$A18,$AI$2:$AI$501,1))</f>
        <v/>
      </c>
      <c r="AI18">
        <f>IF(COUNTA($A18:$U18)=0,"",--($AF18&lt;&gt;""))</f>
        <v/>
      </c>
      <c r="AJ18">
        <f>IF(COUNTA($A18:$U18)=0,"",--($AD18&lt;&gt;""))</f>
        <v/>
      </c>
    </row>
    <row r="19" ht="20" customHeight="1">
      <c r="A19" s="80" t="n"/>
      <c r="B19" s="80" t="n"/>
      <c r="C19" s="81" t="n"/>
      <c r="D19" s="81" t="n"/>
      <c r="E19" s="80" t="n"/>
      <c r="F19" s="81" t="n"/>
      <c r="G19" s="81" t="n"/>
      <c r="H19" s="81" t="n"/>
      <c r="I19" s="80" t="n"/>
      <c r="J19" s="80" t="n"/>
      <c r="K19" s="80" t="n"/>
      <c r="L19" s="82" t="n"/>
      <c r="M19" s="80" t="n"/>
      <c r="N19" s="80" t="n"/>
      <c r="O19" s="80" t="n"/>
      <c r="P19" s="82" t="n"/>
      <c r="Q19" s="82" t="n"/>
      <c r="R19" s="80" t="n"/>
      <c r="S19" s="80" t="n"/>
      <c r="T19" s="80" t="n"/>
      <c r="U19" s="83" t="n"/>
      <c r="V19">
        <f>IF($A19="","",IF($A19=$A18,$V18,IF($V18="",0,1-$V18)))</f>
        <v/>
      </c>
      <c r="W19">
        <f>IF($B19&lt;&gt;"",$B19,$A19)</f>
        <v/>
      </c>
      <c r="X19">
        <f>IF(COUNTA($A19:$U19)=0,"",IF(OR($B19&lt;&gt;"",$O19&lt;&gt;""),"Dependent","Employee"))</f>
        <v/>
      </c>
      <c r="Y19">
        <f>IF(COUNTA($A19:$U19)=0,"",IF($A19="","Employee SSN is required; ","")&amp;IF($C19="","First Name is required; ","")&amp;IF(LEN($C19&amp;"")&gt;19,"First Name exceeds 19 characters; ","")&amp;IF(AND($C19&lt;&gt;"",SUMPRODUCT(--(ROW($1:$19)&lt;=LEN($C19&amp;"")),--ISERROR(FIND(MID($C19&amp;"",ROW($1:$19),1),"ABCDEFGHIJKLMNOPQRSTUVWXYZabcdefghijklmnopqrstuvwxyz .,")))&gt;0),"First Name contains unsupported or encoded characters; use plain A-Z letters only; ","")&amp;IF($D19="","Last Name is required; ","")&amp;IF(LEN($D19&amp;"")&gt;26,"Last Name exceeds 26 characters; ","")&amp;IF(AND($D19&lt;&gt;"",SUMPRODUCT(--(ROW($1:$26)&lt;=LEN($D19&amp;"")),--ISERROR(FIND(MID($D19&amp;"",ROW($1:$26),1),"ABCDEFGHIJKLMNOPQRSTUVWXYZabcdefghijklmnopqrstuvwxyz .,")))&gt;0),"Last Name contains unsupported or encoded characters; use plain A-Z letters only; ","")&amp;IF(LEN($E19&amp;"")&gt;1,"Middle Initial may contain only one character; ","")&amp;IF(AND($E19&lt;&gt;"",SUMPRODUCT(--(ROW($1:$1)&lt;=LEN($E19&amp;"")),--ISERROR(FIND(MID($E19&amp;"",ROW($1:$1),1),"ABCDEFGHIJKLMNOPQRSTUVWXYZabcdefghijklmnopqrstuvwxyz .,")))&gt;0),"Middle Initial must be a plain A-Z letter; ","")&amp;IF($F19="","Address is required; ","")&amp;IF(LEN($F19&amp;"")&gt;75,"Address exceeds 75 characters; ","")&amp;IF(LEN($G19&amp;"")&gt;75,"Address 2 exceeds 75 characters; ","")&amp;IF($H19="","City is required; ","")&amp;IF(LEN($H19&amp;"")&gt;30,"City exceeds 30 characters; ","")&amp;IF($K19="","Country is required; ","")&amp;IF(AND($K19&lt;&gt;"",$K19&lt;&gt;"US",$K19&lt;&gt;"CA"),"Country must be US or CA; ","")&amp;IF(AND($K19="US",OR($I19="",LEN($I19&amp;"")&lt;&gt;2)),"Use a 2-letter state code; ","")&amp;IF($J19="","ZIP or postal code is required; ","")&amp;IF(AND($K19="US",$J19&lt;&gt;"",NOT(IFERROR(OR(AND(LEN($J19&amp;"")=5,ISNUMBER(--($J19&amp;""))),AND(LEN($J19&amp;"")=9,ISNUMBER(--($J19&amp;""))),AND(LEN($J19&amp;"")=10,MID($J19&amp;"",6,1)="-",ISNUMBER(--SUBSTITUTE($J19&amp;"","-","")))),FALSE))),"US ZIP must be 5 or 9 digits, with an optional ZIP+4 hyphen; ","")&amp;IF(AND($N19&lt;&gt;"",NOT(IFERROR(AND(ISNUMBER(SEARCH("@",$N19)),ISNUMBER(SEARCH(".",$N19,SEARCH("@",$N19)+2))),FALSE))),"Email format appears invalid; ","")&amp;IF(AND($O19&lt;&gt;"",$B19=""),"Dependent SSN is required for every dependent; ","")&amp;IF(AND($B19&lt;&gt;"",$O19=""),"Dependent Relationship is required when Dependent SSN is entered; ","")&amp;IF(AND($O19&lt;&gt;"",$O19&lt;&gt;"Spouse or Common Law Spouse",$O19&lt;&gt;"Domestic Partner",$O19&lt;&gt;"Child",$O19&lt;&gt;"Other",$O19&lt;&gt;"Estate",$O19&lt;&gt;"Unknown"),"Dependent Relationship must use one of the approved options; ",""))</f>
        <v/>
      </c>
      <c r="Z19">
        <f>IF(COUNTA($A19:$U19)=0,"",IF(AND($A19&lt;&gt;"",NOT(IFERROR(AND(LEN($A19&amp;"")=9,ISNUMBER(--($A19&amp;""))),FALSE))),"Employee SSN must contain exactly 9 digits; ","")&amp;IF(AND($A19&lt;&gt;"",OR($A19="123456789",$A19="987654321",$A19="012345678",$A19=REPT(LEFT($A19&amp;"",1),9))),"Employee SSN appears to be a placeholder; ","")&amp;IF(AND($B19&lt;&gt;"",NOT(IFERROR(AND(LEN($B19&amp;"")=9,ISNUMBER(--($B19&amp;""))),FALSE))),"Dependent SSN must contain exactly 9 digits; ","")&amp;IF(AND($B19&lt;&gt;"",OR($B19="123456789",$B19="987654321",$B19="012345678",$B19=REPT(LEFT($B19&amp;"",1),9))),"Dependent SSN appears to be a placeholder; ","")&amp;IF(AND($A19&lt;&gt;"",$B19&lt;&gt;"",$A19&amp;""=$B19&amp;""),"Dependent SSN cannot match Employee SSN; ","")&amp;IF(AND($W19&lt;&gt;"",OR(COUNTIFS($W$2:$W$501,$W19,$C$2:$C$501,"&lt;&gt;"&amp;$C19)&gt;0,COUNTIFS($W$2:$W$501,$W19,$D$2:$D$501,"&lt;&gt;"&amp;$D19)&gt;0,COUNTIFS($W$2:$W$501,$W19,$L$2:$L$501,"&lt;&gt;"&amp;$L19)&gt;0)),"The same SSN is associated with a different name or birthdate; ",""))</f>
        <v/>
      </c>
      <c r="AA19">
        <f>IF(COUNTA($A19:$U19)=0,"",IF(AND($A19&lt;&gt;"",$S19&lt;&gt;"",COUNTIFS($A$2:$A$501,$A19,$S$2:$S$501,$S19,$B$2:$B$501,"",$O$2:$O$501,"")=0),"Add an employee row for this household and plan; ","")&amp;IF(AND($X19="Dependent",COUNTIFS($A$2:$A19,$A19,$S$2:$S19,$S19,$B$2:$B19,"",$O$2:$O19,"")=0),"Place the employee row before dependent rows for this plan; ","")&amp;IF(AND($X19="Dependent",COUNTIFS($A$2:$A$501,$A19,$S$2:$S$501,$S19,$B$2:$B$501,"",$O$2:$O$501,"")&gt;0,IFERROR(OR($P19&lt;&gt;LOOKUP(2,1/(($A$2:$A$501=$A19)*($S$2:$S$501=$S19)*($B$2:$B$501="")*($O$2:$O$501="")),$P$2:$P$501),$Q19&lt;&gt;LOOKUP(2,1/(($A$2:$A$501=$A19)*($S$2:$S$501=$S19)*($B$2:$B$501="")*($O$2:$O$501="")),$Q$2:$Q$501),$R19&lt;&gt;LOOKUP(2,1/(($A$2:$A$501=$A19)*($S$2:$S$501=$S19)*($B$2:$B$501="")*($O$2:$O$501="")),$R$2:$R$501),$T19&lt;&gt;LOOKUP(2,1/(($A$2:$A$501=$A19)*($S$2:$S$501=$S19)*($B$2:$B$501="")*($O$2:$O$501="")),$T$2:$T$501),$U19&lt;&gt;LOOKUP(2,1/(($A$2:$A$501=$A19)*($S$2:$S$501=$S19)*($B$2:$B$501="")*($O$2:$O$501="")),$U$2:$U$501)),FALSE)),"Dependent row does not match the employee row for eligibility, status, coverage level, or funding; ",""))</f>
        <v/>
      </c>
      <c r="AB19">
        <f>IF(COUNTA($A19:$U19)=0,"",IF($L19="","Birthdate is required; ","")&amp;IF(AND($L19&lt;&gt;"",OR(NOT(ISNUMBER($L19)),$L19&lt;=DATE(1900,1,1),$L19&gt;TODAY())),"Birthdate must be an exact valid past date; ","")&amp;IF($P19="","Eligibility Date is required; ","")&amp;IF(AND($P19&lt;&gt;"",OR(NOT(ISNUMBER($P19)),$P19&lt;=DATE(1900,1,1))),"Eligibility Date must be a valid date; ","")&amp;IF(AND($R19="Terminated",$Q19=""),"Termination Date is required when Status is Terminated; ","")&amp;IF(AND($Q19&lt;&gt;"",OR(NOT(ISNUMBER($Q19)),$Q19&lt;=DATE(1900,1,1))),"Termination Date must be a valid date; ","")&amp;IF(AND(ISNUMBER($P19),ISNUMBER($Q19),$Q19&lt;$P19),"Termination Date cannot be before Eligibility Date; ","")&amp;IF($R19="","Status is required; ","")&amp;IF(AND($R19&lt;&gt;"",$R19&lt;&gt;"Active",$R19&lt;&gt;"Terminated"),"Status must be Active or Terminated; ","")&amp;IF(AND('START HERE'!$C$8="Terminations Only",$R19&lt;&gt;"Terminated"),"Terminations Only files must contain terminated records; ",""))</f>
        <v/>
      </c>
      <c r="AC19">
        <f>IF(COUNTA($A19:$U19)=0,"",IF($S19="","Plan Name is required; ","")&amp;IF($T19="","Benefit Coverage Level is required; ","")&amp;IF(AND($U19&lt;&gt;"",OR(NOT(ISNUMBER($U19)),$U19&lt;0)),"Plan Funding Amount must be a nonnegative number; ","")&amp;IF(AND($A19&lt;&gt;"",$S19&lt;&gt;"",COUNTIFS($A$2:$A$501,$A19,$B$2:$B$501,$B19,$S$2:$S$501,$S19)&gt;1),"Duplicate participant and plan row; ",""))</f>
        <v/>
      </c>
      <c r="AD19">
        <f>IF(COUNTA($A19:$U19)=0,"",IF(AND($X19="Employee",$M19="",$N19=""),"No employee phone or email provided; ","")&amp;IF(AND($R19="Active",$Q19&lt;&gt;""),"Active record includes a Termination Date; confirm this is intentional; ","")&amp;IF(AND($B19&lt;&gt;"",$B19&amp;""&lt;&gt;$A19&amp;"",COUNTIF($A$2:$A$501,$B19)&gt;0),"Dependent SSN also appears as an Employee SSN elsewhere; confirm dual-employee coverage is intentional; ","")&amp;IF(AND($B19&lt;&gt;"",COUNTIF($B$2:$B$501,$B19)&gt;COUNTIFS($A$2:$A$501,$A19,$B$2:$B$501,$B19)),"Dependent SSN appears under more than one employee; confirm duplicate family coverage is intentional; ","")&amp;IF(AND(ROW()&gt;2,$A19&lt;&gt;"",$A19&lt;&gt;$A18,COUNTIF($A$2:$A18,$A19)&gt;0),"This household appears in more than one section of the census; keep the family together; ","")&amp;IF(OR(AND($C19&lt;&gt;"",LEN($C19&amp;"")&lt;&gt;LEN(TRIM($C19&amp;""))),AND($D19&lt;&gt;"",LEN($D19&amp;"")&lt;&gt;LEN(TRIM($D19&amp;""))),AND($E19&lt;&gt;"",LEN($E19&amp;"")&lt;&gt;LEN(TRIM($E19&amp;""))),AND($F19&lt;&gt;"",LEN($F19&amp;"")&lt;&gt;LEN(TRIM($F19&amp;""))),AND($G19&lt;&gt;"",LEN($G19&amp;"")&lt;&gt;LEN(TRIM($G19&amp;""))),AND($H19&lt;&gt;"",LEN($H19&amp;"")&lt;&gt;LEN(TRIM($H19&amp;""))),AND($I19&lt;&gt;"",LEN($I19&amp;"")&lt;&gt;LEN(TRIM($I19&amp;""))),AND($J19&lt;&gt;"",LEN($J19&amp;"")&lt;&gt;LEN(TRIM($J19&amp;""))),AND($K19&lt;&gt;"",LEN($K19&amp;"")&lt;&gt;LEN(TRIM($K19&amp;""))),AND($M19&lt;&gt;"",LEN($M19&amp;"")&lt;&gt;LEN(TRIM($M19&amp;""))),AND($N19&lt;&gt;"",LEN($N19&amp;"")&lt;&gt;LEN(TRIM($N19&amp;""))),AND($O19&lt;&gt;"",LEN($O19&amp;"")&lt;&gt;LEN(TRIM($O19&amp;""))),AND($R19&lt;&gt;"",LEN($R19&amp;"")&lt;&gt;LEN(TRIM($R19&amp;""))),AND($S19&lt;&gt;"",LEN($S19&amp;"")&lt;&gt;LEN(TRIM($S19&amp;""))),AND($T19&lt;&gt;"",LEN($T19&amp;"")&lt;&gt;LEN(TRIM($T19&amp;"")))),"Remove leading or trailing spaces from text fields; ","")&amp;IF(OR(AND(LEN($C19)&gt;1,OR(EXACT($C19,UPPER($C19)),EXACT($C19,LOWER($C19)))),AND(LEN($D19)&gt;1,OR(EXACT($D19,UPPER($D19)),EXACT($D19,LOWER($D19)))),AND(LEN($H19)&gt;1,OR(EXACT($H19,UPPER($H19)),EXACT($H19,LOWER($H19))))),"Review capitalization in First Name, Last Name, or City; ","")&amp;IF(AND($N19&lt;&gt;"",NOT(EXACT($N19,LOWER($N19)))),"Email will be standardized to lowercase in the clean output; ","")&amp;IF(AND(OR('START HERE'!$C$8="Initial Enrollment",'START HERE'!$C$8="Open Enrollment"),$R19="Terminated"),"A terminated row is included in an initial or open enrollment file; confirm this is intentional; ",""))</f>
        <v/>
      </c>
      <c r="AE19">
        <f>IF(COUNTA($A19:$U19)=0,"",IF(OR($A19="",AND($A19&lt;&gt;"",NOT(IFERROR(AND(LEN($A19&amp;"")=9,ISNUMBER(--($A19&amp;""))),FALSE))),AND($A19&lt;&gt;"",OR($A19="123456789",$A19="987654321",$A19="012345678",$A19=REPT(LEFT($A19&amp;"",1),9)))),"Employee SSN, ","")&amp;IF(OR(AND($O19&lt;&gt;"",$B19=""),AND($B19&lt;&gt;"",OR(NOT(IFERROR(AND(LEN($B19&amp;"")=9,ISNUMBER(--($B19&amp;""))),FALSE)),$B19=$A19,$B19="123456789",$B19="987654321",$B19="012345678",$B19=REPT(LEFT($B19&amp;"",1),9)))),"Dependent SSN, ","")&amp;IF(OR($C19="",LEN($C19)&gt;19,AND($C19&lt;&gt;"",SUMPRODUCT(--(ROW($1:$19)&lt;=LEN($C19&amp;"")),--ISERROR(FIND(MID($C19&amp;"",ROW($1:$19),1),"ABCDEFGHIJKLMNOPQRSTUVWXYZabcdefghijklmnopqrstuvwxyz .,")))&gt;0)),"First Name, ","")&amp;IF(OR($D19="",LEN($D19)&gt;26,AND($D19&lt;&gt;"",SUMPRODUCT(--(ROW($1:$26)&lt;=LEN($D19&amp;"")),--ISERROR(FIND(MID($D19&amp;"",ROW($1:$26),1),"ABCDEFGHIJKLMNOPQRSTUVWXYZabcdefghijklmnopqrstuvwxyz .,")))&gt;0)),"Last Name, ","")&amp;IF(OR(LEN($E19)&gt;1,AND($E19&lt;&gt;"",SUMPRODUCT(--(ROW($1:$1)&lt;=LEN($E19&amp;"")),--ISERROR(FIND(MID($E19&amp;"",ROW($1:$1),1),"ABCDEFGHIJKLMNOPQRSTUVWXYZabcdefghijklmnopqrstuvwxyz .,")))&gt;0)),"Middle Initial, ","")&amp;IF(OR($F19="",LEN($F19)&gt;75),"Address, ","")&amp;IF(OR($H19="",LEN($H19)&gt;30),"City, ","")&amp;IF(AND($K19="US",OR($I19="",LEN($I19)&lt;&gt;2)),"State, ","")&amp;IF($J19="","ZIP, ","")&amp;IF(OR($K19="",AND($K19&lt;&gt;"US",$K19&lt;&gt;"CA")),"Country, ","")&amp;IF(OR($L19="",AND($L19&lt;&gt;"",OR(NOT(ISNUMBER($L19)),$L19&lt;=DATE(1900,1,1),$L19&gt;TODAY()))),"Birthdate, ","")&amp;IF(AND($N19&lt;&gt;"",NOT(IFERROR(AND(ISNUMBER(SEARCH("@",$N19)),ISNUMBER(SEARCH(".",$N19,SEARCH("@",$N19)+2))),FALSE))),"Email, ","")&amp;IF(OR(AND($B19&lt;&gt;"",$O19=""),AND($O19&lt;&gt;"",$O19&lt;&gt;"Spouse or Common Law Spouse",$O19&lt;&gt;"Domestic Partner",$O19&lt;&gt;"Child",$O19&lt;&gt;"Other",$O19&lt;&gt;"Estate",$O19&lt;&gt;"Unknown")),"Dependent Relationship, ","")&amp;IF($AA19&lt;&gt;"","Household, ","")&amp;IF(OR($P19="",AND($P19&lt;&gt;"",OR(NOT(ISNUMBER($P19)),$P19&lt;=DATE(1900,1,1)))),"Eligibility Date, ","")&amp;IF(OR(AND($R19="Terminated",$Q19=""),AND($Q19&lt;&gt;"",OR(NOT(ISNUMBER($Q19)),$Q19&lt;=DATE(1900,1,1))),AND(ISNUMBER($P19),ISNUMBER($Q19),$Q19&lt;$P19)),"Termination Date, ","")&amp;IF(OR($R19="",AND($R19&lt;&gt;"Active",$R19&lt;&gt;"Terminated"),AND('START HERE'!$C$8="Terminations Only",$R19&lt;&gt;"Terminated")),"Status, ","")&amp;IF($S19="","Plan Name, ","")&amp;IF($T19="","Coverage Level, ","")&amp;IF(AND($U19&lt;&gt;"",OR(NOT(ISNUMBER($U19)),$U19&lt;0)),"Funding, ","")&amp;IF(AND($A19&lt;&gt;"",$S19&lt;&gt;"",COUNTIFS($A$2:$A$501,$A19,$B$2:$B$501,$B19,$S$2:$S$501,$S19)&gt;1),"Duplicate Row, ",""))</f>
        <v/>
      </c>
      <c r="AF19">
        <f>IF(COUNTA($A19:$U19)=0,"",$Y19&amp;$Z19&amp;$AA19&amp;$AB19&amp;$AC19)</f>
        <v/>
      </c>
      <c r="AG19">
        <f>IF($N19="","",LOWER(TRIM($N19)))</f>
        <v/>
      </c>
      <c r="AH19">
        <f>IF($A19="","",COUNTIFS($A$2:$A$501,$A19,$AI$2:$AI$501,1))</f>
        <v/>
      </c>
      <c r="AI19">
        <f>IF(COUNTA($A19:$U19)=0,"",--($AF19&lt;&gt;""))</f>
        <v/>
      </c>
      <c r="AJ19">
        <f>IF(COUNTA($A19:$U19)=0,"",--($AD19&lt;&gt;""))</f>
        <v/>
      </c>
    </row>
    <row r="20" ht="20" customHeight="1">
      <c r="A20" s="80" t="n"/>
      <c r="B20" s="80" t="n"/>
      <c r="C20" s="81" t="n"/>
      <c r="D20" s="81" t="n"/>
      <c r="E20" s="80" t="n"/>
      <c r="F20" s="81" t="n"/>
      <c r="G20" s="81" t="n"/>
      <c r="H20" s="81" t="n"/>
      <c r="I20" s="80" t="n"/>
      <c r="J20" s="80" t="n"/>
      <c r="K20" s="80" t="n"/>
      <c r="L20" s="82" t="n"/>
      <c r="M20" s="80" t="n"/>
      <c r="N20" s="80" t="n"/>
      <c r="O20" s="80" t="n"/>
      <c r="P20" s="82" t="n"/>
      <c r="Q20" s="82" t="n"/>
      <c r="R20" s="80" t="n"/>
      <c r="S20" s="80" t="n"/>
      <c r="T20" s="80" t="n"/>
      <c r="U20" s="83" t="n"/>
      <c r="V20">
        <f>IF($A20="","",IF($A20=$A19,$V19,IF($V19="",0,1-$V19)))</f>
        <v/>
      </c>
      <c r="W20">
        <f>IF($B20&lt;&gt;"",$B20,$A20)</f>
        <v/>
      </c>
      <c r="X20">
        <f>IF(COUNTA($A20:$U20)=0,"",IF(OR($B20&lt;&gt;"",$O20&lt;&gt;""),"Dependent","Employee"))</f>
        <v/>
      </c>
      <c r="Y20">
        <f>IF(COUNTA($A20:$U20)=0,"",IF($A20="","Employee SSN is required; ","")&amp;IF($C20="","First Name is required; ","")&amp;IF(LEN($C20&amp;"")&gt;19,"First Name exceeds 19 characters; ","")&amp;IF(AND($C20&lt;&gt;"",SUMPRODUCT(--(ROW($1:$19)&lt;=LEN($C20&amp;"")),--ISERROR(FIND(MID($C20&amp;"",ROW($1:$19),1),"ABCDEFGHIJKLMNOPQRSTUVWXYZabcdefghijklmnopqrstuvwxyz .,")))&gt;0),"First Name contains unsupported or encoded characters; use plain A-Z letters only; ","")&amp;IF($D20="","Last Name is required; ","")&amp;IF(LEN($D20&amp;"")&gt;26,"Last Name exceeds 26 characters; ","")&amp;IF(AND($D20&lt;&gt;"",SUMPRODUCT(--(ROW($1:$26)&lt;=LEN($D20&amp;"")),--ISERROR(FIND(MID($D20&amp;"",ROW($1:$26),1),"ABCDEFGHIJKLMNOPQRSTUVWXYZabcdefghijklmnopqrstuvwxyz .,")))&gt;0),"Last Name contains unsupported or encoded characters; use plain A-Z letters only; ","")&amp;IF(LEN($E20&amp;"")&gt;1,"Middle Initial may contain only one character; ","")&amp;IF(AND($E20&lt;&gt;"",SUMPRODUCT(--(ROW($1:$1)&lt;=LEN($E20&amp;"")),--ISERROR(FIND(MID($E20&amp;"",ROW($1:$1),1),"ABCDEFGHIJKLMNOPQRSTUVWXYZabcdefghijklmnopqrstuvwxyz .,")))&gt;0),"Middle Initial must be a plain A-Z letter; ","")&amp;IF($F20="","Address is required; ","")&amp;IF(LEN($F20&amp;"")&gt;75,"Address exceeds 75 characters; ","")&amp;IF(LEN($G20&amp;"")&gt;75,"Address 2 exceeds 75 characters; ","")&amp;IF($H20="","City is required; ","")&amp;IF(LEN($H20&amp;"")&gt;30,"City exceeds 30 characters; ","")&amp;IF($K20="","Country is required; ","")&amp;IF(AND($K20&lt;&gt;"",$K20&lt;&gt;"US",$K20&lt;&gt;"CA"),"Country must be US or CA; ","")&amp;IF(AND($K20="US",OR($I20="",LEN($I20&amp;"")&lt;&gt;2)),"Use a 2-letter state code; ","")&amp;IF($J20="","ZIP or postal code is required; ","")&amp;IF(AND($K20="US",$J20&lt;&gt;"",NOT(IFERROR(OR(AND(LEN($J20&amp;"")=5,ISNUMBER(--($J20&amp;""))),AND(LEN($J20&amp;"")=9,ISNUMBER(--($J20&amp;""))),AND(LEN($J20&amp;"")=10,MID($J20&amp;"",6,1)="-",ISNUMBER(--SUBSTITUTE($J20&amp;"","-","")))),FALSE))),"US ZIP must be 5 or 9 digits, with an optional ZIP+4 hyphen; ","")&amp;IF(AND($N20&lt;&gt;"",NOT(IFERROR(AND(ISNUMBER(SEARCH("@",$N20)),ISNUMBER(SEARCH(".",$N20,SEARCH("@",$N20)+2))),FALSE))),"Email format appears invalid; ","")&amp;IF(AND($O20&lt;&gt;"",$B20=""),"Dependent SSN is required for every dependent; ","")&amp;IF(AND($B20&lt;&gt;"",$O20=""),"Dependent Relationship is required when Dependent SSN is entered; ","")&amp;IF(AND($O20&lt;&gt;"",$O20&lt;&gt;"Spouse or Common Law Spouse",$O20&lt;&gt;"Domestic Partner",$O20&lt;&gt;"Child",$O20&lt;&gt;"Other",$O20&lt;&gt;"Estate",$O20&lt;&gt;"Unknown"),"Dependent Relationship must use one of the approved options; ",""))</f>
        <v/>
      </c>
      <c r="Z20">
        <f>IF(COUNTA($A20:$U20)=0,"",IF(AND($A20&lt;&gt;"",NOT(IFERROR(AND(LEN($A20&amp;"")=9,ISNUMBER(--($A20&amp;""))),FALSE))),"Employee SSN must contain exactly 9 digits; ","")&amp;IF(AND($A20&lt;&gt;"",OR($A20="123456789",$A20="987654321",$A20="012345678",$A20=REPT(LEFT($A20&amp;"",1),9))),"Employee SSN appears to be a placeholder; ","")&amp;IF(AND($B20&lt;&gt;"",NOT(IFERROR(AND(LEN($B20&amp;"")=9,ISNUMBER(--($B20&amp;""))),FALSE))),"Dependent SSN must contain exactly 9 digits; ","")&amp;IF(AND($B20&lt;&gt;"",OR($B20="123456789",$B20="987654321",$B20="012345678",$B20=REPT(LEFT($B20&amp;"",1),9))),"Dependent SSN appears to be a placeholder; ","")&amp;IF(AND($A20&lt;&gt;"",$B20&lt;&gt;"",$A20&amp;""=$B20&amp;""),"Dependent SSN cannot match Employee SSN; ","")&amp;IF(AND($W20&lt;&gt;"",OR(COUNTIFS($W$2:$W$501,$W20,$C$2:$C$501,"&lt;&gt;"&amp;$C20)&gt;0,COUNTIFS($W$2:$W$501,$W20,$D$2:$D$501,"&lt;&gt;"&amp;$D20)&gt;0,COUNTIFS($W$2:$W$501,$W20,$L$2:$L$501,"&lt;&gt;"&amp;$L20)&gt;0)),"The same SSN is associated with a different name or birthdate; ",""))</f>
        <v/>
      </c>
      <c r="AA20">
        <f>IF(COUNTA($A20:$U20)=0,"",IF(AND($A20&lt;&gt;"",$S20&lt;&gt;"",COUNTIFS($A$2:$A$501,$A20,$S$2:$S$501,$S20,$B$2:$B$501,"",$O$2:$O$501,"")=0),"Add an employee row for this household and plan; ","")&amp;IF(AND($X20="Dependent",COUNTIFS($A$2:$A20,$A20,$S$2:$S20,$S20,$B$2:$B20,"",$O$2:$O20,"")=0),"Place the employee row before dependent rows for this plan; ","")&amp;IF(AND($X20="Dependent",COUNTIFS($A$2:$A$501,$A20,$S$2:$S$501,$S20,$B$2:$B$501,"",$O$2:$O$501,"")&gt;0,IFERROR(OR($P20&lt;&gt;LOOKUP(2,1/(($A$2:$A$501=$A20)*($S$2:$S$501=$S20)*($B$2:$B$501="")*($O$2:$O$501="")),$P$2:$P$501),$Q20&lt;&gt;LOOKUP(2,1/(($A$2:$A$501=$A20)*($S$2:$S$501=$S20)*($B$2:$B$501="")*($O$2:$O$501="")),$Q$2:$Q$501),$R20&lt;&gt;LOOKUP(2,1/(($A$2:$A$501=$A20)*($S$2:$S$501=$S20)*($B$2:$B$501="")*($O$2:$O$501="")),$R$2:$R$501),$T20&lt;&gt;LOOKUP(2,1/(($A$2:$A$501=$A20)*($S$2:$S$501=$S20)*($B$2:$B$501="")*($O$2:$O$501="")),$T$2:$T$501),$U20&lt;&gt;LOOKUP(2,1/(($A$2:$A$501=$A20)*($S$2:$S$501=$S20)*($B$2:$B$501="")*($O$2:$O$501="")),$U$2:$U$501)),FALSE)),"Dependent row does not match the employee row for eligibility, status, coverage level, or funding; ",""))</f>
        <v/>
      </c>
      <c r="AB20">
        <f>IF(COUNTA($A20:$U20)=0,"",IF($L20="","Birthdate is required; ","")&amp;IF(AND($L20&lt;&gt;"",OR(NOT(ISNUMBER($L20)),$L20&lt;=DATE(1900,1,1),$L20&gt;TODAY())),"Birthdate must be an exact valid past date; ","")&amp;IF($P20="","Eligibility Date is required; ","")&amp;IF(AND($P20&lt;&gt;"",OR(NOT(ISNUMBER($P20)),$P20&lt;=DATE(1900,1,1))),"Eligibility Date must be a valid date; ","")&amp;IF(AND($R20="Terminated",$Q20=""),"Termination Date is required when Status is Terminated; ","")&amp;IF(AND($Q20&lt;&gt;"",OR(NOT(ISNUMBER($Q20)),$Q20&lt;=DATE(1900,1,1))),"Termination Date must be a valid date; ","")&amp;IF(AND(ISNUMBER($P20),ISNUMBER($Q20),$Q20&lt;$P20),"Termination Date cannot be before Eligibility Date; ","")&amp;IF($R20="","Status is required; ","")&amp;IF(AND($R20&lt;&gt;"",$R20&lt;&gt;"Active",$R20&lt;&gt;"Terminated"),"Status must be Active or Terminated; ","")&amp;IF(AND('START HERE'!$C$8="Terminations Only",$R20&lt;&gt;"Terminated"),"Terminations Only files must contain terminated records; ",""))</f>
        <v/>
      </c>
      <c r="AC20">
        <f>IF(COUNTA($A20:$U20)=0,"",IF($S20="","Plan Name is required; ","")&amp;IF($T20="","Benefit Coverage Level is required; ","")&amp;IF(AND($U20&lt;&gt;"",OR(NOT(ISNUMBER($U20)),$U20&lt;0)),"Plan Funding Amount must be a nonnegative number; ","")&amp;IF(AND($A20&lt;&gt;"",$S20&lt;&gt;"",COUNTIFS($A$2:$A$501,$A20,$B$2:$B$501,$B20,$S$2:$S$501,$S20)&gt;1),"Duplicate participant and plan row; ",""))</f>
        <v/>
      </c>
      <c r="AD20">
        <f>IF(COUNTA($A20:$U20)=0,"",IF(AND($X20="Employee",$M20="",$N20=""),"No employee phone or email provided; ","")&amp;IF(AND($R20="Active",$Q20&lt;&gt;""),"Active record includes a Termination Date; confirm this is intentional; ","")&amp;IF(AND($B20&lt;&gt;"",$B20&amp;""&lt;&gt;$A20&amp;"",COUNTIF($A$2:$A$501,$B20)&gt;0),"Dependent SSN also appears as an Employee SSN elsewhere; confirm dual-employee coverage is intentional; ","")&amp;IF(AND($B20&lt;&gt;"",COUNTIF($B$2:$B$501,$B20)&gt;COUNTIFS($A$2:$A$501,$A20,$B$2:$B$501,$B20)),"Dependent SSN appears under more than one employee; confirm duplicate family coverage is intentional; ","")&amp;IF(AND(ROW()&gt;2,$A20&lt;&gt;"",$A20&lt;&gt;$A19,COUNTIF($A$2:$A19,$A20)&gt;0),"This household appears in more than one section of the census; keep the family together; ","")&amp;IF(OR(AND($C20&lt;&gt;"",LEN($C20&amp;"")&lt;&gt;LEN(TRIM($C20&amp;""))),AND($D20&lt;&gt;"",LEN($D20&amp;"")&lt;&gt;LEN(TRIM($D20&amp;""))),AND($E20&lt;&gt;"",LEN($E20&amp;"")&lt;&gt;LEN(TRIM($E20&amp;""))),AND($F20&lt;&gt;"",LEN($F20&amp;"")&lt;&gt;LEN(TRIM($F20&amp;""))),AND($G20&lt;&gt;"",LEN($G20&amp;"")&lt;&gt;LEN(TRIM($G20&amp;""))),AND($H20&lt;&gt;"",LEN($H20&amp;"")&lt;&gt;LEN(TRIM($H20&amp;""))),AND($I20&lt;&gt;"",LEN($I20&amp;"")&lt;&gt;LEN(TRIM($I20&amp;""))),AND($J20&lt;&gt;"",LEN($J20&amp;"")&lt;&gt;LEN(TRIM($J20&amp;""))),AND($K20&lt;&gt;"",LEN($K20&amp;"")&lt;&gt;LEN(TRIM($K20&amp;""))),AND($M20&lt;&gt;"",LEN($M20&amp;"")&lt;&gt;LEN(TRIM($M20&amp;""))),AND($N20&lt;&gt;"",LEN($N20&amp;"")&lt;&gt;LEN(TRIM($N20&amp;""))),AND($O20&lt;&gt;"",LEN($O20&amp;"")&lt;&gt;LEN(TRIM($O20&amp;""))),AND($R20&lt;&gt;"",LEN($R20&amp;"")&lt;&gt;LEN(TRIM($R20&amp;""))),AND($S20&lt;&gt;"",LEN($S20&amp;"")&lt;&gt;LEN(TRIM($S20&amp;""))),AND($T20&lt;&gt;"",LEN($T20&amp;"")&lt;&gt;LEN(TRIM($T20&amp;"")))),"Remove leading or trailing spaces from text fields; ","")&amp;IF(OR(AND(LEN($C20)&gt;1,OR(EXACT($C20,UPPER($C20)),EXACT($C20,LOWER($C20)))),AND(LEN($D20)&gt;1,OR(EXACT($D20,UPPER($D20)),EXACT($D20,LOWER($D20)))),AND(LEN($H20)&gt;1,OR(EXACT($H20,UPPER($H20)),EXACT($H20,LOWER($H20))))),"Review capitalization in First Name, Last Name, or City; ","")&amp;IF(AND($N20&lt;&gt;"",NOT(EXACT($N20,LOWER($N20)))),"Email will be standardized to lowercase in the clean output; ","")&amp;IF(AND(OR('START HERE'!$C$8="Initial Enrollment",'START HERE'!$C$8="Open Enrollment"),$R20="Terminated"),"A terminated row is included in an initial or open enrollment file; confirm this is intentional; ",""))</f>
        <v/>
      </c>
      <c r="AE20">
        <f>IF(COUNTA($A20:$U20)=0,"",IF(OR($A20="",AND($A20&lt;&gt;"",NOT(IFERROR(AND(LEN($A20&amp;"")=9,ISNUMBER(--($A20&amp;""))),FALSE))),AND($A20&lt;&gt;"",OR($A20="123456789",$A20="987654321",$A20="012345678",$A20=REPT(LEFT($A20&amp;"",1),9)))),"Employee SSN, ","")&amp;IF(OR(AND($O20&lt;&gt;"",$B20=""),AND($B20&lt;&gt;"",OR(NOT(IFERROR(AND(LEN($B20&amp;"")=9,ISNUMBER(--($B20&amp;""))),FALSE)),$B20=$A20,$B20="123456789",$B20="987654321",$B20="012345678",$B20=REPT(LEFT($B20&amp;"",1),9)))),"Dependent SSN, ","")&amp;IF(OR($C20="",LEN($C20)&gt;19,AND($C20&lt;&gt;"",SUMPRODUCT(--(ROW($1:$19)&lt;=LEN($C20&amp;"")),--ISERROR(FIND(MID($C20&amp;"",ROW($1:$19),1),"ABCDEFGHIJKLMNOPQRSTUVWXYZabcdefghijklmnopqrstuvwxyz .,")))&gt;0)),"First Name, ","")&amp;IF(OR($D20="",LEN($D20)&gt;26,AND($D20&lt;&gt;"",SUMPRODUCT(--(ROW($1:$26)&lt;=LEN($D20&amp;"")),--ISERROR(FIND(MID($D20&amp;"",ROW($1:$26),1),"ABCDEFGHIJKLMNOPQRSTUVWXYZabcdefghijklmnopqrstuvwxyz .,")))&gt;0)),"Last Name, ","")&amp;IF(OR(LEN($E20)&gt;1,AND($E20&lt;&gt;"",SUMPRODUCT(--(ROW($1:$1)&lt;=LEN($E20&amp;"")),--ISERROR(FIND(MID($E20&amp;"",ROW($1:$1),1),"ABCDEFGHIJKLMNOPQRSTUVWXYZabcdefghijklmnopqrstuvwxyz .,")))&gt;0)),"Middle Initial, ","")&amp;IF(OR($F20="",LEN($F20)&gt;75),"Address, ","")&amp;IF(OR($H20="",LEN($H20)&gt;30),"City, ","")&amp;IF(AND($K20="US",OR($I20="",LEN($I20)&lt;&gt;2)),"State, ","")&amp;IF($J20="","ZIP, ","")&amp;IF(OR($K20="",AND($K20&lt;&gt;"US",$K20&lt;&gt;"CA")),"Country, ","")&amp;IF(OR($L20="",AND($L20&lt;&gt;"",OR(NOT(ISNUMBER($L20)),$L20&lt;=DATE(1900,1,1),$L20&gt;TODAY()))),"Birthdate, ","")&amp;IF(AND($N20&lt;&gt;"",NOT(IFERROR(AND(ISNUMBER(SEARCH("@",$N20)),ISNUMBER(SEARCH(".",$N20,SEARCH("@",$N20)+2))),FALSE))),"Email, ","")&amp;IF(OR(AND($B20&lt;&gt;"",$O20=""),AND($O20&lt;&gt;"",$O20&lt;&gt;"Spouse or Common Law Spouse",$O20&lt;&gt;"Domestic Partner",$O20&lt;&gt;"Child",$O20&lt;&gt;"Other",$O20&lt;&gt;"Estate",$O20&lt;&gt;"Unknown")),"Dependent Relationship, ","")&amp;IF($AA20&lt;&gt;"","Household, ","")&amp;IF(OR($P20="",AND($P20&lt;&gt;"",OR(NOT(ISNUMBER($P20)),$P20&lt;=DATE(1900,1,1)))),"Eligibility Date, ","")&amp;IF(OR(AND($R20="Terminated",$Q20=""),AND($Q20&lt;&gt;"",OR(NOT(ISNUMBER($Q20)),$Q20&lt;=DATE(1900,1,1))),AND(ISNUMBER($P20),ISNUMBER($Q20),$Q20&lt;$P20)),"Termination Date, ","")&amp;IF(OR($R20="",AND($R20&lt;&gt;"Active",$R20&lt;&gt;"Terminated"),AND('START HERE'!$C$8="Terminations Only",$R20&lt;&gt;"Terminated")),"Status, ","")&amp;IF($S20="","Plan Name, ","")&amp;IF($T20="","Coverage Level, ","")&amp;IF(AND($U20&lt;&gt;"",OR(NOT(ISNUMBER($U20)),$U20&lt;0)),"Funding, ","")&amp;IF(AND($A20&lt;&gt;"",$S20&lt;&gt;"",COUNTIFS($A$2:$A$501,$A20,$B$2:$B$501,$B20,$S$2:$S$501,$S20)&gt;1),"Duplicate Row, ",""))</f>
        <v/>
      </c>
      <c r="AF20">
        <f>IF(COUNTA($A20:$U20)=0,"",$Y20&amp;$Z20&amp;$AA20&amp;$AB20&amp;$AC20)</f>
        <v/>
      </c>
      <c r="AG20">
        <f>IF($N20="","",LOWER(TRIM($N20)))</f>
        <v/>
      </c>
      <c r="AH20">
        <f>IF($A20="","",COUNTIFS($A$2:$A$501,$A20,$AI$2:$AI$501,1))</f>
        <v/>
      </c>
      <c r="AI20">
        <f>IF(COUNTA($A20:$U20)=0,"",--($AF20&lt;&gt;""))</f>
        <v/>
      </c>
      <c r="AJ20">
        <f>IF(COUNTA($A20:$U20)=0,"",--($AD20&lt;&gt;""))</f>
        <v/>
      </c>
    </row>
    <row r="21" ht="20" customHeight="1">
      <c r="A21" s="80" t="n"/>
      <c r="B21" s="80" t="n"/>
      <c r="C21" s="81" t="n"/>
      <c r="D21" s="81" t="n"/>
      <c r="E21" s="80" t="n"/>
      <c r="F21" s="81" t="n"/>
      <c r="G21" s="81" t="n"/>
      <c r="H21" s="81" t="n"/>
      <c r="I21" s="80" t="n"/>
      <c r="J21" s="80" t="n"/>
      <c r="K21" s="80" t="n"/>
      <c r="L21" s="82" t="n"/>
      <c r="M21" s="80" t="n"/>
      <c r="N21" s="80" t="n"/>
      <c r="O21" s="80" t="n"/>
      <c r="P21" s="82" t="n"/>
      <c r="Q21" s="82" t="n"/>
      <c r="R21" s="80" t="n"/>
      <c r="S21" s="80" t="n"/>
      <c r="T21" s="80" t="n"/>
      <c r="U21" s="83" t="n"/>
      <c r="V21">
        <f>IF($A21="","",IF($A21=$A20,$V20,IF($V20="",0,1-$V20)))</f>
        <v/>
      </c>
      <c r="W21">
        <f>IF($B21&lt;&gt;"",$B21,$A21)</f>
        <v/>
      </c>
      <c r="X21">
        <f>IF(COUNTA($A21:$U21)=0,"",IF(OR($B21&lt;&gt;"",$O21&lt;&gt;""),"Dependent","Employee"))</f>
        <v/>
      </c>
      <c r="Y21">
        <f>IF(COUNTA($A21:$U21)=0,"",IF($A21="","Employee SSN is required; ","")&amp;IF($C21="","First Name is required; ","")&amp;IF(LEN($C21&amp;"")&gt;19,"First Name exceeds 19 characters; ","")&amp;IF(AND($C21&lt;&gt;"",SUMPRODUCT(--(ROW($1:$19)&lt;=LEN($C21&amp;"")),--ISERROR(FIND(MID($C21&amp;"",ROW($1:$19),1),"ABCDEFGHIJKLMNOPQRSTUVWXYZabcdefghijklmnopqrstuvwxyz .,")))&gt;0),"First Name contains unsupported or encoded characters; use plain A-Z letters only; ","")&amp;IF($D21="","Last Name is required; ","")&amp;IF(LEN($D21&amp;"")&gt;26,"Last Name exceeds 26 characters; ","")&amp;IF(AND($D21&lt;&gt;"",SUMPRODUCT(--(ROW($1:$26)&lt;=LEN($D21&amp;"")),--ISERROR(FIND(MID($D21&amp;"",ROW($1:$26),1),"ABCDEFGHIJKLMNOPQRSTUVWXYZabcdefghijklmnopqrstuvwxyz .,")))&gt;0),"Last Name contains unsupported or encoded characters; use plain A-Z letters only; ","")&amp;IF(LEN($E21&amp;"")&gt;1,"Middle Initial may contain only one character; ","")&amp;IF(AND($E21&lt;&gt;"",SUMPRODUCT(--(ROW($1:$1)&lt;=LEN($E21&amp;"")),--ISERROR(FIND(MID($E21&amp;"",ROW($1:$1),1),"ABCDEFGHIJKLMNOPQRSTUVWXYZabcdefghijklmnopqrstuvwxyz .,")))&gt;0),"Middle Initial must be a plain A-Z letter; ","")&amp;IF($F21="","Address is required; ","")&amp;IF(LEN($F21&amp;"")&gt;75,"Address exceeds 75 characters; ","")&amp;IF(LEN($G21&amp;"")&gt;75,"Address 2 exceeds 75 characters; ","")&amp;IF($H21="","City is required; ","")&amp;IF(LEN($H21&amp;"")&gt;30,"City exceeds 30 characters; ","")&amp;IF($K21="","Country is required; ","")&amp;IF(AND($K21&lt;&gt;"",$K21&lt;&gt;"US",$K21&lt;&gt;"CA"),"Country must be US or CA; ","")&amp;IF(AND($K21="US",OR($I21="",LEN($I21&amp;"")&lt;&gt;2)),"Use a 2-letter state code; ","")&amp;IF($J21="","ZIP or postal code is required; ","")&amp;IF(AND($K21="US",$J21&lt;&gt;"",NOT(IFERROR(OR(AND(LEN($J21&amp;"")=5,ISNUMBER(--($J21&amp;""))),AND(LEN($J21&amp;"")=9,ISNUMBER(--($J21&amp;""))),AND(LEN($J21&amp;"")=10,MID($J21&amp;"",6,1)="-",ISNUMBER(--SUBSTITUTE($J21&amp;"","-","")))),FALSE))),"US ZIP must be 5 or 9 digits, with an optional ZIP+4 hyphen; ","")&amp;IF(AND($N21&lt;&gt;"",NOT(IFERROR(AND(ISNUMBER(SEARCH("@",$N21)),ISNUMBER(SEARCH(".",$N21,SEARCH("@",$N21)+2))),FALSE))),"Email format appears invalid; ","")&amp;IF(AND($O21&lt;&gt;"",$B21=""),"Dependent SSN is required for every dependent; ","")&amp;IF(AND($B21&lt;&gt;"",$O21=""),"Dependent Relationship is required when Dependent SSN is entered; ","")&amp;IF(AND($O21&lt;&gt;"",$O21&lt;&gt;"Spouse or Common Law Spouse",$O21&lt;&gt;"Domestic Partner",$O21&lt;&gt;"Child",$O21&lt;&gt;"Other",$O21&lt;&gt;"Estate",$O21&lt;&gt;"Unknown"),"Dependent Relationship must use one of the approved options; ",""))</f>
        <v/>
      </c>
      <c r="Z21">
        <f>IF(COUNTA($A21:$U21)=0,"",IF(AND($A21&lt;&gt;"",NOT(IFERROR(AND(LEN($A21&amp;"")=9,ISNUMBER(--($A21&amp;""))),FALSE))),"Employee SSN must contain exactly 9 digits; ","")&amp;IF(AND($A21&lt;&gt;"",OR($A21="123456789",$A21="987654321",$A21="012345678",$A21=REPT(LEFT($A21&amp;"",1),9))),"Employee SSN appears to be a placeholder; ","")&amp;IF(AND($B21&lt;&gt;"",NOT(IFERROR(AND(LEN($B21&amp;"")=9,ISNUMBER(--($B21&amp;""))),FALSE))),"Dependent SSN must contain exactly 9 digits; ","")&amp;IF(AND($B21&lt;&gt;"",OR($B21="123456789",$B21="987654321",$B21="012345678",$B21=REPT(LEFT($B21&amp;"",1),9))),"Dependent SSN appears to be a placeholder; ","")&amp;IF(AND($A21&lt;&gt;"",$B21&lt;&gt;"",$A21&amp;""=$B21&amp;""),"Dependent SSN cannot match Employee SSN; ","")&amp;IF(AND($W21&lt;&gt;"",OR(COUNTIFS($W$2:$W$501,$W21,$C$2:$C$501,"&lt;&gt;"&amp;$C21)&gt;0,COUNTIFS($W$2:$W$501,$W21,$D$2:$D$501,"&lt;&gt;"&amp;$D21)&gt;0,COUNTIFS($W$2:$W$501,$W21,$L$2:$L$501,"&lt;&gt;"&amp;$L21)&gt;0)),"The same SSN is associated with a different name or birthdate; ",""))</f>
        <v/>
      </c>
      <c r="AA21">
        <f>IF(COUNTA($A21:$U21)=0,"",IF(AND($A21&lt;&gt;"",$S21&lt;&gt;"",COUNTIFS($A$2:$A$501,$A21,$S$2:$S$501,$S21,$B$2:$B$501,"",$O$2:$O$501,"")=0),"Add an employee row for this household and plan; ","")&amp;IF(AND($X21="Dependent",COUNTIFS($A$2:$A21,$A21,$S$2:$S21,$S21,$B$2:$B21,"",$O$2:$O21,"")=0),"Place the employee row before dependent rows for this plan; ","")&amp;IF(AND($X21="Dependent",COUNTIFS($A$2:$A$501,$A21,$S$2:$S$501,$S21,$B$2:$B$501,"",$O$2:$O$501,"")&gt;0,IFERROR(OR($P21&lt;&gt;LOOKUP(2,1/(($A$2:$A$501=$A21)*($S$2:$S$501=$S21)*($B$2:$B$501="")*($O$2:$O$501="")),$P$2:$P$501),$Q21&lt;&gt;LOOKUP(2,1/(($A$2:$A$501=$A21)*($S$2:$S$501=$S21)*($B$2:$B$501="")*($O$2:$O$501="")),$Q$2:$Q$501),$R21&lt;&gt;LOOKUP(2,1/(($A$2:$A$501=$A21)*($S$2:$S$501=$S21)*($B$2:$B$501="")*($O$2:$O$501="")),$R$2:$R$501),$T21&lt;&gt;LOOKUP(2,1/(($A$2:$A$501=$A21)*($S$2:$S$501=$S21)*($B$2:$B$501="")*($O$2:$O$501="")),$T$2:$T$501),$U21&lt;&gt;LOOKUP(2,1/(($A$2:$A$501=$A21)*($S$2:$S$501=$S21)*($B$2:$B$501="")*($O$2:$O$501="")),$U$2:$U$501)),FALSE)),"Dependent row does not match the employee row for eligibility, status, coverage level, or funding; ",""))</f>
        <v/>
      </c>
      <c r="AB21">
        <f>IF(COUNTA($A21:$U21)=0,"",IF($L21="","Birthdate is required; ","")&amp;IF(AND($L21&lt;&gt;"",OR(NOT(ISNUMBER($L21)),$L21&lt;=DATE(1900,1,1),$L21&gt;TODAY())),"Birthdate must be an exact valid past date; ","")&amp;IF($P21="","Eligibility Date is required; ","")&amp;IF(AND($P21&lt;&gt;"",OR(NOT(ISNUMBER($P21)),$P21&lt;=DATE(1900,1,1))),"Eligibility Date must be a valid date; ","")&amp;IF(AND($R21="Terminated",$Q21=""),"Termination Date is required when Status is Terminated; ","")&amp;IF(AND($Q21&lt;&gt;"",OR(NOT(ISNUMBER($Q21)),$Q21&lt;=DATE(1900,1,1))),"Termination Date must be a valid date; ","")&amp;IF(AND(ISNUMBER($P21),ISNUMBER($Q21),$Q21&lt;$P21),"Termination Date cannot be before Eligibility Date; ","")&amp;IF($R21="","Status is required; ","")&amp;IF(AND($R21&lt;&gt;"",$R21&lt;&gt;"Active",$R21&lt;&gt;"Terminated"),"Status must be Active or Terminated; ","")&amp;IF(AND('START HERE'!$C$8="Terminations Only",$R21&lt;&gt;"Terminated"),"Terminations Only files must contain terminated records; ",""))</f>
        <v/>
      </c>
      <c r="AC21">
        <f>IF(COUNTA($A21:$U21)=0,"",IF($S21="","Plan Name is required; ","")&amp;IF($T21="","Benefit Coverage Level is required; ","")&amp;IF(AND($U21&lt;&gt;"",OR(NOT(ISNUMBER($U21)),$U21&lt;0)),"Plan Funding Amount must be a nonnegative number; ","")&amp;IF(AND($A21&lt;&gt;"",$S21&lt;&gt;"",COUNTIFS($A$2:$A$501,$A21,$B$2:$B$501,$B21,$S$2:$S$501,$S21)&gt;1),"Duplicate participant and plan row; ",""))</f>
        <v/>
      </c>
      <c r="AD21">
        <f>IF(COUNTA($A21:$U21)=0,"",IF(AND($X21="Employee",$M21="",$N21=""),"No employee phone or email provided; ","")&amp;IF(AND($R21="Active",$Q21&lt;&gt;""),"Active record includes a Termination Date; confirm this is intentional; ","")&amp;IF(AND($B21&lt;&gt;"",$B21&amp;""&lt;&gt;$A21&amp;"",COUNTIF($A$2:$A$501,$B21)&gt;0),"Dependent SSN also appears as an Employee SSN elsewhere; confirm dual-employee coverage is intentional; ","")&amp;IF(AND($B21&lt;&gt;"",COUNTIF($B$2:$B$501,$B21)&gt;COUNTIFS($A$2:$A$501,$A21,$B$2:$B$501,$B21)),"Dependent SSN appears under more than one employee; confirm duplicate family coverage is intentional; ","")&amp;IF(AND(ROW()&gt;2,$A21&lt;&gt;"",$A21&lt;&gt;$A20,COUNTIF($A$2:$A20,$A21)&gt;0),"This household appears in more than one section of the census; keep the family together; ","")&amp;IF(OR(AND($C21&lt;&gt;"",LEN($C21&amp;"")&lt;&gt;LEN(TRIM($C21&amp;""))),AND($D21&lt;&gt;"",LEN($D21&amp;"")&lt;&gt;LEN(TRIM($D21&amp;""))),AND($E21&lt;&gt;"",LEN($E21&amp;"")&lt;&gt;LEN(TRIM($E21&amp;""))),AND($F21&lt;&gt;"",LEN($F21&amp;"")&lt;&gt;LEN(TRIM($F21&amp;""))),AND($G21&lt;&gt;"",LEN($G21&amp;"")&lt;&gt;LEN(TRIM($G21&amp;""))),AND($H21&lt;&gt;"",LEN($H21&amp;"")&lt;&gt;LEN(TRIM($H21&amp;""))),AND($I21&lt;&gt;"",LEN($I21&amp;"")&lt;&gt;LEN(TRIM($I21&amp;""))),AND($J21&lt;&gt;"",LEN($J21&amp;"")&lt;&gt;LEN(TRIM($J21&amp;""))),AND($K21&lt;&gt;"",LEN($K21&amp;"")&lt;&gt;LEN(TRIM($K21&amp;""))),AND($M21&lt;&gt;"",LEN($M21&amp;"")&lt;&gt;LEN(TRIM($M21&amp;""))),AND($N21&lt;&gt;"",LEN($N21&amp;"")&lt;&gt;LEN(TRIM($N21&amp;""))),AND($O21&lt;&gt;"",LEN($O21&amp;"")&lt;&gt;LEN(TRIM($O21&amp;""))),AND($R21&lt;&gt;"",LEN($R21&amp;"")&lt;&gt;LEN(TRIM($R21&amp;""))),AND($S21&lt;&gt;"",LEN($S21&amp;"")&lt;&gt;LEN(TRIM($S21&amp;""))),AND($T21&lt;&gt;"",LEN($T21&amp;"")&lt;&gt;LEN(TRIM($T21&amp;"")))),"Remove leading or trailing spaces from text fields; ","")&amp;IF(OR(AND(LEN($C21)&gt;1,OR(EXACT($C21,UPPER($C21)),EXACT($C21,LOWER($C21)))),AND(LEN($D21)&gt;1,OR(EXACT($D21,UPPER($D21)),EXACT($D21,LOWER($D21)))),AND(LEN($H21)&gt;1,OR(EXACT($H21,UPPER($H21)),EXACT($H21,LOWER($H21))))),"Review capitalization in First Name, Last Name, or City; ","")&amp;IF(AND($N21&lt;&gt;"",NOT(EXACT($N21,LOWER($N21)))),"Email will be standardized to lowercase in the clean output; ","")&amp;IF(AND(OR('START HERE'!$C$8="Initial Enrollment",'START HERE'!$C$8="Open Enrollment"),$R21="Terminated"),"A terminated row is included in an initial or open enrollment file; confirm this is intentional; ",""))</f>
        <v/>
      </c>
      <c r="AE21">
        <f>IF(COUNTA($A21:$U21)=0,"",IF(OR($A21="",AND($A21&lt;&gt;"",NOT(IFERROR(AND(LEN($A21&amp;"")=9,ISNUMBER(--($A21&amp;""))),FALSE))),AND($A21&lt;&gt;"",OR($A21="123456789",$A21="987654321",$A21="012345678",$A21=REPT(LEFT($A21&amp;"",1),9)))),"Employee SSN, ","")&amp;IF(OR(AND($O21&lt;&gt;"",$B21=""),AND($B21&lt;&gt;"",OR(NOT(IFERROR(AND(LEN($B21&amp;"")=9,ISNUMBER(--($B21&amp;""))),FALSE)),$B21=$A21,$B21="123456789",$B21="987654321",$B21="012345678",$B21=REPT(LEFT($B21&amp;"",1),9)))),"Dependent SSN, ","")&amp;IF(OR($C21="",LEN($C21)&gt;19,AND($C21&lt;&gt;"",SUMPRODUCT(--(ROW($1:$19)&lt;=LEN($C21&amp;"")),--ISERROR(FIND(MID($C21&amp;"",ROW($1:$19),1),"ABCDEFGHIJKLMNOPQRSTUVWXYZabcdefghijklmnopqrstuvwxyz .,")))&gt;0)),"First Name, ","")&amp;IF(OR($D21="",LEN($D21)&gt;26,AND($D21&lt;&gt;"",SUMPRODUCT(--(ROW($1:$26)&lt;=LEN($D21&amp;"")),--ISERROR(FIND(MID($D21&amp;"",ROW($1:$26),1),"ABCDEFGHIJKLMNOPQRSTUVWXYZabcdefghijklmnopqrstuvwxyz .,")))&gt;0)),"Last Name, ","")&amp;IF(OR(LEN($E21)&gt;1,AND($E21&lt;&gt;"",SUMPRODUCT(--(ROW($1:$1)&lt;=LEN($E21&amp;"")),--ISERROR(FIND(MID($E21&amp;"",ROW($1:$1),1),"ABCDEFGHIJKLMNOPQRSTUVWXYZabcdefghijklmnopqrstuvwxyz .,")))&gt;0)),"Middle Initial, ","")&amp;IF(OR($F21="",LEN($F21)&gt;75),"Address, ","")&amp;IF(OR($H21="",LEN($H21)&gt;30),"City, ","")&amp;IF(AND($K21="US",OR($I21="",LEN($I21)&lt;&gt;2)),"State, ","")&amp;IF($J21="","ZIP, ","")&amp;IF(OR($K21="",AND($K21&lt;&gt;"US",$K21&lt;&gt;"CA")),"Country, ","")&amp;IF(OR($L21="",AND($L21&lt;&gt;"",OR(NOT(ISNUMBER($L21)),$L21&lt;=DATE(1900,1,1),$L21&gt;TODAY()))),"Birthdate, ","")&amp;IF(AND($N21&lt;&gt;"",NOT(IFERROR(AND(ISNUMBER(SEARCH("@",$N21)),ISNUMBER(SEARCH(".",$N21,SEARCH("@",$N21)+2))),FALSE))),"Email, ","")&amp;IF(OR(AND($B21&lt;&gt;"",$O21=""),AND($O21&lt;&gt;"",$O21&lt;&gt;"Spouse or Common Law Spouse",$O21&lt;&gt;"Domestic Partner",$O21&lt;&gt;"Child",$O21&lt;&gt;"Other",$O21&lt;&gt;"Estate",$O21&lt;&gt;"Unknown")),"Dependent Relationship, ","")&amp;IF($AA21&lt;&gt;"","Household, ","")&amp;IF(OR($P21="",AND($P21&lt;&gt;"",OR(NOT(ISNUMBER($P21)),$P21&lt;=DATE(1900,1,1)))),"Eligibility Date, ","")&amp;IF(OR(AND($R21="Terminated",$Q21=""),AND($Q21&lt;&gt;"",OR(NOT(ISNUMBER($Q21)),$Q21&lt;=DATE(1900,1,1))),AND(ISNUMBER($P21),ISNUMBER($Q21),$Q21&lt;$P21)),"Termination Date, ","")&amp;IF(OR($R21="",AND($R21&lt;&gt;"Active",$R21&lt;&gt;"Terminated"),AND('START HERE'!$C$8="Terminations Only",$R21&lt;&gt;"Terminated")),"Status, ","")&amp;IF($S21="","Plan Name, ","")&amp;IF($T21="","Coverage Level, ","")&amp;IF(AND($U21&lt;&gt;"",OR(NOT(ISNUMBER($U21)),$U21&lt;0)),"Funding, ","")&amp;IF(AND($A21&lt;&gt;"",$S21&lt;&gt;"",COUNTIFS($A$2:$A$501,$A21,$B$2:$B$501,$B21,$S$2:$S$501,$S21)&gt;1),"Duplicate Row, ",""))</f>
        <v/>
      </c>
      <c r="AF21">
        <f>IF(COUNTA($A21:$U21)=0,"",$Y21&amp;$Z21&amp;$AA21&amp;$AB21&amp;$AC21)</f>
        <v/>
      </c>
      <c r="AG21">
        <f>IF($N21="","",LOWER(TRIM($N21)))</f>
        <v/>
      </c>
      <c r="AH21">
        <f>IF($A21="","",COUNTIFS($A$2:$A$501,$A21,$AI$2:$AI$501,1))</f>
        <v/>
      </c>
      <c r="AI21">
        <f>IF(COUNTA($A21:$U21)=0,"",--($AF21&lt;&gt;""))</f>
        <v/>
      </c>
      <c r="AJ21">
        <f>IF(COUNTA($A21:$U21)=0,"",--($AD21&lt;&gt;""))</f>
        <v/>
      </c>
    </row>
    <row r="22" ht="20" customHeight="1">
      <c r="A22" s="80" t="n"/>
      <c r="B22" s="80" t="n"/>
      <c r="C22" s="81" t="n"/>
      <c r="D22" s="81" t="n"/>
      <c r="E22" s="80" t="n"/>
      <c r="F22" s="81" t="n"/>
      <c r="G22" s="81" t="n"/>
      <c r="H22" s="81" t="n"/>
      <c r="I22" s="80" t="n"/>
      <c r="J22" s="80" t="n"/>
      <c r="K22" s="80" t="n"/>
      <c r="L22" s="82" t="n"/>
      <c r="M22" s="80" t="n"/>
      <c r="N22" s="80" t="n"/>
      <c r="O22" s="80" t="n"/>
      <c r="P22" s="82" t="n"/>
      <c r="Q22" s="82" t="n"/>
      <c r="R22" s="80" t="n"/>
      <c r="S22" s="80" t="n"/>
      <c r="T22" s="80" t="n"/>
      <c r="U22" s="83" t="n"/>
      <c r="V22">
        <f>IF($A22="","",IF($A22=$A21,$V21,IF($V21="",0,1-$V21)))</f>
        <v/>
      </c>
      <c r="W22">
        <f>IF($B22&lt;&gt;"",$B22,$A22)</f>
        <v/>
      </c>
      <c r="X22">
        <f>IF(COUNTA($A22:$U22)=0,"",IF(OR($B22&lt;&gt;"",$O22&lt;&gt;""),"Dependent","Employee"))</f>
        <v/>
      </c>
      <c r="Y22">
        <f>IF(COUNTA($A22:$U22)=0,"",IF($A22="","Employee SSN is required; ","")&amp;IF($C22="","First Name is required; ","")&amp;IF(LEN($C22&amp;"")&gt;19,"First Name exceeds 19 characters; ","")&amp;IF(AND($C22&lt;&gt;"",SUMPRODUCT(--(ROW($1:$19)&lt;=LEN($C22&amp;"")),--ISERROR(FIND(MID($C22&amp;"",ROW($1:$19),1),"ABCDEFGHIJKLMNOPQRSTUVWXYZabcdefghijklmnopqrstuvwxyz .,")))&gt;0),"First Name contains unsupported or encoded characters; use plain A-Z letters only; ","")&amp;IF($D22="","Last Name is required; ","")&amp;IF(LEN($D22&amp;"")&gt;26,"Last Name exceeds 26 characters; ","")&amp;IF(AND($D22&lt;&gt;"",SUMPRODUCT(--(ROW($1:$26)&lt;=LEN($D22&amp;"")),--ISERROR(FIND(MID($D22&amp;"",ROW($1:$26),1),"ABCDEFGHIJKLMNOPQRSTUVWXYZabcdefghijklmnopqrstuvwxyz .,")))&gt;0),"Last Name contains unsupported or encoded characters; use plain A-Z letters only; ","")&amp;IF(LEN($E22&amp;"")&gt;1,"Middle Initial may contain only one character; ","")&amp;IF(AND($E22&lt;&gt;"",SUMPRODUCT(--(ROW($1:$1)&lt;=LEN($E22&amp;"")),--ISERROR(FIND(MID($E22&amp;"",ROW($1:$1),1),"ABCDEFGHIJKLMNOPQRSTUVWXYZabcdefghijklmnopqrstuvwxyz .,")))&gt;0),"Middle Initial must be a plain A-Z letter; ","")&amp;IF($F22="","Address is required; ","")&amp;IF(LEN($F22&amp;"")&gt;75,"Address exceeds 75 characters; ","")&amp;IF(LEN($G22&amp;"")&gt;75,"Address 2 exceeds 75 characters; ","")&amp;IF($H22="","City is required; ","")&amp;IF(LEN($H22&amp;"")&gt;30,"City exceeds 30 characters; ","")&amp;IF($K22="","Country is required; ","")&amp;IF(AND($K22&lt;&gt;"",$K22&lt;&gt;"US",$K22&lt;&gt;"CA"),"Country must be US or CA; ","")&amp;IF(AND($K22="US",OR($I22="",LEN($I22&amp;"")&lt;&gt;2)),"Use a 2-letter state code; ","")&amp;IF($J22="","ZIP or postal code is required; ","")&amp;IF(AND($K22="US",$J22&lt;&gt;"",NOT(IFERROR(OR(AND(LEN($J22&amp;"")=5,ISNUMBER(--($J22&amp;""))),AND(LEN($J22&amp;"")=9,ISNUMBER(--($J22&amp;""))),AND(LEN($J22&amp;"")=10,MID($J22&amp;"",6,1)="-",ISNUMBER(--SUBSTITUTE($J22&amp;"","-","")))),FALSE))),"US ZIP must be 5 or 9 digits, with an optional ZIP+4 hyphen; ","")&amp;IF(AND($N22&lt;&gt;"",NOT(IFERROR(AND(ISNUMBER(SEARCH("@",$N22)),ISNUMBER(SEARCH(".",$N22,SEARCH("@",$N22)+2))),FALSE))),"Email format appears invalid; ","")&amp;IF(AND($O22&lt;&gt;"",$B22=""),"Dependent SSN is required for every dependent; ","")&amp;IF(AND($B22&lt;&gt;"",$O22=""),"Dependent Relationship is required when Dependent SSN is entered; ","")&amp;IF(AND($O22&lt;&gt;"",$O22&lt;&gt;"Spouse or Common Law Spouse",$O22&lt;&gt;"Domestic Partner",$O22&lt;&gt;"Child",$O22&lt;&gt;"Other",$O22&lt;&gt;"Estate",$O22&lt;&gt;"Unknown"),"Dependent Relationship must use one of the approved options; ",""))</f>
        <v/>
      </c>
      <c r="Z22">
        <f>IF(COUNTA($A22:$U22)=0,"",IF(AND($A22&lt;&gt;"",NOT(IFERROR(AND(LEN($A22&amp;"")=9,ISNUMBER(--($A22&amp;""))),FALSE))),"Employee SSN must contain exactly 9 digits; ","")&amp;IF(AND($A22&lt;&gt;"",OR($A22="123456789",$A22="987654321",$A22="012345678",$A22=REPT(LEFT($A22&amp;"",1),9))),"Employee SSN appears to be a placeholder; ","")&amp;IF(AND($B22&lt;&gt;"",NOT(IFERROR(AND(LEN($B22&amp;"")=9,ISNUMBER(--($B22&amp;""))),FALSE))),"Dependent SSN must contain exactly 9 digits; ","")&amp;IF(AND($B22&lt;&gt;"",OR($B22="123456789",$B22="987654321",$B22="012345678",$B22=REPT(LEFT($B22&amp;"",1),9))),"Dependent SSN appears to be a placeholder; ","")&amp;IF(AND($A22&lt;&gt;"",$B22&lt;&gt;"",$A22&amp;""=$B22&amp;""),"Dependent SSN cannot match Employee SSN; ","")&amp;IF(AND($W22&lt;&gt;"",OR(COUNTIFS($W$2:$W$501,$W22,$C$2:$C$501,"&lt;&gt;"&amp;$C22)&gt;0,COUNTIFS($W$2:$W$501,$W22,$D$2:$D$501,"&lt;&gt;"&amp;$D22)&gt;0,COUNTIFS($W$2:$W$501,$W22,$L$2:$L$501,"&lt;&gt;"&amp;$L22)&gt;0)),"The same SSN is associated with a different name or birthdate; ",""))</f>
        <v/>
      </c>
      <c r="AA22">
        <f>IF(COUNTA($A22:$U22)=0,"",IF(AND($A22&lt;&gt;"",$S22&lt;&gt;"",COUNTIFS($A$2:$A$501,$A22,$S$2:$S$501,$S22,$B$2:$B$501,"",$O$2:$O$501,"")=0),"Add an employee row for this household and plan; ","")&amp;IF(AND($X22="Dependent",COUNTIFS($A$2:$A22,$A22,$S$2:$S22,$S22,$B$2:$B22,"",$O$2:$O22,"")=0),"Place the employee row before dependent rows for this plan; ","")&amp;IF(AND($X22="Dependent",COUNTIFS($A$2:$A$501,$A22,$S$2:$S$501,$S22,$B$2:$B$501,"",$O$2:$O$501,"")&gt;0,IFERROR(OR($P22&lt;&gt;LOOKUP(2,1/(($A$2:$A$501=$A22)*($S$2:$S$501=$S22)*($B$2:$B$501="")*($O$2:$O$501="")),$P$2:$P$501),$Q22&lt;&gt;LOOKUP(2,1/(($A$2:$A$501=$A22)*($S$2:$S$501=$S22)*($B$2:$B$501="")*($O$2:$O$501="")),$Q$2:$Q$501),$R22&lt;&gt;LOOKUP(2,1/(($A$2:$A$501=$A22)*($S$2:$S$501=$S22)*($B$2:$B$501="")*($O$2:$O$501="")),$R$2:$R$501),$T22&lt;&gt;LOOKUP(2,1/(($A$2:$A$501=$A22)*($S$2:$S$501=$S22)*($B$2:$B$501="")*($O$2:$O$501="")),$T$2:$T$501),$U22&lt;&gt;LOOKUP(2,1/(($A$2:$A$501=$A22)*($S$2:$S$501=$S22)*($B$2:$B$501="")*($O$2:$O$501="")),$U$2:$U$501)),FALSE)),"Dependent row does not match the employee row for eligibility, status, coverage level, or funding; ",""))</f>
        <v/>
      </c>
      <c r="AB22">
        <f>IF(COUNTA($A22:$U22)=0,"",IF($L22="","Birthdate is required; ","")&amp;IF(AND($L22&lt;&gt;"",OR(NOT(ISNUMBER($L22)),$L22&lt;=DATE(1900,1,1),$L22&gt;TODAY())),"Birthdate must be an exact valid past date; ","")&amp;IF($P22="","Eligibility Date is required; ","")&amp;IF(AND($P22&lt;&gt;"",OR(NOT(ISNUMBER($P22)),$P22&lt;=DATE(1900,1,1))),"Eligibility Date must be a valid date; ","")&amp;IF(AND($R22="Terminated",$Q22=""),"Termination Date is required when Status is Terminated; ","")&amp;IF(AND($Q22&lt;&gt;"",OR(NOT(ISNUMBER($Q22)),$Q22&lt;=DATE(1900,1,1))),"Termination Date must be a valid date; ","")&amp;IF(AND(ISNUMBER($P22),ISNUMBER($Q22),$Q22&lt;$P22),"Termination Date cannot be before Eligibility Date; ","")&amp;IF($R22="","Status is required; ","")&amp;IF(AND($R22&lt;&gt;"",$R22&lt;&gt;"Active",$R22&lt;&gt;"Terminated"),"Status must be Active or Terminated; ","")&amp;IF(AND('START HERE'!$C$8="Terminations Only",$R22&lt;&gt;"Terminated"),"Terminations Only files must contain terminated records; ",""))</f>
        <v/>
      </c>
      <c r="AC22">
        <f>IF(COUNTA($A22:$U22)=0,"",IF($S22="","Plan Name is required; ","")&amp;IF($T22="","Benefit Coverage Level is required; ","")&amp;IF(AND($U22&lt;&gt;"",OR(NOT(ISNUMBER($U22)),$U22&lt;0)),"Plan Funding Amount must be a nonnegative number; ","")&amp;IF(AND($A22&lt;&gt;"",$S22&lt;&gt;"",COUNTIFS($A$2:$A$501,$A22,$B$2:$B$501,$B22,$S$2:$S$501,$S22)&gt;1),"Duplicate participant and plan row; ",""))</f>
        <v/>
      </c>
      <c r="AD22">
        <f>IF(COUNTA($A22:$U22)=0,"",IF(AND($X22="Employee",$M22="",$N22=""),"No employee phone or email provided; ","")&amp;IF(AND($R22="Active",$Q22&lt;&gt;""),"Active record includes a Termination Date; confirm this is intentional; ","")&amp;IF(AND($B22&lt;&gt;"",$B22&amp;""&lt;&gt;$A22&amp;"",COUNTIF($A$2:$A$501,$B22)&gt;0),"Dependent SSN also appears as an Employee SSN elsewhere; confirm dual-employee coverage is intentional; ","")&amp;IF(AND($B22&lt;&gt;"",COUNTIF($B$2:$B$501,$B22)&gt;COUNTIFS($A$2:$A$501,$A22,$B$2:$B$501,$B22)),"Dependent SSN appears under more than one employee; confirm duplicate family coverage is intentional; ","")&amp;IF(AND(ROW()&gt;2,$A22&lt;&gt;"",$A22&lt;&gt;$A21,COUNTIF($A$2:$A21,$A22)&gt;0),"This household appears in more than one section of the census; keep the family together; ","")&amp;IF(OR(AND($C22&lt;&gt;"",LEN($C22&amp;"")&lt;&gt;LEN(TRIM($C22&amp;""))),AND($D22&lt;&gt;"",LEN($D22&amp;"")&lt;&gt;LEN(TRIM($D22&amp;""))),AND($E22&lt;&gt;"",LEN($E22&amp;"")&lt;&gt;LEN(TRIM($E22&amp;""))),AND($F22&lt;&gt;"",LEN($F22&amp;"")&lt;&gt;LEN(TRIM($F22&amp;""))),AND($G22&lt;&gt;"",LEN($G22&amp;"")&lt;&gt;LEN(TRIM($G22&amp;""))),AND($H22&lt;&gt;"",LEN($H22&amp;"")&lt;&gt;LEN(TRIM($H22&amp;""))),AND($I22&lt;&gt;"",LEN($I22&amp;"")&lt;&gt;LEN(TRIM($I22&amp;""))),AND($J22&lt;&gt;"",LEN($J22&amp;"")&lt;&gt;LEN(TRIM($J22&amp;""))),AND($K22&lt;&gt;"",LEN($K22&amp;"")&lt;&gt;LEN(TRIM($K22&amp;""))),AND($M22&lt;&gt;"",LEN($M22&amp;"")&lt;&gt;LEN(TRIM($M22&amp;""))),AND($N22&lt;&gt;"",LEN($N22&amp;"")&lt;&gt;LEN(TRIM($N22&amp;""))),AND($O22&lt;&gt;"",LEN($O22&amp;"")&lt;&gt;LEN(TRIM($O22&amp;""))),AND($R22&lt;&gt;"",LEN($R22&amp;"")&lt;&gt;LEN(TRIM($R22&amp;""))),AND($S22&lt;&gt;"",LEN($S22&amp;"")&lt;&gt;LEN(TRIM($S22&amp;""))),AND($T22&lt;&gt;"",LEN($T22&amp;"")&lt;&gt;LEN(TRIM($T22&amp;"")))),"Remove leading or trailing spaces from text fields; ","")&amp;IF(OR(AND(LEN($C22)&gt;1,OR(EXACT($C22,UPPER($C22)),EXACT($C22,LOWER($C22)))),AND(LEN($D22)&gt;1,OR(EXACT($D22,UPPER($D22)),EXACT($D22,LOWER($D22)))),AND(LEN($H22)&gt;1,OR(EXACT($H22,UPPER($H22)),EXACT($H22,LOWER($H22))))),"Review capitalization in First Name, Last Name, or City; ","")&amp;IF(AND($N22&lt;&gt;"",NOT(EXACT($N22,LOWER($N22)))),"Email will be standardized to lowercase in the clean output; ","")&amp;IF(AND(OR('START HERE'!$C$8="Initial Enrollment",'START HERE'!$C$8="Open Enrollment"),$R22="Terminated"),"A terminated row is included in an initial or open enrollment file; confirm this is intentional; ",""))</f>
        <v/>
      </c>
      <c r="AE22">
        <f>IF(COUNTA($A22:$U22)=0,"",IF(OR($A22="",AND($A22&lt;&gt;"",NOT(IFERROR(AND(LEN($A22&amp;"")=9,ISNUMBER(--($A22&amp;""))),FALSE))),AND($A22&lt;&gt;"",OR($A22="123456789",$A22="987654321",$A22="012345678",$A22=REPT(LEFT($A22&amp;"",1),9)))),"Employee SSN, ","")&amp;IF(OR(AND($O22&lt;&gt;"",$B22=""),AND($B22&lt;&gt;"",OR(NOT(IFERROR(AND(LEN($B22&amp;"")=9,ISNUMBER(--($B22&amp;""))),FALSE)),$B22=$A22,$B22="123456789",$B22="987654321",$B22="012345678",$B22=REPT(LEFT($B22&amp;"",1),9)))),"Dependent SSN, ","")&amp;IF(OR($C22="",LEN($C22)&gt;19,AND($C22&lt;&gt;"",SUMPRODUCT(--(ROW($1:$19)&lt;=LEN($C22&amp;"")),--ISERROR(FIND(MID($C22&amp;"",ROW($1:$19),1),"ABCDEFGHIJKLMNOPQRSTUVWXYZabcdefghijklmnopqrstuvwxyz .,")))&gt;0)),"First Name, ","")&amp;IF(OR($D22="",LEN($D22)&gt;26,AND($D22&lt;&gt;"",SUMPRODUCT(--(ROW($1:$26)&lt;=LEN($D22&amp;"")),--ISERROR(FIND(MID($D22&amp;"",ROW($1:$26),1),"ABCDEFGHIJKLMNOPQRSTUVWXYZabcdefghijklmnopqrstuvwxyz .,")))&gt;0)),"Last Name, ","")&amp;IF(OR(LEN($E22)&gt;1,AND($E22&lt;&gt;"",SUMPRODUCT(--(ROW($1:$1)&lt;=LEN($E22&amp;"")),--ISERROR(FIND(MID($E22&amp;"",ROW($1:$1),1),"ABCDEFGHIJKLMNOPQRSTUVWXYZabcdefghijklmnopqrstuvwxyz .,")))&gt;0)),"Middle Initial, ","")&amp;IF(OR($F22="",LEN($F22)&gt;75),"Address, ","")&amp;IF(OR($H22="",LEN($H22)&gt;30),"City, ","")&amp;IF(AND($K22="US",OR($I22="",LEN($I22)&lt;&gt;2)),"State, ","")&amp;IF($J22="","ZIP, ","")&amp;IF(OR($K22="",AND($K22&lt;&gt;"US",$K22&lt;&gt;"CA")),"Country, ","")&amp;IF(OR($L22="",AND($L22&lt;&gt;"",OR(NOT(ISNUMBER($L22)),$L22&lt;=DATE(1900,1,1),$L22&gt;TODAY()))),"Birthdate, ","")&amp;IF(AND($N22&lt;&gt;"",NOT(IFERROR(AND(ISNUMBER(SEARCH("@",$N22)),ISNUMBER(SEARCH(".",$N22,SEARCH("@",$N22)+2))),FALSE))),"Email, ","")&amp;IF(OR(AND($B22&lt;&gt;"",$O22=""),AND($O22&lt;&gt;"",$O22&lt;&gt;"Spouse or Common Law Spouse",$O22&lt;&gt;"Domestic Partner",$O22&lt;&gt;"Child",$O22&lt;&gt;"Other",$O22&lt;&gt;"Estate",$O22&lt;&gt;"Unknown")),"Dependent Relationship, ","")&amp;IF($AA22&lt;&gt;"","Household, ","")&amp;IF(OR($P22="",AND($P22&lt;&gt;"",OR(NOT(ISNUMBER($P22)),$P22&lt;=DATE(1900,1,1)))),"Eligibility Date, ","")&amp;IF(OR(AND($R22="Terminated",$Q22=""),AND($Q22&lt;&gt;"",OR(NOT(ISNUMBER($Q22)),$Q22&lt;=DATE(1900,1,1))),AND(ISNUMBER($P22),ISNUMBER($Q22),$Q22&lt;$P22)),"Termination Date, ","")&amp;IF(OR($R22="",AND($R22&lt;&gt;"Active",$R22&lt;&gt;"Terminated"),AND('START HERE'!$C$8="Terminations Only",$R22&lt;&gt;"Terminated")),"Status, ","")&amp;IF($S22="","Plan Name, ","")&amp;IF($T22="","Coverage Level, ","")&amp;IF(AND($U22&lt;&gt;"",OR(NOT(ISNUMBER($U22)),$U22&lt;0)),"Funding, ","")&amp;IF(AND($A22&lt;&gt;"",$S22&lt;&gt;"",COUNTIFS($A$2:$A$501,$A22,$B$2:$B$501,$B22,$S$2:$S$501,$S22)&gt;1),"Duplicate Row, ",""))</f>
        <v/>
      </c>
      <c r="AF22">
        <f>IF(COUNTA($A22:$U22)=0,"",$Y22&amp;$Z22&amp;$AA22&amp;$AB22&amp;$AC22)</f>
        <v/>
      </c>
      <c r="AG22">
        <f>IF($N22="","",LOWER(TRIM($N22)))</f>
        <v/>
      </c>
      <c r="AH22">
        <f>IF($A22="","",COUNTIFS($A$2:$A$501,$A22,$AI$2:$AI$501,1))</f>
        <v/>
      </c>
      <c r="AI22">
        <f>IF(COUNTA($A22:$U22)=0,"",--($AF22&lt;&gt;""))</f>
        <v/>
      </c>
      <c r="AJ22">
        <f>IF(COUNTA($A22:$U22)=0,"",--($AD22&lt;&gt;""))</f>
        <v/>
      </c>
    </row>
    <row r="23" ht="20" customHeight="1">
      <c r="A23" s="80" t="n"/>
      <c r="B23" s="80" t="n"/>
      <c r="C23" s="81" t="n"/>
      <c r="D23" s="81" t="n"/>
      <c r="E23" s="80" t="n"/>
      <c r="F23" s="81" t="n"/>
      <c r="G23" s="81" t="n"/>
      <c r="H23" s="81" t="n"/>
      <c r="I23" s="80" t="n"/>
      <c r="J23" s="80" t="n"/>
      <c r="K23" s="80" t="n"/>
      <c r="L23" s="82" t="n"/>
      <c r="M23" s="80" t="n"/>
      <c r="N23" s="80" t="n"/>
      <c r="O23" s="80" t="n"/>
      <c r="P23" s="82" t="n"/>
      <c r="Q23" s="82" t="n"/>
      <c r="R23" s="80" t="n"/>
      <c r="S23" s="80" t="n"/>
      <c r="T23" s="80" t="n"/>
      <c r="U23" s="83" t="n"/>
      <c r="V23">
        <f>IF($A23="","",IF($A23=$A22,$V22,IF($V22="",0,1-$V22)))</f>
        <v/>
      </c>
      <c r="W23">
        <f>IF($B23&lt;&gt;"",$B23,$A23)</f>
        <v/>
      </c>
      <c r="X23">
        <f>IF(COUNTA($A23:$U23)=0,"",IF(OR($B23&lt;&gt;"",$O23&lt;&gt;""),"Dependent","Employee"))</f>
        <v/>
      </c>
      <c r="Y23">
        <f>IF(COUNTA($A23:$U23)=0,"",IF($A23="","Employee SSN is required; ","")&amp;IF($C23="","First Name is required; ","")&amp;IF(LEN($C23&amp;"")&gt;19,"First Name exceeds 19 characters; ","")&amp;IF(AND($C23&lt;&gt;"",SUMPRODUCT(--(ROW($1:$19)&lt;=LEN($C23&amp;"")),--ISERROR(FIND(MID($C23&amp;"",ROW($1:$19),1),"ABCDEFGHIJKLMNOPQRSTUVWXYZabcdefghijklmnopqrstuvwxyz .,")))&gt;0),"First Name contains unsupported or encoded characters; use plain A-Z letters only; ","")&amp;IF($D23="","Last Name is required; ","")&amp;IF(LEN($D23&amp;"")&gt;26,"Last Name exceeds 26 characters; ","")&amp;IF(AND($D23&lt;&gt;"",SUMPRODUCT(--(ROW($1:$26)&lt;=LEN($D23&amp;"")),--ISERROR(FIND(MID($D23&amp;"",ROW($1:$26),1),"ABCDEFGHIJKLMNOPQRSTUVWXYZabcdefghijklmnopqrstuvwxyz .,")))&gt;0),"Last Name contains unsupported or encoded characters; use plain A-Z letters only; ","")&amp;IF(LEN($E23&amp;"")&gt;1,"Middle Initial may contain only one character; ","")&amp;IF(AND($E23&lt;&gt;"",SUMPRODUCT(--(ROW($1:$1)&lt;=LEN($E23&amp;"")),--ISERROR(FIND(MID($E23&amp;"",ROW($1:$1),1),"ABCDEFGHIJKLMNOPQRSTUVWXYZabcdefghijklmnopqrstuvwxyz .,")))&gt;0),"Middle Initial must be a plain A-Z letter; ","")&amp;IF($F23="","Address is required; ","")&amp;IF(LEN($F23&amp;"")&gt;75,"Address exceeds 75 characters; ","")&amp;IF(LEN($G23&amp;"")&gt;75,"Address 2 exceeds 75 characters; ","")&amp;IF($H23="","City is required; ","")&amp;IF(LEN($H23&amp;"")&gt;30,"City exceeds 30 characters; ","")&amp;IF($K23="","Country is required; ","")&amp;IF(AND($K23&lt;&gt;"",$K23&lt;&gt;"US",$K23&lt;&gt;"CA"),"Country must be US or CA; ","")&amp;IF(AND($K23="US",OR($I23="",LEN($I23&amp;"")&lt;&gt;2)),"Use a 2-letter state code; ","")&amp;IF($J23="","ZIP or postal code is required; ","")&amp;IF(AND($K23="US",$J23&lt;&gt;"",NOT(IFERROR(OR(AND(LEN($J23&amp;"")=5,ISNUMBER(--($J23&amp;""))),AND(LEN($J23&amp;"")=9,ISNUMBER(--($J23&amp;""))),AND(LEN($J23&amp;"")=10,MID($J23&amp;"",6,1)="-",ISNUMBER(--SUBSTITUTE($J23&amp;"","-","")))),FALSE))),"US ZIP must be 5 or 9 digits, with an optional ZIP+4 hyphen; ","")&amp;IF(AND($N23&lt;&gt;"",NOT(IFERROR(AND(ISNUMBER(SEARCH("@",$N23)),ISNUMBER(SEARCH(".",$N23,SEARCH("@",$N23)+2))),FALSE))),"Email format appears invalid; ","")&amp;IF(AND($O23&lt;&gt;"",$B23=""),"Dependent SSN is required for every dependent; ","")&amp;IF(AND($B23&lt;&gt;"",$O23=""),"Dependent Relationship is required when Dependent SSN is entered; ","")&amp;IF(AND($O23&lt;&gt;"",$O23&lt;&gt;"Spouse or Common Law Spouse",$O23&lt;&gt;"Domestic Partner",$O23&lt;&gt;"Child",$O23&lt;&gt;"Other",$O23&lt;&gt;"Estate",$O23&lt;&gt;"Unknown"),"Dependent Relationship must use one of the approved options; ",""))</f>
        <v/>
      </c>
      <c r="Z23">
        <f>IF(COUNTA($A23:$U23)=0,"",IF(AND($A23&lt;&gt;"",NOT(IFERROR(AND(LEN($A23&amp;"")=9,ISNUMBER(--($A23&amp;""))),FALSE))),"Employee SSN must contain exactly 9 digits; ","")&amp;IF(AND($A23&lt;&gt;"",OR($A23="123456789",$A23="987654321",$A23="012345678",$A23=REPT(LEFT($A23&amp;"",1),9))),"Employee SSN appears to be a placeholder; ","")&amp;IF(AND($B23&lt;&gt;"",NOT(IFERROR(AND(LEN($B23&amp;"")=9,ISNUMBER(--($B23&amp;""))),FALSE))),"Dependent SSN must contain exactly 9 digits; ","")&amp;IF(AND($B23&lt;&gt;"",OR($B23="123456789",$B23="987654321",$B23="012345678",$B23=REPT(LEFT($B23&amp;"",1),9))),"Dependent SSN appears to be a placeholder; ","")&amp;IF(AND($A23&lt;&gt;"",$B23&lt;&gt;"",$A23&amp;""=$B23&amp;""),"Dependent SSN cannot match Employee SSN; ","")&amp;IF(AND($W23&lt;&gt;"",OR(COUNTIFS($W$2:$W$501,$W23,$C$2:$C$501,"&lt;&gt;"&amp;$C23)&gt;0,COUNTIFS($W$2:$W$501,$W23,$D$2:$D$501,"&lt;&gt;"&amp;$D23)&gt;0,COUNTIFS($W$2:$W$501,$W23,$L$2:$L$501,"&lt;&gt;"&amp;$L23)&gt;0)),"The same SSN is associated with a different name or birthdate; ",""))</f>
        <v/>
      </c>
      <c r="AA23">
        <f>IF(COUNTA($A23:$U23)=0,"",IF(AND($A23&lt;&gt;"",$S23&lt;&gt;"",COUNTIFS($A$2:$A$501,$A23,$S$2:$S$501,$S23,$B$2:$B$501,"",$O$2:$O$501,"")=0),"Add an employee row for this household and plan; ","")&amp;IF(AND($X23="Dependent",COUNTIFS($A$2:$A23,$A23,$S$2:$S23,$S23,$B$2:$B23,"",$O$2:$O23,"")=0),"Place the employee row before dependent rows for this plan; ","")&amp;IF(AND($X23="Dependent",COUNTIFS($A$2:$A$501,$A23,$S$2:$S$501,$S23,$B$2:$B$501,"",$O$2:$O$501,"")&gt;0,IFERROR(OR($P23&lt;&gt;LOOKUP(2,1/(($A$2:$A$501=$A23)*($S$2:$S$501=$S23)*($B$2:$B$501="")*($O$2:$O$501="")),$P$2:$P$501),$Q23&lt;&gt;LOOKUP(2,1/(($A$2:$A$501=$A23)*($S$2:$S$501=$S23)*($B$2:$B$501="")*($O$2:$O$501="")),$Q$2:$Q$501),$R23&lt;&gt;LOOKUP(2,1/(($A$2:$A$501=$A23)*($S$2:$S$501=$S23)*($B$2:$B$501="")*($O$2:$O$501="")),$R$2:$R$501),$T23&lt;&gt;LOOKUP(2,1/(($A$2:$A$501=$A23)*($S$2:$S$501=$S23)*($B$2:$B$501="")*($O$2:$O$501="")),$T$2:$T$501),$U23&lt;&gt;LOOKUP(2,1/(($A$2:$A$501=$A23)*($S$2:$S$501=$S23)*($B$2:$B$501="")*($O$2:$O$501="")),$U$2:$U$501)),FALSE)),"Dependent row does not match the employee row for eligibility, status, coverage level, or funding; ",""))</f>
        <v/>
      </c>
      <c r="AB23">
        <f>IF(COUNTA($A23:$U23)=0,"",IF($L23="","Birthdate is required; ","")&amp;IF(AND($L23&lt;&gt;"",OR(NOT(ISNUMBER($L23)),$L23&lt;=DATE(1900,1,1),$L23&gt;TODAY())),"Birthdate must be an exact valid past date; ","")&amp;IF($P23="","Eligibility Date is required; ","")&amp;IF(AND($P23&lt;&gt;"",OR(NOT(ISNUMBER($P23)),$P23&lt;=DATE(1900,1,1))),"Eligibility Date must be a valid date; ","")&amp;IF(AND($R23="Terminated",$Q23=""),"Termination Date is required when Status is Terminated; ","")&amp;IF(AND($Q23&lt;&gt;"",OR(NOT(ISNUMBER($Q23)),$Q23&lt;=DATE(1900,1,1))),"Termination Date must be a valid date; ","")&amp;IF(AND(ISNUMBER($P23),ISNUMBER($Q23),$Q23&lt;$P23),"Termination Date cannot be before Eligibility Date; ","")&amp;IF($R23="","Status is required; ","")&amp;IF(AND($R23&lt;&gt;"",$R23&lt;&gt;"Active",$R23&lt;&gt;"Terminated"),"Status must be Active or Terminated; ","")&amp;IF(AND('START HERE'!$C$8="Terminations Only",$R23&lt;&gt;"Terminated"),"Terminations Only files must contain terminated records; ",""))</f>
        <v/>
      </c>
      <c r="AC23">
        <f>IF(COUNTA($A23:$U23)=0,"",IF($S23="","Plan Name is required; ","")&amp;IF($T23="","Benefit Coverage Level is required; ","")&amp;IF(AND($U23&lt;&gt;"",OR(NOT(ISNUMBER($U23)),$U23&lt;0)),"Plan Funding Amount must be a nonnegative number; ","")&amp;IF(AND($A23&lt;&gt;"",$S23&lt;&gt;"",COUNTIFS($A$2:$A$501,$A23,$B$2:$B$501,$B23,$S$2:$S$501,$S23)&gt;1),"Duplicate participant and plan row; ",""))</f>
        <v/>
      </c>
      <c r="AD23">
        <f>IF(COUNTA($A23:$U23)=0,"",IF(AND($X23="Employee",$M23="",$N23=""),"No employee phone or email provided; ","")&amp;IF(AND($R23="Active",$Q23&lt;&gt;""),"Active record includes a Termination Date; confirm this is intentional; ","")&amp;IF(AND($B23&lt;&gt;"",$B23&amp;""&lt;&gt;$A23&amp;"",COUNTIF($A$2:$A$501,$B23)&gt;0),"Dependent SSN also appears as an Employee SSN elsewhere; confirm dual-employee coverage is intentional; ","")&amp;IF(AND($B23&lt;&gt;"",COUNTIF($B$2:$B$501,$B23)&gt;COUNTIFS($A$2:$A$501,$A23,$B$2:$B$501,$B23)),"Dependent SSN appears under more than one employee; confirm duplicate family coverage is intentional; ","")&amp;IF(AND(ROW()&gt;2,$A23&lt;&gt;"",$A23&lt;&gt;$A22,COUNTIF($A$2:$A22,$A23)&gt;0),"This household appears in more than one section of the census; keep the family together; ","")&amp;IF(OR(AND($C23&lt;&gt;"",LEN($C23&amp;"")&lt;&gt;LEN(TRIM($C23&amp;""))),AND($D23&lt;&gt;"",LEN($D23&amp;"")&lt;&gt;LEN(TRIM($D23&amp;""))),AND($E23&lt;&gt;"",LEN($E23&amp;"")&lt;&gt;LEN(TRIM($E23&amp;""))),AND($F23&lt;&gt;"",LEN($F23&amp;"")&lt;&gt;LEN(TRIM($F23&amp;""))),AND($G23&lt;&gt;"",LEN($G23&amp;"")&lt;&gt;LEN(TRIM($G23&amp;""))),AND($H23&lt;&gt;"",LEN($H23&amp;"")&lt;&gt;LEN(TRIM($H23&amp;""))),AND($I23&lt;&gt;"",LEN($I23&amp;"")&lt;&gt;LEN(TRIM($I23&amp;""))),AND($J23&lt;&gt;"",LEN($J23&amp;"")&lt;&gt;LEN(TRIM($J23&amp;""))),AND($K23&lt;&gt;"",LEN($K23&amp;"")&lt;&gt;LEN(TRIM($K23&amp;""))),AND($M23&lt;&gt;"",LEN($M23&amp;"")&lt;&gt;LEN(TRIM($M23&amp;""))),AND($N23&lt;&gt;"",LEN($N23&amp;"")&lt;&gt;LEN(TRIM($N23&amp;""))),AND($O23&lt;&gt;"",LEN($O23&amp;"")&lt;&gt;LEN(TRIM($O23&amp;""))),AND($R23&lt;&gt;"",LEN($R23&amp;"")&lt;&gt;LEN(TRIM($R23&amp;""))),AND($S23&lt;&gt;"",LEN($S23&amp;"")&lt;&gt;LEN(TRIM($S23&amp;""))),AND($T23&lt;&gt;"",LEN($T23&amp;"")&lt;&gt;LEN(TRIM($T23&amp;"")))),"Remove leading or trailing spaces from text fields; ","")&amp;IF(OR(AND(LEN($C23)&gt;1,OR(EXACT($C23,UPPER($C23)),EXACT($C23,LOWER($C23)))),AND(LEN($D23)&gt;1,OR(EXACT($D23,UPPER($D23)),EXACT($D23,LOWER($D23)))),AND(LEN($H23)&gt;1,OR(EXACT($H23,UPPER($H23)),EXACT($H23,LOWER($H23))))),"Review capitalization in First Name, Last Name, or City; ","")&amp;IF(AND($N23&lt;&gt;"",NOT(EXACT($N23,LOWER($N23)))),"Email will be standardized to lowercase in the clean output; ","")&amp;IF(AND(OR('START HERE'!$C$8="Initial Enrollment",'START HERE'!$C$8="Open Enrollment"),$R23="Terminated"),"A terminated row is included in an initial or open enrollment file; confirm this is intentional; ",""))</f>
        <v/>
      </c>
      <c r="AE23">
        <f>IF(COUNTA($A23:$U23)=0,"",IF(OR($A23="",AND($A23&lt;&gt;"",NOT(IFERROR(AND(LEN($A23&amp;"")=9,ISNUMBER(--($A23&amp;""))),FALSE))),AND($A23&lt;&gt;"",OR($A23="123456789",$A23="987654321",$A23="012345678",$A23=REPT(LEFT($A23&amp;"",1),9)))),"Employee SSN, ","")&amp;IF(OR(AND($O23&lt;&gt;"",$B23=""),AND($B23&lt;&gt;"",OR(NOT(IFERROR(AND(LEN($B23&amp;"")=9,ISNUMBER(--($B23&amp;""))),FALSE)),$B23=$A23,$B23="123456789",$B23="987654321",$B23="012345678",$B23=REPT(LEFT($B23&amp;"",1),9)))),"Dependent SSN, ","")&amp;IF(OR($C23="",LEN($C23)&gt;19,AND($C23&lt;&gt;"",SUMPRODUCT(--(ROW($1:$19)&lt;=LEN($C23&amp;"")),--ISERROR(FIND(MID($C23&amp;"",ROW($1:$19),1),"ABCDEFGHIJKLMNOPQRSTUVWXYZabcdefghijklmnopqrstuvwxyz .,")))&gt;0)),"First Name, ","")&amp;IF(OR($D23="",LEN($D23)&gt;26,AND($D23&lt;&gt;"",SUMPRODUCT(--(ROW($1:$26)&lt;=LEN($D23&amp;"")),--ISERROR(FIND(MID($D23&amp;"",ROW($1:$26),1),"ABCDEFGHIJKLMNOPQRSTUVWXYZabcdefghijklmnopqrstuvwxyz .,")))&gt;0)),"Last Name, ","")&amp;IF(OR(LEN($E23)&gt;1,AND($E23&lt;&gt;"",SUMPRODUCT(--(ROW($1:$1)&lt;=LEN($E23&amp;"")),--ISERROR(FIND(MID($E23&amp;"",ROW($1:$1),1),"ABCDEFGHIJKLMNOPQRSTUVWXYZabcdefghijklmnopqrstuvwxyz .,")))&gt;0)),"Middle Initial, ","")&amp;IF(OR($F23="",LEN($F23)&gt;75),"Address, ","")&amp;IF(OR($H23="",LEN($H23)&gt;30),"City, ","")&amp;IF(AND($K23="US",OR($I23="",LEN($I23)&lt;&gt;2)),"State, ","")&amp;IF($J23="","ZIP, ","")&amp;IF(OR($K23="",AND($K23&lt;&gt;"US",$K23&lt;&gt;"CA")),"Country, ","")&amp;IF(OR($L23="",AND($L23&lt;&gt;"",OR(NOT(ISNUMBER($L23)),$L23&lt;=DATE(1900,1,1),$L23&gt;TODAY()))),"Birthdate, ","")&amp;IF(AND($N23&lt;&gt;"",NOT(IFERROR(AND(ISNUMBER(SEARCH("@",$N23)),ISNUMBER(SEARCH(".",$N23,SEARCH("@",$N23)+2))),FALSE))),"Email, ","")&amp;IF(OR(AND($B23&lt;&gt;"",$O23=""),AND($O23&lt;&gt;"",$O23&lt;&gt;"Spouse or Common Law Spouse",$O23&lt;&gt;"Domestic Partner",$O23&lt;&gt;"Child",$O23&lt;&gt;"Other",$O23&lt;&gt;"Estate",$O23&lt;&gt;"Unknown")),"Dependent Relationship, ","")&amp;IF($AA23&lt;&gt;"","Household, ","")&amp;IF(OR($P23="",AND($P23&lt;&gt;"",OR(NOT(ISNUMBER($P23)),$P23&lt;=DATE(1900,1,1)))),"Eligibility Date, ","")&amp;IF(OR(AND($R23="Terminated",$Q23=""),AND($Q23&lt;&gt;"",OR(NOT(ISNUMBER($Q23)),$Q23&lt;=DATE(1900,1,1))),AND(ISNUMBER($P23),ISNUMBER($Q23),$Q23&lt;$P23)),"Termination Date, ","")&amp;IF(OR($R23="",AND($R23&lt;&gt;"Active",$R23&lt;&gt;"Terminated"),AND('START HERE'!$C$8="Terminations Only",$R23&lt;&gt;"Terminated")),"Status, ","")&amp;IF($S23="","Plan Name, ","")&amp;IF($T23="","Coverage Level, ","")&amp;IF(AND($U23&lt;&gt;"",OR(NOT(ISNUMBER($U23)),$U23&lt;0)),"Funding, ","")&amp;IF(AND($A23&lt;&gt;"",$S23&lt;&gt;"",COUNTIFS($A$2:$A$501,$A23,$B$2:$B$501,$B23,$S$2:$S$501,$S23)&gt;1),"Duplicate Row, ",""))</f>
        <v/>
      </c>
      <c r="AF23">
        <f>IF(COUNTA($A23:$U23)=0,"",$Y23&amp;$Z23&amp;$AA23&amp;$AB23&amp;$AC23)</f>
        <v/>
      </c>
      <c r="AG23">
        <f>IF($N23="","",LOWER(TRIM($N23)))</f>
        <v/>
      </c>
      <c r="AH23">
        <f>IF($A23="","",COUNTIFS($A$2:$A$501,$A23,$AI$2:$AI$501,1))</f>
        <v/>
      </c>
      <c r="AI23">
        <f>IF(COUNTA($A23:$U23)=0,"",--($AF23&lt;&gt;""))</f>
        <v/>
      </c>
      <c r="AJ23">
        <f>IF(COUNTA($A23:$U23)=0,"",--($AD23&lt;&gt;""))</f>
        <v/>
      </c>
    </row>
    <row r="24" ht="20" customHeight="1">
      <c r="A24" s="80" t="n"/>
      <c r="B24" s="80" t="n"/>
      <c r="C24" s="81" t="n"/>
      <c r="D24" s="81" t="n"/>
      <c r="E24" s="80" t="n"/>
      <c r="F24" s="81" t="n"/>
      <c r="G24" s="81" t="n"/>
      <c r="H24" s="81" t="n"/>
      <c r="I24" s="80" t="n"/>
      <c r="J24" s="80" t="n"/>
      <c r="K24" s="80" t="n"/>
      <c r="L24" s="82" t="n"/>
      <c r="M24" s="80" t="n"/>
      <c r="N24" s="80" t="n"/>
      <c r="O24" s="80" t="n"/>
      <c r="P24" s="82" t="n"/>
      <c r="Q24" s="82" t="n"/>
      <c r="R24" s="80" t="n"/>
      <c r="S24" s="80" t="n"/>
      <c r="T24" s="80" t="n"/>
      <c r="U24" s="83" t="n"/>
      <c r="V24">
        <f>IF($A24="","",IF($A24=$A23,$V23,IF($V23="",0,1-$V23)))</f>
        <v/>
      </c>
      <c r="W24">
        <f>IF($B24&lt;&gt;"",$B24,$A24)</f>
        <v/>
      </c>
      <c r="X24">
        <f>IF(COUNTA($A24:$U24)=0,"",IF(OR($B24&lt;&gt;"",$O24&lt;&gt;""),"Dependent","Employee"))</f>
        <v/>
      </c>
      <c r="Y24">
        <f>IF(COUNTA($A24:$U24)=0,"",IF($A24="","Employee SSN is required; ","")&amp;IF($C24="","First Name is required; ","")&amp;IF(LEN($C24&amp;"")&gt;19,"First Name exceeds 19 characters; ","")&amp;IF(AND($C24&lt;&gt;"",SUMPRODUCT(--(ROW($1:$19)&lt;=LEN($C24&amp;"")),--ISERROR(FIND(MID($C24&amp;"",ROW($1:$19),1),"ABCDEFGHIJKLMNOPQRSTUVWXYZabcdefghijklmnopqrstuvwxyz .,")))&gt;0),"First Name contains unsupported or encoded characters; use plain A-Z letters only; ","")&amp;IF($D24="","Last Name is required; ","")&amp;IF(LEN($D24&amp;"")&gt;26,"Last Name exceeds 26 characters; ","")&amp;IF(AND($D24&lt;&gt;"",SUMPRODUCT(--(ROW($1:$26)&lt;=LEN($D24&amp;"")),--ISERROR(FIND(MID($D24&amp;"",ROW($1:$26),1),"ABCDEFGHIJKLMNOPQRSTUVWXYZabcdefghijklmnopqrstuvwxyz .,")))&gt;0),"Last Name contains unsupported or encoded characters; use plain A-Z letters only; ","")&amp;IF(LEN($E24&amp;"")&gt;1,"Middle Initial may contain only one character; ","")&amp;IF(AND($E24&lt;&gt;"",SUMPRODUCT(--(ROW($1:$1)&lt;=LEN($E24&amp;"")),--ISERROR(FIND(MID($E24&amp;"",ROW($1:$1),1),"ABCDEFGHIJKLMNOPQRSTUVWXYZabcdefghijklmnopqrstuvwxyz .,")))&gt;0),"Middle Initial must be a plain A-Z letter; ","")&amp;IF($F24="","Address is required; ","")&amp;IF(LEN($F24&amp;"")&gt;75,"Address exceeds 75 characters; ","")&amp;IF(LEN($G24&amp;"")&gt;75,"Address 2 exceeds 75 characters; ","")&amp;IF($H24="","City is required; ","")&amp;IF(LEN($H24&amp;"")&gt;30,"City exceeds 30 characters; ","")&amp;IF($K24="","Country is required; ","")&amp;IF(AND($K24&lt;&gt;"",$K24&lt;&gt;"US",$K24&lt;&gt;"CA"),"Country must be US or CA; ","")&amp;IF(AND($K24="US",OR($I24="",LEN($I24&amp;"")&lt;&gt;2)),"Use a 2-letter state code; ","")&amp;IF($J24="","ZIP or postal code is required; ","")&amp;IF(AND($K24="US",$J24&lt;&gt;"",NOT(IFERROR(OR(AND(LEN($J24&amp;"")=5,ISNUMBER(--($J24&amp;""))),AND(LEN($J24&amp;"")=9,ISNUMBER(--($J24&amp;""))),AND(LEN($J24&amp;"")=10,MID($J24&amp;"",6,1)="-",ISNUMBER(--SUBSTITUTE($J24&amp;"","-","")))),FALSE))),"US ZIP must be 5 or 9 digits, with an optional ZIP+4 hyphen; ","")&amp;IF(AND($N24&lt;&gt;"",NOT(IFERROR(AND(ISNUMBER(SEARCH("@",$N24)),ISNUMBER(SEARCH(".",$N24,SEARCH("@",$N24)+2))),FALSE))),"Email format appears invalid; ","")&amp;IF(AND($O24&lt;&gt;"",$B24=""),"Dependent SSN is required for every dependent; ","")&amp;IF(AND($B24&lt;&gt;"",$O24=""),"Dependent Relationship is required when Dependent SSN is entered; ","")&amp;IF(AND($O24&lt;&gt;"",$O24&lt;&gt;"Spouse or Common Law Spouse",$O24&lt;&gt;"Domestic Partner",$O24&lt;&gt;"Child",$O24&lt;&gt;"Other",$O24&lt;&gt;"Estate",$O24&lt;&gt;"Unknown"),"Dependent Relationship must use one of the approved options; ",""))</f>
        <v/>
      </c>
      <c r="Z24">
        <f>IF(COUNTA($A24:$U24)=0,"",IF(AND($A24&lt;&gt;"",NOT(IFERROR(AND(LEN($A24&amp;"")=9,ISNUMBER(--($A24&amp;""))),FALSE))),"Employee SSN must contain exactly 9 digits; ","")&amp;IF(AND($A24&lt;&gt;"",OR($A24="123456789",$A24="987654321",$A24="012345678",$A24=REPT(LEFT($A24&amp;"",1),9))),"Employee SSN appears to be a placeholder; ","")&amp;IF(AND($B24&lt;&gt;"",NOT(IFERROR(AND(LEN($B24&amp;"")=9,ISNUMBER(--($B24&amp;""))),FALSE))),"Dependent SSN must contain exactly 9 digits; ","")&amp;IF(AND($B24&lt;&gt;"",OR($B24="123456789",$B24="987654321",$B24="012345678",$B24=REPT(LEFT($B24&amp;"",1),9))),"Dependent SSN appears to be a placeholder; ","")&amp;IF(AND($A24&lt;&gt;"",$B24&lt;&gt;"",$A24&amp;""=$B24&amp;""),"Dependent SSN cannot match Employee SSN; ","")&amp;IF(AND($W24&lt;&gt;"",OR(COUNTIFS($W$2:$W$501,$W24,$C$2:$C$501,"&lt;&gt;"&amp;$C24)&gt;0,COUNTIFS($W$2:$W$501,$W24,$D$2:$D$501,"&lt;&gt;"&amp;$D24)&gt;0,COUNTIFS($W$2:$W$501,$W24,$L$2:$L$501,"&lt;&gt;"&amp;$L24)&gt;0)),"The same SSN is associated with a different name or birthdate; ",""))</f>
        <v/>
      </c>
      <c r="AA24">
        <f>IF(COUNTA($A24:$U24)=0,"",IF(AND($A24&lt;&gt;"",$S24&lt;&gt;"",COUNTIFS($A$2:$A$501,$A24,$S$2:$S$501,$S24,$B$2:$B$501,"",$O$2:$O$501,"")=0),"Add an employee row for this household and plan; ","")&amp;IF(AND($X24="Dependent",COUNTIFS($A$2:$A24,$A24,$S$2:$S24,$S24,$B$2:$B24,"",$O$2:$O24,"")=0),"Place the employee row before dependent rows for this plan; ","")&amp;IF(AND($X24="Dependent",COUNTIFS($A$2:$A$501,$A24,$S$2:$S$501,$S24,$B$2:$B$501,"",$O$2:$O$501,"")&gt;0,IFERROR(OR($P24&lt;&gt;LOOKUP(2,1/(($A$2:$A$501=$A24)*($S$2:$S$501=$S24)*($B$2:$B$501="")*($O$2:$O$501="")),$P$2:$P$501),$Q24&lt;&gt;LOOKUP(2,1/(($A$2:$A$501=$A24)*($S$2:$S$501=$S24)*($B$2:$B$501="")*($O$2:$O$501="")),$Q$2:$Q$501),$R24&lt;&gt;LOOKUP(2,1/(($A$2:$A$501=$A24)*($S$2:$S$501=$S24)*($B$2:$B$501="")*($O$2:$O$501="")),$R$2:$R$501),$T24&lt;&gt;LOOKUP(2,1/(($A$2:$A$501=$A24)*($S$2:$S$501=$S24)*($B$2:$B$501="")*($O$2:$O$501="")),$T$2:$T$501),$U24&lt;&gt;LOOKUP(2,1/(($A$2:$A$501=$A24)*($S$2:$S$501=$S24)*($B$2:$B$501="")*($O$2:$O$501="")),$U$2:$U$501)),FALSE)),"Dependent row does not match the employee row for eligibility, status, coverage level, or funding; ",""))</f>
        <v/>
      </c>
      <c r="AB24">
        <f>IF(COUNTA($A24:$U24)=0,"",IF($L24="","Birthdate is required; ","")&amp;IF(AND($L24&lt;&gt;"",OR(NOT(ISNUMBER($L24)),$L24&lt;=DATE(1900,1,1),$L24&gt;TODAY())),"Birthdate must be an exact valid past date; ","")&amp;IF($P24="","Eligibility Date is required; ","")&amp;IF(AND($P24&lt;&gt;"",OR(NOT(ISNUMBER($P24)),$P24&lt;=DATE(1900,1,1))),"Eligibility Date must be a valid date; ","")&amp;IF(AND($R24="Terminated",$Q24=""),"Termination Date is required when Status is Terminated; ","")&amp;IF(AND($Q24&lt;&gt;"",OR(NOT(ISNUMBER($Q24)),$Q24&lt;=DATE(1900,1,1))),"Termination Date must be a valid date; ","")&amp;IF(AND(ISNUMBER($P24),ISNUMBER($Q24),$Q24&lt;$P24),"Termination Date cannot be before Eligibility Date; ","")&amp;IF($R24="","Status is required; ","")&amp;IF(AND($R24&lt;&gt;"",$R24&lt;&gt;"Active",$R24&lt;&gt;"Terminated"),"Status must be Active or Terminated; ","")&amp;IF(AND('START HERE'!$C$8="Terminations Only",$R24&lt;&gt;"Terminated"),"Terminations Only files must contain terminated records; ",""))</f>
        <v/>
      </c>
      <c r="AC24">
        <f>IF(COUNTA($A24:$U24)=0,"",IF($S24="","Plan Name is required; ","")&amp;IF($T24="","Benefit Coverage Level is required; ","")&amp;IF(AND($U24&lt;&gt;"",OR(NOT(ISNUMBER($U24)),$U24&lt;0)),"Plan Funding Amount must be a nonnegative number; ","")&amp;IF(AND($A24&lt;&gt;"",$S24&lt;&gt;"",COUNTIFS($A$2:$A$501,$A24,$B$2:$B$501,$B24,$S$2:$S$501,$S24)&gt;1),"Duplicate participant and plan row; ",""))</f>
        <v/>
      </c>
      <c r="AD24">
        <f>IF(COUNTA($A24:$U24)=0,"",IF(AND($X24="Employee",$M24="",$N24=""),"No employee phone or email provided; ","")&amp;IF(AND($R24="Active",$Q24&lt;&gt;""),"Active record includes a Termination Date; confirm this is intentional; ","")&amp;IF(AND($B24&lt;&gt;"",$B24&amp;""&lt;&gt;$A24&amp;"",COUNTIF($A$2:$A$501,$B24)&gt;0),"Dependent SSN also appears as an Employee SSN elsewhere; confirm dual-employee coverage is intentional; ","")&amp;IF(AND($B24&lt;&gt;"",COUNTIF($B$2:$B$501,$B24)&gt;COUNTIFS($A$2:$A$501,$A24,$B$2:$B$501,$B24)),"Dependent SSN appears under more than one employee; confirm duplicate family coverage is intentional; ","")&amp;IF(AND(ROW()&gt;2,$A24&lt;&gt;"",$A24&lt;&gt;$A23,COUNTIF($A$2:$A23,$A24)&gt;0),"This household appears in more than one section of the census; keep the family together; ","")&amp;IF(OR(AND($C24&lt;&gt;"",LEN($C24&amp;"")&lt;&gt;LEN(TRIM($C24&amp;""))),AND($D24&lt;&gt;"",LEN($D24&amp;"")&lt;&gt;LEN(TRIM($D24&amp;""))),AND($E24&lt;&gt;"",LEN($E24&amp;"")&lt;&gt;LEN(TRIM($E24&amp;""))),AND($F24&lt;&gt;"",LEN($F24&amp;"")&lt;&gt;LEN(TRIM($F24&amp;""))),AND($G24&lt;&gt;"",LEN($G24&amp;"")&lt;&gt;LEN(TRIM($G24&amp;""))),AND($H24&lt;&gt;"",LEN($H24&amp;"")&lt;&gt;LEN(TRIM($H24&amp;""))),AND($I24&lt;&gt;"",LEN($I24&amp;"")&lt;&gt;LEN(TRIM($I24&amp;""))),AND($J24&lt;&gt;"",LEN($J24&amp;"")&lt;&gt;LEN(TRIM($J24&amp;""))),AND($K24&lt;&gt;"",LEN($K24&amp;"")&lt;&gt;LEN(TRIM($K24&amp;""))),AND($M24&lt;&gt;"",LEN($M24&amp;"")&lt;&gt;LEN(TRIM($M24&amp;""))),AND($N24&lt;&gt;"",LEN($N24&amp;"")&lt;&gt;LEN(TRIM($N24&amp;""))),AND($O24&lt;&gt;"",LEN($O24&amp;"")&lt;&gt;LEN(TRIM($O24&amp;""))),AND($R24&lt;&gt;"",LEN($R24&amp;"")&lt;&gt;LEN(TRIM($R24&amp;""))),AND($S24&lt;&gt;"",LEN($S24&amp;"")&lt;&gt;LEN(TRIM($S24&amp;""))),AND($T24&lt;&gt;"",LEN($T24&amp;"")&lt;&gt;LEN(TRIM($T24&amp;"")))),"Remove leading or trailing spaces from text fields; ","")&amp;IF(OR(AND(LEN($C24)&gt;1,OR(EXACT($C24,UPPER($C24)),EXACT($C24,LOWER($C24)))),AND(LEN($D24)&gt;1,OR(EXACT($D24,UPPER($D24)),EXACT($D24,LOWER($D24)))),AND(LEN($H24)&gt;1,OR(EXACT($H24,UPPER($H24)),EXACT($H24,LOWER($H24))))),"Review capitalization in First Name, Last Name, or City; ","")&amp;IF(AND($N24&lt;&gt;"",NOT(EXACT($N24,LOWER($N24)))),"Email will be standardized to lowercase in the clean output; ","")&amp;IF(AND(OR('START HERE'!$C$8="Initial Enrollment",'START HERE'!$C$8="Open Enrollment"),$R24="Terminated"),"A terminated row is included in an initial or open enrollment file; confirm this is intentional; ",""))</f>
        <v/>
      </c>
      <c r="AE24">
        <f>IF(COUNTA($A24:$U24)=0,"",IF(OR($A24="",AND($A24&lt;&gt;"",NOT(IFERROR(AND(LEN($A24&amp;"")=9,ISNUMBER(--($A24&amp;""))),FALSE))),AND($A24&lt;&gt;"",OR($A24="123456789",$A24="987654321",$A24="012345678",$A24=REPT(LEFT($A24&amp;"",1),9)))),"Employee SSN, ","")&amp;IF(OR(AND($O24&lt;&gt;"",$B24=""),AND($B24&lt;&gt;"",OR(NOT(IFERROR(AND(LEN($B24&amp;"")=9,ISNUMBER(--($B24&amp;""))),FALSE)),$B24=$A24,$B24="123456789",$B24="987654321",$B24="012345678",$B24=REPT(LEFT($B24&amp;"",1),9)))),"Dependent SSN, ","")&amp;IF(OR($C24="",LEN($C24)&gt;19,AND($C24&lt;&gt;"",SUMPRODUCT(--(ROW($1:$19)&lt;=LEN($C24&amp;"")),--ISERROR(FIND(MID($C24&amp;"",ROW($1:$19),1),"ABCDEFGHIJKLMNOPQRSTUVWXYZabcdefghijklmnopqrstuvwxyz .,")))&gt;0)),"First Name, ","")&amp;IF(OR($D24="",LEN($D24)&gt;26,AND($D24&lt;&gt;"",SUMPRODUCT(--(ROW($1:$26)&lt;=LEN($D24&amp;"")),--ISERROR(FIND(MID($D24&amp;"",ROW($1:$26),1),"ABCDEFGHIJKLMNOPQRSTUVWXYZabcdefghijklmnopqrstuvwxyz .,")))&gt;0)),"Last Name, ","")&amp;IF(OR(LEN($E24)&gt;1,AND($E24&lt;&gt;"",SUMPRODUCT(--(ROW($1:$1)&lt;=LEN($E24&amp;"")),--ISERROR(FIND(MID($E24&amp;"",ROW($1:$1),1),"ABCDEFGHIJKLMNOPQRSTUVWXYZabcdefghijklmnopqrstuvwxyz .,")))&gt;0)),"Middle Initial, ","")&amp;IF(OR($F24="",LEN($F24)&gt;75),"Address, ","")&amp;IF(OR($H24="",LEN($H24)&gt;30),"City, ","")&amp;IF(AND($K24="US",OR($I24="",LEN($I24)&lt;&gt;2)),"State, ","")&amp;IF($J24="","ZIP, ","")&amp;IF(OR($K24="",AND($K24&lt;&gt;"US",$K24&lt;&gt;"CA")),"Country, ","")&amp;IF(OR($L24="",AND($L24&lt;&gt;"",OR(NOT(ISNUMBER($L24)),$L24&lt;=DATE(1900,1,1),$L24&gt;TODAY()))),"Birthdate, ","")&amp;IF(AND($N24&lt;&gt;"",NOT(IFERROR(AND(ISNUMBER(SEARCH("@",$N24)),ISNUMBER(SEARCH(".",$N24,SEARCH("@",$N24)+2))),FALSE))),"Email, ","")&amp;IF(OR(AND($B24&lt;&gt;"",$O24=""),AND($O24&lt;&gt;"",$O24&lt;&gt;"Spouse or Common Law Spouse",$O24&lt;&gt;"Domestic Partner",$O24&lt;&gt;"Child",$O24&lt;&gt;"Other",$O24&lt;&gt;"Estate",$O24&lt;&gt;"Unknown")),"Dependent Relationship, ","")&amp;IF($AA24&lt;&gt;"","Household, ","")&amp;IF(OR($P24="",AND($P24&lt;&gt;"",OR(NOT(ISNUMBER($P24)),$P24&lt;=DATE(1900,1,1)))),"Eligibility Date, ","")&amp;IF(OR(AND($R24="Terminated",$Q24=""),AND($Q24&lt;&gt;"",OR(NOT(ISNUMBER($Q24)),$Q24&lt;=DATE(1900,1,1))),AND(ISNUMBER($P24),ISNUMBER($Q24),$Q24&lt;$P24)),"Termination Date, ","")&amp;IF(OR($R24="",AND($R24&lt;&gt;"Active",$R24&lt;&gt;"Terminated"),AND('START HERE'!$C$8="Terminations Only",$R24&lt;&gt;"Terminated")),"Status, ","")&amp;IF($S24="","Plan Name, ","")&amp;IF($T24="","Coverage Level, ","")&amp;IF(AND($U24&lt;&gt;"",OR(NOT(ISNUMBER($U24)),$U24&lt;0)),"Funding, ","")&amp;IF(AND($A24&lt;&gt;"",$S24&lt;&gt;"",COUNTIFS($A$2:$A$501,$A24,$B$2:$B$501,$B24,$S$2:$S$501,$S24)&gt;1),"Duplicate Row, ",""))</f>
        <v/>
      </c>
      <c r="AF24">
        <f>IF(COUNTA($A24:$U24)=0,"",$Y24&amp;$Z24&amp;$AA24&amp;$AB24&amp;$AC24)</f>
        <v/>
      </c>
      <c r="AG24">
        <f>IF($N24="","",LOWER(TRIM($N24)))</f>
        <v/>
      </c>
      <c r="AH24">
        <f>IF($A24="","",COUNTIFS($A$2:$A$501,$A24,$AI$2:$AI$501,1))</f>
        <v/>
      </c>
      <c r="AI24">
        <f>IF(COUNTA($A24:$U24)=0,"",--($AF24&lt;&gt;""))</f>
        <v/>
      </c>
      <c r="AJ24">
        <f>IF(COUNTA($A24:$U24)=0,"",--($AD24&lt;&gt;""))</f>
        <v/>
      </c>
    </row>
    <row r="25" ht="20" customHeight="1">
      <c r="A25" s="80" t="n"/>
      <c r="B25" s="80" t="n"/>
      <c r="C25" s="81" t="n"/>
      <c r="D25" s="81" t="n"/>
      <c r="E25" s="80" t="n"/>
      <c r="F25" s="81" t="n"/>
      <c r="G25" s="81" t="n"/>
      <c r="H25" s="81" t="n"/>
      <c r="I25" s="80" t="n"/>
      <c r="J25" s="80" t="n"/>
      <c r="K25" s="80" t="n"/>
      <c r="L25" s="82" t="n"/>
      <c r="M25" s="80" t="n"/>
      <c r="N25" s="80" t="n"/>
      <c r="O25" s="80" t="n"/>
      <c r="P25" s="82" t="n"/>
      <c r="Q25" s="82" t="n"/>
      <c r="R25" s="80" t="n"/>
      <c r="S25" s="80" t="n"/>
      <c r="T25" s="80" t="n"/>
      <c r="U25" s="83" t="n"/>
      <c r="V25">
        <f>IF($A25="","",IF($A25=$A24,$V24,IF($V24="",0,1-$V24)))</f>
        <v/>
      </c>
      <c r="W25">
        <f>IF($B25&lt;&gt;"",$B25,$A25)</f>
        <v/>
      </c>
      <c r="X25">
        <f>IF(COUNTA($A25:$U25)=0,"",IF(OR($B25&lt;&gt;"",$O25&lt;&gt;""),"Dependent","Employee"))</f>
        <v/>
      </c>
      <c r="Y25">
        <f>IF(COUNTA($A25:$U25)=0,"",IF($A25="","Employee SSN is required; ","")&amp;IF($C25="","First Name is required; ","")&amp;IF(LEN($C25&amp;"")&gt;19,"First Name exceeds 19 characters; ","")&amp;IF(AND($C25&lt;&gt;"",SUMPRODUCT(--(ROW($1:$19)&lt;=LEN($C25&amp;"")),--ISERROR(FIND(MID($C25&amp;"",ROW($1:$19),1),"ABCDEFGHIJKLMNOPQRSTUVWXYZabcdefghijklmnopqrstuvwxyz .,")))&gt;0),"First Name contains unsupported or encoded characters; use plain A-Z letters only; ","")&amp;IF($D25="","Last Name is required; ","")&amp;IF(LEN($D25&amp;"")&gt;26,"Last Name exceeds 26 characters; ","")&amp;IF(AND($D25&lt;&gt;"",SUMPRODUCT(--(ROW($1:$26)&lt;=LEN($D25&amp;"")),--ISERROR(FIND(MID($D25&amp;"",ROW($1:$26),1),"ABCDEFGHIJKLMNOPQRSTUVWXYZabcdefghijklmnopqrstuvwxyz .,")))&gt;0),"Last Name contains unsupported or encoded characters; use plain A-Z letters only; ","")&amp;IF(LEN($E25&amp;"")&gt;1,"Middle Initial may contain only one character; ","")&amp;IF(AND($E25&lt;&gt;"",SUMPRODUCT(--(ROW($1:$1)&lt;=LEN($E25&amp;"")),--ISERROR(FIND(MID($E25&amp;"",ROW($1:$1),1),"ABCDEFGHIJKLMNOPQRSTUVWXYZabcdefghijklmnopqrstuvwxyz .,")))&gt;0),"Middle Initial must be a plain A-Z letter; ","")&amp;IF($F25="","Address is required; ","")&amp;IF(LEN($F25&amp;"")&gt;75,"Address exceeds 75 characters; ","")&amp;IF(LEN($G25&amp;"")&gt;75,"Address 2 exceeds 75 characters; ","")&amp;IF($H25="","City is required; ","")&amp;IF(LEN($H25&amp;"")&gt;30,"City exceeds 30 characters; ","")&amp;IF($K25="","Country is required; ","")&amp;IF(AND($K25&lt;&gt;"",$K25&lt;&gt;"US",$K25&lt;&gt;"CA"),"Country must be US or CA; ","")&amp;IF(AND($K25="US",OR($I25="",LEN($I25&amp;"")&lt;&gt;2)),"Use a 2-letter state code; ","")&amp;IF($J25="","ZIP or postal code is required; ","")&amp;IF(AND($K25="US",$J25&lt;&gt;"",NOT(IFERROR(OR(AND(LEN($J25&amp;"")=5,ISNUMBER(--($J25&amp;""))),AND(LEN($J25&amp;"")=9,ISNUMBER(--($J25&amp;""))),AND(LEN($J25&amp;"")=10,MID($J25&amp;"",6,1)="-",ISNUMBER(--SUBSTITUTE($J25&amp;"","-","")))),FALSE))),"US ZIP must be 5 or 9 digits, with an optional ZIP+4 hyphen; ","")&amp;IF(AND($N25&lt;&gt;"",NOT(IFERROR(AND(ISNUMBER(SEARCH("@",$N25)),ISNUMBER(SEARCH(".",$N25,SEARCH("@",$N25)+2))),FALSE))),"Email format appears invalid; ","")&amp;IF(AND($O25&lt;&gt;"",$B25=""),"Dependent SSN is required for every dependent; ","")&amp;IF(AND($B25&lt;&gt;"",$O25=""),"Dependent Relationship is required when Dependent SSN is entered; ","")&amp;IF(AND($O25&lt;&gt;"",$O25&lt;&gt;"Spouse or Common Law Spouse",$O25&lt;&gt;"Domestic Partner",$O25&lt;&gt;"Child",$O25&lt;&gt;"Other",$O25&lt;&gt;"Estate",$O25&lt;&gt;"Unknown"),"Dependent Relationship must use one of the approved options; ",""))</f>
        <v/>
      </c>
      <c r="Z25">
        <f>IF(COUNTA($A25:$U25)=0,"",IF(AND($A25&lt;&gt;"",NOT(IFERROR(AND(LEN($A25&amp;"")=9,ISNUMBER(--($A25&amp;""))),FALSE))),"Employee SSN must contain exactly 9 digits; ","")&amp;IF(AND($A25&lt;&gt;"",OR($A25="123456789",$A25="987654321",$A25="012345678",$A25=REPT(LEFT($A25&amp;"",1),9))),"Employee SSN appears to be a placeholder; ","")&amp;IF(AND($B25&lt;&gt;"",NOT(IFERROR(AND(LEN($B25&amp;"")=9,ISNUMBER(--($B25&amp;""))),FALSE))),"Dependent SSN must contain exactly 9 digits; ","")&amp;IF(AND($B25&lt;&gt;"",OR($B25="123456789",$B25="987654321",$B25="012345678",$B25=REPT(LEFT($B25&amp;"",1),9))),"Dependent SSN appears to be a placeholder; ","")&amp;IF(AND($A25&lt;&gt;"",$B25&lt;&gt;"",$A25&amp;""=$B25&amp;""),"Dependent SSN cannot match Employee SSN; ","")&amp;IF(AND($W25&lt;&gt;"",OR(COUNTIFS($W$2:$W$501,$W25,$C$2:$C$501,"&lt;&gt;"&amp;$C25)&gt;0,COUNTIFS($W$2:$W$501,$W25,$D$2:$D$501,"&lt;&gt;"&amp;$D25)&gt;0,COUNTIFS($W$2:$W$501,$W25,$L$2:$L$501,"&lt;&gt;"&amp;$L25)&gt;0)),"The same SSN is associated with a different name or birthdate; ",""))</f>
        <v/>
      </c>
      <c r="AA25">
        <f>IF(COUNTA($A25:$U25)=0,"",IF(AND($A25&lt;&gt;"",$S25&lt;&gt;"",COUNTIFS($A$2:$A$501,$A25,$S$2:$S$501,$S25,$B$2:$B$501,"",$O$2:$O$501,"")=0),"Add an employee row for this household and plan; ","")&amp;IF(AND($X25="Dependent",COUNTIFS($A$2:$A25,$A25,$S$2:$S25,$S25,$B$2:$B25,"",$O$2:$O25,"")=0),"Place the employee row before dependent rows for this plan; ","")&amp;IF(AND($X25="Dependent",COUNTIFS($A$2:$A$501,$A25,$S$2:$S$501,$S25,$B$2:$B$501,"",$O$2:$O$501,"")&gt;0,IFERROR(OR($P25&lt;&gt;LOOKUP(2,1/(($A$2:$A$501=$A25)*($S$2:$S$501=$S25)*($B$2:$B$501="")*($O$2:$O$501="")),$P$2:$P$501),$Q25&lt;&gt;LOOKUP(2,1/(($A$2:$A$501=$A25)*($S$2:$S$501=$S25)*($B$2:$B$501="")*($O$2:$O$501="")),$Q$2:$Q$501),$R25&lt;&gt;LOOKUP(2,1/(($A$2:$A$501=$A25)*($S$2:$S$501=$S25)*($B$2:$B$501="")*($O$2:$O$501="")),$R$2:$R$501),$T25&lt;&gt;LOOKUP(2,1/(($A$2:$A$501=$A25)*($S$2:$S$501=$S25)*($B$2:$B$501="")*($O$2:$O$501="")),$T$2:$T$501),$U25&lt;&gt;LOOKUP(2,1/(($A$2:$A$501=$A25)*($S$2:$S$501=$S25)*($B$2:$B$501="")*($O$2:$O$501="")),$U$2:$U$501)),FALSE)),"Dependent row does not match the employee row for eligibility, status, coverage level, or funding; ",""))</f>
        <v/>
      </c>
      <c r="AB25">
        <f>IF(COUNTA($A25:$U25)=0,"",IF($L25="","Birthdate is required; ","")&amp;IF(AND($L25&lt;&gt;"",OR(NOT(ISNUMBER($L25)),$L25&lt;=DATE(1900,1,1),$L25&gt;TODAY())),"Birthdate must be an exact valid past date; ","")&amp;IF($P25="","Eligibility Date is required; ","")&amp;IF(AND($P25&lt;&gt;"",OR(NOT(ISNUMBER($P25)),$P25&lt;=DATE(1900,1,1))),"Eligibility Date must be a valid date; ","")&amp;IF(AND($R25="Terminated",$Q25=""),"Termination Date is required when Status is Terminated; ","")&amp;IF(AND($Q25&lt;&gt;"",OR(NOT(ISNUMBER($Q25)),$Q25&lt;=DATE(1900,1,1))),"Termination Date must be a valid date; ","")&amp;IF(AND(ISNUMBER($P25),ISNUMBER($Q25),$Q25&lt;$P25),"Termination Date cannot be before Eligibility Date; ","")&amp;IF($R25="","Status is required; ","")&amp;IF(AND($R25&lt;&gt;"",$R25&lt;&gt;"Active",$R25&lt;&gt;"Terminated"),"Status must be Active or Terminated; ","")&amp;IF(AND('START HERE'!$C$8="Terminations Only",$R25&lt;&gt;"Terminated"),"Terminations Only files must contain terminated records; ",""))</f>
        <v/>
      </c>
      <c r="AC25">
        <f>IF(COUNTA($A25:$U25)=0,"",IF($S25="","Plan Name is required; ","")&amp;IF($T25="","Benefit Coverage Level is required; ","")&amp;IF(AND($U25&lt;&gt;"",OR(NOT(ISNUMBER($U25)),$U25&lt;0)),"Plan Funding Amount must be a nonnegative number; ","")&amp;IF(AND($A25&lt;&gt;"",$S25&lt;&gt;"",COUNTIFS($A$2:$A$501,$A25,$B$2:$B$501,$B25,$S$2:$S$501,$S25)&gt;1),"Duplicate participant and plan row; ",""))</f>
        <v/>
      </c>
      <c r="AD25">
        <f>IF(COUNTA($A25:$U25)=0,"",IF(AND($X25="Employee",$M25="",$N25=""),"No employee phone or email provided; ","")&amp;IF(AND($R25="Active",$Q25&lt;&gt;""),"Active record includes a Termination Date; confirm this is intentional; ","")&amp;IF(AND($B25&lt;&gt;"",$B25&amp;""&lt;&gt;$A25&amp;"",COUNTIF($A$2:$A$501,$B25)&gt;0),"Dependent SSN also appears as an Employee SSN elsewhere; confirm dual-employee coverage is intentional; ","")&amp;IF(AND($B25&lt;&gt;"",COUNTIF($B$2:$B$501,$B25)&gt;COUNTIFS($A$2:$A$501,$A25,$B$2:$B$501,$B25)),"Dependent SSN appears under more than one employee; confirm duplicate family coverage is intentional; ","")&amp;IF(AND(ROW()&gt;2,$A25&lt;&gt;"",$A25&lt;&gt;$A24,COUNTIF($A$2:$A24,$A25)&gt;0),"This household appears in more than one section of the census; keep the family together; ","")&amp;IF(OR(AND($C25&lt;&gt;"",LEN($C25&amp;"")&lt;&gt;LEN(TRIM($C25&amp;""))),AND($D25&lt;&gt;"",LEN($D25&amp;"")&lt;&gt;LEN(TRIM($D25&amp;""))),AND($E25&lt;&gt;"",LEN($E25&amp;"")&lt;&gt;LEN(TRIM($E25&amp;""))),AND($F25&lt;&gt;"",LEN($F25&amp;"")&lt;&gt;LEN(TRIM($F25&amp;""))),AND($G25&lt;&gt;"",LEN($G25&amp;"")&lt;&gt;LEN(TRIM($G25&amp;""))),AND($H25&lt;&gt;"",LEN($H25&amp;"")&lt;&gt;LEN(TRIM($H25&amp;""))),AND($I25&lt;&gt;"",LEN($I25&amp;"")&lt;&gt;LEN(TRIM($I25&amp;""))),AND($J25&lt;&gt;"",LEN($J25&amp;"")&lt;&gt;LEN(TRIM($J25&amp;""))),AND($K25&lt;&gt;"",LEN($K25&amp;"")&lt;&gt;LEN(TRIM($K25&amp;""))),AND($M25&lt;&gt;"",LEN($M25&amp;"")&lt;&gt;LEN(TRIM($M25&amp;""))),AND($N25&lt;&gt;"",LEN($N25&amp;"")&lt;&gt;LEN(TRIM($N25&amp;""))),AND($O25&lt;&gt;"",LEN($O25&amp;"")&lt;&gt;LEN(TRIM($O25&amp;""))),AND($R25&lt;&gt;"",LEN($R25&amp;"")&lt;&gt;LEN(TRIM($R25&amp;""))),AND($S25&lt;&gt;"",LEN($S25&amp;"")&lt;&gt;LEN(TRIM($S25&amp;""))),AND($T25&lt;&gt;"",LEN($T25&amp;"")&lt;&gt;LEN(TRIM($T25&amp;"")))),"Remove leading or trailing spaces from text fields; ","")&amp;IF(OR(AND(LEN($C25)&gt;1,OR(EXACT($C25,UPPER($C25)),EXACT($C25,LOWER($C25)))),AND(LEN($D25)&gt;1,OR(EXACT($D25,UPPER($D25)),EXACT($D25,LOWER($D25)))),AND(LEN($H25)&gt;1,OR(EXACT($H25,UPPER($H25)),EXACT($H25,LOWER($H25))))),"Review capitalization in First Name, Last Name, or City; ","")&amp;IF(AND($N25&lt;&gt;"",NOT(EXACT($N25,LOWER($N25)))),"Email will be standardized to lowercase in the clean output; ","")&amp;IF(AND(OR('START HERE'!$C$8="Initial Enrollment",'START HERE'!$C$8="Open Enrollment"),$R25="Terminated"),"A terminated row is included in an initial or open enrollment file; confirm this is intentional; ",""))</f>
        <v/>
      </c>
      <c r="AE25">
        <f>IF(COUNTA($A25:$U25)=0,"",IF(OR($A25="",AND($A25&lt;&gt;"",NOT(IFERROR(AND(LEN($A25&amp;"")=9,ISNUMBER(--($A25&amp;""))),FALSE))),AND($A25&lt;&gt;"",OR($A25="123456789",$A25="987654321",$A25="012345678",$A25=REPT(LEFT($A25&amp;"",1),9)))),"Employee SSN, ","")&amp;IF(OR(AND($O25&lt;&gt;"",$B25=""),AND($B25&lt;&gt;"",OR(NOT(IFERROR(AND(LEN($B25&amp;"")=9,ISNUMBER(--($B25&amp;""))),FALSE)),$B25=$A25,$B25="123456789",$B25="987654321",$B25="012345678",$B25=REPT(LEFT($B25&amp;"",1),9)))),"Dependent SSN, ","")&amp;IF(OR($C25="",LEN($C25)&gt;19,AND($C25&lt;&gt;"",SUMPRODUCT(--(ROW($1:$19)&lt;=LEN($C25&amp;"")),--ISERROR(FIND(MID($C25&amp;"",ROW($1:$19),1),"ABCDEFGHIJKLMNOPQRSTUVWXYZabcdefghijklmnopqrstuvwxyz .,")))&gt;0)),"First Name, ","")&amp;IF(OR($D25="",LEN($D25)&gt;26,AND($D25&lt;&gt;"",SUMPRODUCT(--(ROW($1:$26)&lt;=LEN($D25&amp;"")),--ISERROR(FIND(MID($D25&amp;"",ROW($1:$26),1),"ABCDEFGHIJKLMNOPQRSTUVWXYZabcdefghijklmnopqrstuvwxyz .,")))&gt;0)),"Last Name, ","")&amp;IF(OR(LEN($E25)&gt;1,AND($E25&lt;&gt;"",SUMPRODUCT(--(ROW($1:$1)&lt;=LEN($E25&amp;"")),--ISERROR(FIND(MID($E25&amp;"",ROW($1:$1),1),"ABCDEFGHIJKLMNOPQRSTUVWXYZabcdefghijklmnopqrstuvwxyz .,")))&gt;0)),"Middle Initial, ","")&amp;IF(OR($F25="",LEN($F25)&gt;75),"Address, ","")&amp;IF(OR($H25="",LEN($H25)&gt;30),"City, ","")&amp;IF(AND($K25="US",OR($I25="",LEN($I25)&lt;&gt;2)),"State, ","")&amp;IF($J25="","ZIP, ","")&amp;IF(OR($K25="",AND($K25&lt;&gt;"US",$K25&lt;&gt;"CA")),"Country, ","")&amp;IF(OR($L25="",AND($L25&lt;&gt;"",OR(NOT(ISNUMBER($L25)),$L25&lt;=DATE(1900,1,1),$L25&gt;TODAY()))),"Birthdate, ","")&amp;IF(AND($N25&lt;&gt;"",NOT(IFERROR(AND(ISNUMBER(SEARCH("@",$N25)),ISNUMBER(SEARCH(".",$N25,SEARCH("@",$N25)+2))),FALSE))),"Email, ","")&amp;IF(OR(AND($B25&lt;&gt;"",$O25=""),AND($O25&lt;&gt;"",$O25&lt;&gt;"Spouse or Common Law Spouse",$O25&lt;&gt;"Domestic Partner",$O25&lt;&gt;"Child",$O25&lt;&gt;"Other",$O25&lt;&gt;"Estate",$O25&lt;&gt;"Unknown")),"Dependent Relationship, ","")&amp;IF($AA25&lt;&gt;"","Household, ","")&amp;IF(OR($P25="",AND($P25&lt;&gt;"",OR(NOT(ISNUMBER($P25)),$P25&lt;=DATE(1900,1,1)))),"Eligibility Date, ","")&amp;IF(OR(AND($R25="Terminated",$Q25=""),AND($Q25&lt;&gt;"",OR(NOT(ISNUMBER($Q25)),$Q25&lt;=DATE(1900,1,1))),AND(ISNUMBER($P25),ISNUMBER($Q25),$Q25&lt;$P25)),"Termination Date, ","")&amp;IF(OR($R25="",AND($R25&lt;&gt;"Active",$R25&lt;&gt;"Terminated"),AND('START HERE'!$C$8="Terminations Only",$R25&lt;&gt;"Terminated")),"Status, ","")&amp;IF($S25="","Plan Name, ","")&amp;IF($T25="","Coverage Level, ","")&amp;IF(AND($U25&lt;&gt;"",OR(NOT(ISNUMBER($U25)),$U25&lt;0)),"Funding, ","")&amp;IF(AND($A25&lt;&gt;"",$S25&lt;&gt;"",COUNTIFS($A$2:$A$501,$A25,$B$2:$B$501,$B25,$S$2:$S$501,$S25)&gt;1),"Duplicate Row, ",""))</f>
        <v/>
      </c>
      <c r="AF25">
        <f>IF(COUNTA($A25:$U25)=0,"",$Y25&amp;$Z25&amp;$AA25&amp;$AB25&amp;$AC25)</f>
        <v/>
      </c>
      <c r="AG25">
        <f>IF($N25="","",LOWER(TRIM($N25)))</f>
        <v/>
      </c>
      <c r="AH25">
        <f>IF($A25="","",COUNTIFS($A$2:$A$501,$A25,$AI$2:$AI$501,1))</f>
        <v/>
      </c>
      <c r="AI25">
        <f>IF(COUNTA($A25:$U25)=0,"",--($AF25&lt;&gt;""))</f>
        <v/>
      </c>
      <c r="AJ25">
        <f>IF(COUNTA($A25:$U25)=0,"",--($AD25&lt;&gt;""))</f>
        <v/>
      </c>
    </row>
    <row r="26" ht="20" customHeight="1">
      <c r="A26" s="80" t="n"/>
      <c r="B26" s="80" t="n"/>
      <c r="C26" s="81" t="n"/>
      <c r="D26" s="81" t="n"/>
      <c r="E26" s="80" t="n"/>
      <c r="F26" s="81" t="n"/>
      <c r="G26" s="81" t="n"/>
      <c r="H26" s="81" t="n"/>
      <c r="I26" s="80" t="n"/>
      <c r="J26" s="80" t="n"/>
      <c r="K26" s="80" t="n"/>
      <c r="L26" s="82" t="n"/>
      <c r="M26" s="80" t="n"/>
      <c r="N26" s="80" t="n"/>
      <c r="O26" s="80" t="n"/>
      <c r="P26" s="82" t="n"/>
      <c r="Q26" s="82" t="n"/>
      <c r="R26" s="80" t="n"/>
      <c r="S26" s="80" t="n"/>
      <c r="T26" s="80" t="n"/>
      <c r="U26" s="83" t="n"/>
      <c r="V26">
        <f>IF($A26="","",IF($A26=$A25,$V25,IF($V25="",0,1-$V25)))</f>
        <v/>
      </c>
      <c r="W26">
        <f>IF($B26&lt;&gt;"",$B26,$A26)</f>
        <v/>
      </c>
      <c r="X26">
        <f>IF(COUNTA($A26:$U26)=0,"",IF(OR($B26&lt;&gt;"",$O26&lt;&gt;""),"Dependent","Employee"))</f>
        <v/>
      </c>
      <c r="Y26">
        <f>IF(COUNTA($A26:$U26)=0,"",IF($A26="","Employee SSN is required; ","")&amp;IF($C26="","First Name is required; ","")&amp;IF(LEN($C26&amp;"")&gt;19,"First Name exceeds 19 characters; ","")&amp;IF(AND($C26&lt;&gt;"",SUMPRODUCT(--(ROW($1:$19)&lt;=LEN($C26&amp;"")),--ISERROR(FIND(MID($C26&amp;"",ROW($1:$19),1),"ABCDEFGHIJKLMNOPQRSTUVWXYZabcdefghijklmnopqrstuvwxyz .,")))&gt;0),"First Name contains unsupported or encoded characters; use plain A-Z letters only; ","")&amp;IF($D26="","Last Name is required; ","")&amp;IF(LEN($D26&amp;"")&gt;26,"Last Name exceeds 26 characters; ","")&amp;IF(AND($D26&lt;&gt;"",SUMPRODUCT(--(ROW($1:$26)&lt;=LEN($D26&amp;"")),--ISERROR(FIND(MID($D26&amp;"",ROW($1:$26),1),"ABCDEFGHIJKLMNOPQRSTUVWXYZabcdefghijklmnopqrstuvwxyz .,")))&gt;0),"Last Name contains unsupported or encoded characters; use plain A-Z letters only; ","")&amp;IF(LEN($E26&amp;"")&gt;1,"Middle Initial may contain only one character; ","")&amp;IF(AND($E26&lt;&gt;"",SUMPRODUCT(--(ROW($1:$1)&lt;=LEN($E26&amp;"")),--ISERROR(FIND(MID($E26&amp;"",ROW($1:$1),1),"ABCDEFGHIJKLMNOPQRSTUVWXYZabcdefghijklmnopqrstuvwxyz .,")))&gt;0),"Middle Initial must be a plain A-Z letter; ","")&amp;IF($F26="","Address is required; ","")&amp;IF(LEN($F26&amp;"")&gt;75,"Address exceeds 75 characters; ","")&amp;IF(LEN($G26&amp;"")&gt;75,"Address 2 exceeds 75 characters; ","")&amp;IF($H26="","City is required; ","")&amp;IF(LEN($H26&amp;"")&gt;30,"City exceeds 30 characters; ","")&amp;IF($K26="","Country is required; ","")&amp;IF(AND($K26&lt;&gt;"",$K26&lt;&gt;"US",$K26&lt;&gt;"CA"),"Country must be US or CA; ","")&amp;IF(AND($K26="US",OR($I26="",LEN($I26&amp;"")&lt;&gt;2)),"Use a 2-letter state code; ","")&amp;IF($J26="","ZIP or postal code is required; ","")&amp;IF(AND($K26="US",$J26&lt;&gt;"",NOT(IFERROR(OR(AND(LEN($J26&amp;"")=5,ISNUMBER(--($J26&amp;""))),AND(LEN($J26&amp;"")=9,ISNUMBER(--($J26&amp;""))),AND(LEN($J26&amp;"")=10,MID($J26&amp;"",6,1)="-",ISNUMBER(--SUBSTITUTE($J26&amp;"","-","")))),FALSE))),"US ZIP must be 5 or 9 digits, with an optional ZIP+4 hyphen; ","")&amp;IF(AND($N26&lt;&gt;"",NOT(IFERROR(AND(ISNUMBER(SEARCH("@",$N26)),ISNUMBER(SEARCH(".",$N26,SEARCH("@",$N26)+2))),FALSE))),"Email format appears invalid; ","")&amp;IF(AND($O26&lt;&gt;"",$B26=""),"Dependent SSN is required for every dependent; ","")&amp;IF(AND($B26&lt;&gt;"",$O26=""),"Dependent Relationship is required when Dependent SSN is entered; ","")&amp;IF(AND($O26&lt;&gt;"",$O26&lt;&gt;"Spouse or Common Law Spouse",$O26&lt;&gt;"Domestic Partner",$O26&lt;&gt;"Child",$O26&lt;&gt;"Other",$O26&lt;&gt;"Estate",$O26&lt;&gt;"Unknown"),"Dependent Relationship must use one of the approved options; ",""))</f>
        <v/>
      </c>
      <c r="Z26">
        <f>IF(COUNTA($A26:$U26)=0,"",IF(AND($A26&lt;&gt;"",NOT(IFERROR(AND(LEN($A26&amp;"")=9,ISNUMBER(--($A26&amp;""))),FALSE))),"Employee SSN must contain exactly 9 digits; ","")&amp;IF(AND($A26&lt;&gt;"",OR($A26="123456789",$A26="987654321",$A26="012345678",$A26=REPT(LEFT($A26&amp;"",1),9))),"Employee SSN appears to be a placeholder; ","")&amp;IF(AND($B26&lt;&gt;"",NOT(IFERROR(AND(LEN($B26&amp;"")=9,ISNUMBER(--($B26&amp;""))),FALSE))),"Dependent SSN must contain exactly 9 digits; ","")&amp;IF(AND($B26&lt;&gt;"",OR($B26="123456789",$B26="987654321",$B26="012345678",$B26=REPT(LEFT($B26&amp;"",1),9))),"Dependent SSN appears to be a placeholder; ","")&amp;IF(AND($A26&lt;&gt;"",$B26&lt;&gt;"",$A26&amp;""=$B26&amp;""),"Dependent SSN cannot match Employee SSN; ","")&amp;IF(AND($W26&lt;&gt;"",OR(COUNTIFS($W$2:$W$501,$W26,$C$2:$C$501,"&lt;&gt;"&amp;$C26)&gt;0,COUNTIFS($W$2:$W$501,$W26,$D$2:$D$501,"&lt;&gt;"&amp;$D26)&gt;0,COUNTIFS($W$2:$W$501,$W26,$L$2:$L$501,"&lt;&gt;"&amp;$L26)&gt;0)),"The same SSN is associated with a different name or birthdate; ",""))</f>
        <v/>
      </c>
      <c r="AA26">
        <f>IF(COUNTA($A26:$U26)=0,"",IF(AND($A26&lt;&gt;"",$S26&lt;&gt;"",COUNTIFS($A$2:$A$501,$A26,$S$2:$S$501,$S26,$B$2:$B$501,"",$O$2:$O$501,"")=0),"Add an employee row for this household and plan; ","")&amp;IF(AND($X26="Dependent",COUNTIFS($A$2:$A26,$A26,$S$2:$S26,$S26,$B$2:$B26,"",$O$2:$O26,"")=0),"Place the employee row before dependent rows for this plan; ","")&amp;IF(AND($X26="Dependent",COUNTIFS($A$2:$A$501,$A26,$S$2:$S$501,$S26,$B$2:$B$501,"",$O$2:$O$501,"")&gt;0,IFERROR(OR($P26&lt;&gt;LOOKUP(2,1/(($A$2:$A$501=$A26)*($S$2:$S$501=$S26)*($B$2:$B$501="")*($O$2:$O$501="")),$P$2:$P$501),$Q26&lt;&gt;LOOKUP(2,1/(($A$2:$A$501=$A26)*($S$2:$S$501=$S26)*($B$2:$B$501="")*($O$2:$O$501="")),$Q$2:$Q$501),$R26&lt;&gt;LOOKUP(2,1/(($A$2:$A$501=$A26)*($S$2:$S$501=$S26)*($B$2:$B$501="")*($O$2:$O$501="")),$R$2:$R$501),$T26&lt;&gt;LOOKUP(2,1/(($A$2:$A$501=$A26)*($S$2:$S$501=$S26)*($B$2:$B$501="")*($O$2:$O$501="")),$T$2:$T$501),$U26&lt;&gt;LOOKUP(2,1/(($A$2:$A$501=$A26)*($S$2:$S$501=$S26)*($B$2:$B$501="")*($O$2:$O$501="")),$U$2:$U$501)),FALSE)),"Dependent row does not match the employee row for eligibility, status, coverage level, or funding; ",""))</f>
        <v/>
      </c>
      <c r="AB26">
        <f>IF(COUNTA($A26:$U26)=0,"",IF($L26="","Birthdate is required; ","")&amp;IF(AND($L26&lt;&gt;"",OR(NOT(ISNUMBER($L26)),$L26&lt;=DATE(1900,1,1),$L26&gt;TODAY())),"Birthdate must be an exact valid past date; ","")&amp;IF($P26="","Eligibility Date is required; ","")&amp;IF(AND($P26&lt;&gt;"",OR(NOT(ISNUMBER($P26)),$P26&lt;=DATE(1900,1,1))),"Eligibility Date must be a valid date; ","")&amp;IF(AND($R26="Terminated",$Q26=""),"Termination Date is required when Status is Terminated; ","")&amp;IF(AND($Q26&lt;&gt;"",OR(NOT(ISNUMBER($Q26)),$Q26&lt;=DATE(1900,1,1))),"Termination Date must be a valid date; ","")&amp;IF(AND(ISNUMBER($P26),ISNUMBER($Q26),$Q26&lt;$P26),"Termination Date cannot be before Eligibility Date; ","")&amp;IF($R26="","Status is required; ","")&amp;IF(AND($R26&lt;&gt;"",$R26&lt;&gt;"Active",$R26&lt;&gt;"Terminated"),"Status must be Active or Terminated; ","")&amp;IF(AND('START HERE'!$C$8="Terminations Only",$R26&lt;&gt;"Terminated"),"Terminations Only files must contain terminated records; ",""))</f>
        <v/>
      </c>
      <c r="AC26">
        <f>IF(COUNTA($A26:$U26)=0,"",IF($S26="","Plan Name is required; ","")&amp;IF($T26="","Benefit Coverage Level is required; ","")&amp;IF(AND($U26&lt;&gt;"",OR(NOT(ISNUMBER($U26)),$U26&lt;0)),"Plan Funding Amount must be a nonnegative number; ","")&amp;IF(AND($A26&lt;&gt;"",$S26&lt;&gt;"",COUNTIFS($A$2:$A$501,$A26,$B$2:$B$501,$B26,$S$2:$S$501,$S26)&gt;1),"Duplicate participant and plan row; ",""))</f>
        <v/>
      </c>
      <c r="AD26">
        <f>IF(COUNTA($A26:$U26)=0,"",IF(AND($X26="Employee",$M26="",$N26=""),"No employee phone or email provided; ","")&amp;IF(AND($R26="Active",$Q26&lt;&gt;""),"Active record includes a Termination Date; confirm this is intentional; ","")&amp;IF(AND($B26&lt;&gt;"",$B26&amp;""&lt;&gt;$A26&amp;"",COUNTIF($A$2:$A$501,$B26)&gt;0),"Dependent SSN also appears as an Employee SSN elsewhere; confirm dual-employee coverage is intentional; ","")&amp;IF(AND($B26&lt;&gt;"",COUNTIF($B$2:$B$501,$B26)&gt;COUNTIFS($A$2:$A$501,$A26,$B$2:$B$501,$B26)),"Dependent SSN appears under more than one employee; confirm duplicate family coverage is intentional; ","")&amp;IF(AND(ROW()&gt;2,$A26&lt;&gt;"",$A26&lt;&gt;$A25,COUNTIF($A$2:$A25,$A26)&gt;0),"This household appears in more than one section of the census; keep the family together; ","")&amp;IF(OR(AND($C26&lt;&gt;"",LEN($C26&amp;"")&lt;&gt;LEN(TRIM($C26&amp;""))),AND($D26&lt;&gt;"",LEN($D26&amp;"")&lt;&gt;LEN(TRIM($D26&amp;""))),AND($E26&lt;&gt;"",LEN($E26&amp;"")&lt;&gt;LEN(TRIM($E26&amp;""))),AND($F26&lt;&gt;"",LEN($F26&amp;"")&lt;&gt;LEN(TRIM($F26&amp;""))),AND($G26&lt;&gt;"",LEN($G26&amp;"")&lt;&gt;LEN(TRIM($G26&amp;""))),AND($H26&lt;&gt;"",LEN($H26&amp;"")&lt;&gt;LEN(TRIM($H26&amp;""))),AND($I26&lt;&gt;"",LEN($I26&amp;"")&lt;&gt;LEN(TRIM($I26&amp;""))),AND($J26&lt;&gt;"",LEN($J26&amp;"")&lt;&gt;LEN(TRIM($J26&amp;""))),AND($K26&lt;&gt;"",LEN($K26&amp;"")&lt;&gt;LEN(TRIM($K26&amp;""))),AND($M26&lt;&gt;"",LEN($M26&amp;"")&lt;&gt;LEN(TRIM($M26&amp;""))),AND($N26&lt;&gt;"",LEN($N26&amp;"")&lt;&gt;LEN(TRIM($N26&amp;""))),AND($O26&lt;&gt;"",LEN($O26&amp;"")&lt;&gt;LEN(TRIM($O26&amp;""))),AND($R26&lt;&gt;"",LEN($R26&amp;"")&lt;&gt;LEN(TRIM($R26&amp;""))),AND($S26&lt;&gt;"",LEN($S26&amp;"")&lt;&gt;LEN(TRIM($S26&amp;""))),AND($T26&lt;&gt;"",LEN($T26&amp;"")&lt;&gt;LEN(TRIM($T26&amp;"")))),"Remove leading or trailing spaces from text fields; ","")&amp;IF(OR(AND(LEN($C26)&gt;1,OR(EXACT($C26,UPPER($C26)),EXACT($C26,LOWER($C26)))),AND(LEN($D26)&gt;1,OR(EXACT($D26,UPPER($D26)),EXACT($D26,LOWER($D26)))),AND(LEN($H26)&gt;1,OR(EXACT($H26,UPPER($H26)),EXACT($H26,LOWER($H26))))),"Review capitalization in First Name, Last Name, or City; ","")&amp;IF(AND($N26&lt;&gt;"",NOT(EXACT($N26,LOWER($N26)))),"Email will be standardized to lowercase in the clean output; ","")&amp;IF(AND(OR('START HERE'!$C$8="Initial Enrollment",'START HERE'!$C$8="Open Enrollment"),$R26="Terminated"),"A terminated row is included in an initial or open enrollment file; confirm this is intentional; ",""))</f>
        <v/>
      </c>
      <c r="AE26">
        <f>IF(COUNTA($A26:$U26)=0,"",IF(OR($A26="",AND($A26&lt;&gt;"",NOT(IFERROR(AND(LEN($A26&amp;"")=9,ISNUMBER(--($A26&amp;""))),FALSE))),AND($A26&lt;&gt;"",OR($A26="123456789",$A26="987654321",$A26="012345678",$A26=REPT(LEFT($A26&amp;"",1),9)))),"Employee SSN, ","")&amp;IF(OR(AND($O26&lt;&gt;"",$B26=""),AND($B26&lt;&gt;"",OR(NOT(IFERROR(AND(LEN($B26&amp;"")=9,ISNUMBER(--($B26&amp;""))),FALSE)),$B26=$A26,$B26="123456789",$B26="987654321",$B26="012345678",$B26=REPT(LEFT($B26&amp;"",1),9)))),"Dependent SSN, ","")&amp;IF(OR($C26="",LEN($C26)&gt;19,AND($C26&lt;&gt;"",SUMPRODUCT(--(ROW($1:$19)&lt;=LEN($C26&amp;"")),--ISERROR(FIND(MID($C26&amp;"",ROW($1:$19),1),"ABCDEFGHIJKLMNOPQRSTUVWXYZabcdefghijklmnopqrstuvwxyz .,")))&gt;0)),"First Name, ","")&amp;IF(OR($D26="",LEN($D26)&gt;26,AND($D26&lt;&gt;"",SUMPRODUCT(--(ROW($1:$26)&lt;=LEN($D26&amp;"")),--ISERROR(FIND(MID($D26&amp;"",ROW($1:$26),1),"ABCDEFGHIJKLMNOPQRSTUVWXYZabcdefghijklmnopqrstuvwxyz .,")))&gt;0)),"Last Name, ","")&amp;IF(OR(LEN($E26)&gt;1,AND($E26&lt;&gt;"",SUMPRODUCT(--(ROW($1:$1)&lt;=LEN($E26&amp;"")),--ISERROR(FIND(MID($E26&amp;"",ROW($1:$1),1),"ABCDEFGHIJKLMNOPQRSTUVWXYZabcdefghijklmnopqrstuvwxyz .,")))&gt;0)),"Middle Initial, ","")&amp;IF(OR($F26="",LEN($F26)&gt;75),"Address, ","")&amp;IF(OR($H26="",LEN($H26)&gt;30),"City, ","")&amp;IF(AND($K26="US",OR($I26="",LEN($I26)&lt;&gt;2)),"State, ","")&amp;IF($J26="","ZIP, ","")&amp;IF(OR($K26="",AND($K26&lt;&gt;"US",$K26&lt;&gt;"CA")),"Country, ","")&amp;IF(OR($L26="",AND($L26&lt;&gt;"",OR(NOT(ISNUMBER($L26)),$L26&lt;=DATE(1900,1,1),$L26&gt;TODAY()))),"Birthdate, ","")&amp;IF(AND($N26&lt;&gt;"",NOT(IFERROR(AND(ISNUMBER(SEARCH("@",$N26)),ISNUMBER(SEARCH(".",$N26,SEARCH("@",$N26)+2))),FALSE))),"Email, ","")&amp;IF(OR(AND($B26&lt;&gt;"",$O26=""),AND($O26&lt;&gt;"",$O26&lt;&gt;"Spouse or Common Law Spouse",$O26&lt;&gt;"Domestic Partner",$O26&lt;&gt;"Child",$O26&lt;&gt;"Other",$O26&lt;&gt;"Estate",$O26&lt;&gt;"Unknown")),"Dependent Relationship, ","")&amp;IF($AA26&lt;&gt;"","Household, ","")&amp;IF(OR($P26="",AND($P26&lt;&gt;"",OR(NOT(ISNUMBER($P26)),$P26&lt;=DATE(1900,1,1)))),"Eligibility Date, ","")&amp;IF(OR(AND($R26="Terminated",$Q26=""),AND($Q26&lt;&gt;"",OR(NOT(ISNUMBER($Q26)),$Q26&lt;=DATE(1900,1,1))),AND(ISNUMBER($P26),ISNUMBER($Q26),$Q26&lt;$P26)),"Termination Date, ","")&amp;IF(OR($R26="",AND($R26&lt;&gt;"Active",$R26&lt;&gt;"Terminated"),AND('START HERE'!$C$8="Terminations Only",$R26&lt;&gt;"Terminated")),"Status, ","")&amp;IF($S26="","Plan Name, ","")&amp;IF($T26="","Coverage Level, ","")&amp;IF(AND($U26&lt;&gt;"",OR(NOT(ISNUMBER($U26)),$U26&lt;0)),"Funding, ","")&amp;IF(AND($A26&lt;&gt;"",$S26&lt;&gt;"",COUNTIFS($A$2:$A$501,$A26,$B$2:$B$501,$B26,$S$2:$S$501,$S26)&gt;1),"Duplicate Row, ",""))</f>
        <v/>
      </c>
      <c r="AF26">
        <f>IF(COUNTA($A26:$U26)=0,"",$Y26&amp;$Z26&amp;$AA26&amp;$AB26&amp;$AC26)</f>
        <v/>
      </c>
      <c r="AG26">
        <f>IF($N26="","",LOWER(TRIM($N26)))</f>
        <v/>
      </c>
      <c r="AH26">
        <f>IF($A26="","",COUNTIFS($A$2:$A$501,$A26,$AI$2:$AI$501,1))</f>
        <v/>
      </c>
      <c r="AI26">
        <f>IF(COUNTA($A26:$U26)=0,"",--($AF26&lt;&gt;""))</f>
        <v/>
      </c>
      <c r="AJ26">
        <f>IF(COUNTA($A26:$U26)=0,"",--($AD26&lt;&gt;""))</f>
        <v/>
      </c>
    </row>
    <row r="27" ht="20" customHeight="1">
      <c r="A27" s="80" t="n"/>
      <c r="B27" s="80" t="n"/>
      <c r="C27" s="81" t="n"/>
      <c r="D27" s="81" t="n"/>
      <c r="E27" s="80" t="n"/>
      <c r="F27" s="81" t="n"/>
      <c r="G27" s="81" t="n"/>
      <c r="H27" s="81" t="n"/>
      <c r="I27" s="80" t="n"/>
      <c r="J27" s="80" t="n"/>
      <c r="K27" s="80" t="n"/>
      <c r="L27" s="82" t="n"/>
      <c r="M27" s="80" t="n"/>
      <c r="N27" s="80" t="n"/>
      <c r="O27" s="80" t="n"/>
      <c r="P27" s="82" t="n"/>
      <c r="Q27" s="82" t="n"/>
      <c r="R27" s="80" t="n"/>
      <c r="S27" s="80" t="n"/>
      <c r="T27" s="80" t="n"/>
      <c r="U27" s="83" t="n"/>
      <c r="V27">
        <f>IF($A27="","",IF($A27=$A26,$V26,IF($V26="",0,1-$V26)))</f>
        <v/>
      </c>
      <c r="W27">
        <f>IF($B27&lt;&gt;"",$B27,$A27)</f>
        <v/>
      </c>
      <c r="X27">
        <f>IF(COUNTA($A27:$U27)=0,"",IF(OR($B27&lt;&gt;"",$O27&lt;&gt;""),"Dependent","Employee"))</f>
        <v/>
      </c>
      <c r="Y27">
        <f>IF(COUNTA($A27:$U27)=0,"",IF($A27="","Employee SSN is required; ","")&amp;IF($C27="","First Name is required; ","")&amp;IF(LEN($C27&amp;"")&gt;19,"First Name exceeds 19 characters; ","")&amp;IF(AND($C27&lt;&gt;"",SUMPRODUCT(--(ROW($1:$19)&lt;=LEN($C27&amp;"")),--ISERROR(FIND(MID($C27&amp;"",ROW($1:$19),1),"ABCDEFGHIJKLMNOPQRSTUVWXYZabcdefghijklmnopqrstuvwxyz .,")))&gt;0),"First Name contains unsupported or encoded characters; use plain A-Z letters only; ","")&amp;IF($D27="","Last Name is required; ","")&amp;IF(LEN($D27&amp;"")&gt;26,"Last Name exceeds 26 characters; ","")&amp;IF(AND($D27&lt;&gt;"",SUMPRODUCT(--(ROW($1:$26)&lt;=LEN($D27&amp;"")),--ISERROR(FIND(MID($D27&amp;"",ROW($1:$26),1),"ABCDEFGHIJKLMNOPQRSTUVWXYZabcdefghijklmnopqrstuvwxyz .,")))&gt;0),"Last Name contains unsupported or encoded characters; use plain A-Z letters only; ","")&amp;IF(LEN($E27&amp;"")&gt;1,"Middle Initial may contain only one character; ","")&amp;IF(AND($E27&lt;&gt;"",SUMPRODUCT(--(ROW($1:$1)&lt;=LEN($E27&amp;"")),--ISERROR(FIND(MID($E27&amp;"",ROW($1:$1),1),"ABCDEFGHIJKLMNOPQRSTUVWXYZabcdefghijklmnopqrstuvwxyz .,")))&gt;0),"Middle Initial must be a plain A-Z letter; ","")&amp;IF($F27="","Address is required; ","")&amp;IF(LEN($F27&amp;"")&gt;75,"Address exceeds 75 characters; ","")&amp;IF(LEN($G27&amp;"")&gt;75,"Address 2 exceeds 75 characters; ","")&amp;IF($H27="","City is required; ","")&amp;IF(LEN($H27&amp;"")&gt;30,"City exceeds 30 characters; ","")&amp;IF($K27="","Country is required; ","")&amp;IF(AND($K27&lt;&gt;"",$K27&lt;&gt;"US",$K27&lt;&gt;"CA"),"Country must be US or CA; ","")&amp;IF(AND($K27="US",OR($I27="",LEN($I27&amp;"")&lt;&gt;2)),"Use a 2-letter state code; ","")&amp;IF($J27="","ZIP or postal code is required; ","")&amp;IF(AND($K27="US",$J27&lt;&gt;"",NOT(IFERROR(OR(AND(LEN($J27&amp;"")=5,ISNUMBER(--($J27&amp;""))),AND(LEN($J27&amp;"")=9,ISNUMBER(--($J27&amp;""))),AND(LEN($J27&amp;"")=10,MID($J27&amp;"",6,1)="-",ISNUMBER(--SUBSTITUTE($J27&amp;"","-","")))),FALSE))),"US ZIP must be 5 or 9 digits, with an optional ZIP+4 hyphen; ","")&amp;IF(AND($N27&lt;&gt;"",NOT(IFERROR(AND(ISNUMBER(SEARCH("@",$N27)),ISNUMBER(SEARCH(".",$N27,SEARCH("@",$N27)+2))),FALSE))),"Email format appears invalid; ","")&amp;IF(AND($O27&lt;&gt;"",$B27=""),"Dependent SSN is required for every dependent; ","")&amp;IF(AND($B27&lt;&gt;"",$O27=""),"Dependent Relationship is required when Dependent SSN is entered; ","")&amp;IF(AND($O27&lt;&gt;"",$O27&lt;&gt;"Spouse or Common Law Spouse",$O27&lt;&gt;"Domestic Partner",$O27&lt;&gt;"Child",$O27&lt;&gt;"Other",$O27&lt;&gt;"Estate",$O27&lt;&gt;"Unknown"),"Dependent Relationship must use one of the approved options; ",""))</f>
        <v/>
      </c>
      <c r="Z27">
        <f>IF(COUNTA($A27:$U27)=0,"",IF(AND($A27&lt;&gt;"",NOT(IFERROR(AND(LEN($A27&amp;"")=9,ISNUMBER(--($A27&amp;""))),FALSE))),"Employee SSN must contain exactly 9 digits; ","")&amp;IF(AND($A27&lt;&gt;"",OR($A27="123456789",$A27="987654321",$A27="012345678",$A27=REPT(LEFT($A27&amp;"",1),9))),"Employee SSN appears to be a placeholder; ","")&amp;IF(AND($B27&lt;&gt;"",NOT(IFERROR(AND(LEN($B27&amp;"")=9,ISNUMBER(--($B27&amp;""))),FALSE))),"Dependent SSN must contain exactly 9 digits; ","")&amp;IF(AND($B27&lt;&gt;"",OR($B27="123456789",$B27="987654321",$B27="012345678",$B27=REPT(LEFT($B27&amp;"",1),9))),"Dependent SSN appears to be a placeholder; ","")&amp;IF(AND($A27&lt;&gt;"",$B27&lt;&gt;"",$A27&amp;""=$B27&amp;""),"Dependent SSN cannot match Employee SSN; ","")&amp;IF(AND($W27&lt;&gt;"",OR(COUNTIFS($W$2:$W$501,$W27,$C$2:$C$501,"&lt;&gt;"&amp;$C27)&gt;0,COUNTIFS($W$2:$W$501,$W27,$D$2:$D$501,"&lt;&gt;"&amp;$D27)&gt;0,COUNTIFS($W$2:$W$501,$W27,$L$2:$L$501,"&lt;&gt;"&amp;$L27)&gt;0)),"The same SSN is associated with a different name or birthdate; ",""))</f>
        <v/>
      </c>
      <c r="AA27">
        <f>IF(COUNTA($A27:$U27)=0,"",IF(AND($A27&lt;&gt;"",$S27&lt;&gt;"",COUNTIFS($A$2:$A$501,$A27,$S$2:$S$501,$S27,$B$2:$B$501,"",$O$2:$O$501,"")=0),"Add an employee row for this household and plan; ","")&amp;IF(AND($X27="Dependent",COUNTIFS($A$2:$A27,$A27,$S$2:$S27,$S27,$B$2:$B27,"",$O$2:$O27,"")=0),"Place the employee row before dependent rows for this plan; ","")&amp;IF(AND($X27="Dependent",COUNTIFS($A$2:$A$501,$A27,$S$2:$S$501,$S27,$B$2:$B$501,"",$O$2:$O$501,"")&gt;0,IFERROR(OR($P27&lt;&gt;LOOKUP(2,1/(($A$2:$A$501=$A27)*($S$2:$S$501=$S27)*($B$2:$B$501="")*($O$2:$O$501="")),$P$2:$P$501),$Q27&lt;&gt;LOOKUP(2,1/(($A$2:$A$501=$A27)*($S$2:$S$501=$S27)*($B$2:$B$501="")*($O$2:$O$501="")),$Q$2:$Q$501),$R27&lt;&gt;LOOKUP(2,1/(($A$2:$A$501=$A27)*($S$2:$S$501=$S27)*($B$2:$B$501="")*($O$2:$O$501="")),$R$2:$R$501),$T27&lt;&gt;LOOKUP(2,1/(($A$2:$A$501=$A27)*($S$2:$S$501=$S27)*($B$2:$B$501="")*($O$2:$O$501="")),$T$2:$T$501),$U27&lt;&gt;LOOKUP(2,1/(($A$2:$A$501=$A27)*($S$2:$S$501=$S27)*($B$2:$B$501="")*($O$2:$O$501="")),$U$2:$U$501)),FALSE)),"Dependent row does not match the employee row for eligibility, status, coverage level, or funding; ",""))</f>
        <v/>
      </c>
      <c r="AB27">
        <f>IF(COUNTA($A27:$U27)=0,"",IF($L27="","Birthdate is required; ","")&amp;IF(AND($L27&lt;&gt;"",OR(NOT(ISNUMBER($L27)),$L27&lt;=DATE(1900,1,1),$L27&gt;TODAY())),"Birthdate must be an exact valid past date; ","")&amp;IF($P27="","Eligibility Date is required; ","")&amp;IF(AND($P27&lt;&gt;"",OR(NOT(ISNUMBER($P27)),$P27&lt;=DATE(1900,1,1))),"Eligibility Date must be a valid date; ","")&amp;IF(AND($R27="Terminated",$Q27=""),"Termination Date is required when Status is Terminated; ","")&amp;IF(AND($Q27&lt;&gt;"",OR(NOT(ISNUMBER($Q27)),$Q27&lt;=DATE(1900,1,1))),"Termination Date must be a valid date; ","")&amp;IF(AND(ISNUMBER($P27),ISNUMBER($Q27),$Q27&lt;$P27),"Termination Date cannot be before Eligibility Date; ","")&amp;IF($R27="","Status is required; ","")&amp;IF(AND($R27&lt;&gt;"",$R27&lt;&gt;"Active",$R27&lt;&gt;"Terminated"),"Status must be Active or Terminated; ","")&amp;IF(AND('START HERE'!$C$8="Terminations Only",$R27&lt;&gt;"Terminated"),"Terminations Only files must contain terminated records; ",""))</f>
        <v/>
      </c>
      <c r="AC27">
        <f>IF(COUNTA($A27:$U27)=0,"",IF($S27="","Plan Name is required; ","")&amp;IF($T27="","Benefit Coverage Level is required; ","")&amp;IF(AND($U27&lt;&gt;"",OR(NOT(ISNUMBER($U27)),$U27&lt;0)),"Plan Funding Amount must be a nonnegative number; ","")&amp;IF(AND($A27&lt;&gt;"",$S27&lt;&gt;"",COUNTIFS($A$2:$A$501,$A27,$B$2:$B$501,$B27,$S$2:$S$501,$S27)&gt;1),"Duplicate participant and plan row; ",""))</f>
        <v/>
      </c>
      <c r="AD27">
        <f>IF(COUNTA($A27:$U27)=0,"",IF(AND($X27="Employee",$M27="",$N27=""),"No employee phone or email provided; ","")&amp;IF(AND($R27="Active",$Q27&lt;&gt;""),"Active record includes a Termination Date; confirm this is intentional; ","")&amp;IF(AND($B27&lt;&gt;"",$B27&amp;""&lt;&gt;$A27&amp;"",COUNTIF($A$2:$A$501,$B27)&gt;0),"Dependent SSN also appears as an Employee SSN elsewhere; confirm dual-employee coverage is intentional; ","")&amp;IF(AND($B27&lt;&gt;"",COUNTIF($B$2:$B$501,$B27)&gt;COUNTIFS($A$2:$A$501,$A27,$B$2:$B$501,$B27)),"Dependent SSN appears under more than one employee; confirm duplicate family coverage is intentional; ","")&amp;IF(AND(ROW()&gt;2,$A27&lt;&gt;"",$A27&lt;&gt;$A26,COUNTIF($A$2:$A26,$A27)&gt;0),"This household appears in more than one section of the census; keep the family together; ","")&amp;IF(OR(AND($C27&lt;&gt;"",LEN($C27&amp;"")&lt;&gt;LEN(TRIM($C27&amp;""))),AND($D27&lt;&gt;"",LEN($D27&amp;"")&lt;&gt;LEN(TRIM($D27&amp;""))),AND($E27&lt;&gt;"",LEN($E27&amp;"")&lt;&gt;LEN(TRIM($E27&amp;""))),AND($F27&lt;&gt;"",LEN($F27&amp;"")&lt;&gt;LEN(TRIM($F27&amp;""))),AND($G27&lt;&gt;"",LEN($G27&amp;"")&lt;&gt;LEN(TRIM($G27&amp;""))),AND($H27&lt;&gt;"",LEN($H27&amp;"")&lt;&gt;LEN(TRIM($H27&amp;""))),AND($I27&lt;&gt;"",LEN($I27&amp;"")&lt;&gt;LEN(TRIM($I27&amp;""))),AND($J27&lt;&gt;"",LEN($J27&amp;"")&lt;&gt;LEN(TRIM($J27&amp;""))),AND($K27&lt;&gt;"",LEN($K27&amp;"")&lt;&gt;LEN(TRIM($K27&amp;""))),AND($M27&lt;&gt;"",LEN($M27&amp;"")&lt;&gt;LEN(TRIM($M27&amp;""))),AND($N27&lt;&gt;"",LEN($N27&amp;"")&lt;&gt;LEN(TRIM($N27&amp;""))),AND($O27&lt;&gt;"",LEN($O27&amp;"")&lt;&gt;LEN(TRIM($O27&amp;""))),AND($R27&lt;&gt;"",LEN($R27&amp;"")&lt;&gt;LEN(TRIM($R27&amp;""))),AND($S27&lt;&gt;"",LEN($S27&amp;"")&lt;&gt;LEN(TRIM($S27&amp;""))),AND($T27&lt;&gt;"",LEN($T27&amp;"")&lt;&gt;LEN(TRIM($T27&amp;"")))),"Remove leading or trailing spaces from text fields; ","")&amp;IF(OR(AND(LEN($C27)&gt;1,OR(EXACT($C27,UPPER($C27)),EXACT($C27,LOWER($C27)))),AND(LEN($D27)&gt;1,OR(EXACT($D27,UPPER($D27)),EXACT($D27,LOWER($D27)))),AND(LEN($H27)&gt;1,OR(EXACT($H27,UPPER($H27)),EXACT($H27,LOWER($H27))))),"Review capitalization in First Name, Last Name, or City; ","")&amp;IF(AND($N27&lt;&gt;"",NOT(EXACT($N27,LOWER($N27)))),"Email will be standardized to lowercase in the clean output; ","")&amp;IF(AND(OR('START HERE'!$C$8="Initial Enrollment",'START HERE'!$C$8="Open Enrollment"),$R27="Terminated"),"A terminated row is included in an initial or open enrollment file; confirm this is intentional; ",""))</f>
        <v/>
      </c>
      <c r="AE27">
        <f>IF(COUNTA($A27:$U27)=0,"",IF(OR($A27="",AND($A27&lt;&gt;"",NOT(IFERROR(AND(LEN($A27&amp;"")=9,ISNUMBER(--($A27&amp;""))),FALSE))),AND($A27&lt;&gt;"",OR($A27="123456789",$A27="987654321",$A27="012345678",$A27=REPT(LEFT($A27&amp;"",1),9)))),"Employee SSN, ","")&amp;IF(OR(AND($O27&lt;&gt;"",$B27=""),AND($B27&lt;&gt;"",OR(NOT(IFERROR(AND(LEN($B27&amp;"")=9,ISNUMBER(--($B27&amp;""))),FALSE)),$B27=$A27,$B27="123456789",$B27="987654321",$B27="012345678",$B27=REPT(LEFT($B27&amp;"",1),9)))),"Dependent SSN, ","")&amp;IF(OR($C27="",LEN($C27)&gt;19,AND($C27&lt;&gt;"",SUMPRODUCT(--(ROW($1:$19)&lt;=LEN($C27&amp;"")),--ISERROR(FIND(MID($C27&amp;"",ROW($1:$19),1),"ABCDEFGHIJKLMNOPQRSTUVWXYZabcdefghijklmnopqrstuvwxyz .,")))&gt;0)),"First Name, ","")&amp;IF(OR($D27="",LEN($D27)&gt;26,AND($D27&lt;&gt;"",SUMPRODUCT(--(ROW($1:$26)&lt;=LEN($D27&amp;"")),--ISERROR(FIND(MID($D27&amp;"",ROW($1:$26),1),"ABCDEFGHIJKLMNOPQRSTUVWXYZabcdefghijklmnopqrstuvwxyz .,")))&gt;0)),"Last Name, ","")&amp;IF(OR(LEN($E27)&gt;1,AND($E27&lt;&gt;"",SUMPRODUCT(--(ROW($1:$1)&lt;=LEN($E27&amp;"")),--ISERROR(FIND(MID($E27&amp;"",ROW($1:$1),1),"ABCDEFGHIJKLMNOPQRSTUVWXYZabcdefghijklmnopqrstuvwxyz .,")))&gt;0)),"Middle Initial, ","")&amp;IF(OR($F27="",LEN($F27)&gt;75),"Address, ","")&amp;IF(OR($H27="",LEN($H27)&gt;30),"City, ","")&amp;IF(AND($K27="US",OR($I27="",LEN($I27)&lt;&gt;2)),"State, ","")&amp;IF($J27="","ZIP, ","")&amp;IF(OR($K27="",AND($K27&lt;&gt;"US",$K27&lt;&gt;"CA")),"Country, ","")&amp;IF(OR($L27="",AND($L27&lt;&gt;"",OR(NOT(ISNUMBER($L27)),$L27&lt;=DATE(1900,1,1),$L27&gt;TODAY()))),"Birthdate, ","")&amp;IF(AND($N27&lt;&gt;"",NOT(IFERROR(AND(ISNUMBER(SEARCH("@",$N27)),ISNUMBER(SEARCH(".",$N27,SEARCH("@",$N27)+2))),FALSE))),"Email, ","")&amp;IF(OR(AND($B27&lt;&gt;"",$O27=""),AND($O27&lt;&gt;"",$O27&lt;&gt;"Spouse or Common Law Spouse",$O27&lt;&gt;"Domestic Partner",$O27&lt;&gt;"Child",$O27&lt;&gt;"Other",$O27&lt;&gt;"Estate",$O27&lt;&gt;"Unknown")),"Dependent Relationship, ","")&amp;IF($AA27&lt;&gt;"","Household, ","")&amp;IF(OR($P27="",AND($P27&lt;&gt;"",OR(NOT(ISNUMBER($P27)),$P27&lt;=DATE(1900,1,1)))),"Eligibility Date, ","")&amp;IF(OR(AND($R27="Terminated",$Q27=""),AND($Q27&lt;&gt;"",OR(NOT(ISNUMBER($Q27)),$Q27&lt;=DATE(1900,1,1))),AND(ISNUMBER($P27),ISNUMBER($Q27),$Q27&lt;$P27)),"Termination Date, ","")&amp;IF(OR($R27="",AND($R27&lt;&gt;"Active",$R27&lt;&gt;"Terminated"),AND('START HERE'!$C$8="Terminations Only",$R27&lt;&gt;"Terminated")),"Status, ","")&amp;IF($S27="","Plan Name, ","")&amp;IF($T27="","Coverage Level, ","")&amp;IF(AND($U27&lt;&gt;"",OR(NOT(ISNUMBER($U27)),$U27&lt;0)),"Funding, ","")&amp;IF(AND($A27&lt;&gt;"",$S27&lt;&gt;"",COUNTIFS($A$2:$A$501,$A27,$B$2:$B$501,$B27,$S$2:$S$501,$S27)&gt;1),"Duplicate Row, ",""))</f>
        <v/>
      </c>
      <c r="AF27">
        <f>IF(COUNTA($A27:$U27)=0,"",$Y27&amp;$Z27&amp;$AA27&amp;$AB27&amp;$AC27)</f>
        <v/>
      </c>
      <c r="AG27">
        <f>IF($N27="","",LOWER(TRIM($N27)))</f>
        <v/>
      </c>
      <c r="AH27">
        <f>IF($A27="","",COUNTIFS($A$2:$A$501,$A27,$AI$2:$AI$501,1))</f>
        <v/>
      </c>
      <c r="AI27">
        <f>IF(COUNTA($A27:$U27)=0,"",--($AF27&lt;&gt;""))</f>
        <v/>
      </c>
      <c r="AJ27">
        <f>IF(COUNTA($A27:$U27)=0,"",--($AD27&lt;&gt;""))</f>
        <v/>
      </c>
    </row>
    <row r="28" ht="20" customHeight="1">
      <c r="A28" s="80" t="n"/>
      <c r="B28" s="80" t="n"/>
      <c r="C28" s="81" t="n"/>
      <c r="D28" s="81" t="n"/>
      <c r="E28" s="80" t="n"/>
      <c r="F28" s="81" t="n"/>
      <c r="G28" s="81" t="n"/>
      <c r="H28" s="81" t="n"/>
      <c r="I28" s="80" t="n"/>
      <c r="J28" s="80" t="n"/>
      <c r="K28" s="80" t="n"/>
      <c r="L28" s="82" t="n"/>
      <c r="M28" s="80" t="n"/>
      <c r="N28" s="80" t="n"/>
      <c r="O28" s="80" t="n"/>
      <c r="P28" s="82" t="n"/>
      <c r="Q28" s="82" t="n"/>
      <c r="R28" s="80" t="n"/>
      <c r="S28" s="80" t="n"/>
      <c r="T28" s="80" t="n"/>
      <c r="U28" s="83" t="n"/>
      <c r="V28">
        <f>IF($A28="","",IF($A28=$A27,$V27,IF($V27="",0,1-$V27)))</f>
        <v/>
      </c>
      <c r="W28">
        <f>IF($B28&lt;&gt;"",$B28,$A28)</f>
        <v/>
      </c>
      <c r="X28">
        <f>IF(COUNTA($A28:$U28)=0,"",IF(OR($B28&lt;&gt;"",$O28&lt;&gt;""),"Dependent","Employee"))</f>
        <v/>
      </c>
      <c r="Y28">
        <f>IF(COUNTA($A28:$U28)=0,"",IF($A28="","Employee SSN is required; ","")&amp;IF($C28="","First Name is required; ","")&amp;IF(LEN($C28&amp;"")&gt;19,"First Name exceeds 19 characters; ","")&amp;IF(AND($C28&lt;&gt;"",SUMPRODUCT(--(ROW($1:$19)&lt;=LEN($C28&amp;"")),--ISERROR(FIND(MID($C28&amp;"",ROW($1:$19),1),"ABCDEFGHIJKLMNOPQRSTUVWXYZabcdefghijklmnopqrstuvwxyz .,")))&gt;0),"First Name contains unsupported or encoded characters; use plain A-Z letters only; ","")&amp;IF($D28="","Last Name is required; ","")&amp;IF(LEN($D28&amp;"")&gt;26,"Last Name exceeds 26 characters; ","")&amp;IF(AND($D28&lt;&gt;"",SUMPRODUCT(--(ROW($1:$26)&lt;=LEN($D28&amp;"")),--ISERROR(FIND(MID($D28&amp;"",ROW($1:$26),1),"ABCDEFGHIJKLMNOPQRSTUVWXYZabcdefghijklmnopqrstuvwxyz .,")))&gt;0),"Last Name contains unsupported or encoded characters; use plain A-Z letters only; ","")&amp;IF(LEN($E28&amp;"")&gt;1,"Middle Initial may contain only one character; ","")&amp;IF(AND($E28&lt;&gt;"",SUMPRODUCT(--(ROW($1:$1)&lt;=LEN($E28&amp;"")),--ISERROR(FIND(MID($E28&amp;"",ROW($1:$1),1),"ABCDEFGHIJKLMNOPQRSTUVWXYZabcdefghijklmnopqrstuvwxyz .,")))&gt;0),"Middle Initial must be a plain A-Z letter; ","")&amp;IF($F28="","Address is required; ","")&amp;IF(LEN($F28&amp;"")&gt;75,"Address exceeds 75 characters; ","")&amp;IF(LEN($G28&amp;"")&gt;75,"Address 2 exceeds 75 characters; ","")&amp;IF($H28="","City is required; ","")&amp;IF(LEN($H28&amp;"")&gt;30,"City exceeds 30 characters; ","")&amp;IF($K28="","Country is required; ","")&amp;IF(AND($K28&lt;&gt;"",$K28&lt;&gt;"US",$K28&lt;&gt;"CA"),"Country must be US or CA; ","")&amp;IF(AND($K28="US",OR($I28="",LEN($I28&amp;"")&lt;&gt;2)),"Use a 2-letter state code; ","")&amp;IF($J28="","ZIP or postal code is required; ","")&amp;IF(AND($K28="US",$J28&lt;&gt;"",NOT(IFERROR(OR(AND(LEN($J28&amp;"")=5,ISNUMBER(--($J28&amp;""))),AND(LEN($J28&amp;"")=9,ISNUMBER(--($J28&amp;""))),AND(LEN($J28&amp;"")=10,MID($J28&amp;"",6,1)="-",ISNUMBER(--SUBSTITUTE($J28&amp;"","-","")))),FALSE))),"US ZIP must be 5 or 9 digits, with an optional ZIP+4 hyphen; ","")&amp;IF(AND($N28&lt;&gt;"",NOT(IFERROR(AND(ISNUMBER(SEARCH("@",$N28)),ISNUMBER(SEARCH(".",$N28,SEARCH("@",$N28)+2))),FALSE))),"Email format appears invalid; ","")&amp;IF(AND($O28&lt;&gt;"",$B28=""),"Dependent SSN is required for every dependent; ","")&amp;IF(AND($B28&lt;&gt;"",$O28=""),"Dependent Relationship is required when Dependent SSN is entered; ","")&amp;IF(AND($O28&lt;&gt;"",$O28&lt;&gt;"Spouse or Common Law Spouse",$O28&lt;&gt;"Domestic Partner",$O28&lt;&gt;"Child",$O28&lt;&gt;"Other",$O28&lt;&gt;"Estate",$O28&lt;&gt;"Unknown"),"Dependent Relationship must use one of the approved options; ",""))</f>
        <v/>
      </c>
      <c r="Z28">
        <f>IF(COUNTA($A28:$U28)=0,"",IF(AND($A28&lt;&gt;"",NOT(IFERROR(AND(LEN($A28&amp;"")=9,ISNUMBER(--($A28&amp;""))),FALSE))),"Employee SSN must contain exactly 9 digits; ","")&amp;IF(AND($A28&lt;&gt;"",OR($A28="123456789",$A28="987654321",$A28="012345678",$A28=REPT(LEFT($A28&amp;"",1),9))),"Employee SSN appears to be a placeholder; ","")&amp;IF(AND($B28&lt;&gt;"",NOT(IFERROR(AND(LEN($B28&amp;"")=9,ISNUMBER(--($B28&amp;""))),FALSE))),"Dependent SSN must contain exactly 9 digits; ","")&amp;IF(AND($B28&lt;&gt;"",OR($B28="123456789",$B28="987654321",$B28="012345678",$B28=REPT(LEFT($B28&amp;"",1),9))),"Dependent SSN appears to be a placeholder; ","")&amp;IF(AND($A28&lt;&gt;"",$B28&lt;&gt;"",$A28&amp;""=$B28&amp;""),"Dependent SSN cannot match Employee SSN; ","")&amp;IF(AND($W28&lt;&gt;"",OR(COUNTIFS($W$2:$W$501,$W28,$C$2:$C$501,"&lt;&gt;"&amp;$C28)&gt;0,COUNTIFS($W$2:$W$501,$W28,$D$2:$D$501,"&lt;&gt;"&amp;$D28)&gt;0,COUNTIFS($W$2:$W$501,$W28,$L$2:$L$501,"&lt;&gt;"&amp;$L28)&gt;0)),"The same SSN is associated with a different name or birthdate; ",""))</f>
        <v/>
      </c>
      <c r="AA28">
        <f>IF(COUNTA($A28:$U28)=0,"",IF(AND($A28&lt;&gt;"",$S28&lt;&gt;"",COUNTIFS($A$2:$A$501,$A28,$S$2:$S$501,$S28,$B$2:$B$501,"",$O$2:$O$501,"")=0),"Add an employee row for this household and plan; ","")&amp;IF(AND($X28="Dependent",COUNTIFS($A$2:$A28,$A28,$S$2:$S28,$S28,$B$2:$B28,"",$O$2:$O28,"")=0),"Place the employee row before dependent rows for this plan; ","")&amp;IF(AND($X28="Dependent",COUNTIFS($A$2:$A$501,$A28,$S$2:$S$501,$S28,$B$2:$B$501,"",$O$2:$O$501,"")&gt;0,IFERROR(OR($P28&lt;&gt;LOOKUP(2,1/(($A$2:$A$501=$A28)*($S$2:$S$501=$S28)*($B$2:$B$501="")*($O$2:$O$501="")),$P$2:$P$501),$Q28&lt;&gt;LOOKUP(2,1/(($A$2:$A$501=$A28)*($S$2:$S$501=$S28)*($B$2:$B$501="")*($O$2:$O$501="")),$Q$2:$Q$501),$R28&lt;&gt;LOOKUP(2,1/(($A$2:$A$501=$A28)*($S$2:$S$501=$S28)*($B$2:$B$501="")*($O$2:$O$501="")),$R$2:$R$501),$T28&lt;&gt;LOOKUP(2,1/(($A$2:$A$501=$A28)*($S$2:$S$501=$S28)*($B$2:$B$501="")*($O$2:$O$501="")),$T$2:$T$501),$U28&lt;&gt;LOOKUP(2,1/(($A$2:$A$501=$A28)*($S$2:$S$501=$S28)*($B$2:$B$501="")*($O$2:$O$501="")),$U$2:$U$501)),FALSE)),"Dependent row does not match the employee row for eligibility, status, coverage level, or funding; ",""))</f>
        <v/>
      </c>
      <c r="AB28">
        <f>IF(COUNTA($A28:$U28)=0,"",IF($L28="","Birthdate is required; ","")&amp;IF(AND($L28&lt;&gt;"",OR(NOT(ISNUMBER($L28)),$L28&lt;=DATE(1900,1,1),$L28&gt;TODAY())),"Birthdate must be an exact valid past date; ","")&amp;IF($P28="","Eligibility Date is required; ","")&amp;IF(AND($P28&lt;&gt;"",OR(NOT(ISNUMBER($P28)),$P28&lt;=DATE(1900,1,1))),"Eligibility Date must be a valid date; ","")&amp;IF(AND($R28="Terminated",$Q28=""),"Termination Date is required when Status is Terminated; ","")&amp;IF(AND($Q28&lt;&gt;"",OR(NOT(ISNUMBER($Q28)),$Q28&lt;=DATE(1900,1,1))),"Termination Date must be a valid date; ","")&amp;IF(AND(ISNUMBER($P28),ISNUMBER($Q28),$Q28&lt;$P28),"Termination Date cannot be before Eligibility Date; ","")&amp;IF($R28="","Status is required; ","")&amp;IF(AND($R28&lt;&gt;"",$R28&lt;&gt;"Active",$R28&lt;&gt;"Terminated"),"Status must be Active or Terminated; ","")&amp;IF(AND('START HERE'!$C$8="Terminations Only",$R28&lt;&gt;"Terminated"),"Terminations Only files must contain terminated records; ",""))</f>
        <v/>
      </c>
      <c r="AC28">
        <f>IF(COUNTA($A28:$U28)=0,"",IF($S28="","Plan Name is required; ","")&amp;IF($T28="","Benefit Coverage Level is required; ","")&amp;IF(AND($U28&lt;&gt;"",OR(NOT(ISNUMBER($U28)),$U28&lt;0)),"Plan Funding Amount must be a nonnegative number; ","")&amp;IF(AND($A28&lt;&gt;"",$S28&lt;&gt;"",COUNTIFS($A$2:$A$501,$A28,$B$2:$B$501,$B28,$S$2:$S$501,$S28)&gt;1),"Duplicate participant and plan row; ",""))</f>
        <v/>
      </c>
      <c r="AD28">
        <f>IF(COUNTA($A28:$U28)=0,"",IF(AND($X28="Employee",$M28="",$N28=""),"No employee phone or email provided; ","")&amp;IF(AND($R28="Active",$Q28&lt;&gt;""),"Active record includes a Termination Date; confirm this is intentional; ","")&amp;IF(AND($B28&lt;&gt;"",$B28&amp;""&lt;&gt;$A28&amp;"",COUNTIF($A$2:$A$501,$B28)&gt;0),"Dependent SSN also appears as an Employee SSN elsewhere; confirm dual-employee coverage is intentional; ","")&amp;IF(AND($B28&lt;&gt;"",COUNTIF($B$2:$B$501,$B28)&gt;COUNTIFS($A$2:$A$501,$A28,$B$2:$B$501,$B28)),"Dependent SSN appears under more than one employee; confirm duplicate family coverage is intentional; ","")&amp;IF(AND(ROW()&gt;2,$A28&lt;&gt;"",$A28&lt;&gt;$A27,COUNTIF($A$2:$A27,$A28)&gt;0),"This household appears in more than one section of the census; keep the family together; ","")&amp;IF(OR(AND($C28&lt;&gt;"",LEN($C28&amp;"")&lt;&gt;LEN(TRIM($C28&amp;""))),AND($D28&lt;&gt;"",LEN($D28&amp;"")&lt;&gt;LEN(TRIM($D28&amp;""))),AND($E28&lt;&gt;"",LEN($E28&amp;"")&lt;&gt;LEN(TRIM($E28&amp;""))),AND($F28&lt;&gt;"",LEN($F28&amp;"")&lt;&gt;LEN(TRIM($F28&amp;""))),AND($G28&lt;&gt;"",LEN($G28&amp;"")&lt;&gt;LEN(TRIM($G28&amp;""))),AND($H28&lt;&gt;"",LEN($H28&amp;"")&lt;&gt;LEN(TRIM($H28&amp;""))),AND($I28&lt;&gt;"",LEN($I28&amp;"")&lt;&gt;LEN(TRIM($I28&amp;""))),AND($J28&lt;&gt;"",LEN($J28&amp;"")&lt;&gt;LEN(TRIM($J28&amp;""))),AND($K28&lt;&gt;"",LEN($K28&amp;"")&lt;&gt;LEN(TRIM($K28&amp;""))),AND($M28&lt;&gt;"",LEN($M28&amp;"")&lt;&gt;LEN(TRIM($M28&amp;""))),AND($N28&lt;&gt;"",LEN($N28&amp;"")&lt;&gt;LEN(TRIM($N28&amp;""))),AND($O28&lt;&gt;"",LEN($O28&amp;"")&lt;&gt;LEN(TRIM($O28&amp;""))),AND($R28&lt;&gt;"",LEN($R28&amp;"")&lt;&gt;LEN(TRIM($R28&amp;""))),AND($S28&lt;&gt;"",LEN($S28&amp;"")&lt;&gt;LEN(TRIM($S28&amp;""))),AND($T28&lt;&gt;"",LEN($T28&amp;"")&lt;&gt;LEN(TRIM($T28&amp;"")))),"Remove leading or trailing spaces from text fields; ","")&amp;IF(OR(AND(LEN($C28)&gt;1,OR(EXACT($C28,UPPER($C28)),EXACT($C28,LOWER($C28)))),AND(LEN($D28)&gt;1,OR(EXACT($D28,UPPER($D28)),EXACT($D28,LOWER($D28)))),AND(LEN($H28)&gt;1,OR(EXACT($H28,UPPER($H28)),EXACT($H28,LOWER($H28))))),"Review capitalization in First Name, Last Name, or City; ","")&amp;IF(AND($N28&lt;&gt;"",NOT(EXACT($N28,LOWER($N28)))),"Email will be standardized to lowercase in the clean output; ","")&amp;IF(AND(OR('START HERE'!$C$8="Initial Enrollment",'START HERE'!$C$8="Open Enrollment"),$R28="Terminated"),"A terminated row is included in an initial or open enrollment file; confirm this is intentional; ",""))</f>
        <v/>
      </c>
      <c r="AE28">
        <f>IF(COUNTA($A28:$U28)=0,"",IF(OR($A28="",AND($A28&lt;&gt;"",NOT(IFERROR(AND(LEN($A28&amp;"")=9,ISNUMBER(--($A28&amp;""))),FALSE))),AND($A28&lt;&gt;"",OR($A28="123456789",$A28="987654321",$A28="012345678",$A28=REPT(LEFT($A28&amp;"",1),9)))),"Employee SSN, ","")&amp;IF(OR(AND($O28&lt;&gt;"",$B28=""),AND($B28&lt;&gt;"",OR(NOT(IFERROR(AND(LEN($B28&amp;"")=9,ISNUMBER(--($B28&amp;""))),FALSE)),$B28=$A28,$B28="123456789",$B28="987654321",$B28="012345678",$B28=REPT(LEFT($B28&amp;"",1),9)))),"Dependent SSN, ","")&amp;IF(OR($C28="",LEN($C28)&gt;19,AND($C28&lt;&gt;"",SUMPRODUCT(--(ROW($1:$19)&lt;=LEN($C28&amp;"")),--ISERROR(FIND(MID($C28&amp;"",ROW($1:$19),1),"ABCDEFGHIJKLMNOPQRSTUVWXYZabcdefghijklmnopqrstuvwxyz .,")))&gt;0)),"First Name, ","")&amp;IF(OR($D28="",LEN($D28)&gt;26,AND($D28&lt;&gt;"",SUMPRODUCT(--(ROW($1:$26)&lt;=LEN($D28&amp;"")),--ISERROR(FIND(MID($D28&amp;"",ROW($1:$26),1),"ABCDEFGHIJKLMNOPQRSTUVWXYZabcdefghijklmnopqrstuvwxyz .,")))&gt;0)),"Last Name, ","")&amp;IF(OR(LEN($E28)&gt;1,AND($E28&lt;&gt;"",SUMPRODUCT(--(ROW($1:$1)&lt;=LEN($E28&amp;"")),--ISERROR(FIND(MID($E28&amp;"",ROW($1:$1),1),"ABCDEFGHIJKLMNOPQRSTUVWXYZabcdefghijklmnopqrstuvwxyz .,")))&gt;0)),"Middle Initial, ","")&amp;IF(OR($F28="",LEN($F28)&gt;75),"Address, ","")&amp;IF(OR($H28="",LEN($H28)&gt;30),"City, ","")&amp;IF(AND($K28="US",OR($I28="",LEN($I28)&lt;&gt;2)),"State, ","")&amp;IF($J28="","ZIP, ","")&amp;IF(OR($K28="",AND($K28&lt;&gt;"US",$K28&lt;&gt;"CA")),"Country, ","")&amp;IF(OR($L28="",AND($L28&lt;&gt;"",OR(NOT(ISNUMBER($L28)),$L28&lt;=DATE(1900,1,1),$L28&gt;TODAY()))),"Birthdate, ","")&amp;IF(AND($N28&lt;&gt;"",NOT(IFERROR(AND(ISNUMBER(SEARCH("@",$N28)),ISNUMBER(SEARCH(".",$N28,SEARCH("@",$N28)+2))),FALSE))),"Email, ","")&amp;IF(OR(AND($B28&lt;&gt;"",$O28=""),AND($O28&lt;&gt;"",$O28&lt;&gt;"Spouse or Common Law Spouse",$O28&lt;&gt;"Domestic Partner",$O28&lt;&gt;"Child",$O28&lt;&gt;"Other",$O28&lt;&gt;"Estate",$O28&lt;&gt;"Unknown")),"Dependent Relationship, ","")&amp;IF($AA28&lt;&gt;"","Household, ","")&amp;IF(OR($P28="",AND($P28&lt;&gt;"",OR(NOT(ISNUMBER($P28)),$P28&lt;=DATE(1900,1,1)))),"Eligibility Date, ","")&amp;IF(OR(AND($R28="Terminated",$Q28=""),AND($Q28&lt;&gt;"",OR(NOT(ISNUMBER($Q28)),$Q28&lt;=DATE(1900,1,1))),AND(ISNUMBER($P28),ISNUMBER($Q28),$Q28&lt;$P28)),"Termination Date, ","")&amp;IF(OR($R28="",AND($R28&lt;&gt;"Active",$R28&lt;&gt;"Terminated"),AND('START HERE'!$C$8="Terminations Only",$R28&lt;&gt;"Terminated")),"Status, ","")&amp;IF($S28="","Plan Name, ","")&amp;IF($T28="","Coverage Level, ","")&amp;IF(AND($U28&lt;&gt;"",OR(NOT(ISNUMBER($U28)),$U28&lt;0)),"Funding, ","")&amp;IF(AND($A28&lt;&gt;"",$S28&lt;&gt;"",COUNTIFS($A$2:$A$501,$A28,$B$2:$B$501,$B28,$S$2:$S$501,$S28)&gt;1),"Duplicate Row, ",""))</f>
        <v/>
      </c>
      <c r="AF28">
        <f>IF(COUNTA($A28:$U28)=0,"",$Y28&amp;$Z28&amp;$AA28&amp;$AB28&amp;$AC28)</f>
        <v/>
      </c>
      <c r="AG28">
        <f>IF($N28="","",LOWER(TRIM($N28)))</f>
        <v/>
      </c>
      <c r="AH28">
        <f>IF($A28="","",COUNTIFS($A$2:$A$501,$A28,$AI$2:$AI$501,1))</f>
        <v/>
      </c>
      <c r="AI28">
        <f>IF(COUNTA($A28:$U28)=0,"",--($AF28&lt;&gt;""))</f>
        <v/>
      </c>
      <c r="AJ28">
        <f>IF(COUNTA($A28:$U28)=0,"",--($AD28&lt;&gt;""))</f>
        <v/>
      </c>
    </row>
    <row r="29" ht="20" customHeight="1">
      <c r="A29" s="80" t="n"/>
      <c r="B29" s="80" t="n"/>
      <c r="C29" s="81" t="n"/>
      <c r="D29" s="81" t="n"/>
      <c r="E29" s="80" t="n"/>
      <c r="F29" s="81" t="n"/>
      <c r="G29" s="81" t="n"/>
      <c r="H29" s="81" t="n"/>
      <c r="I29" s="80" t="n"/>
      <c r="J29" s="80" t="n"/>
      <c r="K29" s="80" t="n"/>
      <c r="L29" s="82" t="n"/>
      <c r="M29" s="80" t="n"/>
      <c r="N29" s="80" t="n"/>
      <c r="O29" s="80" t="n"/>
      <c r="P29" s="82" t="n"/>
      <c r="Q29" s="82" t="n"/>
      <c r="R29" s="80" t="n"/>
      <c r="S29" s="80" t="n"/>
      <c r="T29" s="80" t="n"/>
      <c r="U29" s="83" t="n"/>
      <c r="V29">
        <f>IF($A29="","",IF($A29=$A28,$V28,IF($V28="",0,1-$V28)))</f>
        <v/>
      </c>
      <c r="W29">
        <f>IF($B29&lt;&gt;"",$B29,$A29)</f>
        <v/>
      </c>
      <c r="X29">
        <f>IF(COUNTA($A29:$U29)=0,"",IF(OR($B29&lt;&gt;"",$O29&lt;&gt;""),"Dependent","Employee"))</f>
        <v/>
      </c>
      <c r="Y29">
        <f>IF(COUNTA($A29:$U29)=0,"",IF($A29="","Employee SSN is required; ","")&amp;IF($C29="","First Name is required; ","")&amp;IF(LEN($C29&amp;"")&gt;19,"First Name exceeds 19 characters; ","")&amp;IF(AND($C29&lt;&gt;"",SUMPRODUCT(--(ROW($1:$19)&lt;=LEN($C29&amp;"")),--ISERROR(FIND(MID($C29&amp;"",ROW($1:$19),1),"ABCDEFGHIJKLMNOPQRSTUVWXYZabcdefghijklmnopqrstuvwxyz .,")))&gt;0),"First Name contains unsupported or encoded characters; use plain A-Z letters only; ","")&amp;IF($D29="","Last Name is required; ","")&amp;IF(LEN($D29&amp;"")&gt;26,"Last Name exceeds 26 characters; ","")&amp;IF(AND($D29&lt;&gt;"",SUMPRODUCT(--(ROW($1:$26)&lt;=LEN($D29&amp;"")),--ISERROR(FIND(MID($D29&amp;"",ROW($1:$26),1),"ABCDEFGHIJKLMNOPQRSTUVWXYZabcdefghijklmnopqrstuvwxyz .,")))&gt;0),"Last Name contains unsupported or encoded characters; use plain A-Z letters only; ","")&amp;IF(LEN($E29&amp;"")&gt;1,"Middle Initial may contain only one character; ","")&amp;IF(AND($E29&lt;&gt;"",SUMPRODUCT(--(ROW($1:$1)&lt;=LEN($E29&amp;"")),--ISERROR(FIND(MID($E29&amp;"",ROW($1:$1),1),"ABCDEFGHIJKLMNOPQRSTUVWXYZabcdefghijklmnopqrstuvwxyz .,")))&gt;0),"Middle Initial must be a plain A-Z letter; ","")&amp;IF($F29="","Address is required; ","")&amp;IF(LEN($F29&amp;"")&gt;75,"Address exceeds 75 characters; ","")&amp;IF(LEN($G29&amp;"")&gt;75,"Address 2 exceeds 75 characters; ","")&amp;IF($H29="","City is required; ","")&amp;IF(LEN($H29&amp;"")&gt;30,"City exceeds 30 characters; ","")&amp;IF($K29="","Country is required; ","")&amp;IF(AND($K29&lt;&gt;"",$K29&lt;&gt;"US",$K29&lt;&gt;"CA"),"Country must be US or CA; ","")&amp;IF(AND($K29="US",OR($I29="",LEN($I29&amp;"")&lt;&gt;2)),"Use a 2-letter state code; ","")&amp;IF($J29="","ZIP or postal code is required; ","")&amp;IF(AND($K29="US",$J29&lt;&gt;"",NOT(IFERROR(OR(AND(LEN($J29&amp;"")=5,ISNUMBER(--($J29&amp;""))),AND(LEN($J29&amp;"")=9,ISNUMBER(--($J29&amp;""))),AND(LEN($J29&amp;"")=10,MID($J29&amp;"",6,1)="-",ISNUMBER(--SUBSTITUTE($J29&amp;"","-","")))),FALSE))),"US ZIP must be 5 or 9 digits, with an optional ZIP+4 hyphen; ","")&amp;IF(AND($N29&lt;&gt;"",NOT(IFERROR(AND(ISNUMBER(SEARCH("@",$N29)),ISNUMBER(SEARCH(".",$N29,SEARCH("@",$N29)+2))),FALSE))),"Email format appears invalid; ","")&amp;IF(AND($O29&lt;&gt;"",$B29=""),"Dependent SSN is required for every dependent; ","")&amp;IF(AND($B29&lt;&gt;"",$O29=""),"Dependent Relationship is required when Dependent SSN is entered; ","")&amp;IF(AND($O29&lt;&gt;"",$O29&lt;&gt;"Spouse or Common Law Spouse",$O29&lt;&gt;"Domestic Partner",$O29&lt;&gt;"Child",$O29&lt;&gt;"Other",$O29&lt;&gt;"Estate",$O29&lt;&gt;"Unknown"),"Dependent Relationship must use one of the approved options; ",""))</f>
        <v/>
      </c>
      <c r="Z29">
        <f>IF(COUNTA($A29:$U29)=0,"",IF(AND($A29&lt;&gt;"",NOT(IFERROR(AND(LEN($A29&amp;"")=9,ISNUMBER(--($A29&amp;""))),FALSE))),"Employee SSN must contain exactly 9 digits; ","")&amp;IF(AND($A29&lt;&gt;"",OR($A29="123456789",$A29="987654321",$A29="012345678",$A29=REPT(LEFT($A29&amp;"",1),9))),"Employee SSN appears to be a placeholder; ","")&amp;IF(AND($B29&lt;&gt;"",NOT(IFERROR(AND(LEN($B29&amp;"")=9,ISNUMBER(--($B29&amp;""))),FALSE))),"Dependent SSN must contain exactly 9 digits; ","")&amp;IF(AND($B29&lt;&gt;"",OR($B29="123456789",$B29="987654321",$B29="012345678",$B29=REPT(LEFT($B29&amp;"",1),9))),"Dependent SSN appears to be a placeholder; ","")&amp;IF(AND($A29&lt;&gt;"",$B29&lt;&gt;"",$A29&amp;""=$B29&amp;""),"Dependent SSN cannot match Employee SSN; ","")&amp;IF(AND($W29&lt;&gt;"",OR(COUNTIFS($W$2:$W$501,$W29,$C$2:$C$501,"&lt;&gt;"&amp;$C29)&gt;0,COUNTIFS($W$2:$W$501,$W29,$D$2:$D$501,"&lt;&gt;"&amp;$D29)&gt;0,COUNTIFS($W$2:$W$501,$W29,$L$2:$L$501,"&lt;&gt;"&amp;$L29)&gt;0)),"The same SSN is associated with a different name or birthdate; ",""))</f>
        <v/>
      </c>
      <c r="AA29">
        <f>IF(COUNTA($A29:$U29)=0,"",IF(AND($A29&lt;&gt;"",$S29&lt;&gt;"",COUNTIFS($A$2:$A$501,$A29,$S$2:$S$501,$S29,$B$2:$B$501,"",$O$2:$O$501,"")=0),"Add an employee row for this household and plan; ","")&amp;IF(AND($X29="Dependent",COUNTIFS($A$2:$A29,$A29,$S$2:$S29,$S29,$B$2:$B29,"",$O$2:$O29,"")=0),"Place the employee row before dependent rows for this plan; ","")&amp;IF(AND($X29="Dependent",COUNTIFS($A$2:$A$501,$A29,$S$2:$S$501,$S29,$B$2:$B$501,"",$O$2:$O$501,"")&gt;0,IFERROR(OR($P29&lt;&gt;LOOKUP(2,1/(($A$2:$A$501=$A29)*($S$2:$S$501=$S29)*($B$2:$B$501="")*($O$2:$O$501="")),$P$2:$P$501),$Q29&lt;&gt;LOOKUP(2,1/(($A$2:$A$501=$A29)*($S$2:$S$501=$S29)*($B$2:$B$501="")*($O$2:$O$501="")),$Q$2:$Q$501),$R29&lt;&gt;LOOKUP(2,1/(($A$2:$A$501=$A29)*($S$2:$S$501=$S29)*($B$2:$B$501="")*($O$2:$O$501="")),$R$2:$R$501),$T29&lt;&gt;LOOKUP(2,1/(($A$2:$A$501=$A29)*($S$2:$S$501=$S29)*($B$2:$B$501="")*($O$2:$O$501="")),$T$2:$T$501),$U29&lt;&gt;LOOKUP(2,1/(($A$2:$A$501=$A29)*($S$2:$S$501=$S29)*($B$2:$B$501="")*($O$2:$O$501="")),$U$2:$U$501)),FALSE)),"Dependent row does not match the employee row for eligibility, status, coverage level, or funding; ",""))</f>
        <v/>
      </c>
      <c r="AB29">
        <f>IF(COUNTA($A29:$U29)=0,"",IF($L29="","Birthdate is required; ","")&amp;IF(AND($L29&lt;&gt;"",OR(NOT(ISNUMBER($L29)),$L29&lt;=DATE(1900,1,1),$L29&gt;TODAY())),"Birthdate must be an exact valid past date; ","")&amp;IF($P29="","Eligibility Date is required; ","")&amp;IF(AND($P29&lt;&gt;"",OR(NOT(ISNUMBER($P29)),$P29&lt;=DATE(1900,1,1))),"Eligibility Date must be a valid date; ","")&amp;IF(AND($R29="Terminated",$Q29=""),"Termination Date is required when Status is Terminated; ","")&amp;IF(AND($Q29&lt;&gt;"",OR(NOT(ISNUMBER($Q29)),$Q29&lt;=DATE(1900,1,1))),"Termination Date must be a valid date; ","")&amp;IF(AND(ISNUMBER($P29),ISNUMBER($Q29),$Q29&lt;$P29),"Termination Date cannot be before Eligibility Date; ","")&amp;IF($R29="","Status is required; ","")&amp;IF(AND($R29&lt;&gt;"",$R29&lt;&gt;"Active",$R29&lt;&gt;"Terminated"),"Status must be Active or Terminated; ","")&amp;IF(AND('START HERE'!$C$8="Terminations Only",$R29&lt;&gt;"Terminated"),"Terminations Only files must contain terminated records; ",""))</f>
        <v/>
      </c>
      <c r="AC29">
        <f>IF(COUNTA($A29:$U29)=0,"",IF($S29="","Plan Name is required; ","")&amp;IF($T29="","Benefit Coverage Level is required; ","")&amp;IF(AND($U29&lt;&gt;"",OR(NOT(ISNUMBER($U29)),$U29&lt;0)),"Plan Funding Amount must be a nonnegative number; ","")&amp;IF(AND($A29&lt;&gt;"",$S29&lt;&gt;"",COUNTIFS($A$2:$A$501,$A29,$B$2:$B$501,$B29,$S$2:$S$501,$S29)&gt;1),"Duplicate participant and plan row; ",""))</f>
        <v/>
      </c>
      <c r="AD29">
        <f>IF(COUNTA($A29:$U29)=0,"",IF(AND($X29="Employee",$M29="",$N29=""),"No employee phone or email provided; ","")&amp;IF(AND($R29="Active",$Q29&lt;&gt;""),"Active record includes a Termination Date; confirm this is intentional; ","")&amp;IF(AND($B29&lt;&gt;"",$B29&amp;""&lt;&gt;$A29&amp;"",COUNTIF($A$2:$A$501,$B29)&gt;0),"Dependent SSN also appears as an Employee SSN elsewhere; confirm dual-employee coverage is intentional; ","")&amp;IF(AND($B29&lt;&gt;"",COUNTIF($B$2:$B$501,$B29)&gt;COUNTIFS($A$2:$A$501,$A29,$B$2:$B$501,$B29)),"Dependent SSN appears under more than one employee; confirm duplicate family coverage is intentional; ","")&amp;IF(AND(ROW()&gt;2,$A29&lt;&gt;"",$A29&lt;&gt;$A28,COUNTIF($A$2:$A28,$A29)&gt;0),"This household appears in more than one section of the census; keep the family together; ","")&amp;IF(OR(AND($C29&lt;&gt;"",LEN($C29&amp;"")&lt;&gt;LEN(TRIM($C29&amp;""))),AND($D29&lt;&gt;"",LEN($D29&amp;"")&lt;&gt;LEN(TRIM($D29&amp;""))),AND($E29&lt;&gt;"",LEN($E29&amp;"")&lt;&gt;LEN(TRIM($E29&amp;""))),AND($F29&lt;&gt;"",LEN($F29&amp;"")&lt;&gt;LEN(TRIM($F29&amp;""))),AND($G29&lt;&gt;"",LEN($G29&amp;"")&lt;&gt;LEN(TRIM($G29&amp;""))),AND($H29&lt;&gt;"",LEN($H29&amp;"")&lt;&gt;LEN(TRIM($H29&amp;""))),AND($I29&lt;&gt;"",LEN($I29&amp;"")&lt;&gt;LEN(TRIM($I29&amp;""))),AND($J29&lt;&gt;"",LEN($J29&amp;"")&lt;&gt;LEN(TRIM($J29&amp;""))),AND($K29&lt;&gt;"",LEN($K29&amp;"")&lt;&gt;LEN(TRIM($K29&amp;""))),AND($M29&lt;&gt;"",LEN($M29&amp;"")&lt;&gt;LEN(TRIM($M29&amp;""))),AND($N29&lt;&gt;"",LEN($N29&amp;"")&lt;&gt;LEN(TRIM($N29&amp;""))),AND($O29&lt;&gt;"",LEN($O29&amp;"")&lt;&gt;LEN(TRIM($O29&amp;""))),AND($R29&lt;&gt;"",LEN($R29&amp;"")&lt;&gt;LEN(TRIM($R29&amp;""))),AND($S29&lt;&gt;"",LEN($S29&amp;"")&lt;&gt;LEN(TRIM($S29&amp;""))),AND($T29&lt;&gt;"",LEN($T29&amp;"")&lt;&gt;LEN(TRIM($T29&amp;"")))),"Remove leading or trailing spaces from text fields; ","")&amp;IF(OR(AND(LEN($C29)&gt;1,OR(EXACT($C29,UPPER($C29)),EXACT($C29,LOWER($C29)))),AND(LEN($D29)&gt;1,OR(EXACT($D29,UPPER($D29)),EXACT($D29,LOWER($D29)))),AND(LEN($H29)&gt;1,OR(EXACT($H29,UPPER($H29)),EXACT($H29,LOWER($H29))))),"Review capitalization in First Name, Last Name, or City; ","")&amp;IF(AND($N29&lt;&gt;"",NOT(EXACT($N29,LOWER($N29)))),"Email will be standardized to lowercase in the clean output; ","")&amp;IF(AND(OR('START HERE'!$C$8="Initial Enrollment",'START HERE'!$C$8="Open Enrollment"),$R29="Terminated"),"A terminated row is included in an initial or open enrollment file; confirm this is intentional; ",""))</f>
        <v/>
      </c>
      <c r="AE29">
        <f>IF(COUNTA($A29:$U29)=0,"",IF(OR($A29="",AND($A29&lt;&gt;"",NOT(IFERROR(AND(LEN($A29&amp;"")=9,ISNUMBER(--($A29&amp;""))),FALSE))),AND($A29&lt;&gt;"",OR($A29="123456789",$A29="987654321",$A29="012345678",$A29=REPT(LEFT($A29&amp;"",1),9)))),"Employee SSN, ","")&amp;IF(OR(AND($O29&lt;&gt;"",$B29=""),AND($B29&lt;&gt;"",OR(NOT(IFERROR(AND(LEN($B29&amp;"")=9,ISNUMBER(--($B29&amp;""))),FALSE)),$B29=$A29,$B29="123456789",$B29="987654321",$B29="012345678",$B29=REPT(LEFT($B29&amp;"",1),9)))),"Dependent SSN, ","")&amp;IF(OR($C29="",LEN($C29)&gt;19,AND($C29&lt;&gt;"",SUMPRODUCT(--(ROW($1:$19)&lt;=LEN($C29&amp;"")),--ISERROR(FIND(MID($C29&amp;"",ROW($1:$19),1),"ABCDEFGHIJKLMNOPQRSTUVWXYZabcdefghijklmnopqrstuvwxyz .,")))&gt;0)),"First Name, ","")&amp;IF(OR($D29="",LEN($D29)&gt;26,AND($D29&lt;&gt;"",SUMPRODUCT(--(ROW($1:$26)&lt;=LEN($D29&amp;"")),--ISERROR(FIND(MID($D29&amp;"",ROW($1:$26),1),"ABCDEFGHIJKLMNOPQRSTUVWXYZabcdefghijklmnopqrstuvwxyz .,")))&gt;0)),"Last Name, ","")&amp;IF(OR(LEN($E29)&gt;1,AND($E29&lt;&gt;"",SUMPRODUCT(--(ROW($1:$1)&lt;=LEN($E29&amp;"")),--ISERROR(FIND(MID($E29&amp;"",ROW($1:$1),1),"ABCDEFGHIJKLMNOPQRSTUVWXYZabcdefghijklmnopqrstuvwxyz .,")))&gt;0)),"Middle Initial, ","")&amp;IF(OR($F29="",LEN($F29)&gt;75),"Address, ","")&amp;IF(OR($H29="",LEN($H29)&gt;30),"City, ","")&amp;IF(AND($K29="US",OR($I29="",LEN($I29)&lt;&gt;2)),"State, ","")&amp;IF($J29="","ZIP, ","")&amp;IF(OR($K29="",AND($K29&lt;&gt;"US",$K29&lt;&gt;"CA")),"Country, ","")&amp;IF(OR($L29="",AND($L29&lt;&gt;"",OR(NOT(ISNUMBER($L29)),$L29&lt;=DATE(1900,1,1),$L29&gt;TODAY()))),"Birthdate, ","")&amp;IF(AND($N29&lt;&gt;"",NOT(IFERROR(AND(ISNUMBER(SEARCH("@",$N29)),ISNUMBER(SEARCH(".",$N29,SEARCH("@",$N29)+2))),FALSE))),"Email, ","")&amp;IF(OR(AND($B29&lt;&gt;"",$O29=""),AND($O29&lt;&gt;"",$O29&lt;&gt;"Spouse or Common Law Spouse",$O29&lt;&gt;"Domestic Partner",$O29&lt;&gt;"Child",$O29&lt;&gt;"Other",$O29&lt;&gt;"Estate",$O29&lt;&gt;"Unknown")),"Dependent Relationship, ","")&amp;IF($AA29&lt;&gt;"","Household, ","")&amp;IF(OR($P29="",AND($P29&lt;&gt;"",OR(NOT(ISNUMBER($P29)),$P29&lt;=DATE(1900,1,1)))),"Eligibility Date, ","")&amp;IF(OR(AND($R29="Terminated",$Q29=""),AND($Q29&lt;&gt;"",OR(NOT(ISNUMBER($Q29)),$Q29&lt;=DATE(1900,1,1))),AND(ISNUMBER($P29),ISNUMBER($Q29),$Q29&lt;$P29)),"Termination Date, ","")&amp;IF(OR($R29="",AND($R29&lt;&gt;"Active",$R29&lt;&gt;"Terminated"),AND('START HERE'!$C$8="Terminations Only",$R29&lt;&gt;"Terminated")),"Status, ","")&amp;IF($S29="","Plan Name, ","")&amp;IF($T29="","Coverage Level, ","")&amp;IF(AND($U29&lt;&gt;"",OR(NOT(ISNUMBER($U29)),$U29&lt;0)),"Funding, ","")&amp;IF(AND($A29&lt;&gt;"",$S29&lt;&gt;"",COUNTIFS($A$2:$A$501,$A29,$B$2:$B$501,$B29,$S$2:$S$501,$S29)&gt;1),"Duplicate Row, ",""))</f>
        <v/>
      </c>
      <c r="AF29">
        <f>IF(COUNTA($A29:$U29)=0,"",$Y29&amp;$Z29&amp;$AA29&amp;$AB29&amp;$AC29)</f>
        <v/>
      </c>
      <c r="AG29">
        <f>IF($N29="","",LOWER(TRIM($N29)))</f>
        <v/>
      </c>
      <c r="AH29">
        <f>IF($A29="","",COUNTIFS($A$2:$A$501,$A29,$AI$2:$AI$501,1))</f>
        <v/>
      </c>
      <c r="AI29">
        <f>IF(COUNTA($A29:$U29)=0,"",--($AF29&lt;&gt;""))</f>
        <v/>
      </c>
      <c r="AJ29">
        <f>IF(COUNTA($A29:$U29)=0,"",--($AD29&lt;&gt;""))</f>
        <v/>
      </c>
    </row>
    <row r="30" ht="20" customHeight="1">
      <c r="A30" s="80" t="n"/>
      <c r="B30" s="80" t="n"/>
      <c r="C30" s="81" t="n"/>
      <c r="D30" s="81" t="n"/>
      <c r="E30" s="80" t="n"/>
      <c r="F30" s="81" t="n"/>
      <c r="G30" s="81" t="n"/>
      <c r="H30" s="81" t="n"/>
      <c r="I30" s="80" t="n"/>
      <c r="J30" s="80" t="n"/>
      <c r="K30" s="80" t="n"/>
      <c r="L30" s="82" t="n"/>
      <c r="M30" s="80" t="n"/>
      <c r="N30" s="80" t="n"/>
      <c r="O30" s="80" t="n"/>
      <c r="P30" s="82" t="n"/>
      <c r="Q30" s="82" t="n"/>
      <c r="R30" s="80" t="n"/>
      <c r="S30" s="80" t="n"/>
      <c r="T30" s="80" t="n"/>
      <c r="U30" s="83" t="n"/>
      <c r="V30">
        <f>IF($A30="","",IF($A30=$A29,$V29,IF($V29="",0,1-$V29)))</f>
        <v/>
      </c>
      <c r="W30">
        <f>IF($B30&lt;&gt;"",$B30,$A30)</f>
        <v/>
      </c>
      <c r="X30">
        <f>IF(COUNTA($A30:$U30)=0,"",IF(OR($B30&lt;&gt;"",$O30&lt;&gt;""),"Dependent","Employee"))</f>
        <v/>
      </c>
      <c r="Y30">
        <f>IF(COUNTA($A30:$U30)=0,"",IF($A30="","Employee SSN is required; ","")&amp;IF($C30="","First Name is required; ","")&amp;IF(LEN($C30&amp;"")&gt;19,"First Name exceeds 19 characters; ","")&amp;IF(AND($C30&lt;&gt;"",SUMPRODUCT(--(ROW($1:$19)&lt;=LEN($C30&amp;"")),--ISERROR(FIND(MID($C30&amp;"",ROW($1:$19),1),"ABCDEFGHIJKLMNOPQRSTUVWXYZabcdefghijklmnopqrstuvwxyz .,")))&gt;0),"First Name contains unsupported or encoded characters; use plain A-Z letters only; ","")&amp;IF($D30="","Last Name is required; ","")&amp;IF(LEN($D30&amp;"")&gt;26,"Last Name exceeds 26 characters; ","")&amp;IF(AND($D30&lt;&gt;"",SUMPRODUCT(--(ROW($1:$26)&lt;=LEN($D30&amp;"")),--ISERROR(FIND(MID($D30&amp;"",ROW($1:$26),1),"ABCDEFGHIJKLMNOPQRSTUVWXYZabcdefghijklmnopqrstuvwxyz .,")))&gt;0),"Last Name contains unsupported or encoded characters; use plain A-Z letters only; ","")&amp;IF(LEN($E30&amp;"")&gt;1,"Middle Initial may contain only one character; ","")&amp;IF(AND($E30&lt;&gt;"",SUMPRODUCT(--(ROW($1:$1)&lt;=LEN($E30&amp;"")),--ISERROR(FIND(MID($E30&amp;"",ROW($1:$1),1),"ABCDEFGHIJKLMNOPQRSTUVWXYZabcdefghijklmnopqrstuvwxyz .,")))&gt;0),"Middle Initial must be a plain A-Z letter; ","")&amp;IF($F30="","Address is required; ","")&amp;IF(LEN($F30&amp;"")&gt;75,"Address exceeds 75 characters; ","")&amp;IF(LEN($G30&amp;"")&gt;75,"Address 2 exceeds 75 characters; ","")&amp;IF($H30="","City is required; ","")&amp;IF(LEN($H30&amp;"")&gt;30,"City exceeds 30 characters; ","")&amp;IF($K30="","Country is required; ","")&amp;IF(AND($K30&lt;&gt;"",$K30&lt;&gt;"US",$K30&lt;&gt;"CA"),"Country must be US or CA; ","")&amp;IF(AND($K30="US",OR($I30="",LEN($I30&amp;"")&lt;&gt;2)),"Use a 2-letter state code; ","")&amp;IF($J30="","ZIP or postal code is required; ","")&amp;IF(AND($K30="US",$J30&lt;&gt;"",NOT(IFERROR(OR(AND(LEN($J30&amp;"")=5,ISNUMBER(--($J30&amp;""))),AND(LEN($J30&amp;"")=9,ISNUMBER(--($J30&amp;""))),AND(LEN($J30&amp;"")=10,MID($J30&amp;"",6,1)="-",ISNUMBER(--SUBSTITUTE($J30&amp;"","-","")))),FALSE))),"US ZIP must be 5 or 9 digits, with an optional ZIP+4 hyphen; ","")&amp;IF(AND($N30&lt;&gt;"",NOT(IFERROR(AND(ISNUMBER(SEARCH("@",$N30)),ISNUMBER(SEARCH(".",$N30,SEARCH("@",$N30)+2))),FALSE))),"Email format appears invalid; ","")&amp;IF(AND($O30&lt;&gt;"",$B30=""),"Dependent SSN is required for every dependent; ","")&amp;IF(AND($B30&lt;&gt;"",$O30=""),"Dependent Relationship is required when Dependent SSN is entered; ","")&amp;IF(AND($O30&lt;&gt;"",$O30&lt;&gt;"Spouse or Common Law Spouse",$O30&lt;&gt;"Domestic Partner",$O30&lt;&gt;"Child",$O30&lt;&gt;"Other",$O30&lt;&gt;"Estate",$O30&lt;&gt;"Unknown"),"Dependent Relationship must use one of the approved options; ",""))</f>
        <v/>
      </c>
      <c r="Z30">
        <f>IF(COUNTA($A30:$U30)=0,"",IF(AND($A30&lt;&gt;"",NOT(IFERROR(AND(LEN($A30&amp;"")=9,ISNUMBER(--($A30&amp;""))),FALSE))),"Employee SSN must contain exactly 9 digits; ","")&amp;IF(AND($A30&lt;&gt;"",OR($A30="123456789",$A30="987654321",$A30="012345678",$A30=REPT(LEFT($A30&amp;"",1),9))),"Employee SSN appears to be a placeholder; ","")&amp;IF(AND($B30&lt;&gt;"",NOT(IFERROR(AND(LEN($B30&amp;"")=9,ISNUMBER(--($B30&amp;""))),FALSE))),"Dependent SSN must contain exactly 9 digits; ","")&amp;IF(AND($B30&lt;&gt;"",OR($B30="123456789",$B30="987654321",$B30="012345678",$B30=REPT(LEFT($B30&amp;"",1),9))),"Dependent SSN appears to be a placeholder; ","")&amp;IF(AND($A30&lt;&gt;"",$B30&lt;&gt;"",$A30&amp;""=$B30&amp;""),"Dependent SSN cannot match Employee SSN; ","")&amp;IF(AND($W30&lt;&gt;"",OR(COUNTIFS($W$2:$W$501,$W30,$C$2:$C$501,"&lt;&gt;"&amp;$C30)&gt;0,COUNTIFS($W$2:$W$501,$W30,$D$2:$D$501,"&lt;&gt;"&amp;$D30)&gt;0,COUNTIFS($W$2:$W$501,$W30,$L$2:$L$501,"&lt;&gt;"&amp;$L30)&gt;0)),"The same SSN is associated with a different name or birthdate; ",""))</f>
        <v/>
      </c>
      <c r="AA30">
        <f>IF(COUNTA($A30:$U30)=0,"",IF(AND($A30&lt;&gt;"",$S30&lt;&gt;"",COUNTIFS($A$2:$A$501,$A30,$S$2:$S$501,$S30,$B$2:$B$501,"",$O$2:$O$501,"")=0),"Add an employee row for this household and plan; ","")&amp;IF(AND($X30="Dependent",COUNTIFS($A$2:$A30,$A30,$S$2:$S30,$S30,$B$2:$B30,"",$O$2:$O30,"")=0),"Place the employee row before dependent rows for this plan; ","")&amp;IF(AND($X30="Dependent",COUNTIFS($A$2:$A$501,$A30,$S$2:$S$501,$S30,$B$2:$B$501,"",$O$2:$O$501,"")&gt;0,IFERROR(OR($P30&lt;&gt;LOOKUP(2,1/(($A$2:$A$501=$A30)*($S$2:$S$501=$S30)*($B$2:$B$501="")*($O$2:$O$501="")),$P$2:$P$501),$Q30&lt;&gt;LOOKUP(2,1/(($A$2:$A$501=$A30)*($S$2:$S$501=$S30)*($B$2:$B$501="")*($O$2:$O$501="")),$Q$2:$Q$501),$R30&lt;&gt;LOOKUP(2,1/(($A$2:$A$501=$A30)*($S$2:$S$501=$S30)*($B$2:$B$501="")*($O$2:$O$501="")),$R$2:$R$501),$T30&lt;&gt;LOOKUP(2,1/(($A$2:$A$501=$A30)*($S$2:$S$501=$S30)*($B$2:$B$501="")*($O$2:$O$501="")),$T$2:$T$501),$U30&lt;&gt;LOOKUP(2,1/(($A$2:$A$501=$A30)*($S$2:$S$501=$S30)*($B$2:$B$501="")*($O$2:$O$501="")),$U$2:$U$501)),FALSE)),"Dependent row does not match the employee row for eligibility, status, coverage level, or funding; ",""))</f>
        <v/>
      </c>
      <c r="AB30">
        <f>IF(COUNTA($A30:$U30)=0,"",IF($L30="","Birthdate is required; ","")&amp;IF(AND($L30&lt;&gt;"",OR(NOT(ISNUMBER($L30)),$L30&lt;=DATE(1900,1,1),$L30&gt;TODAY())),"Birthdate must be an exact valid past date; ","")&amp;IF($P30="","Eligibility Date is required; ","")&amp;IF(AND($P30&lt;&gt;"",OR(NOT(ISNUMBER($P30)),$P30&lt;=DATE(1900,1,1))),"Eligibility Date must be a valid date; ","")&amp;IF(AND($R30="Terminated",$Q30=""),"Termination Date is required when Status is Terminated; ","")&amp;IF(AND($Q30&lt;&gt;"",OR(NOT(ISNUMBER($Q30)),$Q30&lt;=DATE(1900,1,1))),"Termination Date must be a valid date; ","")&amp;IF(AND(ISNUMBER($P30),ISNUMBER($Q30),$Q30&lt;$P30),"Termination Date cannot be before Eligibility Date; ","")&amp;IF($R30="","Status is required; ","")&amp;IF(AND($R30&lt;&gt;"",$R30&lt;&gt;"Active",$R30&lt;&gt;"Terminated"),"Status must be Active or Terminated; ","")&amp;IF(AND('START HERE'!$C$8="Terminations Only",$R30&lt;&gt;"Terminated"),"Terminations Only files must contain terminated records; ",""))</f>
        <v/>
      </c>
      <c r="AC30">
        <f>IF(COUNTA($A30:$U30)=0,"",IF($S30="","Plan Name is required; ","")&amp;IF($T30="","Benefit Coverage Level is required; ","")&amp;IF(AND($U30&lt;&gt;"",OR(NOT(ISNUMBER($U30)),$U30&lt;0)),"Plan Funding Amount must be a nonnegative number; ","")&amp;IF(AND($A30&lt;&gt;"",$S30&lt;&gt;"",COUNTIFS($A$2:$A$501,$A30,$B$2:$B$501,$B30,$S$2:$S$501,$S30)&gt;1),"Duplicate participant and plan row; ",""))</f>
        <v/>
      </c>
      <c r="AD30">
        <f>IF(COUNTA($A30:$U30)=0,"",IF(AND($X30="Employee",$M30="",$N30=""),"No employee phone or email provided; ","")&amp;IF(AND($R30="Active",$Q30&lt;&gt;""),"Active record includes a Termination Date; confirm this is intentional; ","")&amp;IF(AND($B30&lt;&gt;"",$B30&amp;""&lt;&gt;$A30&amp;"",COUNTIF($A$2:$A$501,$B30)&gt;0),"Dependent SSN also appears as an Employee SSN elsewhere; confirm dual-employee coverage is intentional; ","")&amp;IF(AND($B30&lt;&gt;"",COUNTIF($B$2:$B$501,$B30)&gt;COUNTIFS($A$2:$A$501,$A30,$B$2:$B$501,$B30)),"Dependent SSN appears under more than one employee; confirm duplicate family coverage is intentional; ","")&amp;IF(AND(ROW()&gt;2,$A30&lt;&gt;"",$A30&lt;&gt;$A29,COUNTIF($A$2:$A29,$A30)&gt;0),"This household appears in more than one section of the census; keep the family together; ","")&amp;IF(OR(AND($C30&lt;&gt;"",LEN($C30&amp;"")&lt;&gt;LEN(TRIM($C30&amp;""))),AND($D30&lt;&gt;"",LEN($D30&amp;"")&lt;&gt;LEN(TRIM($D30&amp;""))),AND($E30&lt;&gt;"",LEN($E30&amp;"")&lt;&gt;LEN(TRIM($E30&amp;""))),AND($F30&lt;&gt;"",LEN($F30&amp;"")&lt;&gt;LEN(TRIM($F30&amp;""))),AND($G30&lt;&gt;"",LEN($G30&amp;"")&lt;&gt;LEN(TRIM($G30&amp;""))),AND($H30&lt;&gt;"",LEN($H30&amp;"")&lt;&gt;LEN(TRIM($H30&amp;""))),AND($I30&lt;&gt;"",LEN($I30&amp;"")&lt;&gt;LEN(TRIM($I30&amp;""))),AND($J30&lt;&gt;"",LEN($J30&amp;"")&lt;&gt;LEN(TRIM($J30&amp;""))),AND($K30&lt;&gt;"",LEN($K30&amp;"")&lt;&gt;LEN(TRIM($K30&amp;""))),AND($M30&lt;&gt;"",LEN($M30&amp;"")&lt;&gt;LEN(TRIM($M30&amp;""))),AND($N30&lt;&gt;"",LEN($N30&amp;"")&lt;&gt;LEN(TRIM($N30&amp;""))),AND($O30&lt;&gt;"",LEN($O30&amp;"")&lt;&gt;LEN(TRIM($O30&amp;""))),AND($R30&lt;&gt;"",LEN($R30&amp;"")&lt;&gt;LEN(TRIM($R30&amp;""))),AND($S30&lt;&gt;"",LEN($S30&amp;"")&lt;&gt;LEN(TRIM($S30&amp;""))),AND($T30&lt;&gt;"",LEN($T30&amp;"")&lt;&gt;LEN(TRIM($T30&amp;"")))),"Remove leading or trailing spaces from text fields; ","")&amp;IF(OR(AND(LEN($C30)&gt;1,OR(EXACT($C30,UPPER($C30)),EXACT($C30,LOWER($C30)))),AND(LEN($D30)&gt;1,OR(EXACT($D30,UPPER($D30)),EXACT($D30,LOWER($D30)))),AND(LEN($H30)&gt;1,OR(EXACT($H30,UPPER($H30)),EXACT($H30,LOWER($H30))))),"Review capitalization in First Name, Last Name, or City; ","")&amp;IF(AND($N30&lt;&gt;"",NOT(EXACT($N30,LOWER($N30)))),"Email will be standardized to lowercase in the clean output; ","")&amp;IF(AND(OR('START HERE'!$C$8="Initial Enrollment",'START HERE'!$C$8="Open Enrollment"),$R30="Terminated"),"A terminated row is included in an initial or open enrollment file; confirm this is intentional; ",""))</f>
        <v/>
      </c>
      <c r="AE30">
        <f>IF(COUNTA($A30:$U30)=0,"",IF(OR($A30="",AND($A30&lt;&gt;"",NOT(IFERROR(AND(LEN($A30&amp;"")=9,ISNUMBER(--($A30&amp;""))),FALSE))),AND($A30&lt;&gt;"",OR($A30="123456789",$A30="987654321",$A30="012345678",$A30=REPT(LEFT($A30&amp;"",1),9)))),"Employee SSN, ","")&amp;IF(OR(AND($O30&lt;&gt;"",$B30=""),AND($B30&lt;&gt;"",OR(NOT(IFERROR(AND(LEN($B30&amp;"")=9,ISNUMBER(--($B30&amp;""))),FALSE)),$B30=$A30,$B30="123456789",$B30="987654321",$B30="012345678",$B30=REPT(LEFT($B30&amp;"",1),9)))),"Dependent SSN, ","")&amp;IF(OR($C30="",LEN($C30)&gt;19,AND($C30&lt;&gt;"",SUMPRODUCT(--(ROW($1:$19)&lt;=LEN($C30&amp;"")),--ISERROR(FIND(MID($C30&amp;"",ROW($1:$19),1),"ABCDEFGHIJKLMNOPQRSTUVWXYZabcdefghijklmnopqrstuvwxyz .,")))&gt;0)),"First Name, ","")&amp;IF(OR($D30="",LEN($D30)&gt;26,AND($D30&lt;&gt;"",SUMPRODUCT(--(ROW($1:$26)&lt;=LEN($D30&amp;"")),--ISERROR(FIND(MID($D30&amp;"",ROW($1:$26),1),"ABCDEFGHIJKLMNOPQRSTUVWXYZabcdefghijklmnopqrstuvwxyz .,")))&gt;0)),"Last Name, ","")&amp;IF(OR(LEN($E30)&gt;1,AND($E30&lt;&gt;"",SUMPRODUCT(--(ROW($1:$1)&lt;=LEN($E30&amp;"")),--ISERROR(FIND(MID($E30&amp;"",ROW($1:$1),1),"ABCDEFGHIJKLMNOPQRSTUVWXYZabcdefghijklmnopqrstuvwxyz .,")))&gt;0)),"Middle Initial, ","")&amp;IF(OR($F30="",LEN($F30)&gt;75),"Address, ","")&amp;IF(OR($H30="",LEN($H30)&gt;30),"City, ","")&amp;IF(AND($K30="US",OR($I30="",LEN($I30)&lt;&gt;2)),"State, ","")&amp;IF($J30="","ZIP, ","")&amp;IF(OR($K30="",AND($K30&lt;&gt;"US",$K30&lt;&gt;"CA")),"Country, ","")&amp;IF(OR($L30="",AND($L30&lt;&gt;"",OR(NOT(ISNUMBER($L30)),$L30&lt;=DATE(1900,1,1),$L30&gt;TODAY()))),"Birthdate, ","")&amp;IF(AND($N30&lt;&gt;"",NOT(IFERROR(AND(ISNUMBER(SEARCH("@",$N30)),ISNUMBER(SEARCH(".",$N30,SEARCH("@",$N30)+2))),FALSE))),"Email, ","")&amp;IF(OR(AND($B30&lt;&gt;"",$O30=""),AND($O30&lt;&gt;"",$O30&lt;&gt;"Spouse or Common Law Spouse",$O30&lt;&gt;"Domestic Partner",$O30&lt;&gt;"Child",$O30&lt;&gt;"Other",$O30&lt;&gt;"Estate",$O30&lt;&gt;"Unknown")),"Dependent Relationship, ","")&amp;IF($AA30&lt;&gt;"","Household, ","")&amp;IF(OR($P30="",AND($P30&lt;&gt;"",OR(NOT(ISNUMBER($P30)),$P30&lt;=DATE(1900,1,1)))),"Eligibility Date, ","")&amp;IF(OR(AND($R30="Terminated",$Q30=""),AND($Q30&lt;&gt;"",OR(NOT(ISNUMBER($Q30)),$Q30&lt;=DATE(1900,1,1))),AND(ISNUMBER($P30),ISNUMBER($Q30),$Q30&lt;$P30)),"Termination Date, ","")&amp;IF(OR($R30="",AND($R30&lt;&gt;"Active",$R30&lt;&gt;"Terminated"),AND('START HERE'!$C$8="Terminations Only",$R30&lt;&gt;"Terminated")),"Status, ","")&amp;IF($S30="","Plan Name, ","")&amp;IF($T30="","Coverage Level, ","")&amp;IF(AND($U30&lt;&gt;"",OR(NOT(ISNUMBER($U30)),$U30&lt;0)),"Funding, ","")&amp;IF(AND($A30&lt;&gt;"",$S30&lt;&gt;"",COUNTIFS($A$2:$A$501,$A30,$B$2:$B$501,$B30,$S$2:$S$501,$S30)&gt;1),"Duplicate Row, ",""))</f>
        <v/>
      </c>
      <c r="AF30">
        <f>IF(COUNTA($A30:$U30)=0,"",$Y30&amp;$Z30&amp;$AA30&amp;$AB30&amp;$AC30)</f>
        <v/>
      </c>
      <c r="AG30">
        <f>IF($N30="","",LOWER(TRIM($N30)))</f>
        <v/>
      </c>
      <c r="AH30">
        <f>IF($A30="","",COUNTIFS($A$2:$A$501,$A30,$AI$2:$AI$501,1))</f>
        <v/>
      </c>
      <c r="AI30">
        <f>IF(COUNTA($A30:$U30)=0,"",--($AF30&lt;&gt;""))</f>
        <v/>
      </c>
      <c r="AJ30">
        <f>IF(COUNTA($A30:$U30)=0,"",--($AD30&lt;&gt;""))</f>
        <v/>
      </c>
    </row>
    <row r="31" ht="20" customHeight="1">
      <c r="A31" s="80" t="n"/>
      <c r="B31" s="80" t="n"/>
      <c r="C31" s="81" t="n"/>
      <c r="D31" s="81" t="n"/>
      <c r="E31" s="80" t="n"/>
      <c r="F31" s="81" t="n"/>
      <c r="G31" s="81" t="n"/>
      <c r="H31" s="81" t="n"/>
      <c r="I31" s="80" t="n"/>
      <c r="J31" s="80" t="n"/>
      <c r="K31" s="80" t="n"/>
      <c r="L31" s="82" t="n"/>
      <c r="M31" s="80" t="n"/>
      <c r="N31" s="80" t="n"/>
      <c r="O31" s="80" t="n"/>
      <c r="P31" s="82" t="n"/>
      <c r="Q31" s="82" t="n"/>
      <c r="R31" s="80" t="n"/>
      <c r="S31" s="80" t="n"/>
      <c r="T31" s="80" t="n"/>
      <c r="U31" s="83" t="n"/>
      <c r="V31">
        <f>IF($A31="","",IF($A31=$A30,$V30,IF($V30="",0,1-$V30)))</f>
        <v/>
      </c>
      <c r="W31">
        <f>IF($B31&lt;&gt;"",$B31,$A31)</f>
        <v/>
      </c>
      <c r="X31">
        <f>IF(COUNTA($A31:$U31)=0,"",IF(OR($B31&lt;&gt;"",$O31&lt;&gt;""),"Dependent","Employee"))</f>
        <v/>
      </c>
      <c r="Y31">
        <f>IF(COUNTA($A31:$U31)=0,"",IF($A31="","Employee SSN is required; ","")&amp;IF($C31="","First Name is required; ","")&amp;IF(LEN($C31&amp;"")&gt;19,"First Name exceeds 19 characters; ","")&amp;IF(AND($C31&lt;&gt;"",SUMPRODUCT(--(ROW($1:$19)&lt;=LEN($C31&amp;"")),--ISERROR(FIND(MID($C31&amp;"",ROW($1:$19),1),"ABCDEFGHIJKLMNOPQRSTUVWXYZabcdefghijklmnopqrstuvwxyz .,")))&gt;0),"First Name contains unsupported or encoded characters; use plain A-Z letters only; ","")&amp;IF($D31="","Last Name is required; ","")&amp;IF(LEN($D31&amp;"")&gt;26,"Last Name exceeds 26 characters; ","")&amp;IF(AND($D31&lt;&gt;"",SUMPRODUCT(--(ROW($1:$26)&lt;=LEN($D31&amp;"")),--ISERROR(FIND(MID($D31&amp;"",ROW($1:$26),1),"ABCDEFGHIJKLMNOPQRSTUVWXYZabcdefghijklmnopqrstuvwxyz .,")))&gt;0),"Last Name contains unsupported or encoded characters; use plain A-Z letters only; ","")&amp;IF(LEN($E31&amp;"")&gt;1,"Middle Initial may contain only one character; ","")&amp;IF(AND($E31&lt;&gt;"",SUMPRODUCT(--(ROW($1:$1)&lt;=LEN($E31&amp;"")),--ISERROR(FIND(MID($E31&amp;"",ROW($1:$1),1),"ABCDEFGHIJKLMNOPQRSTUVWXYZabcdefghijklmnopqrstuvwxyz .,")))&gt;0),"Middle Initial must be a plain A-Z letter; ","")&amp;IF($F31="","Address is required; ","")&amp;IF(LEN($F31&amp;"")&gt;75,"Address exceeds 75 characters; ","")&amp;IF(LEN($G31&amp;"")&gt;75,"Address 2 exceeds 75 characters; ","")&amp;IF($H31="","City is required; ","")&amp;IF(LEN($H31&amp;"")&gt;30,"City exceeds 30 characters; ","")&amp;IF($K31="","Country is required; ","")&amp;IF(AND($K31&lt;&gt;"",$K31&lt;&gt;"US",$K31&lt;&gt;"CA"),"Country must be US or CA; ","")&amp;IF(AND($K31="US",OR($I31="",LEN($I31&amp;"")&lt;&gt;2)),"Use a 2-letter state code; ","")&amp;IF($J31="","ZIP or postal code is required; ","")&amp;IF(AND($K31="US",$J31&lt;&gt;"",NOT(IFERROR(OR(AND(LEN($J31&amp;"")=5,ISNUMBER(--($J31&amp;""))),AND(LEN($J31&amp;"")=9,ISNUMBER(--($J31&amp;""))),AND(LEN($J31&amp;"")=10,MID($J31&amp;"",6,1)="-",ISNUMBER(--SUBSTITUTE($J31&amp;"","-","")))),FALSE))),"US ZIP must be 5 or 9 digits, with an optional ZIP+4 hyphen; ","")&amp;IF(AND($N31&lt;&gt;"",NOT(IFERROR(AND(ISNUMBER(SEARCH("@",$N31)),ISNUMBER(SEARCH(".",$N31,SEARCH("@",$N31)+2))),FALSE))),"Email format appears invalid; ","")&amp;IF(AND($O31&lt;&gt;"",$B31=""),"Dependent SSN is required for every dependent; ","")&amp;IF(AND($B31&lt;&gt;"",$O31=""),"Dependent Relationship is required when Dependent SSN is entered; ","")&amp;IF(AND($O31&lt;&gt;"",$O31&lt;&gt;"Spouse or Common Law Spouse",$O31&lt;&gt;"Domestic Partner",$O31&lt;&gt;"Child",$O31&lt;&gt;"Other",$O31&lt;&gt;"Estate",$O31&lt;&gt;"Unknown"),"Dependent Relationship must use one of the approved options; ",""))</f>
        <v/>
      </c>
      <c r="Z31">
        <f>IF(COUNTA($A31:$U31)=0,"",IF(AND($A31&lt;&gt;"",NOT(IFERROR(AND(LEN($A31&amp;"")=9,ISNUMBER(--($A31&amp;""))),FALSE))),"Employee SSN must contain exactly 9 digits; ","")&amp;IF(AND($A31&lt;&gt;"",OR($A31="123456789",$A31="987654321",$A31="012345678",$A31=REPT(LEFT($A31&amp;"",1),9))),"Employee SSN appears to be a placeholder; ","")&amp;IF(AND($B31&lt;&gt;"",NOT(IFERROR(AND(LEN($B31&amp;"")=9,ISNUMBER(--($B31&amp;""))),FALSE))),"Dependent SSN must contain exactly 9 digits; ","")&amp;IF(AND($B31&lt;&gt;"",OR($B31="123456789",$B31="987654321",$B31="012345678",$B31=REPT(LEFT($B31&amp;"",1),9))),"Dependent SSN appears to be a placeholder; ","")&amp;IF(AND($A31&lt;&gt;"",$B31&lt;&gt;"",$A31&amp;""=$B31&amp;""),"Dependent SSN cannot match Employee SSN; ","")&amp;IF(AND($W31&lt;&gt;"",OR(COUNTIFS($W$2:$W$501,$W31,$C$2:$C$501,"&lt;&gt;"&amp;$C31)&gt;0,COUNTIFS($W$2:$W$501,$W31,$D$2:$D$501,"&lt;&gt;"&amp;$D31)&gt;0,COUNTIFS($W$2:$W$501,$W31,$L$2:$L$501,"&lt;&gt;"&amp;$L31)&gt;0)),"The same SSN is associated with a different name or birthdate; ",""))</f>
        <v/>
      </c>
      <c r="AA31">
        <f>IF(COUNTA($A31:$U31)=0,"",IF(AND($A31&lt;&gt;"",$S31&lt;&gt;"",COUNTIFS($A$2:$A$501,$A31,$S$2:$S$501,$S31,$B$2:$B$501,"",$O$2:$O$501,"")=0),"Add an employee row for this household and plan; ","")&amp;IF(AND($X31="Dependent",COUNTIFS($A$2:$A31,$A31,$S$2:$S31,$S31,$B$2:$B31,"",$O$2:$O31,"")=0),"Place the employee row before dependent rows for this plan; ","")&amp;IF(AND($X31="Dependent",COUNTIFS($A$2:$A$501,$A31,$S$2:$S$501,$S31,$B$2:$B$501,"",$O$2:$O$501,"")&gt;0,IFERROR(OR($P31&lt;&gt;LOOKUP(2,1/(($A$2:$A$501=$A31)*($S$2:$S$501=$S31)*($B$2:$B$501="")*($O$2:$O$501="")),$P$2:$P$501),$Q31&lt;&gt;LOOKUP(2,1/(($A$2:$A$501=$A31)*($S$2:$S$501=$S31)*($B$2:$B$501="")*($O$2:$O$501="")),$Q$2:$Q$501),$R31&lt;&gt;LOOKUP(2,1/(($A$2:$A$501=$A31)*($S$2:$S$501=$S31)*($B$2:$B$501="")*($O$2:$O$501="")),$R$2:$R$501),$T31&lt;&gt;LOOKUP(2,1/(($A$2:$A$501=$A31)*($S$2:$S$501=$S31)*($B$2:$B$501="")*($O$2:$O$501="")),$T$2:$T$501),$U31&lt;&gt;LOOKUP(2,1/(($A$2:$A$501=$A31)*($S$2:$S$501=$S31)*($B$2:$B$501="")*($O$2:$O$501="")),$U$2:$U$501)),FALSE)),"Dependent row does not match the employee row for eligibility, status, coverage level, or funding; ",""))</f>
        <v/>
      </c>
      <c r="AB31">
        <f>IF(COUNTA($A31:$U31)=0,"",IF($L31="","Birthdate is required; ","")&amp;IF(AND($L31&lt;&gt;"",OR(NOT(ISNUMBER($L31)),$L31&lt;=DATE(1900,1,1),$L31&gt;TODAY())),"Birthdate must be an exact valid past date; ","")&amp;IF($P31="","Eligibility Date is required; ","")&amp;IF(AND($P31&lt;&gt;"",OR(NOT(ISNUMBER($P31)),$P31&lt;=DATE(1900,1,1))),"Eligibility Date must be a valid date; ","")&amp;IF(AND($R31="Terminated",$Q31=""),"Termination Date is required when Status is Terminated; ","")&amp;IF(AND($Q31&lt;&gt;"",OR(NOT(ISNUMBER($Q31)),$Q31&lt;=DATE(1900,1,1))),"Termination Date must be a valid date; ","")&amp;IF(AND(ISNUMBER($P31),ISNUMBER($Q31),$Q31&lt;$P31),"Termination Date cannot be before Eligibility Date; ","")&amp;IF($R31="","Status is required; ","")&amp;IF(AND($R31&lt;&gt;"",$R31&lt;&gt;"Active",$R31&lt;&gt;"Terminated"),"Status must be Active or Terminated; ","")&amp;IF(AND('START HERE'!$C$8="Terminations Only",$R31&lt;&gt;"Terminated"),"Terminations Only files must contain terminated records; ",""))</f>
        <v/>
      </c>
      <c r="AC31">
        <f>IF(COUNTA($A31:$U31)=0,"",IF($S31="","Plan Name is required; ","")&amp;IF($T31="","Benefit Coverage Level is required; ","")&amp;IF(AND($U31&lt;&gt;"",OR(NOT(ISNUMBER($U31)),$U31&lt;0)),"Plan Funding Amount must be a nonnegative number; ","")&amp;IF(AND($A31&lt;&gt;"",$S31&lt;&gt;"",COUNTIFS($A$2:$A$501,$A31,$B$2:$B$501,$B31,$S$2:$S$501,$S31)&gt;1),"Duplicate participant and plan row; ",""))</f>
        <v/>
      </c>
      <c r="AD31">
        <f>IF(COUNTA($A31:$U31)=0,"",IF(AND($X31="Employee",$M31="",$N31=""),"No employee phone or email provided; ","")&amp;IF(AND($R31="Active",$Q31&lt;&gt;""),"Active record includes a Termination Date; confirm this is intentional; ","")&amp;IF(AND($B31&lt;&gt;"",$B31&amp;""&lt;&gt;$A31&amp;"",COUNTIF($A$2:$A$501,$B31)&gt;0),"Dependent SSN also appears as an Employee SSN elsewhere; confirm dual-employee coverage is intentional; ","")&amp;IF(AND($B31&lt;&gt;"",COUNTIF($B$2:$B$501,$B31)&gt;COUNTIFS($A$2:$A$501,$A31,$B$2:$B$501,$B31)),"Dependent SSN appears under more than one employee; confirm duplicate family coverage is intentional; ","")&amp;IF(AND(ROW()&gt;2,$A31&lt;&gt;"",$A31&lt;&gt;$A30,COUNTIF($A$2:$A30,$A31)&gt;0),"This household appears in more than one section of the census; keep the family together; ","")&amp;IF(OR(AND($C31&lt;&gt;"",LEN($C31&amp;"")&lt;&gt;LEN(TRIM($C31&amp;""))),AND($D31&lt;&gt;"",LEN($D31&amp;"")&lt;&gt;LEN(TRIM($D31&amp;""))),AND($E31&lt;&gt;"",LEN($E31&amp;"")&lt;&gt;LEN(TRIM($E31&amp;""))),AND($F31&lt;&gt;"",LEN($F31&amp;"")&lt;&gt;LEN(TRIM($F31&amp;""))),AND($G31&lt;&gt;"",LEN($G31&amp;"")&lt;&gt;LEN(TRIM($G31&amp;""))),AND($H31&lt;&gt;"",LEN($H31&amp;"")&lt;&gt;LEN(TRIM($H31&amp;""))),AND($I31&lt;&gt;"",LEN($I31&amp;"")&lt;&gt;LEN(TRIM($I31&amp;""))),AND($J31&lt;&gt;"",LEN($J31&amp;"")&lt;&gt;LEN(TRIM($J31&amp;""))),AND($K31&lt;&gt;"",LEN($K31&amp;"")&lt;&gt;LEN(TRIM($K31&amp;""))),AND($M31&lt;&gt;"",LEN($M31&amp;"")&lt;&gt;LEN(TRIM($M31&amp;""))),AND($N31&lt;&gt;"",LEN($N31&amp;"")&lt;&gt;LEN(TRIM($N31&amp;""))),AND($O31&lt;&gt;"",LEN($O31&amp;"")&lt;&gt;LEN(TRIM($O31&amp;""))),AND($R31&lt;&gt;"",LEN($R31&amp;"")&lt;&gt;LEN(TRIM($R31&amp;""))),AND($S31&lt;&gt;"",LEN($S31&amp;"")&lt;&gt;LEN(TRIM($S31&amp;""))),AND($T31&lt;&gt;"",LEN($T31&amp;"")&lt;&gt;LEN(TRIM($T31&amp;"")))),"Remove leading or trailing spaces from text fields; ","")&amp;IF(OR(AND(LEN($C31)&gt;1,OR(EXACT($C31,UPPER($C31)),EXACT($C31,LOWER($C31)))),AND(LEN($D31)&gt;1,OR(EXACT($D31,UPPER($D31)),EXACT($D31,LOWER($D31)))),AND(LEN($H31)&gt;1,OR(EXACT($H31,UPPER($H31)),EXACT($H31,LOWER($H31))))),"Review capitalization in First Name, Last Name, or City; ","")&amp;IF(AND($N31&lt;&gt;"",NOT(EXACT($N31,LOWER($N31)))),"Email will be standardized to lowercase in the clean output; ","")&amp;IF(AND(OR('START HERE'!$C$8="Initial Enrollment",'START HERE'!$C$8="Open Enrollment"),$R31="Terminated"),"A terminated row is included in an initial or open enrollment file; confirm this is intentional; ",""))</f>
        <v/>
      </c>
      <c r="AE31">
        <f>IF(COUNTA($A31:$U31)=0,"",IF(OR($A31="",AND($A31&lt;&gt;"",NOT(IFERROR(AND(LEN($A31&amp;"")=9,ISNUMBER(--($A31&amp;""))),FALSE))),AND($A31&lt;&gt;"",OR($A31="123456789",$A31="987654321",$A31="012345678",$A31=REPT(LEFT($A31&amp;"",1),9)))),"Employee SSN, ","")&amp;IF(OR(AND($O31&lt;&gt;"",$B31=""),AND($B31&lt;&gt;"",OR(NOT(IFERROR(AND(LEN($B31&amp;"")=9,ISNUMBER(--($B31&amp;""))),FALSE)),$B31=$A31,$B31="123456789",$B31="987654321",$B31="012345678",$B31=REPT(LEFT($B31&amp;"",1),9)))),"Dependent SSN, ","")&amp;IF(OR($C31="",LEN($C31)&gt;19,AND($C31&lt;&gt;"",SUMPRODUCT(--(ROW($1:$19)&lt;=LEN($C31&amp;"")),--ISERROR(FIND(MID($C31&amp;"",ROW($1:$19),1),"ABCDEFGHIJKLMNOPQRSTUVWXYZabcdefghijklmnopqrstuvwxyz .,")))&gt;0)),"First Name, ","")&amp;IF(OR($D31="",LEN($D31)&gt;26,AND($D31&lt;&gt;"",SUMPRODUCT(--(ROW($1:$26)&lt;=LEN($D31&amp;"")),--ISERROR(FIND(MID($D31&amp;"",ROW($1:$26),1),"ABCDEFGHIJKLMNOPQRSTUVWXYZabcdefghijklmnopqrstuvwxyz .,")))&gt;0)),"Last Name, ","")&amp;IF(OR(LEN($E31)&gt;1,AND($E31&lt;&gt;"",SUMPRODUCT(--(ROW($1:$1)&lt;=LEN($E31&amp;"")),--ISERROR(FIND(MID($E31&amp;"",ROW($1:$1),1),"ABCDEFGHIJKLMNOPQRSTUVWXYZabcdefghijklmnopqrstuvwxyz .,")))&gt;0)),"Middle Initial, ","")&amp;IF(OR($F31="",LEN($F31)&gt;75),"Address, ","")&amp;IF(OR($H31="",LEN($H31)&gt;30),"City, ","")&amp;IF(AND($K31="US",OR($I31="",LEN($I31)&lt;&gt;2)),"State, ","")&amp;IF($J31="","ZIP, ","")&amp;IF(OR($K31="",AND($K31&lt;&gt;"US",$K31&lt;&gt;"CA")),"Country, ","")&amp;IF(OR($L31="",AND($L31&lt;&gt;"",OR(NOT(ISNUMBER($L31)),$L31&lt;=DATE(1900,1,1),$L31&gt;TODAY()))),"Birthdate, ","")&amp;IF(AND($N31&lt;&gt;"",NOT(IFERROR(AND(ISNUMBER(SEARCH("@",$N31)),ISNUMBER(SEARCH(".",$N31,SEARCH("@",$N31)+2))),FALSE))),"Email, ","")&amp;IF(OR(AND($B31&lt;&gt;"",$O31=""),AND($O31&lt;&gt;"",$O31&lt;&gt;"Spouse or Common Law Spouse",$O31&lt;&gt;"Domestic Partner",$O31&lt;&gt;"Child",$O31&lt;&gt;"Other",$O31&lt;&gt;"Estate",$O31&lt;&gt;"Unknown")),"Dependent Relationship, ","")&amp;IF($AA31&lt;&gt;"","Household, ","")&amp;IF(OR($P31="",AND($P31&lt;&gt;"",OR(NOT(ISNUMBER($P31)),$P31&lt;=DATE(1900,1,1)))),"Eligibility Date, ","")&amp;IF(OR(AND($R31="Terminated",$Q31=""),AND($Q31&lt;&gt;"",OR(NOT(ISNUMBER($Q31)),$Q31&lt;=DATE(1900,1,1))),AND(ISNUMBER($P31),ISNUMBER($Q31),$Q31&lt;$P31)),"Termination Date, ","")&amp;IF(OR($R31="",AND($R31&lt;&gt;"Active",$R31&lt;&gt;"Terminated"),AND('START HERE'!$C$8="Terminations Only",$R31&lt;&gt;"Terminated")),"Status, ","")&amp;IF($S31="","Plan Name, ","")&amp;IF($T31="","Coverage Level, ","")&amp;IF(AND($U31&lt;&gt;"",OR(NOT(ISNUMBER($U31)),$U31&lt;0)),"Funding, ","")&amp;IF(AND($A31&lt;&gt;"",$S31&lt;&gt;"",COUNTIFS($A$2:$A$501,$A31,$B$2:$B$501,$B31,$S$2:$S$501,$S31)&gt;1),"Duplicate Row, ",""))</f>
        <v/>
      </c>
      <c r="AF31">
        <f>IF(COUNTA($A31:$U31)=0,"",$Y31&amp;$Z31&amp;$AA31&amp;$AB31&amp;$AC31)</f>
        <v/>
      </c>
      <c r="AG31">
        <f>IF($N31="","",LOWER(TRIM($N31)))</f>
        <v/>
      </c>
      <c r="AH31">
        <f>IF($A31="","",COUNTIFS($A$2:$A$501,$A31,$AI$2:$AI$501,1))</f>
        <v/>
      </c>
      <c r="AI31">
        <f>IF(COUNTA($A31:$U31)=0,"",--($AF31&lt;&gt;""))</f>
        <v/>
      </c>
      <c r="AJ31">
        <f>IF(COUNTA($A31:$U31)=0,"",--($AD31&lt;&gt;""))</f>
        <v/>
      </c>
    </row>
    <row r="32" ht="20" customHeight="1">
      <c r="A32" s="80" t="n"/>
      <c r="B32" s="80" t="n"/>
      <c r="C32" s="81" t="n"/>
      <c r="D32" s="81" t="n"/>
      <c r="E32" s="80" t="n"/>
      <c r="F32" s="81" t="n"/>
      <c r="G32" s="81" t="n"/>
      <c r="H32" s="81" t="n"/>
      <c r="I32" s="80" t="n"/>
      <c r="J32" s="80" t="n"/>
      <c r="K32" s="80" t="n"/>
      <c r="L32" s="82" t="n"/>
      <c r="M32" s="80" t="n"/>
      <c r="N32" s="80" t="n"/>
      <c r="O32" s="80" t="n"/>
      <c r="P32" s="82" t="n"/>
      <c r="Q32" s="82" t="n"/>
      <c r="R32" s="80" t="n"/>
      <c r="S32" s="80" t="n"/>
      <c r="T32" s="80" t="n"/>
      <c r="U32" s="83" t="n"/>
      <c r="V32">
        <f>IF($A32="","",IF($A32=$A31,$V31,IF($V31="",0,1-$V31)))</f>
        <v/>
      </c>
      <c r="W32">
        <f>IF($B32&lt;&gt;"",$B32,$A32)</f>
        <v/>
      </c>
      <c r="X32">
        <f>IF(COUNTA($A32:$U32)=0,"",IF(OR($B32&lt;&gt;"",$O32&lt;&gt;""),"Dependent","Employee"))</f>
        <v/>
      </c>
      <c r="Y32">
        <f>IF(COUNTA($A32:$U32)=0,"",IF($A32="","Employee SSN is required; ","")&amp;IF($C32="","First Name is required; ","")&amp;IF(LEN($C32&amp;"")&gt;19,"First Name exceeds 19 characters; ","")&amp;IF(AND($C32&lt;&gt;"",SUMPRODUCT(--(ROW($1:$19)&lt;=LEN($C32&amp;"")),--ISERROR(FIND(MID($C32&amp;"",ROW($1:$19),1),"ABCDEFGHIJKLMNOPQRSTUVWXYZabcdefghijklmnopqrstuvwxyz .,")))&gt;0),"First Name contains unsupported or encoded characters; use plain A-Z letters only; ","")&amp;IF($D32="","Last Name is required; ","")&amp;IF(LEN($D32&amp;"")&gt;26,"Last Name exceeds 26 characters; ","")&amp;IF(AND($D32&lt;&gt;"",SUMPRODUCT(--(ROW($1:$26)&lt;=LEN($D32&amp;"")),--ISERROR(FIND(MID($D32&amp;"",ROW($1:$26),1),"ABCDEFGHIJKLMNOPQRSTUVWXYZabcdefghijklmnopqrstuvwxyz .,")))&gt;0),"Last Name contains unsupported or encoded characters; use plain A-Z letters only; ","")&amp;IF(LEN($E32&amp;"")&gt;1,"Middle Initial may contain only one character; ","")&amp;IF(AND($E32&lt;&gt;"",SUMPRODUCT(--(ROW($1:$1)&lt;=LEN($E32&amp;"")),--ISERROR(FIND(MID($E32&amp;"",ROW($1:$1),1),"ABCDEFGHIJKLMNOPQRSTUVWXYZabcdefghijklmnopqrstuvwxyz .,")))&gt;0),"Middle Initial must be a plain A-Z letter; ","")&amp;IF($F32="","Address is required; ","")&amp;IF(LEN($F32&amp;"")&gt;75,"Address exceeds 75 characters; ","")&amp;IF(LEN($G32&amp;"")&gt;75,"Address 2 exceeds 75 characters; ","")&amp;IF($H32="","City is required; ","")&amp;IF(LEN($H32&amp;"")&gt;30,"City exceeds 30 characters; ","")&amp;IF($K32="","Country is required; ","")&amp;IF(AND($K32&lt;&gt;"",$K32&lt;&gt;"US",$K32&lt;&gt;"CA"),"Country must be US or CA; ","")&amp;IF(AND($K32="US",OR($I32="",LEN($I32&amp;"")&lt;&gt;2)),"Use a 2-letter state code; ","")&amp;IF($J32="","ZIP or postal code is required; ","")&amp;IF(AND($K32="US",$J32&lt;&gt;"",NOT(IFERROR(OR(AND(LEN($J32&amp;"")=5,ISNUMBER(--($J32&amp;""))),AND(LEN($J32&amp;"")=9,ISNUMBER(--($J32&amp;""))),AND(LEN($J32&amp;"")=10,MID($J32&amp;"",6,1)="-",ISNUMBER(--SUBSTITUTE($J32&amp;"","-","")))),FALSE))),"US ZIP must be 5 or 9 digits, with an optional ZIP+4 hyphen; ","")&amp;IF(AND($N32&lt;&gt;"",NOT(IFERROR(AND(ISNUMBER(SEARCH("@",$N32)),ISNUMBER(SEARCH(".",$N32,SEARCH("@",$N32)+2))),FALSE))),"Email format appears invalid; ","")&amp;IF(AND($O32&lt;&gt;"",$B32=""),"Dependent SSN is required for every dependent; ","")&amp;IF(AND($B32&lt;&gt;"",$O32=""),"Dependent Relationship is required when Dependent SSN is entered; ","")&amp;IF(AND($O32&lt;&gt;"",$O32&lt;&gt;"Spouse or Common Law Spouse",$O32&lt;&gt;"Domestic Partner",$O32&lt;&gt;"Child",$O32&lt;&gt;"Other",$O32&lt;&gt;"Estate",$O32&lt;&gt;"Unknown"),"Dependent Relationship must use one of the approved options; ",""))</f>
        <v/>
      </c>
      <c r="Z32">
        <f>IF(COUNTA($A32:$U32)=0,"",IF(AND($A32&lt;&gt;"",NOT(IFERROR(AND(LEN($A32&amp;"")=9,ISNUMBER(--($A32&amp;""))),FALSE))),"Employee SSN must contain exactly 9 digits; ","")&amp;IF(AND($A32&lt;&gt;"",OR($A32="123456789",$A32="987654321",$A32="012345678",$A32=REPT(LEFT($A32&amp;"",1),9))),"Employee SSN appears to be a placeholder; ","")&amp;IF(AND($B32&lt;&gt;"",NOT(IFERROR(AND(LEN($B32&amp;"")=9,ISNUMBER(--($B32&amp;""))),FALSE))),"Dependent SSN must contain exactly 9 digits; ","")&amp;IF(AND($B32&lt;&gt;"",OR($B32="123456789",$B32="987654321",$B32="012345678",$B32=REPT(LEFT($B32&amp;"",1),9))),"Dependent SSN appears to be a placeholder; ","")&amp;IF(AND($A32&lt;&gt;"",$B32&lt;&gt;"",$A32&amp;""=$B32&amp;""),"Dependent SSN cannot match Employee SSN; ","")&amp;IF(AND($W32&lt;&gt;"",OR(COUNTIFS($W$2:$W$501,$W32,$C$2:$C$501,"&lt;&gt;"&amp;$C32)&gt;0,COUNTIFS($W$2:$W$501,$W32,$D$2:$D$501,"&lt;&gt;"&amp;$D32)&gt;0,COUNTIFS($W$2:$W$501,$W32,$L$2:$L$501,"&lt;&gt;"&amp;$L32)&gt;0)),"The same SSN is associated with a different name or birthdate; ",""))</f>
        <v/>
      </c>
      <c r="AA32">
        <f>IF(COUNTA($A32:$U32)=0,"",IF(AND($A32&lt;&gt;"",$S32&lt;&gt;"",COUNTIFS($A$2:$A$501,$A32,$S$2:$S$501,$S32,$B$2:$B$501,"",$O$2:$O$501,"")=0),"Add an employee row for this household and plan; ","")&amp;IF(AND($X32="Dependent",COUNTIFS($A$2:$A32,$A32,$S$2:$S32,$S32,$B$2:$B32,"",$O$2:$O32,"")=0),"Place the employee row before dependent rows for this plan; ","")&amp;IF(AND($X32="Dependent",COUNTIFS($A$2:$A$501,$A32,$S$2:$S$501,$S32,$B$2:$B$501,"",$O$2:$O$501,"")&gt;0,IFERROR(OR($P32&lt;&gt;LOOKUP(2,1/(($A$2:$A$501=$A32)*($S$2:$S$501=$S32)*($B$2:$B$501="")*($O$2:$O$501="")),$P$2:$P$501),$Q32&lt;&gt;LOOKUP(2,1/(($A$2:$A$501=$A32)*($S$2:$S$501=$S32)*($B$2:$B$501="")*($O$2:$O$501="")),$Q$2:$Q$501),$R32&lt;&gt;LOOKUP(2,1/(($A$2:$A$501=$A32)*($S$2:$S$501=$S32)*($B$2:$B$501="")*($O$2:$O$501="")),$R$2:$R$501),$T32&lt;&gt;LOOKUP(2,1/(($A$2:$A$501=$A32)*($S$2:$S$501=$S32)*($B$2:$B$501="")*($O$2:$O$501="")),$T$2:$T$501),$U32&lt;&gt;LOOKUP(2,1/(($A$2:$A$501=$A32)*($S$2:$S$501=$S32)*($B$2:$B$501="")*($O$2:$O$501="")),$U$2:$U$501)),FALSE)),"Dependent row does not match the employee row for eligibility, status, coverage level, or funding; ",""))</f>
        <v/>
      </c>
      <c r="AB32">
        <f>IF(COUNTA($A32:$U32)=0,"",IF($L32="","Birthdate is required; ","")&amp;IF(AND($L32&lt;&gt;"",OR(NOT(ISNUMBER($L32)),$L32&lt;=DATE(1900,1,1),$L32&gt;TODAY())),"Birthdate must be an exact valid past date; ","")&amp;IF($P32="","Eligibility Date is required; ","")&amp;IF(AND($P32&lt;&gt;"",OR(NOT(ISNUMBER($P32)),$P32&lt;=DATE(1900,1,1))),"Eligibility Date must be a valid date; ","")&amp;IF(AND($R32="Terminated",$Q32=""),"Termination Date is required when Status is Terminated; ","")&amp;IF(AND($Q32&lt;&gt;"",OR(NOT(ISNUMBER($Q32)),$Q32&lt;=DATE(1900,1,1))),"Termination Date must be a valid date; ","")&amp;IF(AND(ISNUMBER($P32),ISNUMBER($Q32),$Q32&lt;$P32),"Termination Date cannot be before Eligibility Date; ","")&amp;IF($R32="","Status is required; ","")&amp;IF(AND($R32&lt;&gt;"",$R32&lt;&gt;"Active",$R32&lt;&gt;"Terminated"),"Status must be Active or Terminated; ","")&amp;IF(AND('START HERE'!$C$8="Terminations Only",$R32&lt;&gt;"Terminated"),"Terminations Only files must contain terminated records; ",""))</f>
        <v/>
      </c>
      <c r="AC32">
        <f>IF(COUNTA($A32:$U32)=0,"",IF($S32="","Plan Name is required; ","")&amp;IF($T32="","Benefit Coverage Level is required; ","")&amp;IF(AND($U32&lt;&gt;"",OR(NOT(ISNUMBER($U32)),$U32&lt;0)),"Plan Funding Amount must be a nonnegative number; ","")&amp;IF(AND($A32&lt;&gt;"",$S32&lt;&gt;"",COUNTIFS($A$2:$A$501,$A32,$B$2:$B$501,$B32,$S$2:$S$501,$S32)&gt;1),"Duplicate participant and plan row; ",""))</f>
        <v/>
      </c>
      <c r="AD32">
        <f>IF(COUNTA($A32:$U32)=0,"",IF(AND($X32="Employee",$M32="",$N32=""),"No employee phone or email provided; ","")&amp;IF(AND($R32="Active",$Q32&lt;&gt;""),"Active record includes a Termination Date; confirm this is intentional; ","")&amp;IF(AND($B32&lt;&gt;"",$B32&amp;""&lt;&gt;$A32&amp;"",COUNTIF($A$2:$A$501,$B32)&gt;0),"Dependent SSN also appears as an Employee SSN elsewhere; confirm dual-employee coverage is intentional; ","")&amp;IF(AND($B32&lt;&gt;"",COUNTIF($B$2:$B$501,$B32)&gt;COUNTIFS($A$2:$A$501,$A32,$B$2:$B$501,$B32)),"Dependent SSN appears under more than one employee; confirm duplicate family coverage is intentional; ","")&amp;IF(AND(ROW()&gt;2,$A32&lt;&gt;"",$A32&lt;&gt;$A31,COUNTIF($A$2:$A31,$A32)&gt;0),"This household appears in more than one section of the census; keep the family together; ","")&amp;IF(OR(AND($C32&lt;&gt;"",LEN($C32&amp;"")&lt;&gt;LEN(TRIM($C32&amp;""))),AND($D32&lt;&gt;"",LEN($D32&amp;"")&lt;&gt;LEN(TRIM($D32&amp;""))),AND($E32&lt;&gt;"",LEN($E32&amp;"")&lt;&gt;LEN(TRIM($E32&amp;""))),AND($F32&lt;&gt;"",LEN($F32&amp;"")&lt;&gt;LEN(TRIM($F32&amp;""))),AND($G32&lt;&gt;"",LEN($G32&amp;"")&lt;&gt;LEN(TRIM($G32&amp;""))),AND($H32&lt;&gt;"",LEN($H32&amp;"")&lt;&gt;LEN(TRIM($H32&amp;""))),AND($I32&lt;&gt;"",LEN($I32&amp;"")&lt;&gt;LEN(TRIM($I32&amp;""))),AND($J32&lt;&gt;"",LEN($J32&amp;"")&lt;&gt;LEN(TRIM($J32&amp;""))),AND($K32&lt;&gt;"",LEN($K32&amp;"")&lt;&gt;LEN(TRIM($K32&amp;""))),AND($M32&lt;&gt;"",LEN($M32&amp;"")&lt;&gt;LEN(TRIM($M32&amp;""))),AND($N32&lt;&gt;"",LEN($N32&amp;"")&lt;&gt;LEN(TRIM($N32&amp;""))),AND($O32&lt;&gt;"",LEN($O32&amp;"")&lt;&gt;LEN(TRIM($O32&amp;""))),AND($R32&lt;&gt;"",LEN($R32&amp;"")&lt;&gt;LEN(TRIM($R32&amp;""))),AND($S32&lt;&gt;"",LEN($S32&amp;"")&lt;&gt;LEN(TRIM($S32&amp;""))),AND($T32&lt;&gt;"",LEN($T32&amp;"")&lt;&gt;LEN(TRIM($T32&amp;"")))),"Remove leading or trailing spaces from text fields; ","")&amp;IF(OR(AND(LEN($C32)&gt;1,OR(EXACT($C32,UPPER($C32)),EXACT($C32,LOWER($C32)))),AND(LEN($D32)&gt;1,OR(EXACT($D32,UPPER($D32)),EXACT($D32,LOWER($D32)))),AND(LEN($H32)&gt;1,OR(EXACT($H32,UPPER($H32)),EXACT($H32,LOWER($H32))))),"Review capitalization in First Name, Last Name, or City; ","")&amp;IF(AND($N32&lt;&gt;"",NOT(EXACT($N32,LOWER($N32)))),"Email will be standardized to lowercase in the clean output; ","")&amp;IF(AND(OR('START HERE'!$C$8="Initial Enrollment",'START HERE'!$C$8="Open Enrollment"),$R32="Terminated"),"A terminated row is included in an initial or open enrollment file; confirm this is intentional; ",""))</f>
        <v/>
      </c>
      <c r="AE32">
        <f>IF(COUNTA($A32:$U32)=0,"",IF(OR($A32="",AND($A32&lt;&gt;"",NOT(IFERROR(AND(LEN($A32&amp;"")=9,ISNUMBER(--($A32&amp;""))),FALSE))),AND($A32&lt;&gt;"",OR($A32="123456789",$A32="987654321",$A32="012345678",$A32=REPT(LEFT($A32&amp;"",1),9)))),"Employee SSN, ","")&amp;IF(OR(AND($O32&lt;&gt;"",$B32=""),AND($B32&lt;&gt;"",OR(NOT(IFERROR(AND(LEN($B32&amp;"")=9,ISNUMBER(--($B32&amp;""))),FALSE)),$B32=$A32,$B32="123456789",$B32="987654321",$B32="012345678",$B32=REPT(LEFT($B32&amp;"",1),9)))),"Dependent SSN, ","")&amp;IF(OR($C32="",LEN($C32)&gt;19,AND($C32&lt;&gt;"",SUMPRODUCT(--(ROW($1:$19)&lt;=LEN($C32&amp;"")),--ISERROR(FIND(MID($C32&amp;"",ROW($1:$19),1),"ABCDEFGHIJKLMNOPQRSTUVWXYZabcdefghijklmnopqrstuvwxyz .,")))&gt;0)),"First Name, ","")&amp;IF(OR($D32="",LEN($D32)&gt;26,AND($D32&lt;&gt;"",SUMPRODUCT(--(ROW($1:$26)&lt;=LEN($D32&amp;"")),--ISERROR(FIND(MID($D32&amp;"",ROW($1:$26),1),"ABCDEFGHIJKLMNOPQRSTUVWXYZabcdefghijklmnopqrstuvwxyz .,")))&gt;0)),"Last Name, ","")&amp;IF(OR(LEN($E32)&gt;1,AND($E32&lt;&gt;"",SUMPRODUCT(--(ROW($1:$1)&lt;=LEN($E32&amp;"")),--ISERROR(FIND(MID($E32&amp;"",ROW($1:$1),1),"ABCDEFGHIJKLMNOPQRSTUVWXYZabcdefghijklmnopqrstuvwxyz .,")))&gt;0)),"Middle Initial, ","")&amp;IF(OR($F32="",LEN($F32)&gt;75),"Address, ","")&amp;IF(OR($H32="",LEN($H32)&gt;30),"City, ","")&amp;IF(AND($K32="US",OR($I32="",LEN($I32)&lt;&gt;2)),"State, ","")&amp;IF($J32="","ZIP, ","")&amp;IF(OR($K32="",AND($K32&lt;&gt;"US",$K32&lt;&gt;"CA")),"Country, ","")&amp;IF(OR($L32="",AND($L32&lt;&gt;"",OR(NOT(ISNUMBER($L32)),$L32&lt;=DATE(1900,1,1),$L32&gt;TODAY()))),"Birthdate, ","")&amp;IF(AND($N32&lt;&gt;"",NOT(IFERROR(AND(ISNUMBER(SEARCH("@",$N32)),ISNUMBER(SEARCH(".",$N32,SEARCH("@",$N32)+2))),FALSE))),"Email, ","")&amp;IF(OR(AND($B32&lt;&gt;"",$O32=""),AND($O32&lt;&gt;"",$O32&lt;&gt;"Spouse or Common Law Spouse",$O32&lt;&gt;"Domestic Partner",$O32&lt;&gt;"Child",$O32&lt;&gt;"Other",$O32&lt;&gt;"Estate",$O32&lt;&gt;"Unknown")),"Dependent Relationship, ","")&amp;IF($AA32&lt;&gt;"","Household, ","")&amp;IF(OR($P32="",AND($P32&lt;&gt;"",OR(NOT(ISNUMBER($P32)),$P32&lt;=DATE(1900,1,1)))),"Eligibility Date, ","")&amp;IF(OR(AND($R32="Terminated",$Q32=""),AND($Q32&lt;&gt;"",OR(NOT(ISNUMBER($Q32)),$Q32&lt;=DATE(1900,1,1))),AND(ISNUMBER($P32),ISNUMBER($Q32),$Q32&lt;$P32)),"Termination Date, ","")&amp;IF(OR($R32="",AND($R32&lt;&gt;"Active",$R32&lt;&gt;"Terminated"),AND('START HERE'!$C$8="Terminations Only",$R32&lt;&gt;"Terminated")),"Status, ","")&amp;IF($S32="","Plan Name, ","")&amp;IF($T32="","Coverage Level, ","")&amp;IF(AND($U32&lt;&gt;"",OR(NOT(ISNUMBER($U32)),$U32&lt;0)),"Funding, ","")&amp;IF(AND($A32&lt;&gt;"",$S32&lt;&gt;"",COUNTIFS($A$2:$A$501,$A32,$B$2:$B$501,$B32,$S$2:$S$501,$S32)&gt;1),"Duplicate Row, ",""))</f>
        <v/>
      </c>
      <c r="AF32">
        <f>IF(COUNTA($A32:$U32)=0,"",$Y32&amp;$Z32&amp;$AA32&amp;$AB32&amp;$AC32)</f>
        <v/>
      </c>
      <c r="AG32">
        <f>IF($N32="","",LOWER(TRIM($N32)))</f>
        <v/>
      </c>
      <c r="AH32">
        <f>IF($A32="","",COUNTIFS($A$2:$A$501,$A32,$AI$2:$AI$501,1))</f>
        <v/>
      </c>
      <c r="AI32">
        <f>IF(COUNTA($A32:$U32)=0,"",--($AF32&lt;&gt;""))</f>
        <v/>
      </c>
      <c r="AJ32">
        <f>IF(COUNTA($A32:$U32)=0,"",--($AD32&lt;&gt;""))</f>
        <v/>
      </c>
    </row>
    <row r="33" ht="20" customHeight="1">
      <c r="A33" s="80" t="n"/>
      <c r="B33" s="80" t="n"/>
      <c r="C33" s="81" t="n"/>
      <c r="D33" s="81" t="n"/>
      <c r="E33" s="80" t="n"/>
      <c r="F33" s="81" t="n"/>
      <c r="G33" s="81" t="n"/>
      <c r="H33" s="81" t="n"/>
      <c r="I33" s="80" t="n"/>
      <c r="J33" s="80" t="n"/>
      <c r="K33" s="80" t="n"/>
      <c r="L33" s="82" t="n"/>
      <c r="M33" s="80" t="n"/>
      <c r="N33" s="80" t="n"/>
      <c r="O33" s="80" t="n"/>
      <c r="P33" s="82" t="n"/>
      <c r="Q33" s="82" t="n"/>
      <c r="R33" s="80" t="n"/>
      <c r="S33" s="80" t="n"/>
      <c r="T33" s="80" t="n"/>
      <c r="U33" s="83" t="n"/>
      <c r="V33">
        <f>IF($A33="","",IF($A33=$A32,$V32,IF($V32="",0,1-$V32)))</f>
        <v/>
      </c>
      <c r="W33">
        <f>IF($B33&lt;&gt;"",$B33,$A33)</f>
        <v/>
      </c>
      <c r="X33">
        <f>IF(COUNTA($A33:$U33)=0,"",IF(OR($B33&lt;&gt;"",$O33&lt;&gt;""),"Dependent","Employee"))</f>
        <v/>
      </c>
      <c r="Y33">
        <f>IF(COUNTA($A33:$U33)=0,"",IF($A33="","Employee SSN is required; ","")&amp;IF($C33="","First Name is required; ","")&amp;IF(LEN($C33&amp;"")&gt;19,"First Name exceeds 19 characters; ","")&amp;IF(AND($C33&lt;&gt;"",SUMPRODUCT(--(ROW($1:$19)&lt;=LEN($C33&amp;"")),--ISERROR(FIND(MID($C33&amp;"",ROW($1:$19),1),"ABCDEFGHIJKLMNOPQRSTUVWXYZabcdefghijklmnopqrstuvwxyz .,")))&gt;0),"First Name contains unsupported or encoded characters; use plain A-Z letters only; ","")&amp;IF($D33="","Last Name is required; ","")&amp;IF(LEN($D33&amp;"")&gt;26,"Last Name exceeds 26 characters; ","")&amp;IF(AND($D33&lt;&gt;"",SUMPRODUCT(--(ROW($1:$26)&lt;=LEN($D33&amp;"")),--ISERROR(FIND(MID($D33&amp;"",ROW($1:$26),1),"ABCDEFGHIJKLMNOPQRSTUVWXYZabcdefghijklmnopqrstuvwxyz .,")))&gt;0),"Last Name contains unsupported or encoded characters; use plain A-Z letters only; ","")&amp;IF(LEN($E33&amp;"")&gt;1,"Middle Initial may contain only one character; ","")&amp;IF(AND($E33&lt;&gt;"",SUMPRODUCT(--(ROW($1:$1)&lt;=LEN($E33&amp;"")),--ISERROR(FIND(MID($E33&amp;"",ROW($1:$1),1),"ABCDEFGHIJKLMNOPQRSTUVWXYZabcdefghijklmnopqrstuvwxyz .,")))&gt;0),"Middle Initial must be a plain A-Z letter; ","")&amp;IF($F33="","Address is required; ","")&amp;IF(LEN($F33&amp;"")&gt;75,"Address exceeds 75 characters; ","")&amp;IF(LEN($G33&amp;"")&gt;75,"Address 2 exceeds 75 characters; ","")&amp;IF($H33="","City is required; ","")&amp;IF(LEN($H33&amp;"")&gt;30,"City exceeds 30 characters; ","")&amp;IF($K33="","Country is required; ","")&amp;IF(AND($K33&lt;&gt;"",$K33&lt;&gt;"US",$K33&lt;&gt;"CA"),"Country must be US or CA; ","")&amp;IF(AND($K33="US",OR($I33="",LEN($I33&amp;"")&lt;&gt;2)),"Use a 2-letter state code; ","")&amp;IF($J33="","ZIP or postal code is required; ","")&amp;IF(AND($K33="US",$J33&lt;&gt;"",NOT(IFERROR(OR(AND(LEN($J33&amp;"")=5,ISNUMBER(--($J33&amp;""))),AND(LEN($J33&amp;"")=9,ISNUMBER(--($J33&amp;""))),AND(LEN($J33&amp;"")=10,MID($J33&amp;"",6,1)="-",ISNUMBER(--SUBSTITUTE($J33&amp;"","-","")))),FALSE))),"US ZIP must be 5 or 9 digits, with an optional ZIP+4 hyphen; ","")&amp;IF(AND($N33&lt;&gt;"",NOT(IFERROR(AND(ISNUMBER(SEARCH("@",$N33)),ISNUMBER(SEARCH(".",$N33,SEARCH("@",$N33)+2))),FALSE))),"Email format appears invalid; ","")&amp;IF(AND($O33&lt;&gt;"",$B33=""),"Dependent SSN is required for every dependent; ","")&amp;IF(AND($B33&lt;&gt;"",$O33=""),"Dependent Relationship is required when Dependent SSN is entered; ","")&amp;IF(AND($O33&lt;&gt;"",$O33&lt;&gt;"Spouse or Common Law Spouse",$O33&lt;&gt;"Domestic Partner",$O33&lt;&gt;"Child",$O33&lt;&gt;"Other",$O33&lt;&gt;"Estate",$O33&lt;&gt;"Unknown"),"Dependent Relationship must use one of the approved options; ",""))</f>
        <v/>
      </c>
      <c r="Z33">
        <f>IF(COUNTA($A33:$U33)=0,"",IF(AND($A33&lt;&gt;"",NOT(IFERROR(AND(LEN($A33&amp;"")=9,ISNUMBER(--($A33&amp;""))),FALSE))),"Employee SSN must contain exactly 9 digits; ","")&amp;IF(AND($A33&lt;&gt;"",OR($A33="123456789",$A33="987654321",$A33="012345678",$A33=REPT(LEFT($A33&amp;"",1),9))),"Employee SSN appears to be a placeholder; ","")&amp;IF(AND($B33&lt;&gt;"",NOT(IFERROR(AND(LEN($B33&amp;"")=9,ISNUMBER(--($B33&amp;""))),FALSE))),"Dependent SSN must contain exactly 9 digits; ","")&amp;IF(AND($B33&lt;&gt;"",OR($B33="123456789",$B33="987654321",$B33="012345678",$B33=REPT(LEFT($B33&amp;"",1),9))),"Dependent SSN appears to be a placeholder; ","")&amp;IF(AND($A33&lt;&gt;"",$B33&lt;&gt;"",$A33&amp;""=$B33&amp;""),"Dependent SSN cannot match Employee SSN; ","")&amp;IF(AND($W33&lt;&gt;"",OR(COUNTIFS($W$2:$W$501,$W33,$C$2:$C$501,"&lt;&gt;"&amp;$C33)&gt;0,COUNTIFS($W$2:$W$501,$W33,$D$2:$D$501,"&lt;&gt;"&amp;$D33)&gt;0,COUNTIFS($W$2:$W$501,$W33,$L$2:$L$501,"&lt;&gt;"&amp;$L33)&gt;0)),"The same SSN is associated with a different name or birthdate; ",""))</f>
        <v/>
      </c>
      <c r="AA33">
        <f>IF(COUNTA($A33:$U33)=0,"",IF(AND($A33&lt;&gt;"",$S33&lt;&gt;"",COUNTIFS($A$2:$A$501,$A33,$S$2:$S$501,$S33,$B$2:$B$501,"",$O$2:$O$501,"")=0),"Add an employee row for this household and plan; ","")&amp;IF(AND($X33="Dependent",COUNTIFS($A$2:$A33,$A33,$S$2:$S33,$S33,$B$2:$B33,"",$O$2:$O33,"")=0),"Place the employee row before dependent rows for this plan; ","")&amp;IF(AND($X33="Dependent",COUNTIFS($A$2:$A$501,$A33,$S$2:$S$501,$S33,$B$2:$B$501,"",$O$2:$O$501,"")&gt;0,IFERROR(OR($P33&lt;&gt;LOOKUP(2,1/(($A$2:$A$501=$A33)*($S$2:$S$501=$S33)*($B$2:$B$501="")*($O$2:$O$501="")),$P$2:$P$501),$Q33&lt;&gt;LOOKUP(2,1/(($A$2:$A$501=$A33)*($S$2:$S$501=$S33)*($B$2:$B$501="")*($O$2:$O$501="")),$Q$2:$Q$501),$R33&lt;&gt;LOOKUP(2,1/(($A$2:$A$501=$A33)*($S$2:$S$501=$S33)*($B$2:$B$501="")*($O$2:$O$501="")),$R$2:$R$501),$T33&lt;&gt;LOOKUP(2,1/(($A$2:$A$501=$A33)*($S$2:$S$501=$S33)*($B$2:$B$501="")*($O$2:$O$501="")),$T$2:$T$501),$U33&lt;&gt;LOOKUP(2,1/(($A$2:$A$501=$A33)*($S$2:$S$501=$S33)*($B$2:$B$501="")*($O$2:$O$501="")),$U$2:$U$501)),FALSE)),"Dependent row does not match the employee row for eligibility, status, coverage level, or funding; ",""))</f>
        <v/>
      </c>
      <c r="AB33">
        <f>IF(COUNTA($A33:$U33)=0,"",IF($L33="","Birthdate is required; ","")&amp;IF(AND($L33&lt;&gt;"",OR(NOT(ISNUMBER($L33)),$L33&lt;=DATE(1900,1,1),$L33&gt;TODAY())),"Birthdate must be an exact valid past date; ","")&amp;IF($P33="","Eligibility Date is required; ","")&amp;IF(AND($P33&lt;&gt;"",OR(NOT(ISNUMBER($P33)),$P33&lt;=DATE(1900,1,1))),"Eligibility Date must be a valid date; ","")&amp;IF(AND($R33="Terminated",$Q33=""),"Termination Date is required when Status is Terminated; ","")&amp;IF(AND($Q33&lt;&gt;"",OR(NOT(ISNUMBER($Q33)),$Q33&lt;=DATE(1900,1,1))),"Termination Date must be a valid date; ","")&amp;IF(AND(ISNUMBER($P33),ISNUMBER($Q33),$Q33&lt;$P33),"Termination Date cannot be before Eligibility Date; ","")&amp;IF($R33="","Status is required; ","")&amp;IF(AND($R33&lt;&gt;"",$R33&lt;&gt;"Active",$R33&lt;&gt;"Terminated"),"Status must be Active or Terminated; ","")&amp;IF(AND('START HERE'!$C$8="Terminations Only",$R33&lt;&gt;"Terminated"),"Terminations Only files must contain terminated records; ",""))</f>
        <v/>
      </c>
      <c r="AC33">
        <f>IF(COUNTA($A33:$U33)=0,"",IF($S33="","Plan Name is required; ","")&amp;IF($T33="","Benefit Coverage Level is required; ","")&amp;IF(AND($U33&lt;&gt;"",OR(NOT(ISNUMBER($U33)),$U33&lt;0)),"Plan Funding Amount must be a nonnegative number; ","")&amp;IF(AND($A33&lt;&gt;"",$S33&lt;&gt;"",COUNTIFS($A$2:$A$501,$A33,$B$2:$B$501,$B33,$S$2:$S$501,$S33)&gt;1),"Duplicate participant and plan row; ",""))</f>
        <v/>
      </c>
      <c r="AD33">
        <f>IF(COUNTA($A33:$U33)=0,"",IF(AND($X33="Employee",$M33="",$N33=""),"No employee phone or email provided; ","")&amp;IF(AND($R33="Active",$Q33&lt;&gt;""),"Active record includes a Termination Date; confirm this is intentional; ","")&amp;IF(AND($B33&lt;&gt;"",$B33&amp;""&lt;&gt;$A33&amp;"",COUNTIF($A$2:$A$501,$B33)&gt;0),"Dependent SSN also appears as an Employee SSN elsewhere; confirm dual-employee coverage is intentional; ","")&amp;IF(AND($B33&lt;&gt;"",COUNTIF($B$2:$B$501,$B33)&gt;COUNTIFS($A$2:$A$501,$A33,$B$2:$B$501,$B33)),"Dependent SSN appears under more than one employee; confirm duplicate family coverage is intentional; ","")&amp;IF(AND(ROW()&gt;2,$A33&lt;&gt;"",$A33&lt;&gt;$A32,COUNTIF($A$2:$A32,$A33)&gt;0),"This household appears in more than one section of the census; keep the family together; ","")&amp;IF(OR(AND($C33&lt;&gt;"",LEN($C33&amp;"")&lt;&gt;LEN(TRIM($C33&amp;""))),AND($D33&lt;&gt;"",LEN($D33&amp;"")&lt;&gt;LEN(TRIM($D33&amp;""))),AND($E33&lt;&gt;"",LEN($E33&amp;"")&lt;&gt;LEN(TRIM($E33&amp;""))),AND($F33&lt;&gt;"",LEN($F33&amp;"")&lt;&gt;LEN(TRIM($F33&amp;""))),AND($G33&lt;&gt;"",LEN($G33&amp;"")&lt;&gt;LEN(TRIM($G33&amp;""))),AND($H33&lt;&gt;"",LEN($H33&amp;"")&lt;&gt;LEN(TRIM($H33&amp;""))),AND($I33&lt;&gt;"",LEN($I33&amp;"")&lt;&gt;LEN(TRIM($I33&amp;""))),AND($J33&lt;&gt;"",LEN($J33&amp;"")&lt;&gt;LEN(TRIM($J33&amp;""))),AND($K33&lt;&gt;"",LEN($K33&amp;"")&lt;&gt;LEN(TRIM($K33&amp;""))),AND($M33&lt;&gt;"",LEN($M33&amp;"")&lt;&gt;LEN(TRIM($M33&amp;""))),AND($N33&lt;&gt;"",LEN($N33&amp;"")&lt;&gt;LEN(TRIM($N33&amp;""))),AND($O33&lt;&gt;"",LEN($O33&amp;"")&lt;&gt;LEN(TRIM($O33&amp;""))),AND($R33&lt;&gt;"",LEN($R33&amp;"")&lt;&gt;LEN(TRIM($R33&amp;""))),AND($S33&lt;&gt;"",LEN($S33&amp;"")&lt;&gt;LEN(TRIM($S33&amp;""))),AND($T33&lt;&gt;"",LEN($T33&amp;"")&lt;&gt;LEN(TRIM($T33&amp;"")))),"Remove leading or trailing spaces from text fields; ","")&amp;IF(OR(AND(LEN($C33)&gt;1,OR(EXACT($C33,UPPER($C33)),EXACT($C33,LOWER($C33)))),AND(LEN($D33)&gt;1,OR(EXACT($D33,UPPER($D33)),EXACT($D33,LOWER($D33)))),AND(LEN($H33)&gt;1,OR(EXACT($H33,UPPER($H33)),EXACT($H33,LOWER($H33))))),"Review capitalization in First Name, Last Name, or City; ","")&amp;IF(AND($N33&lt;&gt;"",NOT(EXACT($N33,LOWER($N33)))),"Email will be standardized to lowercase in the clean output; ","")&amp;IF(AND(OR('START HERE'!$C$8="Initial Enrollment",'START HERE'!$C$8="Open Enrollment"),$R33="Terminated"),"A terminated row is included in an initial or open enrollment file; confirm this is intentional; ",""))</f>
        <v/>
      </c>
      <c r="AE33">
        <f>IF(COUNTA($A33:$U33)=0,"",IF(OR($A33="",AND($A33&lt;&gt;"",NOT(IFERROR(AND(LEN($A33&amp;"")=9,ISNUMBER(--($A33&amp;""))),FALSE))),AND($A33&lt;&gt;"",OR($A33="123456789",$A33="987654321",$A33="012345678",$A33=REPT(LEFT($A33&amp;"",1),9)))),"Employee SSN, ","")&amp;IF(OR(AND($O33&lt;&gt;"",$B33=""),AND($B33&lt;&gt;"",OR(NOT(IFERROR(AND(LEN($B33&amp;"")=9,ISNUMBER(--($B33&amp;""))),FALSE)),$B33=$A33,$B33="123456789",$B33="987654321",$B33="012345678",$B33=REPT(LEFT($B33&amp;"",1),9)))),"Dependent SSN, ","")&amp;IF(OR($C33="",LEN($C33)&gt;19,AND($C33&lt;&gt;"",SUMPRODUCT(--(ROW($1:$19)&lt;=LEN($C33&amp;"")),--ISERROR(FIND(MID($C33&amp;"",ROW($1:$19),1),"ABCDEFGHIJKLMNOPQRSTUVWXYZabcdefghijklmnopqrstuvwxyz .,")))&gt;0)),"First Name, ","")&amp;IF(OR($D33="",LEN($D33)&gt;26,AND($D33&lt;&gt;"",SUMPRODUCT(--(ROW($1:$26)&lt;=LEN($D33&amp;"")),--ISERROR(FIND(MID($D33&amp;"",ROW($1:$26),1),"ABCDEFGHIJKLMNOPQRSTUVWXYZabcdefghijklmnopqrstuvwxyz .,")))&gt;0)),"Last Name, ","")&amp;IF(OR(LEN($E33)&gt;1,AND($E33&lt;&gt;"",SUMPRODUCT(--(ROW($1:$1)&lt;=LEN($E33&amp;"")),--ISERROR(FIND(MID($E33&amp;"",ROW($1:$1),1),"ABCDEFGHIJKLMNOPQRSTUVWXYZabcdefghijklmnopqrstuvwxyz .,")))&gt;0)),"Middle Initial, ","")&amp;IF(OR($F33="",LEN($F33)&gt;75),"Address, ","")&amp;IF(OR($H33="",LEN($H33)&gt;30),"City, ","")&amp;IF(AND($K33="US",OR($I33="",LEN($I33)&lt;&gt;2)),"State, ","")&amp;IF($J33="","ZIP, ","")&amp;IF(OR($K33="",AND($K33&lt;&gt;"US",$K33&lt;&gt;"CA")),"Country, ","")&amp;IF(OR($L33="",AND($L33&lt;&gt;"",OR(NOT(ISNUMBER($L33)),$L33&lt;=DATE(1900,1,1),$L33&gt;TODAY()))),"Birthdate, ","")&amp;IF(AND($N33&lt;&gt;"",NOT(IFERROR(AND(ISNUMBER(SEARCH("@",$N33)),ISNUMBER(SEARCH(".",$N33,SEARCH("@",$N33)+2))),FALSE))),"Email, ","")&amp;IF(OR(AND($B33&lt;&gt;"",$O33=""),AND($O33&lt;&gt;"",$O33&lt;&gt;"Spouse or Common Law Spouse",$O33&lt;&gt;"Domestic Partner",$O33&lt;&gt;"Child",$O33&lt;&gt;"Other",$O33&lt;&gt;"Estate",$O33&lt;&gt;"Unknown")),"Dependent Relationship, ","")&amp;IF($AA33&lt;&gt;"","Household, ","")&amp;IF(OR($P33="",AND($P33&lt;&gt;"",OR(NOT(ISNUMBER($P33)),$P33&lt;=DATE(1900,1,1)))),"Eligibility Date, ","")&amp;IF(OR(AND($R33="Terminated",$Q33=""),AND($Q33&lt;&gt;"",OR(NOT(ISNUMBER($Q33)),$Q33&lt;=DATE(1900,1,1))),AND(ISNUMBER($P33),ISNUMBER($Q33),$Q33&lt;$P33)),"Termination Date, ","")&amp;IF(OR($R33="",AND($R33&lt;&gt;"Active",$R33&lt;&gt;"Terminated"),AND('START HERE'!$C$8="Terminations Only",$R33&lt;&gt;"Terminated")),"Status, ","")&amp;IF($S33="","Plan Name, ","")&amp;IF($T33="","Coverage Level, ","")&amp;IF(AND($U33&lt;&gt;"",OR(NOT(ISNUMBER($U33)),$U33&lt;0)),"Funding, ","")&amp;IF(AND($A33&lt;&gt;"",$S33&lt;&gt;"",COUNTIFS($A$2:$A$501,$A33,$B$2:$B$501,$B33,$S$2:$S$501,$S33)&gt;1),"Duplicate Row, ",""))</f>
        <v/>
      </c>
      <c r="AF33">
        <f>IF(COUNTA($A33:$U33)=0,"",$Y33&amp;$Z33&amp;$AA33&amp;$AB33&amp;$AC33)</f>
        <v/>
      </c>
      <c r="AG33">
        <f>IF($N33="","",LOWER(TRIM($N33)))</f>
        <v/>
      </c>
      <c r="AH33">
        <f>IF($A33="","",COUNTIFS($A$2:$A$501,$A33,$AI$2:$AI$501,1))</f>
        <v/>
      </c>
      <c r="AI33">
        <f>IF(COUNTA($A33:$U33)=0,"",--($AF33&lt;&gt;""))</f>
        <v/>
      </c>
      <c r="AJ33">
        <f>IF(COUNTA($A33:$U33)=0,"",--($AD33&lt;&gt;""))</f>
        <v/>
      </c>
    </row>
    <row r="34" ht="20" customHeight="1">
      <c r="A34" s="80" t="n"/>
      <c r="B34" s="80" t="n"/>
      <c r="C34" s="81" t="n"/>
      <c r="D34" s="81" t="n"/>
      <c r="E34" s="80" t="n"/>
      <c r="F34" s="81" t="n"/>
      <c r="G34" s="81" t="n"/>
      <c r="H34" s="81" t="n"/>
      <c r="I34" s="80" t="n"/>
      <c r="J34" s="80" t="n"/>
      <c r="K34" s="80" t="n"/>
      <c r="L34" s="82" t="n"/>
      <c r="M34" s="80" t="n"/>
      <c r="N34" s="80" t="n"/>
      <c r="O34" s="80" t="n"/>
      <c r="P34" s="82" t="n"/>
      <c r="Q34" s="82" t="n"/>
      <c r="R34" s="80" t="n"/>
      <c r="S34" s="80" t="n"/>
      <c r="T34" s="80" t="n"/>
      <c r="U34" s="83" t="n"/>
      <c r="V34">
        <f>IF($A34="","",IF($A34=$A33,$V33,IF($V33="",0,1-$V33)))</f>
        <v/>
      </c>
      <c r="W34">
        <f>IF($B34&lt;&gt;"",$B34,$A34)</f>
        <v/>
      </c>
      <c r="X34">
        <f>IF(COUNTA($A34:$U34)=0,"",IF(OR($B34&lt;&gt;"",$O34&lt;&gt;""),"Dependent","Employee"))</f>
        <v/>
      </c>
      <c r="Y34">
        <f>IF(COUNTA($A34:$U34)=0,"",IF($A34="","Employee SSN is required; ","")&amp;IF($C34="","First Name is required; ","")&amp;IF(LEN($C34&amp;"")&gt;19,"First Name exceeds 19 characters; ","")&amp;IF(AND($C34&lt;&gt;"",SUMPRODUCT(--(ROW($1:$19)&lt;=LEN($C34&amp;"")),--ISERROR(FIND(MID($C34&amp;"",ROW($1:$19),1),"ABCDEFGHIJKLMNOPQRSTUVWXYZabcdefghijklmnopqrstuvwxyz .,")))&gt;0),"First Name contains unsupported or encoded characters; use plain A-Z letters only; ","")&amp;IF($D34="","Last Name is required; ","")&amp;IF(LEN($D34&amp;"")&gt;26,"Last Name exceeds 26 characters; ","")&amp;IF(AND($D34&lt;&gt;"",SUMPRODUCT(--(ROW($1:$26)&lt;=LEN($D34&amp;"")),--ISERROR(FIND(MID($D34&amp;"",ROW($1:$26),1),"ABCDEFGHIJKLMNOPQRSTUVWXYZabcdefghijklmnopqrstuvwxyz .,")))&gt;0),"Last Name contains unsupported or encoded characters; use plain A-Z letters only; ","")&amp;IF(LEN($E34&amp;"")&gt;1,"Middle Initial may contain only one character; ","")&amp;IF(AND($E34&lt;&gt;"",SUMPRODUCT(--(ROW($1:$1)&lt;=LEN($E34&amp;"")),--ISERROR(FIND(MID($E34&amp;"",ROW($1:$1),1),"ABCDEFGHIJKLMNOPQRSTUVWXYZabcdefghijklmnopqrstuvwxyz .,")))&gt;0),"Middle Initial must be a plain A-Z letter; ","")&amp;IF($F34="","Address is required; ","")&amp;IF(LEN($F34&amp;"")&gt;75,"Address exceeds 75 characters; ","")&amp;IF(LEN($G34&amp;"")&gt;75,"Address 2 exceeds 75 characters; ","")&amp;IF($H34="","City is required; ","")&amp;IF(LEN($H34&amp;"")&gt;30,"City exceeds 30 characters; ","")&amp;IF($K34="","Country is required; ","")&amp;IF(AND($K34&lt;&gt;"",$K34&lt;&gt;"US",$K34&lt;&gt;"CA"),"Country must be US or CA; ","")&amp;IF(AND($K34="US",OR($I34="",LEN($I34&amp;"")&lt;&gt;2)),"Use a 2-letter state code; ","")&amp;IF($J34="","ZIP or postal code is required; ","")&amp;IF(AND($K34="US",$J34&lt;&gt;"",NOT(IFERROR(OR(AND(LEN($J34&amp;"")=5,ISNUMBER(--($J34&amp;""))),AND(LEN($J34&amp;"")=9,ISNUMBER(--($J34&amp;""))),AND(LEN($J34&amp;"")=10,MID($J34&amp;"",6,1)="-",ISNUMBER(--SUBSTITUTE($J34&amp;"","-","")))),FALSE))),"US ZIP must be 5 or 9 digits, with an optional ZIP+4 hyphen; ","")&amp;IF(AND($N34&lt;&gt;"",NOT(IFERROR(AND(ISNUMBER(SEARCH("@",$N34)),ISNUMBER(SEARCH(".",$N34,SEARCH("@",$N34)+2))),FALSE))),"Email format appears invalid; ","")&amp;IF(AND($O34&lt;&gt;"",$B34=""),"Dependent SSN is required for every dependent; ","")&amp;IF(AND($B34&lt;&gt;"",$O34=""),"Dependent Relationship is required when Dependent SSN is entered; ","")&amp;IF(AND($O34&lt;&gt;"",$O34&lt;&gt;"Spouse or Common Law Spouse",$O34&lt;&gt;"Domestic Partner",$O34&lt;&gt;"Child",$O34&lt;&gt;"Other",$O34&lt;&gt;"Estate",$O34&lt;&gt;"Unknown"),"Dependent Relationship must use one of the approved options; ",""))</f>
        <v/>
      </c>
      <c r="Z34">
        <f>IF(COUNTA($A34:$U34)=0,"",IF(AND($A34&lt;&gt;"",NOT(IFERROR(AND(LEN($A34&amp;"")=9,ISNUMBER(--($A34&amp;""))),FALSE))),"Employee SSN must contain exactly 9 digits; ","")&amp;IF(AND($A34&lt;&gt;"",OR($A34="123456789",$A34="987654321",$A34="012345678",$A34=REPT(LEFT($A34&amp;"",1),9))),"Employee SSN appears to be a placeholder; ","")&amp;IF(AND($B34&lt;&gt;"",NOT(IFERROR(AND(LEN($B34&amp;"")=9,ISNUMBER(--($B34&amp;""))),FALSE))),"Dependent SSN must contain exactly 9 digits; ","")&amp;IF(AND($B34&lt;&gt;"",OR($B34="123456789",$B34="987654321",$B34="012345678",$B34=REPT(LEFT($B34&amp;"",1),9))),"Dependent SSN appears to be a placeholder; ","")&amp;IF(AND($A34&lt;&gt;"",$B34&lt;&gt;"",$A34&amp;""=$B34&amp;""),"Dependent SSN cannot match Employee SSN; ","")&amp;IF(AND($W34&lt;&gt;"",OR(COUNTIFS($W$2:$W$501,$W34,$C$2:$C$501,"&lt;&gt;"&amp;$C34)&gt;0,COUNTIFS($W$2:$W$501,$W34,$D$2:$D$501,"&lt;&gt;"&amp;$D34)&gt;0,COUNTIFS($W$2:$W$501,$W34,$L$2:$L$501,"&lt;&gt;"&amp;$L34)&gt;0)),"The same SSN is associated with a different name or birthdate; ",""))</f>
        <v/>
      </c>
      <c r="AA34">
        <f>IF(COUNTA($A34:$U34)=0,"",IF(AND($A34&lt;&gt;"",$S34&lt;&gt;"",COUNTIFS($A$2:$A$501,$A34,$S$2:$S$501,$S34,$B$2:$B$501,"",$O$2:$O$501,"")=0),"Add an employee row for this household and plan; ","")&amp;IF(AND($X34="Dependent",COUNTIFS($A$2:$A34,$A34,$S$2:$S34,$S34,$B$2:$B34,"",$O$2:$O34,"")=0),"Place the employee row before dependent rows for this plan; ","")&amp;IF(AND($X34="Dependent",COUNTIFS($A$2:$A$501,$A34,$S$2:$S$501,$S34,$B$2:$B$501,"",$O$2:$O$501,"")&gt;0,IFERROR(OR($P34&lt;&gt;LOOKUP(2,1/(($A$2:$A$501=$A34)*($S$2:$S$501=$S34)*($B$2:$B$501="")*($O$2:$O$501="")),$P$2:$P$501),$Q34&lt;&gt;LOOKUP(2,1/(($A$2:$A$501=$A34)*($S$2:$S$501=$S34)*($B$2:$B$501="")*($O$2:$O$501="")),$Q$2:$Q$501),$R34&lt;&gt;LOOKUP(2,1/(($A$2:$A$501=$A34)*($S$2:$S$501=$S34)*($B$2:$B$501="")*($O$2:$O$501="")),$R$2:$R$501),$T34&lt;&gt;LOOKUP(2,1/(($A$2:$A$501=$A34)*($S$2:$S$501=$S34)*($B$2:$B$501="")*($O$2:$O$501="")),$T$2:$T$501),$U34&lt;&gt;LOOKUP(2,1/(($A$2:$A$501=$A34)*($S$2:$S$501=$S34)*($B$2:$B$501="")*($O$2:$O$501="")),$U$2:$U$501)),FALSE)),"Dependent row does not match the employee row for eligibility, status, coverage level, or funding; ",""))</f>
        <v/>
      </c>
      <c r="AB34">
        <f>IF(COUNTA($A34:$U34)=0,"",IF($L34="","Birthdate is required; ","")&amp;IF(AND($L34&lt;&gt;"",OR(NOT(ISNUMBER($L34)),$L34&lt;=DATE(1900,1,1),$L34&gt;TODAY())),"Birthdate must be an exact valid past date; ","")&amp;IF($P34="","Eligibility Date is required; ","")&amp;IF(AND($P34&lt;&gt;"",OR(NOT(ISNUMBER($P34)),$P34&lt;=DATE(1900,1,1))),"Eligibility Date must be a valid date; ","")&amp;IF(AND($R34="Terminated",$Q34=""),"Termination Date is required when Status is Terminated; ","")&amp;IF(AND($Q34&lt;&gt;"",OR(NOT(ISNUMBER($Q34)),$Q34&lt;=DATE(1900,1,1))),"Termination Date must be a valid date; ","")&amp;IF(AND(ISNUMBER($P34),ISNUMBER($Q34),$Q34&lt;$P34),"Termination Date cannot be before Eligibility Date; ","")&amp;IF($R34="","Status is required; ","")&amp;IF(AND($R34&lt;&gt;"",$R34&lt;&gt;"Active",$R34&lt;&gt;"Terminated"),"Status must be Active or Terminated; ","")&amp;IF(AND('START HERE'!$C$8="Terminations Only",$R34&lt;&gt;"Terminated"),"Terminations Only files must contain terminated records; ",""))</f>
        <v/>
      </c>
      <c r="AC34">
        <f>IF(COUNTA($A34:$U34)=0,"",IF($S34="","Plan Name is required; ","")&amp;IF($T34="","Benefit Coverage Level is required; ","")&amp;IF(AND($U34&lt;&gt;"",OR(NOT(ISNUMBER($U34)),$U34&lt;0)),"Plan Funding Amount must be a nonnegative number; ","")&amp;IF(AND($A34&lt;&gt;"",$S34&lt;&gt;"",COUNTIFS($A$2:$A$501,$A34,$B$2:$B$501,$B34,$S$2:$S$501,$S34)&gt;1),"Duplicate participant and plan row; ",""))</f>
        <v/>
      </c>
      <c r="AD34">
        <f>IF(COUNTA($A34:$U34)=0,"",IF(AND($X34="Employee",$M34="",$N34=""),"No employee phone or email provided; ","")&amp;IF(AND($R34="Active",$Q34&lt;&gt;""),"Active record includes a Termination Date; confirm this is intentional; ","")&amp;IF(AND($B34&lt;&gt;"",$B34&amp;""&lt;&gt;$A34&amp;"",COUNTIF($A$2:$A$501,$B34)&gt;0),"Dependent SSN also appears as an Employee SSN elsewhere; confirm dual-employee coverage is intentional; ","")&amp;IF(AND($B34&lt;&gt;"",COUNTIF($B$2:$B$501,$B34)&gt;COUNTIFS($A$2:$A$501,$A34,$B$2:$B$501,$B34)),"Dependent SSN appears under more than one employee; confirm duplicate family coverage is intentional; ","")&amp;IF(AND(ROW()&gt;2,$A34&lt;&gt;"",$A34&lt;&gt;$A33,COUNTIF($A$2:$A33,$A34)&gt;0),"This household appears in more than one section of the census; keep the family together; ","")&amp;IF(OR(AND($C34&lt;&gt;"",LEN($C34&amp;"")&lt;&gt;LEN(TRIM($C34&amp;""))),AND($D34&lt;&gt;"",LEN($D34&amp;"")&lt;&gt;LEN(TRIM($D34&amp;""))),AND($E34&lt;&gt;"",LEN($E34&amp;"")&lt;&gt;LEN(TRIM($E34&amp;""))),AND($F34&lt;&gt;"",LEN($F34&amp;"")&lt;&gt;LEN(TRIM($F34&amp;""))),AND($G34&lt;&gt;"",LEN($G34&amp;"")&lt;&gt;LEN(TRIM($G34&amp;""))),AND($H34&lt;&gt;"",LEN($H34&amp;"")&lt;&gt;LEN(TRIM($H34&amp;""))),AND($I34&lt;&gt;"",LEN($I34&amp;"")&lt;&gt;LEN(TRIM($I34&amp;""))),AND($J34&lt;&gt;"",LEN($J34&amp;"")&lt;&gt;LEN(TRIM($J34&amp;""))),AND($K34&lt;&gt;"",LEN($K34&amp;"")&lt;&gt;LEN(TRIM($K34&amp;""))),AND($M34&lt;&gt;"",LEN($M34&amp;"")&lt;&gt;LEN(TRIM($M34&amp;""))),AND($N34&lt;&gt;"",LEN($N34&amp;"")&lt;&gt;LEN(TRIM($N34&amp;""))),AND($O34&lt;&gt;"",LEN($O34&amp;"")&lt;&gt;LEN(TRIM($O34&amp;""))),AND($R34&lt;&gt;"",LEN($R34&amp;"")&lt;&gt;LEN(TRIM($R34&amp;""))),AND($S34&lt;&gt;"",LEN($S34&amp;"")&lt;&gt;LEN(TRIM($S34&amp;""))),AND($T34&lt;&gt;"",LEN($T34&amp;"")&lt;&gt;LEN(TRIM($T34&amp;"")))),"Remove leading or trailing spaces from text fields; ","")&amp;IF(OR(AND(LEN($C34)&gt;1,OR(EXACT($C34,UPPER($C34)),EXACT($C34,LOWER($C34)))),AND(LEN($D34)&gt;1,OR(EXACT($D34,UPPER($D34)),EXACT($D34,LOWER($D34)))),AND(LEN($H34)&gt;1,OR(EXACT($H34,UPPER($H34)),EXACT($H34,LOWER($H34))))),"Review capitalization in First Name, Last Name, or City; ","")&amp;IF(AND($N34&lt;&gt;"",NOT(EXACT($N34,LOWER($N34)))),"Email will be standardized to lowercase in the clean output; ","")&amp;IF(AND(OR('START HERE'!$C$8="Initial Enrollment",'START HERE'!$C$8="Open Enrollment"),$R34="Terminated"),"A terminated row is included in an initial or open enrollment file; confirm this is intentional; ",""))</f>
        <v/>
      </c>
      <c r="AE34">
        <f>IF(COUNTA($A34:$U34)=0,"",IF(OR($A34="",AND($A34&lt;&gt;"",NOT(IFERROR(AND(LEN($A34&amp;"")=9,ISNUMBER(--($A34&amp;""))),FALSE))),AND($A34&lt;&gt;"",OR($A34="123456789",$A34="987654321",$A34="012345678",$A34=REPT(LEFT($A34&amp;"",1),9)))),"Employee SSN, ","")&amp;IF(OR(AND($O34&lt;&gt;"",$B34=""),AND($B34&lt;&gt;"",OR(NOT(IFERROR(AND(LEN($B34&amp;"")=9,ISNUMBER(--($B34&amp;""))),FALSE)),$B34=$A34,$B34="123456789",$B34="987654321",$B34="012345678",$B34=REPT(LEFT($B34&amp;"",1),9)))),"Dependent SSN, ","")&amp;IF(OR($C34="",LEN($C34)&gt;19,AND($C34&lt;&gt;"",SUMPRODUCT(--(ROW($1:$19)&lt;=LEN($C34&amp;"")),--ISERROR(FIND(MID($C34&amp;"",ROW($1:$19),1),"ABCDEFGHIJKLMNOPQRSTUVWXYZabcdefghijklmnopqrstuvwxyz .,")))&gt;0)),"First Name, ","")&amp;IF(OR($D34="",LEN($D34)&gt;26,AND($D34&lt;&gt;"",SUMPRODUCT(--(ROW($1:$26)&lt;=LEN($D34&amp;"")),--ISERROR(FIND(MID($D34&amp;"",ROW($1:$26),1),"ABCDEFGHIJKLMNOPQRSTUVWXYZabcdefghijklmnopqrstuvwxyz .,")))&gt;0)),"Last Name, ","")&amp;IF(OR(LEN($E34)&gt;1,AND($E34&lt;&gt;"",SUMPRODUCT(--(ROW($1:$1)&lt;=LEN($E34&amp;"")),--ISERROR(FIND(MID($E34&amp;"",ROW($1:$1),1),"ABCDEFGHIJKLMNOPQRSTUVWXYZabcdefghijklmnopqrstuvwxyz .,")))&gt;0)),"Middle Initial, ","")&amp;IF(OR($F34="",LEN($F34)&gt;75),"Address, ","")&amp;IF(OR($H34="",LEN($H34)&gt;30),"City, ","")&amp;IF(AND($K34="US",OR($I34="",LEN($I34)&lt;&gt;2)),"State, ","")&amp;IF($J34="","ZIP, ","")&amp;IF(OR($K34="",AND($K34&lt;&gt;"US",$K34&lt;&gt;"CA")),"Country, ","")&amp;IF(OR($L34="",AND($L34&lt;&gt;"",OR(NOT(ISNUMBER($L34)),$L34&lt;=DATE(1900,1,1),$L34&gt;TODAY()))),"Birthdate, ","")&amp;IF(AND($N34&lt;&gt;"",NOT(IFERROR(AND(ISNUMBER(SEARCH("@",$N34)),ISNUMBER(SEARCH(".",$N34,SEARCH("@",$N34)+2))),FALSE))),"Email, ","")&amp;IF(OR(AND($B34&lt;&gt;"",$O34=""),AND($O34&lt;&gt;"",$O34&lt;&gt;"Spouse or Common Law Spouse",$O34&lt;&gt;"Domestic Partner",$O34&lt;&gt;"Child",$O34&lt;&gt;"Other",$O34&lt;&gt;"Estate",$O34&lt;&gt;"Unknown")),"Dependent Relationship, ","")&amp;IF($AA34&lt;&gt;"","Household, ","")&amp;IF(OR($P34="",AND($P34&lt;&gt;"",OR(NOT(ISNUMBER($P34)),$P34&lt;=DATE(1900,1,1)))),"Eligibility Date, ","")&amp;IF(OR(AND($R34="Terminated",$Q34=""),AND($Q34&lt;&gt;"",OR(NOT(ISNUMBER($Q34)),$Q34&lt;=DATE(1900,1,1))),AND(ISNUMBER($P34),ISNUMBER($Q34),$Q34&lt;$P34)),"Termination Date, ","")&amp;IF(OR($R34="",AND($R34&lt;&gt;"Active",$R34&lt;&gt;"Terminated"),AND('START HERE'!$C$8="Terminations Only",$R34&lt;&gt;"Terminated")),"Status, ","")&amp;IF($S34="","Plan Name, ","")&amp;IF($T34="","Coverage Level, ","")&amp;IF(AND($U34&lt;&gt;"",OR(NOT(ISNUMBER($U34)),$U34&lt;0)),"Funding, ","")&amp;IF(AND($A34&lt;&gt;"",$S34&lt;&gt;"",COUNTIFS($A$2:$A$501,$A34,$B$2:$B$501,$B34,$S$2:$S$501,$S34)&gt;1),"Duplicate Row, ",""))</f>
        <v/>
      </c>
      <c r="AF34">
        <f>IF(COUNTA($A34:$U34)=0,"",$Y34&amp;$Z34&amp;$AA34&amp;$AB34&amp;$AC34)</f>
        <v/>
      </c>
      <c r="AG34">
        <f>IF($N34="","",LOWER(TRIM($N34)))</f>
        <v/>
      </c>
      <c r="AH34">
        <f>IF($A34="","",COUNTIFS($A$2:$A$501,$A34,$AI$2:$AI$501,1))</f>
        <v/>
      </c>
      <c r="AI34">
        <f>IF(COUNTA($A34:$U34)=0,"",--($AF34&lt;&gt;""))</f>
        <v/>
      </c>
      <c r="AJ34">
        <f>IF(COUNTA($A34:$U34)=0,"",--($AD34&lt;&gt;""))</f>
        <v/>
      </c>
    </row>
    <row r="35" ht="20" customHeight="1">
      <c r="A35" s="80" t="n"/>
      <c r="B35" s="80" t="n"/>
      <c r="C35" s="81" t="n"/>
      <c r="D35" s="81" t="n"/>
      <c r="E35" s="80" t="n"/>
      <c r="F35" s="81" t="n"/>
      <c r="G35" s="81" t="n"/>
      <c r="H35" s="81" t="n"/>
      <c r="I35" s="80" t="n"/>
      <c r="J35" s="80" t="n"/>
      <c r="K35" s="80" t="n"/>
      <c r="L35" s="82" t="n"/>
      <c r="M35" s="80" t="n"/>
      <c r="N35" s="80" t="n"/>
      <c r="O35" s="80" t="n"/>
      <c r="P35" s="82" t="n"/>
      <c r="Q35" s="82" t="n"/>
      <c r="R35" s="80" t="n"/>
      <c r="S35" s="80" t="n"/>
      <c r="T35" s="80" t="n"/>
      <c r="U35" s="83" t="n"/>
      <c r="V35">
        <f>IF($A35="","",IF($A35=$A34,$V34,IF($V34="",0,1-$V34)))</f>
        <v/>
      </c>
      <c r="W35">
        <f>IF($B35&lt;&gt;"",$B35,$A35)</f>
        <v/>
      </c>
      <c r="X35">
        <f>IF(COUNTA($A35:$U35)=0,"",IF(OR($B35&lt;&gt;"",$O35&lt;&gt;""),"Dependent","Employee"))</f>
        <v/>
      </c>
      <c r="Y35">
        <f>IF(COUNTA($A35:$U35)=0,"",IF($A35="","Employee SSN is required; ","")&amp;IF($C35="","First Name is required; ","")&amp;IF(LEN($C35&amp;"")&gt;19,"First Name exceeds 19 characters; ","")&amp;IF(AND($C35&lt;&gt;"",SUMPRODUCT(--(ROW($1:$19)&lt;=LEN($C35&amp;"")),--ISERROR(FIND(MID($C35&amp;"",ROW($1:$19),1),"ABCDEFGHIJKLMNOPQRSTUVWXYZabcdefghijklmnopqrstuvwxyz .,")))&gt;0),"First Name contains unsupported or encoded characters; use plain A-Z letters only; ","")&amp;IF($D35="","Last Name is required; ","")&amp;IF(LEN($D35&amp;"")&gt;26,"Last Name exceeds 26 characters; ","")&amp;IF(AND($D35&lt;&gt;"",SUMPRODUCT(--(ROW($1:$26)&lt;=LEN($D35&amp;"")),--ISERROR(FIND(MID($D35&amp;"",ROW($1:$26),1),"ABCDEFGHIJKLMNOPQRSTUVWXYZabcdefghijklmnopqrstuvwxyz .,")))&gt;0),"Last Name contains unsupported or encoded characters; use plain A-Z letters only; ","")&amp;IF(LEN($E35&amp;"")&gt;1,"Middle Initial may contain only one character; ","")&amp;IF(AND($E35&lt;&gt;"",SUMPRODUCT(--(ROW($1:$1)&lt;=LEN($E35&amp;"")),--ISERROR(FIND(MID($E35&amp;"",ROW($1:$1),1),"ABCDEFGHIJKLMNOPQRSTUVWXYZabcdefghijklmnopqrstuvwxyz .,")))&gt;0),"Middle Initial must be a plain A-Z letter; ","")&amp;IF($F35="","Address is required; ","")&amp;IF(LEN($F35&amp;"")&gt;75,"Address exceeds 75 characters; ","")&amp;IF(LEN($G35&amp;"")&gt;75,"Address 2 exceeds 75 characters; ","")&amp;IF($H35="","City is required; ","")&amp;IF(LEN($H35&amp;"")&gt;30,"City exceeds 30 characters; ","")&amp;IF($K35="","Country is required; ","")&amp;IF(AND($K35&lt;&gt;"",$K35&lt;&gt;"US",$K35&lt;&gt;"CA"),"Country must be US or CA; ","")&amp;IF(AND($K35="US",OR($I35="",LEN($I35&amp;"")&lt;&gt;2)),"Use a 2-letter state code; ","")&amp;IF($J35="","ZIP or postal code is required; ","")&amp;IF(AND($K35="US",$J35&lt;&gt;"",NOT(IFERROR(OR(AND(LEN($J35&amp;"")=5,ISNUMBER(--($J35&amp;""))),AND(LEN($J35&amp;"")=9,ISNUMBER(--($J35&amp;""))),AND(LEN($J35&amp;"")=10,MID($J35&amp;"",6,1)="-",ISNUMBER(--SUBSTITUTE($J35&amp;"","-","")))),FALSE))),"US ZIP must be 5 or 9 digits, with an optional ZIP+4 hyphen; ","")&amp;IF(AND($N35&lt;&gt;"",NOT(IFERROR(AND(ISNUMBER(SEARCH("@",$N35)),ISNUMBER(SEARCH(".",$N35,SEARCH("@",$N35)+2))),FALSE))),"Email format appears invalid; ","")&amp;IF(AND($O35&lt;&gt;"",$B35=""),"Dependent SSN is required for every dependent; ","")&amp;IF(AND($B35&lt;&gt;"",$O35=""),"Dependent Relationship is required when Dependent SSN is entered; ","")&amp;IF(AND($O35&lt;&gt;"",$O35&lt;&gt;"Spouse or Common Law Spouse",$O35&lt;&gt;"Domestic Partner",$O35&lt;&gt;"Child",$O35&lt;&gt;"Other",$O35&lt;&gt;"Estate",$O35&lt;&gt;"Unknown"),"Dependent Relationship must use one of the approved options; ",""))</f>
        <v/>
      </c>
      <c r="Z35">
        <f>IF(COUNTA($A35:$U35)=0,"",IF(AND($A35&lt;&gt;"",NOT(IFERROR(AND(LEN($A35&amp;"")=9,ISNUMBER(--($A35&amp;""))),FALSE))),"Employee SSN must contain exactly 9 digits; ","")&amp;IF(AND($A35&lt;&gt;"",OR($A35="123456789",$A35="987654321",$A35="012345678",$A35=REPT(LEFT($A35&amp;"",1),9))),"Employee SSN appears to be a placeholder; ","")&amp;IF(AND($B35&lt;&gt;"",NOT(IFERROR(AND(LEN($B35&amp;"")=9,ISNUMBER(--($B35&amp;""))),FALSE))),"Dependent SSN must contain exactly 9 digits; ","")&amp;IF(AND($B35&lt;&gt;"",OR($B35="123456789",$B35="987654321",$B35="012345678",$B35=REPT(LEFT($B35&amp;"",1),9))),"Dependent SSN appears to be a placeholder; ","")&amp;IF(AND($A35&lt;&gt;"",$B35&lt;&gt;"",$A35&amp;""=$B35&amp;""),"Dependent SSN cannot match Employee SSN; ","")&amp;IF(AND($W35&lt;&gt;"",OR(COUNTIFS($W$2:$W$501,$W35,$C$2:$C$501,"&lt;&gt;"&amp;$C35)&gt;0,COUNTIFS($W$2:$W$501,$W35,$D$2:$D$501,"&lt;&gt;"&amp;$D35)&gt;0,COUNTIFS($W$2:$W$501,$W35,$L$2:$L$501,"&lt;&gt;"&amp;$L35)&gt;0)),"The same SSN is associated with a different name or birthdate; ",""))</f>
        <v/>
      </c>
      <c r="AA35">
        <f>IF(COUNTA($A35:$U35)=0,"",IF(AND($A35&lt;&gt;"",$S35&lt;&gt;"",COUNTIFS($A$2:$A$501,$A35,$S$2:$S$501,$S35,$B$2:$B$501,"",$O$2:$O$501,"")=0),"Add an employee row for this household and plan; ","")&amp;IF(AND($X35="Dependent",COUNTIFS($A$2:$A35,$A35,$S$2:$S35,$S35,$B$2:$B35,"",$O$2:$O35,"")=0),"Place the employee row before dependent rows for this plan; ","")&amp;IF(AND($X35="Dependent",COUNTIFS($A$2:$A$501,$A35,$S$2:$S$501,$S35,$B$2:$B$501,"",$O$2:$O$501,"")&gt;0,IFERROR(OR($P35&lt;&gt;LOOKUP(2,1/(($A$2:$A$501=$A35)*($S$2:$S$501=$S35)*($B$2:$B$501="")*($O$2:$O$501="")),$P$2:$P$501),$Q35&lt;&gt;LOOKUP(2,1/(($A$2:$A$501=$A35)*($S$2:$S$501=$S35)*($B$2:$B$501="")*($O$2:$O$501="")),$Q$2:$Q$501),$R35&lt;&gt;LOOKUP(2,1/(($A$2:$A$501=$A35)*($S$2:$S$501=$S35)*($B$2:$B$501="")*($O$2:$O$501="")),$R$2:$R$501),$T35&lt;&gt;LOOKUP(2,1/(($A$2:$A$501=$A35)*($S$2:$S$501=$S35)*($B$2:$B$501="")*($O$2:$O$501="")),$T$2:$T$501),$U35&lt;&gt;LOOKUP(2,1/(($A$2:$A$501=$A35)*($S$2:$S$501=$S35)*($B$2:$B$501="")*($O$2:$O$501="")),$U$2:$U$501)),FALSE)),"Dependent row does not match the employee row for eligibility, status, coverage level, or funding; ",""))</f>
        <v/>
      </c>
      <c r="AB35">
        <f>IF(COUNTA($A35:$U35)=0,"",IF($L35="","Birthdate is required; ","")&amp;IF(AND($L35&lt;&gt;"",OR(NOT(ISNUMBER($L35)),$L35&lt;=DATE(1900,1,1),$L35&gt;TODAY())),"Birthdate must be an exact valid past date; ","")&amp;IF($P35="","Eligibility Date is required; ","")&amp;IF(AND($P35&lt;&gt;"",OR(NOT(ISNUMBER($P35)),$P35&lt;=DATE(1900,1,1))),"Eligibility Date must be a valid date; ","")&amp;IF(AND($R35="Terminated",$Q35=""),"Termination Date is required when Status is Terminated; ","")&amp;IF(AND($Q35&lt;&gt;"",OR(NOT(ISNUMBER($Q35)),$Q35&lt;=DATE(1900,1,1))),"Termination Date must be a valid date; ","")&amp;IF(AND(ISNUMBER($P35),ISNUMBER($Q35),$Q35&lt;$P35),"Termination Date cannot be before Eligibility Date; ","")&amp;IF($R35="","Status is required; ","")&amp;IF(AND($R35&lt;&gt;"",$R35&lt;&gt;"Active",$R35&lt;&gt;"Terminated"),"Status must be Active or Terminated; ","")&amp;IF(AND('START HERE'!$C$8="Terminations Only",$R35&lt;&gt;"Terminated"),"Terminations Only files must contain terminated records; ",""))</f>
        <v/>
      </c>
      <c r="AC35">
        <f>IF(COUNTA($A35:$U35)=0,"",IF($S35="","Plan Name is required; ","")&amp;IF($T35="","Benefit Coverage Level is required; ","")&amp;IF(AND($U35&lt;&gt;"",OR(NOT(ISNUMBER($U35)),$U35&lt;0)),"Plan Funding Amount must be a nonnegative number; ","")&amp;IF(AND($A35&lt;&gt;"",$S35&lt;&gt;"",COUNTIFS($A$2:$A$501,$A35,$B$2:$B$501,$B35,$S$2:$S$501,$S35)&gt;1),"Duplicate participant and plan row; ",""))</f>
        <v/>
      </c>
      <c r="AD35">
        <f>IF(COUNTA($A35:$U35)=0,"",IF(AND($X35="Employee",$M35="",$N35=""),"No employee phone or email provided; ","")&amp;IF(AND($R35="Active",$Q35&lt;&gt;""),"Active record includes a Termination Date; confirm this is intentional; ","")&amp;IF(AND($B35&lt;&gt;"",$B35&amp;""&lt;&gt;$A35&amp;"",COUNTIF($A$2:$A$501,$B35)&gt;0),"Dependent SSN also appears as an Employee SSN elsewhere; confirm dual-employee coverage is intentional; ","")&amp;IF(AND($B35&lt;&gt;"",COUNTIF($B$2:$B$501,$B35)&gt;COUNTIFS($A$2:$A$501,$A35,$B$2:$B$501,$B35)),"Dependent SSN appears under more than one employee; confirm duplicate family coverage is intentional; ","")&amp;IF(AND(ROW()&gt;2,$A35&lt;&gt;"",$A35&lt;&gt;$A34,COUNTIF($A$2:$A34,$A35)&gt;0),"This household appears in more than one section of the census; keep the family together; ","")&amp;IF(OR(AND($C35&lt;&gt;"",LEN($C35&amp;"")&lt;&gt;LEN(TRIM($C35&amp;""))),AND($D35&lt;&gt;"",LEN($D35&amp;"")&lt;&gt;LEN(TRIM($D35&amp;""))),AND($E35&lt;&gt;"",LEN($E35&amp;"")&lt;&gt;LEN(TRIM($E35&amp;""))),AND($F35&lt;&gt;"",LEN($F35&amp;"")&lt;&gt;LEN(TRIM($F35&amp;""))),AND($G35&lt;&gt;"",LEN($G35&amp;"")&lt;&gt;LEN(TRIM($G35&amp;""))),AND($H35&lt;&gt;"",LEN($H35&amp;"")&lt;&gt;LEN(TRIM($H35&amp;""))),AND($I35&lt;&gt;"",LEN($I35&amp;"")&lt;&gt;LEN(TRIM($I35&amp;""))),AND($J35&lt;&gt;"",LEN($J35&amp;"")&lt;&gt;LEN(TRIM($J35&amp;""))),AND($K35&lt;&gt;"",LEN($K35&amp;"")&lt;&gt;LEN(TRIM($K35&amp;""))),AND($M35&lt;&gt;"",LEN($M35&amp;"")&lt;&gt;LEN(TRIM($M35&amp;""))),AND($N35&lt;&gt;"",LEN($N35&amp;"")&lt;&gt;LEN(TRIM($N35&amp;""))),AND($O35&lt;&gt;"",LEN($O35&amp;"")&lt;&gt;LEN(TRIM($O35&amp;""))),AND($R35&lt;&gt;"",LEN($R35&amp;"")&lt;&gt;LEN(TRIM($R35&amp;""))),AND($S35&lt;&gt;"",LEN($S35&amp;"")&lt;&gt;LEN(TRIM($S35&amp;""))),AND($T35&lt;&gt;"",LEN($T35&amp;"")&lt;&gt;LEN(TRIM($T35&amp;"")))),"Remove leading or trailing spaces from text fields; ","")&amp;IF(OR(AND(LEN($C35)&gt;1,OR(EXACT($C35,UPPER($C35)),EXACT($C35,LOWER($C35)))),AND(LEN($D35)&gt;1,OR(EXACT($D35,UPPER($D35)),EXACT($D35,LOWER($D35)))),AND(LEN($H35)&gt;1,OR(EXACT($H35,UPPER($H35)),EXACT($H35,LOWER($H35))))),"Review capitalization in First Name, Last Name, or City; ","")&amp;IF(AND($N35&lt;&gt;"",NOT(EXACT($N35,LOWER($N35)))),"Email will be standardized to lowercase in the clean output; ","")&amp;IF(AND(OR('START HERE'!$C$8="Initial Enrollment",'START HERE'!$C$8="Open Enrollment"),$R35="Terminated"),"A terminated row is included in an initial or open enrollment file; confirm this is intentional; ",""))</f>
        <v/>
      </c>
      <c r="AE35">
        <f>IF(COUNTA($A35:$U35)=0,"",IF(OR($A35="",AND($A35&lt;&gt;"",NOT(IFERROR(AND(LEN($A35&amp;"")=9,ISNUMBER(--($A35&amp;""))),FALSE))),AND($A35&lt;&gt;"",OR($A35="123456789",$A35="987654321",$A35="012345678",$A35=REPT(LEFT($A35&amp;"",1),9)))),"Employee SSN, ","")&amp;IF(OR(AND($O35&lt;&gt;"",$B35=""),AND($B35&lt;&gt;"",OR(NOT(IFERROR(AND(LEN($B35&amp;"")=9,ISNUMBER(--($B35&amp;""))),FALSE)),$B35=$A35,$B35="123456789",$B35="987654321",$B35="012345678",$B35=REPT(LEFT($B35&amp;"",1),9)))),"Dependent SSN, ","")&amp;IF(OR($C35="",LEN($C35)&gt;19,AND($C35&lt;&gt;"",SUMPRODUCT(--(ROW($1:$19)&lt;=LEN($C35&amp;"")),--ISERROR(FIND(MID($C35&amp;"",ROW($1:$19),1),"ABCDEFGHIJKLMNOPQRSTUVWXYZabcdefghijklmnopqrstuvwxyz .,")))&gt;0)),"First Name, ","")&amp;IF(OR($D35="",LEN($D35)&gt;26,AND($D35&lt;&gt;"",SUMPRODUCT(--(ROW($1:$26)&lt;=LEN($D35&amp;"")),--ISERROR(FIND(MID($D35&amp;"",ROW($1:$26),1),"ABCDEFGHIJKLMNOPQRSTUVWXYZabcdefghijklmnopqrstuvwxyz .,")))&gt;0)),"Last Name, ","")&amp;IF(OR(LEN($E35)&gt;1,AND($E35&lt;&gt;"",SUMPRODUCT(--(ROW($1:$1)&lt;=LEN($E35&amp;"")),--ISERROR(FIND(MID($E35&amp;"",ROW($1:$1),1),"ABCDEFGHIJKLMNOPQRSTUVWXYZabcdefghijklmnopqrstuvwxyz .,")))&gt;0)),"Middle Initial, ","")&amp;IF(OR($F35="",LEN($F35)&gt;75),"Address, ","")&amp;IF(OR($H35="",LEN($H35)&gt;30),"City, ","")&amp;IF(AND($K35="US",OR($I35="",LEN($I35)&lt;&gt;2)),"State, ","")&amp;IF($J35="","ZIP, ","")&amp;IF(OR($K35="",AND($K35&lt;&gt;"US",$K35&lt;&gt;"CA")),"Country, ","")&amp;IF(OR($L35="",AND($L35&lt;&gt;"",OR(NOT(ISNUMBER($L35)),$L35&lt;=DATE(1900,1,1),$L35&gt;TODAY()))),"Birthdate, ","")&amp;IF(AND($N35&lt;&gt;"",NOT(IFERROR(AND(ISNUMBER(SEARCH("@",$N35)),ISNUMBER(SEARCH(".",$N35,SEARCH("@",$N35)+2))),FALSE))),"Email, ","")&amp;IF(OR(AND($B35&lt;&gt;"",$O35=""),AND($O35&lt;&gt;"",$O35&lt;&gt;"Spouse or Common Law Spouse",$O35&lt;&gt;"Domestic Partner",$O35&lt;&gt;"Child",$O35&lt;&gt;"Other",$O35&lt;&gt;"Estate",$O35&lt;&gt;"Unknown")),"Dependent Relationship, ","")&amp;IF($AA35&lt;&gt;"","Household, ","")&amp;IF(OR($P35="",AND($P35&lt;&gt;"",OR(NOT(ISNUMBER($P35)),$P35&lt;=DATE(1900,1,1)))),"Eligibility Date, ","")&amp;IF(OR(AND($R35="Terminated",$Q35=""),AND($Q35&lt;&gt;"",OR(NOT(ISNUMBER($Q35)),$Q35&lt;=DATE(1900,1,1))),AND(ISNUMBER($P35),ISNUMBER($Q35),$Q35&lt;$P35)),"Termination Date, ","")&amp;IF(OR($R35="",AND($R35&lt;&gt;"Active",$R35&lt;&gt;"Terminated"),AND('START HERE'!$C$8="Terminations Only",$R35&lt;&gt;"Terminated")),"Status, ","")&amp;IF($S35="","Plan Name, ","")&amp;IF($T35="","Coverage Level, ","")&amp;IF(AND($U35&lt;&gt;"",OR(NOT(ISNUMBER($U35)),$U35&lt;0)),"Funding, ","")&amp;IF(AND($A35&lt;&gt;"",$S35&lt;&gt;"",COUNTIFS($A$2:$A$501,$A35,$B$2:$B$501,$B35,$S$2:$S$501,$S35)&gt;1),"Duplicate Row, ",""))</f>
        <v/>
      </c>
      <c r="AF35">
        <f>IF(COUNTA($A35:$U35)=0,"",$Y35&amp;$Z35&amp;$AA35&amp;$AB35&amp;$AC35)</f>
        <v/>
      </c>
      <c r="AG35">
        <f>IF($N35="","",LOWER(TRIM($N35)))</f>
        <v/>
      </c>
      <c r="AH35">
        <f>IF($A35="","",COUNTIFS($A$2:$A$501,$A35,$AI$2:$AI$501,1))</f>
        <v/>
      </c>
      <c r="AI35">
        <f>IF(COUNTA($A35:$U35)=0,"",--($AF35&lt;&gt;""))</f>
        <v/>
      </c>
      <c r="AJ35">
        <f>IF(COUNTA($A35:$U35)=0,"",--($AD35&lt;&gt;""))</f>
        <v/>
      </c>
    </row>
    <row r="36" ht="20" customHeight="1">
      <c r="A36" s="80" t="n"/>
      <c r="B36" s="80" t="n"/>
      <c r="C36" s="81" t="n"/>
      <c r="D36" s="81" t="n"/>
      <c r="E36" s="80" t="n"/>
      <c r="F36" s="81" t="n"/>
      <c r="G36" s="81" t="n"/>
      <c r="H36" s="81" t="n"/>
      <c r="I36" s="80" t="n"/>
      <c r="J36" s="80" t="n"/>
      <c r="K36" s="80" t="n"/>
      <c r="L36" s="82" t="n"/>
      <c r="M36" s="80" t="n"/>
      <c r="N36" s="80" t="n"/>
      <c r="O36" s="80" t="n"/>
      <c r="P36" s="82" t="n"/>
      <c r="Q36" s="82" t="n"/>
      <c r="R36" s="80" t="n"/>
      <c r="S36" s="80" t="n"/>
      <c r="T36" s="80" t="n"/>
      <c r="U36" s="83" t="n"/>
      <c r="V36">
        <f>IF($A36="","",IF($A36=$A35,$V35,IF($V35="",0,1-$V35)))</f>
        <v/>
      </c>
      <c r="W36">
        <f>IF($B36&lt;&gt;"",$B36,$A36)</f>
        <v/>
      </c>
      <c r="X36">
        <f>IF(COUNTA($A36:$U36)=0,"",IF(OR($B36&lt;&gt;"",$O36&lt;&gt;""),"Dependent","Employee"))</f>
        <v/>
      </c>
      <c r="Y36">
        <f>IF(COUNTA($A36:$U36)=0,"",IF($A36="","Employee SSN is required; ","")&amp;IF($C36="","First Name is required; ","")&amp;IF(LEN($C36&amp;"")&gt;19,"First Name exceeds 19 characters; ","")&amp;IF(AND($C36&lt;&gt;"",SUMPRODUCT(--(ROW($1:$19)&lt;=LEN($C36&amp;"")),--ISERROR(FIND(MID($C36&amp;"",ROW($1:$19),1),"ABCDEFGHIJKLMNOPQRSTUVWXYZabcdefghijklmnopqrstuvwxyz .,")))&gt;0),"First Name contains unsupported or encoded characters; use plain A-Z letters only; ","")&amp;IF($D36="","Last Name is required; ","")&amp;IF(LEN($D36&amp;"")&gt;26,"Last Name exceeds 26 characters; ","")&amp;IF(AND($D36&lt;&gt;"",SUMPRODUCT(--(ROW($1:$26)&lt;=LEN($D36&amp;"")),--ISERROR(FIND(MID($D36&amp;"",ROW($1:$26),1),"ABCDEFGHIJKLMNOPQRSTUVWXYZabcdefghijklmnopqrstuvwxyz .,")))&gt;0),"Last Name contains unsupported or encoded characters; use plain A-Z letters only; ","")&amp;IF(LEN($E36&amp;"")&gt;1,"Middle Initial may contain only one character; ","")&amp;IF(AND($E36&lt;&gt;"",SUMPRODUCT(--(ROW($1:$1)&lt;=LEN($E36&amp;"")),--ISERROR(FIND(MID($E36&amp;"",ROW($1:$1),1),"ABCDEFGHIJKLMNOPQRSTUVWXYZabcdefghijklmnopqrstuvwxyz .,")))&gt;0),"Middle Initial must be a plain A-Z letter; ","")&amp;IF($F36="","Address is required; ","")&amp;IF(LEN($F36&amp;"")&gt;75,"Address exceeds 75 characters; ","")&amp;IF(LEN($G36&amp;"")&gt;75,"Address 2 exceeds 75 characters; ","")&amp;IF($H36="","City is required; ","")&amp;IF(LEN($H36&amp;"")&gt;30,"City exceeds 30 characters; ","")&amp;IF($K36="","Country is required; ","")&amp;IF(AND($K36&lt;&gt;"",$K36&lt;&gt;"US",$K36&lt;&gt;"CA"),"Country must be US or CA; ","")&amp;IF(AND($K36="US",OR($I36="",LEN($I36&amp;"")&lt;&gt;2)),"Use a 2-letter state code; ","")&amp;IF($J36="","ZIP or postal code is required; ","")&amp;IF(AND($K36="US",$J36&lt;&gt;"",NOT(IFERROR(OR(AND(LEN($J36&amp;"")=5,ISNUMBER(--($J36&amp;""))),AND(LEN($J36&amp;"")=9,ISNUMBER(--($J36&amp;""))),AND(LEN($J36&amp;"")=10,MID($J36&amp;"",6,1)="-",ISNUMBER(--SUBSTITUTE($J36&amp;"","-","")))),FALSE))),"US ZIP must be 5 or 9 digits, with an optional ZIP+4 hyphen; ","")&amp;IF(AND($N36&lt;&gt;"",NOT(IFERROR(AND(ISNUMBER(SEARCH("@",$N36)),ISNUMBER(SEARCH(".",$N36,SEARCH("@",$N36)+2))),FALSE))),"Email format appears invalid; ","")&amp;IF(AND($O36&lt;&gt;"",$B36=""),"Dependent SSN is required for every dependent; ","")&amp;IF(AND($B36&lt;&gt;"",$O36=""),"Dependent Relationship is required when Dependent SSN is entered; ","")&amp;IF(AND($O36&lt;&gt;"",$O36&lt;&gt;"Spouse or Common Law Spouse",$O36&lt;&gt;"Domestic Partner",$O36&lt;&gt;"Child",$O36&lt;&gt;"Other",$O36&lt;&gt;"Estate",$O36&lt;&gt;"Unknown"),"Dependent Relationship must use one of the approved options; ",""))</f>
        <v/>
      </c>
      <c r="Z36">
        <f>IF(COUNTA($A36:$U36)=0,"",IF(AND($A36&lt;&gt;"",NOT(IFERROR(AND(LEN($A36&amp;"")=9,ISNUMBER(--($A36&amp;""))),FALSE))),"Employee SSN must contain exactly 9 digits; ","")&amp;IF(AND($A36&lt;&gt;"",OR($A36="123456789",$A36="987654321",$A36="012345678",$A36=REPT(LEFT($A36&amp;"",1),9))),"Employee SSN appears to be a placeholder; ","")&amp;IF(AND($B36&lt;&gt;"",NOT(IFERROR(AND(LEN($B36&amp;"")=9,ISNUMBER(--($B36&amp;""))),FALSE))),"Dependent SSN must contain exactly 9 digits; ","")&amp;IF(AND($B36&lt;&gt;"",OR($B36="123456789",$B36="987654321",$B36="012345678",$B36=REPT(LEFT($B36&amp;"",1),9))),"Dependent SSN appears to be a placeholder; ","")&amp;IF(AND($A36&lt;&gt;"",$B36&lt;&gt;"",$A36&amp;""=$B36&amp;""),"Dependent SSN cannot match Employee SSN; ","")&amp;IF(AND($W36&lt;&gt;"",OR(COUNTIFS($W$2:$W$501,$W36,$C$2:$C$501,"&lt;&gt;"&amp;$C36)&gt;0,COUNTIFS($W$2:$W$501,$W36,$D$2:$D$501,"&lt;&gt;"&amp;$D36)&gt;0,COUNTIFS($W$2:$W$501,$W36,$L$2:$L$501,"&lt;&gt;"&amp;$L36)&gt;0)),"The same SSN is associated with a different name or birthdate; ",""))</f>
        <v/>
      </c>
      <c r="AA36">
        <f>IF(COUNTA($A36:$U36)=0,"",IF(AND($A36&lt;&gt;"",$S36&lt;&gt;"",COUNTIFS($A$2:$A$501,$A36,$S$2:$S$501,$S36,$B$2:$B$501,"",$O$2:$O$501,"")=0),"Add an employee row for this household and plan; ","")&amp;IF(AND($X36="Dependent",COUNTIFS($A$2:$A36,$A36,$S$2:$S36,$S36,$B$2:$B36,"",$O$2:$O36,"")=0),"Place the employee row before dependent rows for this plan; ","")&amp;IF(AND($X36="Dependent",COUNTIFS($A$2:$A$501,$A36,$S$2:$S$501,$S36,$B$2:$B$501,"",$O$2:$O$501,"")&gt;0,IFERROR(OR($P36&lt;&gt;LOOKUP(2,1/(($A$2:$A$501=$A36)*($S$2:$S$501=$S36)*($B$2:$B$501="")*($O$2:$O$501="")),$P$2:$P$501),$Q36&lt;&gt;LOOKUP(2,1/(($A$2:$A$501=$A36)*($S$2:$S$501=$S36)*($B$2:$B$501="")*($O$2:$O$501="")),$Q$2:$Q$501),$R36&lt;&gt;LOOKUP(2,1/(($A$2:$A$501=$A36)*($S$2:$S$501=$S36)*($B$2:$B$501="")*($O$2:$O$501="")),$R$2:$R$501),$T36&lt;&gt;LOOKUP(2,1/(($A$2:$A$501=$A36)*($S$2:$S$501=$S36)*($B$2:$B$501="")*($O$2:$O$501="")),$T$2:$T$501),$U36&lt;&gt;LOOKUP(2,1/(($A$2:$A$501=$A36)*($S$2:$S$501=$S36)*($B$2:$B$501="")*($O$2:$O$501="")),$U$2:$U$501)),FALSE)),"Dependent row does not match the employee row for eligibility, status, coverage level, or funding; ",""))</f>
        <v/>
      </c>
      <c r="AB36">
        <f>IF(COUNTA($A36:$U36)=0,"",IF($L36="","Birthdate is required; ","")&amp;IF(AND($L36&lt;&gt;"",OR(NOT(ISNUMBER($L36)),$L36&lt;=DATE(1900,1,1),$L36&gt;TODAY())),"Birthdate must be an exact valid past date; ","")&amp;IF($P36="","Eligibility Date is required; ","")&amp;IF(AND($P36&lt;&gt;"",OR(NOT(ISNUMBER($P36)),$P36&lt;=DATE(1900,1,1))),"Eligibility Date must be a valid date; ","")&amp;IF(AND($R36="Terminated",$Q36=""),"Termination Date is required when Status is Terminated; ","")&amp;IF(AND($Q36&lt;&gt;"",OR(NOT(ISNUMBER($Q36)),$Q36&lt;=DATE(1900,1,1))),"Termination Date must be a valid date; ","")&amp;IF(AND(ISNUMBER($P36),ISNUMBER($Q36),$Q36&lt;$P36),"Termination Date cannot be before Eligibility Date; ","")&amp;IF($R36="","Status is required; ","")&amp;IF(AND($R36&lt;&gt;"",$R36&lt;&gt;"Active",$R36&lt;&gt;"Terminated"),"Status must be Active or Terminated; ","")&amp;IF(AND('START HERE'!$C$8="Terminations Only",$R36&lt;&gt;"Terminated"),"Terminations Only files must contain terminated records; ",""))</f>
        <v/>
      </c>
      <c r="AC36">
        <f>IF(COUNTA($A36:$U36)=0,"",IF($S36="","Plan Name is required; ","")&amp;IF($T36="","Benefit Coverage Level is required; ","")&amp;IF(AND($U36&lt;&gt;"",OR(NOT(ISNUMBER($U36)),$U36&lt;0)),"Plan Funding Amount must be a nonnegative number; ","")&amp;IF(AND($A36&lt;&gt;"",$S36&lt;&gt;"",COUNTIFS($A$2:$A$501,$A36,$B$2:$B$501,$B36,$S$2:$S$501,$S36)&gt;1),"Duplicate participant and plan row; ",""))</f>
        <v/>
      </c>
      <c r="AD36">
        <f>IF(COUNTA($A36:$U36)=0,"",IF(AND($X36="Employee",$M36="",$N36=""),"No employee phone or email provided; ","")&amp;IF(AND($R36="Active",$Q36&lt;&gt;""),"Active record includes a Termination Date; confirm this is intentional; ","")&amp;IF(AND($B36&lt;&gt;"",$B36&amp;""&lt;&gt;$A36&amp;"",COUNTIF($A$2:$A$501,$B36)&gt;0),"Dependent SSN also appears as an Employee SSN elsewhere; confirm dual-employee coverage is intentional; ","")&amp;IF(AND($B36&lt;&gt;"",COUNTIF($B$2:$B$501,$B36)&gt;COUNTIFS($A$2:$A$501,$A36,$B$2:$B$501,$B36)),"Dependent SSN appears under more than one employee; confirm duplicate family coverage is intentional; ","")&amp;IF(AND(ROW()&gt;2,$A36&lt;&gt;"",$A36&lt;&gt;$A35,COUNTIF($A$2:$A35,$A36)&gt;0),"This household appears in more than one section of the census; keep the family together; ","")&amp;IF(OR(AND($C36&lt;&gt;"",LEN($C36&amp;"")&lt;&gt;LEN(TRIM($C36&amp;""))),AND($D36&lt;&gt;"",LEN($D36&amp;"")&lt;&gt;LEN(TRIM($D36&amp;""))),AND($E36&lt;&gt;"",LEN($E36&amp;"")&lt;&gt;LEN(TRIM($E36&amp;""))),AND($F36&lt;&gt;"",LEN($F36&amp;"")&lt;&gt;LEN(TRIM($F36&amp;""))),AND($G36&lt;&gt;"",LEN($G36&amp;"")&lt;&gt;LEN(TRIM($G36&amp;""))),AND($H36&lt;&gt;"",LEN($H36&amp;"")&lt;&gt;LEN(TRIM($H36&amp;""))),AND($I36&lt;&gt;"",LEN($I36&amp;"")&lt;&gt;LEN(TRIM($I36&amp;""))),AND($J36&lt;&gt;"",LEN($J36&amp;"")&lt;&gt;LEN(TRIM($J36&amp;""))),AND($K36&lt;&gt;"",LEN($K36&amp;"")&lt;&gt;LEN(TRIM($K36&amp;""))),AND($M36&lt;&gt;"",LEN($M36&amp;"")&lt;&gt;LEN(TRIM($M36&amp;""))),AND($N36&lt;&gt;"",LEN($N36&amp;"")&lt;&gt;LEN(TRIM($N36&amp;""))),AND($O36&lt;&gt;"",LEN($O36&amp;"")&lt;&gt;LEN(TRIM($O36&amp;""))),AND($R36&lt;&gt;"",LEN($R36&amp;"")&lt;&gt;LEN(TRIM($R36&amp;""))),AND($S36&lt;&gt;"",LEN($S36&amp;"")&lt;&gt;LEN(TRIM($S36&amp;""))),AND($T36&lt;&gt;"",LEN($T36&amp;"")&lt;&gt;LEN(TRIM($T36&amp;"")))),"Remove leading or trailing spaces from text fields; ","")&amp;IF(OR(AND(LEN($C36)&gt;1,OR(EXACT($C36,UPPER($C36)),EXACT($C36,LOWER($C36)))),AND(LEN($D36)&gt;1,OR(EXACT($D36,UPPER($D36)),EXACT($D36,LOWER($D36)))),AND(LEN($H36)&gt;1,OR(EXACT($H36,UPPER($H36)),EXACT($H36,LOWER($H36))))),"Review capitalization in First Name, Last Name, or City; ","")&amp;IF(AND($N36&lt;&gt;"",NOT(EXACT($N36,LOWER($N36)))),"Email will be standardized to lowercase in the clean output; ","")&amp;IF(AND(OR('START HERE'!$C$8="Initial Enrollment",'START HERE'!$C$8="Open Enrollment"),$R36="Terminated"),"A terminated row is included in an initial or open enrollment file; confirm this is intentional; ",""))</f>
        <v/>
      </c>
      <c r="AE36">
        <f>IF(COUNTA($A36:$U36)=0,"",IF(OR($A36="",AND($A36&lt;&gt;"",NOT(IFERROR(AND(LEN($A36&amp;"")=9,ISNUMBER(--($A36&amp;""))),FALSE))),AND($A36&lt;&gt;"",OR($A36="123456789",$A36="987654321",$A36="012345678",$A36=REPT(LEFT($A36&amp;"",1),9)))),"Employee SSN, ","")&amp;IF(OR(AND($O36&lt;&gt;"",$B36=""),AND($B36&lt;&gt;"",OR(NOT(IFERROR(AND(LEN($B36&amp;"")=9,ISNUMBER(--($B36&amp;""))),FALSE)),$B36=$A36,$B36="123456789",$B36="987654321",$B36="012345678",$B36=REPT(LEFT($B36&amp;"",1),9)))),"Dependent SSN, ","")&amp;IF(OR($C36="",LEN($C36)&gt;19,AND($C36&lt;&gt;"",SUMPRODUCT(--(ROW($1:$19)&lt;=LEN($C36&amp;"")),--ISERROR(FIND(MID($C36&amp;"",ROW($1:$19),1),"ABCDEFGHIJKLMNOPQRSTUVWXYZabcdefghijklmnopqrstuvwxyz .,")))&gt;0)),"First Name, ","")&amp;IF(OR($D36="",LEN($D36)&gt;26,AND($D36&lt;&gt;"",SUMPRODUCT(--(ROW($1:$26)&lt;=LEN($D36&amp;"")),--ISERROR(FIND(MID($D36&amp;"",ROW($1:$26),1),"ABCDEFGHIJKLMNOPQRSTUVWXYZabcdefghijklmnopqrstuvwxyz .,")))&gt;0)),"Last Name, ","")&amp;IF(OR(LEN($E36)&gt;1,AND($E36&lt;&gt;"",SUMPRODUCT(--(ROW($1:$1)&lt;=LEN($E36&amp;"")),--ISERROR(FIND(MID($E36&amp;"",ROW($1:$1),1),"ABCDEFGHIJKLMNOPQRSTUVWXYZabcdefghijklmnopqrstuvwxyz .,")))&gt;0)),"Middle Initial, ","")&amp;IF(OR($F36="",LEN($F36)&gt;75),"Address, ","")&amp;IF(OR($H36="",LEN($H36)&gt;30),"City, ","")&amp;IF(AND($K36="US",OR($I36="",LEN($I36)&lt;&gt;2)),"State, ","")&amp;IF($J36="","ZIP, ","")&amp;IF(OR($K36="",AND($K36&lt;&gt;"US",$K36&lt;&gt;"CA")),"Country, ","")&amp;IF(OR($L36="",AND($L36&lt;&gt;"",OR(NOT(ISNUMBER($L36)),$L36&lt;=DATE(1900,1,1),$L36&gt;TODAY()))),"Birthdate, ","")&amp;IF(AND($N36&lt;&gt;"",NOT(IFERROR(AND(ISNUMBER(SEARCH("@",$N36)),ISNUMBER(SEARCH(".",$N36,SEARCH("@",$N36)+2))),FALSE))),"Email, ","")&amp;IF(OR(AND($B36&lt;&gt;"",$O36=""),AND($O36&lt;&gt;"",$O36&lt;&gt;"Spouse or Common Law Spouse",$O36&lt;&gt;"Domestic Partner",$O36&lt;&gt;"Child",$O36&lt;&gt;"Other",$O36&lt;&gt;"Estate",$O36&lt;&gt;"Unknown")),"Dependent Relationship, ","")&amp;IF($AA36&lt;&gt;"","Household, ","")&amp;IF(OR($P36="",AND($P36&lt;&gt;"",OR(NOT(ISNUMBER($P36)),$P36&lt;=DATE(1900,1,1)))),"Eligibility Date, ","")&amp;IF(OR(AND($R36="Terminated",$Q36=""),AND($Q36&lt;&gt;"",OR(NOT(ISNUMBER($Q36)),$Q36&lt;=DATE(1900,1,1))),AND(ISNUMBER($P36),ISNUMBER($Q36),$Q36&lt;$P36)),"Termination Date, ","")&amp;IF(OR($R36="",AND($R36&lt;&gt;"Active",$R36&lt;&gt;"Terminated"),AND('START HERE'!$C$8="Terminations Only",$R36&lt;&gt;"Terminated")),"Status, ","")&amp;IF($S36="","Plan Name, ","")&amp;IF($T36="","Coverage Level, ","")&amp;IF(AND($U36&lt;&gt;"",OR(NOT(ISNUMBER($U36)),$U36&lt;0)),"Funding, ","")&amp;IF(AND($A36&lt;&gt;"",$S36&lt;&gt;"",COUNTIFS($A$2:$A$501,$A36,$B$2:$B$501,$B36,$S$2:$S$501,$S36)&gt;1),"Duplicate Row, ",""))</f>
        <v/>
      </c>
      <c r="AF36">
        <f>IF(COUNTA($A36:$U36)=0,"",$Y36&amp;$Z36&amp;$AA36&amp;$AB36&amp;$AC36)</f>
        <v/>
      </c>
      <c r="AG36">
        <f>IF($N36="","",LOWER(TRIM($N36)))</f>
        <v/>
      </c>
      <c r="AH36">
        <f>IF($A36="","",COUNTIFS($A$2:$A$501,$A36,$AI$2:$AI$501,1))</f>
        <v/>
      </c>
      <c r="AI36">
        <f>IF(COUNTA($A36:$U36)=0,"",--($AF36&lt;&gt;""))</f>
        <v/>
      </c>
      <c r="AJ36">
        <f>IF(COUNTA($A36:$U36)=0,"",--($AD36&lt;&gt;""))</f>
        <v/>
      </c>
    </row>
    <row r="37" ht="20" customHeight="1">
      <c r="A37" s="80" t="n"/>
      <c r="B37" s="80" t="n"/>
      <c r="C37" s="81" t="n"/>
      <c r="D37" s="81" t="n"/>
      <c r="E37" s="80" t="n"/>
      <c r="F37" s="81" t="n"/>
      <c r="G37" s="81" t="n"/>
      <c r="H37" s="81" t="n"/>
      <c r="I37" s="80" t="n"/>
      <c r="J37" s="80" t="n"/>
      <c r="K37" s="80" t="n"/>
      <c r="L37" s="82" t="n"/>
      <c r="M37" s="80" t="n"/>
      <c r="N37" s="80" t="n"/>
      <c r="O37" s="80" t="n"/>
      <c r="P37" s="82" t="n"/>
      <c r="Q37" s="82" t="n"/>
      <c r="R37" s="80" t="n"/>
      <c r="S37" s="80" t="n"/>
      <c r="T37" s="80" t="n"/>
      <c r="U37" s="83" t="n"/>
      <c r="V37">
        <f>IF($A37="","",IF($A37=$A36,$V36,IF($V36="",0,1-$V36)))</f>
        <v/>
      </c>
      <c r="W37">
        <f>IF($B37&lt;&gt;"",$B37,$A37)</f>
        <v/>
      </c>
      <c r="X37">
        <f>IF(COUNTA($A37:$U37)=0,"",IF(OR($B37&lt;&gt;"",$O37&lt;&gt;""),"Dependent","Employee"))</f>
        <v/>
      </c>
      <c r="Y37">
        <f>IF(COUNTA($A37:$U37)=0,"",IF($A37="","Employee SSN is required; ","")&amp;IF($C37="","First Name is required; ","")&amp;IF(LEN($C37&amp;"")&gt;19,"First Name exceeds 19 characters; ","")&amp;IF(AND($C37&lt;&gt;"",SUMPRODUCT(--(ROW($1:$19)&lt;=LEN($C37&amp;"")),--ISERROR(FIND(MID($C37&amp;"",ROW($1:$19),1),"ABCDEFGHIJKLMNOPQRSTUVWXYZabcdefghijklmnopqrstuvwxyz .,")))&gt;0),"First Name contains unsupported or encoded characters; use plain A-Z letters only; ","")&amp;IF($D37="","Last Name is required; ","")&amp;IF(LEN($D37&amp;"")&gt;26,"Last Name exceeds 26 characters; ","")&amp;IF(AND($D37&lt;&gt;"",SUMPRODUCT(--(ROW($1:$26)&lt;=LEN($D37&amp;"")),--ISERROR(FIND(MID($D37&amp;"",ROW($1:$26),1),"ABCDEFGHIJKLMNOPQRSTUVWXYZabcdefghijklmnopqrstuvwxyz .,")))&gt;0),"Last Name contains unsupported or encoded characters; use plain A-Z letters only; ","")&amp;IF(LEN($E37&amp;"")&gt;1,"Middle Initial may contain only one character; ","")&amp;IF(AND($E37&lt;&gt;"",SUMPRODUCT(--(ROW($1:$1)&lt;=LEN($E37&amp;"")),--ISERROR(FIND(MID($E37&amp;"",ROW($1:$1),1),"ABCDEFGHIJKLMNOPQRSTUVWXYZabcdefghijklmnopqrstuvwxyz .,")))&gt;0),"Middle Initial must be a plain A-Z letter; ","")&amp;IF($F37="","Address is required; ","")&amp;IF(LEN($F37&amp;"")&gt;75,"Address exceeds 75 characters; ","")&amp;IF(LEN($G37&amp;"")&gt;75,"Address 2 exceeds 75 characters; ","")&amp;IF($H37="","City is required; ","")&amp;IF(LEN($H37&amp;"")&gt;30,"City exceeds 30 characters; ","")&amp;IF($K37="","Country is required; ","")&amp;IF(AND($K37&lt;&gt;"",$K37&lt;&gt;"US",$K37&lt;&gt;"CA"),"Country must be US or CA; ","")&amp;IF(AND($K37="US",OR($I37="",LEN($I37&amp;"")&lt;&gt;2)),"Use a 2-letter state code; ","")&amp;IF($J37="","ZIP or postal code is required; ","")&amp;IF(AND($K37="US",$J37&lt;&gt;"",NOT(IFERROR(OR(AND(LEN($J37&amp;"")=5,ISNUMBER(--($J37&amp;""))),AND(LEN($J37&amp;"")=9,ISNUMBER(--($J37&amp;""))),AND(LEN($J37&amp;"")=10,MID($J37&amp;"",6,1)="-",ISNUMBER(--SUBSTITUTE($J37&amp;"","-","")))),FALSE))),"US ZIP must be 5 or 9 digits, with an optional ZIP+4 hyphen; ","")&amp;IF(AND($N37&lt;&gt;"",NOT(IFERROR(AND(ISNUMBER(SEARCH("@",$N37)),ISNUMBER(SEARCH(".",$N37,SEARCH("@",$N37)+2))),FALSE))),"Email format appears invalid; ","")&amp;IF(AND($O37&lt;&gt;"",$B37=""),"Dependent SSN is required for every dependent; ","")&amp;IF(AND($B37&lt;&gt;"",$O37=""),"Dependent Relationship is required when Dependent SSN is entered; ","")&amp;IF(AND($O37&lt;&gt;"",$O37&lt;&gt;"Spouse or Common Law Spouse",$O37&lt;&gt;"Domestic Partner",$O37&lt;&gt;"Child",$O37&lt;&gt;"Other",$O37&lt;&gt;"Estate",$O37&lt;&gt;"Unknown"),"Dependent Relationship must use one of the approved options; ",""))</f>
        <v/>
      </c>
      <c r="Z37">
        <f>IF(COUNTA($A37:$U37)=0,"",IF(AND($A37&lt;&gt;"",NOT(IFERROR(AND(LEN($A37&amp;"")=9,ISNUMBER(--($A37&amp;""))),FALSE))),"Employee SSN must contain exactly 9 digits; ","")&amp;IF(AND($A37&lt;&gt;"",OR($A37="123456789",$A37="987654321",$A37="012345678",$A37=REPT(LEFT($A37&amp;"",1),9))),"Employee SSN appears to be a placeholder; ","")&amp;IF(AND($B37&lt;&gt;"",NOT(IFERROR(AND(LEN($B37&amp;"")=9,ISNUMBER(--($B37&amp;""))),FALSE))),"Dependent SSN must contain exactly 9 digits; ","")&amp;IF(AND($B37&lt;&gt;"",OR($B37="123456789",$B37="987654321",$B37="012345678",$B37=REPT(LEFT($B37&amp;"",1),9))),"Dependent SSN appears to be a placeholder; ","")&amp;IF(AND($A37&lt;&gt;"",$B37&lt;&gt;"",$A37&amp;""=$B37&amp;""),"Dependent SSN cannot match Employee SSN; ","")&amp;IF(AND($W37&lt;&gt;"",OR(COUNTIFS($W$2:$W$501,$W37,$C$2:$C$501,"&lt;&gt;"&amp;$C37)&gt;0,COUNTIFS($W$2:$W$501,$W37,$D$2:$D$501,"&lt;&gt;"&amp;$D37)&gt;0,COUNTIFS($W$2:$W$501,$W37,$L$2:$L$501,"&lt;&gt;"&amp;$L37)&gt;0)),"The same SSN is associated with a different name or birthdate; ",""))</f>
        <v/>
      </c>
      <c r="AA37">
        <f>IF(COUNTA($A37:$U37)=0,"",IF(AND($A37&lt;&gt;"",$S37&lt;&gt;"",COUNTIFS($A$2:$A$501,$A37,$S$2:$S$501,$S37,$B$2:$B$501,"",$O$2:$O$501,"")=0),"Add an employee row for this household and plan; ","")&amp;IF(AND($X37="Dependent",COUNTIFS($A$2:$A37,$A37,$S$2:$S37,$S37,$B$2:$B37,"",$O$2:$O37,"")=0),"Place the employee row before dependent rows for this plan; ","")&amp;IF(AND($X37="Dependent",COUNTIFS($A$2:$A$501,$A37,$S$2:$S$501,$S37,$B$2:$B$501,"",$O$2:$O$501,"")&gt;0,IFERROR(OR($P37&lt;&gt;LOOKUP(2,1/(($A$2:$A$501=$A37)*($S$2:$S$501=$S37)*($B$2:$B$501="")*($O$2:$O$501="")),$P$2:$P$501),$Q37&lt;&gt;LOOKUP(2,1/(($A$2:$A$501=$A37)*($S$2:$S$501=$S37)*($B$2:$B$501="")*($O$2:$O$501="")),$Q$2:$Q$501),$R37&lt;&gt;LOOKUP(2,1/(($A$2:$A$501=$A37)*($S$2:$S$501=$S37)*($B$2:$B$501="")*($O$2:$O$501="")),$R$2:$R$501),$T37&lt;&gt;LOOKUP(2,1/(($A$2:$A$501=$A37)*($S$2:$S$501=$S37)*($B$2:$B$501="")*($O$2:$O$501="")),$T$2:$T$501),$U37&lt;&gt;LOOKUP(2,1/(($A$2:$A$501=$A37)*($S$2:$S$501=$S37)*($B$2:$B$501="")*($O$2:$O$501="")),$U$2:$U$501)),FALSE)),"Dependent row does not match the employee row for eligibility, status, coverage level, or funding; ",""))</f>
        <v/>
      </c>
      <c r="AB37">
        <f>IF(COUNTA($A37:$U37)=0,"",IF($L37="","Birthdate is required; ","")&amp;IF(AND($L37&lt;&gt;"",OR(NOT(ISNUMBER($L37)),$L37&lt;=DATE(1900,1,1),$L37&gt;TODAY())),"Birthdate must be an exact valid past date; ","")&amp;IF($P37="","Eligibility Date is required; ","")&amp;IF(AND($P37&lt;&gt;"",OR(NOT(ISNUMBER($P37)),$P37&lt;=DATE(1900,1,1))),"Eligibility Date must be a valid date; ","")&amp;IF(AND($R37="Terminated",$Q37=""),"Termination Date is required when Status is Terminated; ","")&amp;IF(AND($Q37&lt;&gt;"",OR(NOT(ISNUMBER($Q37)),$Q37&lt;=DATE(1900,1,1))),"Termination Date must be a valid date; ","")&amp;IF(AND(ISNUMBER($P37),ISNUMBER($Q37),$Q37&lt;$P37),"Termination Date cannot be before Eligibility Date; ","")&amp;IF($R37="","Status is required; ","")&amp;IF(AND($R37&lt;&gt;"",$R37&lt;&gt;"Active",$R37&lt;&gt;"Terminated"),"Status must be Active or Terminated; ","")&amp;IF(AND('START HERE'!$C$8="Terminations Only",$R37&lt;&gt;"Terminated"),"Terminations Only files must contain terminated records; ",""))</f>
        <v/>
      </c>
      <c r="AC37">
        <f>IF(COUNTA($A37:$U37)=0,"",IF($S37="","Plan Name is required; ","")&amp;IF($T37="","Benefit Coverage Level is required; ","")&amp;IF(AND($U37&lt;&gt;"",OR(NOT(ISNUMBER($U37)),$U37&lt;0)),"Plan Funding Amount must be a nonnegative number; ","")&amp;IF(AND($A37&lt;&gt;"",$S37&lt;&gt;"",COUNTIFS($A$2:$A$501,$A37,$B$2:$B$501,$B37,$S$2:$S$501,$S37)&gt;1),"Duplicate participant and plan row; ",""))</f>
        <v/>
      </c>
      <c r="AD37">
        <f>IF(COUNTA($A37:$U37)=0,"",IF(AND($X37="Employee",$M37="",$N37=""),"No employee phone or email provided; ","")&amp;IF(AND($R37="Active",$Q37&lt;&gt;""),"Active record includes a Termination Date; confirm this is intentional; ","")&amp;IF(AND($B37&lt;&gt;"",$B37&amp;""&lt;&gt;$A37&amp;"",COUNTIF($A$2:$A$501,$B37)&gt;0),"Dependent SSN also appears as an Employee SSN elsewhere; confirm dual-employee coverage is intentional; ","")&amp;IF(AND($B37&lt;&gt;"",COUNTIF($B$2:$B$501,$B37)&gt;COUNTIFS($A$2:$A$501,$A37,$B$2:$B$501,$B37)),"Dependent SSN appears under more than one employee; confirm duplicate family coverage is intentional; ","")&amp;IF(AND(ROW()&gt;2,$A37&lt;&gt;"",$A37&lt;&gt;$A36,COUNTIF($A$2:$A36,$A37)&gt;0),"This household appears in more than one section of the census; keep the family together; ","")&amp;IF(OR(AND($C37&lt;&gt;"",LEN($C37&amp;"")&lt;&gt;LEN(TRIM($C37&amp;""))),AND($D37&lt;&gt;"",LEN($D37&amp;"")&lt;&gt;LEN(TRIM($D37&amp;""))),AND($E37&lt;&gt;"",LEN($E37&amp;"")&lt;&gt;LEN(TRIM($E37&amp;""))),AND($F37&lt;&gt;"",LEN($F37&amp;"")&lt;&gt;LEN(TRIM($F37&amp;""))),AND($G37&lt;&gt;"",LEN($G37&amp;"")&lt;&gt;LEN(TRIM($G37&amp;""))),AND($H37&lt;&gt;"",LEN($H37&amp;"")&lt;&gt;LEN(TRIM($H37&amp;""))),AND($I37&lt;&gt;"",LEN($I37&amp;"")&lt;&gt;LEN(TRIM($I37&amp;""))),AND($J37&lt;&gt;"",LEN($J37&amp;"")&lt;&gt;LEN(TRIM($J37&amp;""))),AND($K37&lt;&gt;"",LEN($K37&amp;"")&lt;&gt;LEN(TRIM($K37&amp;""))),AND($M37&lt;&gt;"",LEN($M37&amp;"")&lt;&gt;LEN(TRIM($M37&amp;""))),AND($N37&lt;&gt;"",LEN($N37&amp;"")&lt;&gt;LEN(TRIM($N37&amp;""))),AND($O37&lt;&gt;"",LEN($O37&amp;"")&lt;&gt;LEN(TRIM($O37&amp;""))),AND($R37&lt;&gt;"",LEN($R37&amp;"")&lt;&gt;LEN(TRIM($R37&amp;""))),AND($S37&lt;&gt;"",LEN($S37&amp;"")&lt;&gt;LEN(TRIM($S37&amp;""))),AND($T37&lt;&gt;"",LEN($T37&amp;"")&lt;&gt;LEN(TRIM($T37&amp;"")))),"Remove leading or trailing spaces from text fields; ","")&amp;IF(OR(AND(LEN($C37)&gt;1,OR(EXACT($C37,UPPER($C37)),EXACT($C37,LOWER($C37)))),AND(LEN($D37)&gt;1,OR(EXACT($D37,UPPER($D37)),EXACT($D37,LOWER($D37)))),AND(LEN($H37)&gt;1,OR(EXACT($H37,UPPER($H37)),EXACT($H37,LOWER($H37))))),"Review capitalization in First Name, Last Name, or City; ","")&amp;IF(AND($N37&lt;&gt;"",NOT(EXACT($N37,LOWER($N37)))),"Email will be standardized to lowercase in the clean output; ","")&amp;IF(AND(OR('START HERE'!$C$8="Initial Enrollment",'START HERE'!$C$8="Open Enrollment"),$R37="Terminated"),"A terminated row is included in an initial or open enrollment file; confirm this is intentional; ",""))</f>
        <v/>
      </c>
      <c r="AE37">
        <f>IF(COUNTA($A37:$U37)=0,"",IF(OR($A37="",AND($A37&lt;&gt;"",NOT(IFERROR(AND(LEN($A37&amp;"")=9,ISNUMBER(--($A37&amp;""))),FALSE))),AND($A37&lt;&gt;"",OR($A37="123456789",$A37="987654321",$A37="012345678",$A37=REPT(LEFT($A37&amp;"",1),9)))),"Employee SSN, ","")&amp;IF(OR(AND($O37&lt;&gt;"",$B37=""),AND($B37&lt;&gt;"",OR(NOT(IFERROR(AND(LEN($B37&amp;"")=9,ISNUMBER(--($B37&amp;""))),FALSE)),$B37=$A37,$B37="123456789",$B37="987654321",$B37="012345678",$B37=REPT(LEFT($B37&amp;"",1),9)))),"Dependent SSN, ","")&amp;IF(OR($C37="",LEN($C37)&gt;19,AND($C37&lt;&gt;"",SUMPRODUCT(--(ROW($1:$19)&lt;=LEN($C37&amp;"")),--ISERROR(FIND(MID($C37&amp;"",ROW($1:$19),1),"ABCDEFGHIJKLMNOPQRSTUVWXYZabcdefghijklmnopqrstuvwxyz .,")))&gt;0)),"First Name, ","")&amp;IF(OR($D37="",LEN($D37)&gt;26,AND($D37&lt;&gt;"",SUMPRODUCT(--(ROW($1:$26)&lt;=LEN($D37&amp;"")),--ISERROR(FIND(MID($D37&amp;"",ROW($1:$26),1),"ABCDEFGHIJKLMNOPQRSTUVWXYZabcdefghijklmnopqrstuvwxyz .,")))&gt;0)),"Last Name, ","")&amp;IF(OR(LEN($E37)&gt;1,AND($E37&lt;&gt;"",SUMPRODUCT(--(ROW($1:$1)&lt;=LEN($E37&amp;"")),--ISERROR(FIND(MID($E37&amp;"",ROW($1:$1),1),"ABCDEFGHIJKLMNOPQRSTUVWXYZabcdefghijklmnopqrstuvwxyz .,")))&gt;0)),"Middle Initial, ","")&amp;IF(OR($F37="",LEN($F37)&gt;75),"Address, ","")&amp;IF(OR($H37="",LEN($H37)&gt;30),"City, ","")&amp;IF(AND($K37="US",OR($I37="",LEN($I37)&lt;&gt;2)),"State, ","")&amp;IF($J37="","ZIP, ","")&amp;IF(OR($K37="",AND($K37&lt;&gt;"US",$K37&lt;&gt;"CA")),"Country, ","")&amp;IF(OR($L37="",AND($L37&lt;&gt;"",OR(NOT(ISNUMBER($L37)),$L37&lt;=DATE(1900,1,1),$L37&gt;TODAY()))),"Birthdate, ","")&amp;IF(AND($N37&lt;&gt;"",NOT(IFERROR(AND(ISNUMBER(SEARCH("@",$N37)),ISNUMBER(SEARCH(".",$N37,SEARCH("@",$N37)+2))),FALSE))),"Email, ","")&amp;IF(OR(AND($B37&lt;&gt;"",$O37=""),AND($O37&lt;&gt;"",$O37&lt;&gt;"Spouse or Common Law Spouse",$O37&lt;&gt;"Domestic Partner",$O37&lt;&gt;"Child",$O37&lt;&gt;"Other",$O37&lt;&gt;"Estate",$O37&lt;&gt;"Unknown")),"Dependent Relationship, ","")&amp;IF($AA37&lt;&gt;"","Household, ","")&amp;IF(OR($P37="",AND($P37&lt;&gt;"",OR(NOT(ISNUMBER($P37)),$P37&lt;=DATE(1900,1,1)))),"Eligibility Date, ","")&amp;IF(OR(AND($R37="Terminated",$Q37=""),AND($Q37&lt;&gt;"",OR(NOT(ISNUMBER($Q37)),$Q37&lt;=DATE(1900,1,1))),AND(ISNUMBER($P37),ISNUMBER($Q37),$Q37&lt;$P37)),"Termination Date, ","")&amp;IF(OR($R37="",AND($R37&lt;&gt;"Active",$R37&lt;&gt;"Terminated"),AND('START HERE'!$C$8="Terminations Only",$R37&lt;&gt;"Terminated")),"Status, ","")&amp;IF($S37="","Plan Name, ","")&amp;IF($T37="","Coverage Level, ","")&amp;IF(AND($U37&lt;&gt;"",OR(NOT(ISNUMBER($U37)),$U37&lt;0)),"Funding, ","")&amp;IF(AND($A37&lt;&gt;"",$S37&lt;&gt;"",COUNTIFS($A$2:$A$501,$A37,$B$2:$B$501,$B37,$S$2:$S$501,$S37)&gt;1),"Duplicate Row, ",""))</f>
        <v/>
      </c>
      <c r="AF37">
        <f>IF(COUNTA($A37:$U37)=0,"",$Y37&amp;$Z37&amp;$AA37&amp;$AB37&amp;$AC37)</f>
        <v/>
      </c>
      <c r="AG37">
        <f>IF($N37="","",LOWER(TRIM($N37)))</f>
        <v/>
      </c>
      <c r="AH37">
        <f>IF($A37="","",COUNTIFS($A$2:$A$501,$A37,$AI$2:$AI$501,1))</f>
        <v/>
      </c>
      <c r="AI37">
        <f>IF(COUNTA($A37:$U37)=0,"",--($AF37&lt;&gt;""))</f>
        <v/>
      </c>
      <c r="AJ37">
        <f>IF(COUNTA($A37:$U37)=0,"",--($AD37&lt;&gt;""))</f>
        <v/>
      </c>
    </row>
    <row r="38" ht="20" customHeight="1">
      <c r="A38" s="80" t="n"/>
      <c r="B38" s="80" t="n"/>
      <c r="C38" s="81" t="n"/>
      <c r="D38" s="81" t="n"/>
      <c r="E38" s="80" t="n"/>
      <c r="F38" s="81" t="n"/>
      <c r="G38" s="81" t="n"/>
      <c r="H38" s="81" t="n"/>
      <c r="I38" s="80" t="n"/>
      <c r="J38" s="80" t="n"/>
      <c r="K38" s="80" t="n"/>
      <c r="L38" s="82" t="n"/>
      <c r="M38" s="80" t="n"/>
      <c r="N38" s="80" t="n"/>
      <c r="O38" s="80" t="n"/>
      <c r="P38" s="82" t="n"/>
      <c r="Q38" s="82" t="n"/>
      <c r="R38" s="80" t="n"/>
      <c r="S38" s="80" t="n"/>
      <c r="T38" s="80" t="n"/>
      <c r="U38" s="83" t="n"/>
      <c r="V38">
        <f>IF($A38="","",IF($A38=$A37,$V37,IF($V37="",0,1-$V37)))</f>
        <v/>
      </c>
      <c r="W38">
        <f>IF($B38&lt;&gt;"",$B38,$A38)</f>
        <v/>
      </c>
      <c r="X38">
        <f>IF(COUNTA($A38:$U38)=0,"",IF(OR($B38&lt;&gt;"",$O38&lt;&gt;""),"Dependent","Employee"))</f>
        <v/>
      </c>
      <c r="Y38">
        <f>IF(COUNTA($A38:$U38)=0,"",IF($A38="","Employee SSN is required; ","")&amp;IF($C38="","First Name is required; ","")&amp;IF(LEN($C38&amp;"")&gt;19,"First Name exceeds 19 characters; ","")&amp;IF(AND($C38&lt;&gt;"",SUMPRODUCT(--(ROW($1:$19)&lt;=LEN($C38&amp;"")),--ISERROR(FIND(MID($C38&amp;"",ROW($1:$19),1),"ABCDEFGHIJKLMNOPQRSTUVWXYZabcdefghijklmnopqrstuvwxyz .,")))&gt;0),"First Name contains unsupported or encoded characters; use plain A-Z letters only; ","")&amp;IF($D38="","Last Name is required; ","")&amp;IF(LEN($D38&amp;"")&gt;26,"Last Name exceeds 26 characters; ","")&amp;IF(AND($D38&lt;&gt;"",SUMPRODUCT(--(ROW($1:$26)&lt;=LEN($D38&amp;"")),--ISERROR(FIND(MID($D38&amp;"",ROW($1:$26),1),"ABCDEFGHIJKLMNOPQRSTUVWXYZabcdefghijklmnopqrstuvwxyz .,")))&gt;0),"Last Name contains unsupported or encoded characters; use plain A-Z letters only; ","")&amp;IF(LEN($E38&amp;"")&gt;1,"Middle Initial may contain only one character; ","")&amp;IF(AND($E38&lt;&gt;"",SUMPRODUCT(--(ROW($1:$1)&lt;=LEN($E38&amp;"")),--ISERROR(FIND(MID($E38&amp;"",ROW($1:$1),1),"ABCDEFGHIJKLMNOPQRSTUVWXYZabcdefghijklmnopqrstuvwxyz .,")))&gt;0),"Middle Initial must be a plain A-Z letter; ","")&amp;IF($F38="","Address is required; ","")&amp;IF(LEN($F38&amp;"")&gt;75,"Address exceeds 75 characters; ","")&amp;IF(LEN($G38&amp;"")&gt;75,"Address 2 exceeds 75 characters; ","")&amp;IF($H38="","City is required; ","")&amp;IF(LEN($H38&amp;"")&gt;30,"City exceeds 30 characters; ","")&amp;IF($K38="","Country is required; ","")&amp;IF(AND($K38&lt;&gt;"",$K38&lt;&gt;"US",$K38&lt;&gt;"CA"),"Country must be US or CA; ","")&amp;IF(AND($K38="US",OR($I38="",LEN($I38&amp;"")&lt;&gt;2)),"Use a 2-letter state code; ","")&amp;IF($J38="","ZIP or postal code is required; ","")&amp;IF(AND($K38="US",$J38&lt;&gt;"",NOT(IFERROR(OR(AND(LEN($J38&amp;"")=5,ISNUMBER(--($J38&amp;""))),AND(LEN($J38&amp;"")=9,ISNUMBER(--($J38&amp;""))),AND(LEN($J38&amp;"")=10,MID($J38&amp;"",6,1)="-",ISNUMBER(--SUBSTITUTE($J38&amp;"","-","")))),FALSE))),"US ZIP must be 5 or 9 digits, with an optional ZIP+4 hyphen; ","")&amp;IF(AND($N38&lt;&gt;"",NOT(IFERROR(AND(ISNUMBER(SEARCH("@",$N38)),ISNUMBER(SEARCH(".",$N38,SEARCH("@",$N38)+2))),FALSE))),"Email format appears invalid; ","")&amp;IF(AND($O38&lt;&gt;"",$B38=""),"Dependent SSN is required for every dependent; ","")&amp;IF(AND($B38&lt;&gt;"",$O38=""),"Dependent Relationship is required when Dependent SSN is entered; ","")&amp;IF(AND($O38&lt;&gt;"",$O38&lt;&gt;"Spouse or Common Law Spouse",$O38&lt;&gt;"Domestic Partner",$O38&lt;&gt;"Child",$O38&lt;&gt;"Other",$O38&lt;&gt;"Estate",$O38&lt;&gt;"Unknown"),"Dependent Relationship must use one of the approved options; ",""))</f>
        <v/>
      </c>
      <c r="Z38">
        <f>IF(COUNTA($A38:$U38)=0,"",IF(AND($A38&lt;&gt;"",NOT(IFERROR(AND(LEN($A38&amp;"")=9,ISNUMBER(--($A38&amp;""))),FALSE))),"Employee SSN must contain exactly 9 digits; ","")&amp;IF(AND($A38&lt;&gt;"",OR($A38="123456789",$A38="987654321",$A38="012345678",$A38=REPT(LEFT($A38&amp;"",1),9))),"Employee SSN appears to be a placeholder; ","")&amp;IF(AND($B38&lt;&gt;"",NOT(IFERROR(AND(LEN($B38&amp;"")=9,ISNUMBER(--($B38&amp;""))),FALSE))),"Dependent SSN must contain exactly 9 digits; ","")&amp;IF(AND($B38&lt;&gt;"",OR($B38="123456789",$B38="987654321",$B38="012345678",$B38=REPT(LEFT($B38&amp;"",1),9))),"Dependent SSN appears to be a placeholder; ","")&amp;IF(AND($A38&lt;&gt;"",$B38&lt;&gt;"",$A38&amp;""=$B38&amp;""),"Dependent SSN cannot match Employee SSN; ","")&amp;IF(AND($W38&lt;&gt;"",OR(COUNTIFS($W$2:$W$501,$W38,$C$2:$C$501,"&lt;&gt;"&amp;$C38)&gt;0,COUNTIFS($W$2:$W$501,$W38,$D$2:$D$501,"&lt;&gt;"&amp;$D38)&gt;0,COUNTIFS($W$2:$W$501,$W38,$L$2:$L$501,"&lt;&gt;"&amp;$L38)&gt;0)),"The same SSN is associated with a different name or birthdate; ",""))</f>
        <v/>
      </c>
      <c r="AA38">
        <f>IF(COUNTA($A38:$U38)=0,"",IF(AND($A38&lt;&gt;"",$S38&lt;&gt;"",COUNTIFS($A$2:$A$501,$A38,$S$2:$S$501,$S38,$B$2:$B$501,"",$O$2:$O$501,"")=0),"Add an employee row for this household and plan; ","")&amp;IF(AND($X38="Dependent",COUNTIFS($A$2:$A38,$A38,$S$2:$S38,$S38,$B$2:$B38,"",$O$2:$O38,"")=0),"Place the employee row before dependent rows for this plan; ","")&amp;IF(AND($X38="Dependent",COUNTIFS($A$2:$A$501,$A38,$S$2:$S$501,$S38,$B$2:$B$501,"",$O$2:$O$501,"")&gt;0,IFERROR(OR($P38&lt;&gt;LOOKUP(2,1/(($A$2:$A$501=$A38)*($S$2:$S$501=$S38)*($B$2:$B$501="")*($O$2:$O$501="")),$P$2:$P$501),$Q38&lt;&gt;LOOKUP(2,1/(($A$2:$A$501=$A38)*($S$2:$S$501=$S38)*($B$2:$B$501="")*($O$2:$O$501="")),$Q$2:$Q$501),$R38&lt;&gt;LOOKUP(2,1/(($A$2:$A$501=$A38)*($S$2:$S$501=$S38)*($B$2:$B$501="")*($O$2:$O$501="")),$R$2:$R$501),$T38&lt;&gt;LOOKUP(2,1/(($A$2:$A$501=$A38)*($S$2:$S$501=$S38)*($B$2:$B$501="")*($O$2:$O$501="")),$T$2:$T$501),$U38&lt;&gt;LOOKUP(2,1/(($A$2:$A$501=$A38)*($S$2:$S$501=$S38)*($B$2:$B$501="")*($O$2:$O$501="")),$U$2:$U$501)),FALSE)),"Dependent row does not match the employee row for eligibility, status, coverage level, or funding; ",""))</f>
        <v/>
      </c>
      <c r="AB38">
        <f>IF(COUNTA($A38:$U38)=0,"",IF($L38="","Birthdate is required; ","")&amp;IF(AND($L38&lt;&gt;"",OR(NOT(ISNUMBER($L38)),$L38&lt;=DATE(1900,1,1),$L38&gt;TODAY())),"Birthdate must be an exact valid past date; ","")&amp;IF($P38="","Eligibility Date is required; ","")&amp;IF(AND($P38&lt;&gt;"",OR(NOT(ISNUMBER($P38)),$P38&lt;=DATE(1900,1,1))),"Eligibility Date must be a valid date; ","")&amp;IF(AND($R38="Terminated",$Q38=""),"Termination Date is required when Status is Terminated; ","")&amp;IF(AND($Q38&lt;&gt;"",OR(NOT(ISNUMBER($Q38)),$Q38&lt;=DATE(1900,1,1))),"Termination Date must be a valid date; ","")&amp;IF(AND(ISNUMBER($P38),ISNUMBER($Q38),$Q38&lt;$P38),"Termination Date cannot be before Eligibility Date; ","")&amp;IF($R38="","Status is required; ","")&amp;IF(AND($R38&lt;&gt;"",$R38&lt;&gt;"Active",$R38&lt;&gt;"Terminated"),"Status must be Active or Terminated; ","")&amp;IF(AND('START HERE'!$C$8="Terminations Only",$R38&lt;&gt;"Terminated"),"Terminations Only files must contain terminated records; ",""))</f>
        <v/>
      </c>
      <c r="AC38">
        <f>IF(COUNTA($A38:$U38)=0,"",IF($S38="","Plan Name is required; ","")&amp;IF($T38="","Benefit Coverage Level is required; ","")&amp;IF(AND($U38&lt;&gt;"",OR(NOT(ISNUMBER($U38)),$U38&lt;0)),"Plan Funding Amount must be a nonnegative number; ","")&amp;IF(AND($A38&lt;&gt;"",$S38&lt;&gt;"",COUNTIFS($A$2:$A$501,$A38,$B$2:$B$501,$B38,$S$2:$S$501,$S38)&gt;1),"Duplicate participant and plan row; ",""))</f>
        <v/>
      </c>
      <c r="AD38">
        <f>IF(COUNTA($A38:$U38)=0,"",IF(AND($X38="Employee",$M38="",$N38=""),"No employee phone or email provided; ","")&amp;IF(AND($R38="Active",$Q38&lt;&gt;""),"Active record includes a Termination Date; confirm this is intentional; ","")&amp;IF(AND($B38&lt;&gt;"",$B38&amp;""&lt;&gt;$A38&amp;"",COUNTIF($A$2:$A$501,$B38)&gt;0),"Dependent SSN also appears as an Employee SSN elsewhere; confirm dual-employee coverage is intentional; ","")&amp;IF(AND($B38&lt;&gt;"",COUNTIF($B$2:$B$501,$B38)&gt;COUNTIFS($A$2:$A$501,$A38,$B$2:$B$501,$B38)),"Dependent SSN appears under more than one employee; confirm duplicate family coverage is intentional; ","")&amp;IF(AND(ROW()&gt;2,$A38&lt;&gt;"",$A38&lt;&gt;$A37,COUNTIF($A$2:$A37,$A38)&gt;0),"This household appears in more than one section of the census; keep the family together; ","")&amp;IF(OR(AND($C38&lt;&gt;"",LEN($C38&amp;"")&lt;&gt;LEN(TRIM($C38&amp;""))),AND($D38&lt;&gt;"",LEN($D38&amp;"")&lt;&gt;LEN(TRIM($D38&amp;""))),AND($E38&lt;&gt;"",LEN($E38&amp;"")&lt;&gt;LEN(TRIM($E38&amp;""))),AND($F38&lt;&gt;"",LEN($F38&amp;"")&lt;&gt;LEN(TRIM($F38&amp;""))),AND($G38&lt;&gt;"",LEN($G38&amp;"")&lt;&gt;LEN(TRIM($G38&amp;""))),AND($H38&lt;&gt;"",LEN($H38&amp;"")&lt;&gt;LEN(TRIM($H38&amp;""))),AND($I38&lt;&gt;"",LEN($I38&amp;"")&lt;&gt;LEN(TRIM($I38&amp;""))),AND($J38&lt;&gt;"",LEN($J38&amp;"")&lt;&gt;LEN(TRIM($J38&amp;""))),AND($K38&lt;&gt;"",LEN($K38&amp;"")&lt;&gt;LEN(TRIM($K38&amp;""))),AND($M38&lt;&gt;"",LEN($M38&amp;"")&lt;&gt;LEN(TRIM($M38&amp;""))),AND($N38&lt;&gt;"",LEN($N38&amp;"")&lt;&gt;LEN(TRIM($N38&amp;""))),AND($O38&lt;&gt;"",LEN($O38&amp;"")&lt;&gt;LEN(TRIM($O38&amp;""))),AND($R38&lt;&gt;"",LEN($R38&amp;"")&lt;&gt;LEN(TRIM($R38&amp;""))),AND($S38&lt;&gt;"",LEN($S38&amp;"")&lt;&gt;LEN(TRIM($S38&amp;""))),AND($T38&lt;&gt;"",LEN($T38&amp;"")&lt;&gt;LEN(TRIM($T38&amp;"")))),"Remove leading or trailing spaces from text fields; ","")&amp;IF(OR(AND(LEN($C38)&gt;1,OR(EXACT($C38,UPPER($C38)),EXACT($C38,LOWER($C38)))),AND(LEN($D38)&gt;1,OR(EXACT($D38,UPPER($D38)),EXACT($D38,LOWER($D38)))),AND(LEN($H38)&gt;1,OR(EXACT($H38,UPPER($H38)),EXACT($H38,LOWER($H38))))),"Review capitalization in First Name, Last Name, or City; ","")&amp;IF(AND($N38&lt;&gt;"",NOT(EXACT($N38,LOWER($N38)))),"Email will be standardized to lowercase in the clean output; ","")&amp;IF(AND(OR('START HERE'!$C$8="Initial Enrollment",'START HERE'!$C$8="Open Enrollment"),$R38="Terminated"),"A terminated row is included in an initial or open enrollment file; confirm this is intentional; ",""))</f>
        <v/>
      </c>
      <c r="AE38">
        <f>IF(COUNTA($A38:$U38)=0,"",IF(OR($A38="",AND($A38&lt;&gt;"",NOT(IFERROR(AND(LEN($A38&amp;"")=9,ISNUMBER(--($A38&amp;""))),FALSE))),AND($A38&lt;&gt;"",OR($A38="123456789",$A38="987654321",$A38="012345678",$A38=REPT(LEFT($A38&amp;"",1),9)))),"Employee SSN, ","")&amp;IF(OR(AND($O38&lt;&gt;"",$B38=""),AND($B38&lt;&gt;"",OR(NOT(IFERROR(AND(LEN($B38&amp;"")=9,ISNUMBER(--($B38&amp;""))),FALSE)),$B38=$A38,$B38="123456789",$B38="987654321",$B38="012345678",$B38=REPT(LEFT($B38&amp;"",1),9)))),"Dependent SSN, ","")&amp;IF(OR($C38="",LEN($C38)&gt;19,AND($C38&lt;&gt;"",SUMPRODUCT(--(ROW($1:$19)&lt;=LEN($C38&amp;"")),--ISERROR(FIND(MID($C38&amp;"",ROW($1:$19),1),"ABCDEFGHIJKLMNOPQRSTUVWXYZabcdefghijklmnopqrstuvwxyz .,")))&gt;0)),"First Name, ","")&amp;IF(OR($D38="",LEN($D38)&gt;26,AND($D38&lt;&gt;"",SUMPRODUCT(--(ROW($1:$26)&lt;=LEN($D38&amp;"")),--ISERROR(FIND(MID($D38&amp;"",ROW($1:$26),1),"ABCDEFGHIJKLMNOPQRSTUVWXYZabcdefghijklmnopqrstuvwxyz .,")))&gt;0)),"Last Name, ","")&amp;IF(OR(LEN($E38)&gt;1,AND($E38&lt;&gt;"",SUMPRODUCT(--(ROW($1:$1)&lt;=LEN($E38&amp;"")),--ISERROR(FIND(MID($E38&amp;"",ROW($1:$1),1),"ABCDEFGHIJKLMNOPQRSTUVWXYZabcdefghijklmnopqrstuvwxyz .,")))&gt;0)),"Middle Initial, ","")&amp;IF(OR($F38="",LEN($F38)&gt;75),"Address, ","")&amp;IF(OR($H38="",LEN($H38)&gt;30),"City, ","")&amp;IF(AND($K38="US",OR($I38="",LEN($I38)&lt;&gt;2)),"State, ","")&amp;IF($J38="","ZIP, ","")&amp;IF(OR($K38="",AND($K38&lt;&gt;"US",$K38&lt;&gt;"CA")),"Country, ","")&amp;IF(OR($L38="",AND($L38&lt;&gt;"",OR(NOT(ISNUMBER($L38)),$L38&lt;=DATE(1900,1,1),$L38&gt;TODAY()))),"Birthdate, ","")&amp;IF(AND($N38&lt;&gt;"",NOT(IFERROR(AND(ISNUMBER(SEARCH("@",$N38)),ISNUMBER(SEARCH(".",$N38,SEARCH("@",$N38)+2))),FALSE))),"Email, ","")&amp;IF(OR(AND($B38&lt;&gt;"",$O38=""),AND($O38&lt;&gt;"",$O38&lt;&gt;"Spouse or Common Law Spouse",$O38&lt;&gt;"Domestic Partner",$O38&lt;&gt;"Child",$O38&lt;&gt;"Other",$O38&lt;&gt;"Estate",$O38&lt;&gt;"Unknown")),"Dependent Relationship, ","")&amp;IF($AA38&lt;&gt;"","Household, ","")&amp;IF(OR($P38="",AND($P38&lt;&gt;"",OR(NOT(ISNUMBER($P38)),$P38&lt;=DATE(1900,1,1)))),"Eligibility Date, ","")&amp;IF(OR(AND($R38="Terminated",$Q38=""),AND($Q38&lt;&gt;"",OR(NOT(ISNUMBER($Q38)),$Q38&lt;=DATE(1900,1,1))),AND(ISNUMBER($P38),ISNUMBER($Q38),$Q38&lt;$P38)),"Termination Date, ","")&amp;IF(OR($R38="",AND($R38&lt;&gt;"Active",$R38&lt;&gt;"Terminated"),AND('START HERE'!$C$8="Terminations Only",$R38&lt;&gt;"Terminated")),"Status, ","")&amp;IF($S38="","Plan Name, ","")&amp;IF($T38="","Coverage Level, ","")&amp;IF(AND($U38&lt;&gt;"",OR(NOT(ISNUMBER($U38)),$U38&lt;0)),"Funding, ","")&amp;IF(AND($A38&lt;&gt;"",$S38&lt;&gt;"",COUNTIFS($A$2:$A$501,$A38,$B$2:$B$501,$B38,$S$2:$S$501,$S38)&gt;1),"Duplicate Row, ",""))</f>
        <v/>
      </c>
      <c r="AF38">
        <f>IF(COUNTA($A38:$U38)=0,"",$Y38&amp;$Z38&amp;$AA38&amp;$AB38&amp;$AC38)</f>
        <v/>
      </c>
      <c r="AG38">
        <f>IF($N38="","",LOWER(TRIM($N38)))</f>
        <v/>
      </c>
      <c r="AH38">
        <f>IF($A38="","",COUNTIFS($A$2:$A$501,$A38,$AI$2:$AI$501,1))</f>
        <v/>
      </c>
      <c r="AI38">
        <f>IF(COUNTA($A38:$U38)=0,"",--($AF38&lt;&gt;""))</f>
        <v/>
      </c>
      <c r="AJ38">
        <f>IF(COUNTA($A38:$U38)=0,"",--($AD38&lt;&gt;""))</f>
        <v/>
      </c>
    </row>
    <row r="39" ht="20" customHeight="1">
      <c r="A39" s="80" t="n"/>
      <c r="B39" s="80" t="n"/>
      <c r="C39" s="81" t="n"/>
      <c r="D39" s="81" t="n"/>
      <c r="E39" s="80" t="n"/>
      <c r="F39" s="81" t="n"/>
      <c r="G39" s="81" t="n"/>
      <c r="H39" s="81" t="n"/>
      <c r="I39" s="80" t="n"/>
      <c r="J39" s="80" t="n"/>
      <c r="K39" s="80" t="n"/>
      <c r="L39" s="82" t="n"/>
      <c r="M39" s="80" t="n"/>
      <c r="N39" s="80" t="n"/>
      <c r="O39" s="80" t="n"/>
      <c r="P39" s="82" t="n"/>
      <c r="Q39" s="82" t="n"/>
      <c r="R39" s="80" t="n"/>
      <c r="S39" s="80" t="n"/>
      <c r="T39" s="80" t="n"/>
      <c r="U39" s="83" t="n"/>
      <c r="V39">
        <f>IF($A39="","",IF($A39=$A38,$V38,IF($V38="",0,1-$V38)))</f>
        <v/>
      </c>
      <c r="W39">
        <f>IF($B39&lt;&gt;"",$B39,$A39)</f>
        <v/>
      </c>
      <c r="X39">
        <f>IF(COUNTA($A39:$U39)=0,"",IF(OR($B39&lt;&gt;"",$O39&lt;&gt;""),"Dependent","Employee"))</f>
        <v/>
      </c>
      <c r="Y39">
        <f>IF(COUNTA($A39:$U39)=0,"",IF($A39="","Employee SSN is required; ","")&amp;IF($C39="","First Name is required; ","")&amp;IF(LEN($C39&amp;"")&gt;19,"First Name exceeds 19 characters; ","")&amp;IF(AND($C39&lt;&gt;"",SUMPRODUCT(--(ROW($1:$19)&lt;=LEN($C39&amp;"")),--ISERROR(FIND(MID($C39&amp;"",ROW($1:$19),1),"ABCDEFGHIJKLMNOPQRSTUVWXYZabcdefghijklmnopqrstuvwxyz .,")))&gt;0),"First Name contains unsupported or encoded characters; use plain A-Z letters only; ","")&amp;IF($D39="","Last Name is required; ","")&amp;IF(LEN($D39&amp;"")&gt;26,"Last Name exceeds 26 characters; ","")&amp;IF(AND($D39&lt;&gt;"",SUMPRODUCT(--(ROW($1:$26)&lt;=LEN($D39&amp;"")),--ISERROR(FIND(MID($D39&amp;"",ROW($1:$26),1),"ABCDEFGHIJKLMNOPQRSTUVWXYZabcdefghijklmnopqrstuvwxyz .,")))&gt;0),"Last Name contains unsupported or encoded characters; use plain A-Z letters only; ","")&amp;IF(LEN($E39&amp;"")&gt;1,"Middle Initial may contain only one character; ","")&amp;IF(AND($E39&lt;&gt;"",SUMPRODUCT(--(ROW($1:$1)&lt;=LEN($E39&amp;"")),--ISERROR(FIND(MID($E39&amp;"",ROW($1:$1),1),"ABCDEFGHIJKLMNOPQRSTUVWXYZabcdefghijklmnopqrstuvwxyz .,")))&gt;0),"Middle Initial must be a plain A-Z letter; ","")&amp;IF($F39="","Address is required; ","")&amp;IF(LEN($F39&amp;"")&gt;75,"Address exceeds 75 characters; ","")&amp;IF(LEN($G39&amp;"")&gt;75,"Address 2 exceeds 75 characters; ","")&amp;IF($H39="","City is required; ","")&amp;IF(LEN($H39&amp;"")&gt;30,"City exceeds 30 characters; ","")&amp;IF($K39="","Country is required; ","")&amp;IF(AND($K39&lt;&gt;"",$K39&lt;&gt;"US",$K39&lt;&gt;"CA"),"Country must be US or CA; ","")&amp;IF(AND($K39="US",OR($I39="",LEN($I39&amp;"")&lt;&gt;2)),"Use a 2-letter state code; ","")&amp;IF($J39="","ZIP or postal code is required; ","")&amp;IF(AND($K39="US",$J39&lt;&gt;"",NOT(IFERROR(OR(AND(LEN($J39&amp;"")=5,ISNUMBER(--($J39&amp;""))),AND(LEN($J39&amp;"")=9,ISNUMBER(--($J39&amp;""))),AND(LEN($J39&amp;"")=10,MID($J39&amp;"",6,1)="-",ISNUMBER(--SUBSTITUTE($J39&amp;"","-","")))),FALSE))),"US ZIP must be 5 or 9 digits, with an optional ZIP+4 hyphen; ","")&amp;IF(AND($N39&lt;&gt;"",NOT(IFERROR(AND(ISNUMBER(SEARCH("@",$N39)),ISNUMBER(SEARCH(".",$N39,SEARCH("@",$N39)+2))),FALSE))),"Email format appears invalid; ","")&amp;IF(AND($O39&lt;&gt;"",$B39=""),"Dependent SSN is required for every dependent; ","")&amp;IF(AND($B39&lt;&gt;"",$O39=""),"Dependent Relationship is required when Dependent SSN is entered; ","")&amp;IF(AND($O39&lt;&gt;"",$O39&lt;&gt;"Spouse or Common Law Spouse",$O39&lt;&gt;"Domestic Partner",$O39&lt;&gt;"Child",$O39&lt;&gt;"Other",$O39&lt;&gt;"Estate",$O39&lt;&gt;"Unknown"),"Dependent Relationship must use one of the approved options; ",""))</f>
        <v/>
      </c>
      <c r="Z39">
        <f>IF(COUNTA($A39:$U39)=0,"",IF(AND($A39&lt;&gt;"",NOT(IFERROR(AND(LEN($A39&amp;"")=9,ISNUMBER(--($A39&amp;""))),FALSE))),"Employee SSN must contain exactly 9 digits; ","")&amp;IF(AND($A39&lt;&gt;"",OR($A39="123456789",$A39="987654321",$A39="012345678",$A39=REPT(LEFT($A39&amp;"",1),9))),"Employee SSN appears to be a placeholder; ","")&amp;IF(AND($B39&lt;&gt;"",NOT(IFERROR(AND(LEN($B39&amp;"")=9,ISNUMBER(--($B39&amp;""))),FALSE))),"Dependent SSN must contain exactly 9 digits; ","")&amp;IF(AND($B39&lt;&gt;"",OR($B39="123456789",$B39="987654321",$B39="012345678",$B39=REPT(LEFT($B39&amp;"",1),9))),"Dependent SSN appears to be a placeholder; ","")&amp;IF(AND($A39&lt;&gt;"",$B39&lt;&gt;"",$A39&amp;""=$B39&amp;""),"Dependent SSN cannot match Employee SSN; ","")&amp;IF(AND($W39&lt;&gt;"",OR(COUNTIFS($W$2:$W$501,$W39,$C$2:$C$501,"&lt;&gt;"&amp;$C39)&gt;0,COUNTIFS($W$2:$W$501,$W39,$D$2:$D$501,"&lt;&gt;"&amp;$D39)&gt;0,COUNTIFS($W$2:$W$501,$W39,$L$2:$L$501,"&lt;&gt;"&amp;$L39)&gt;0)),"The same SSN is associated with a different name or birthdate; ",""))</f>
        <v/>
      </c>
      <c r="AA39">
        <f>IF(COUNTA($A39:$U39)=0,"",IF(AND($A39&lt;&gt;"",$S39&lt;&gt;"",COUNTIFS($A$2:$A$501,$A39,$S$2:$S$501,$S39,$B$2:$B$501,"",$O$2:$O$501,"")=0),"Add an employee row for this household and plan; ","")&amp;IF(AND($X39="Dependent",COUNTIFS($A$2:$A39,$A39,$S$2:$S39,$S39,$B$2:$B39,"",$O$2:$O39,"")=0),"Place the employee row before dependent rows for this plan; ","")&amp;IF(AND($X39="Dependent",COUNTIFS($A$2:$A$501,$A39,$S$2:$S$501,$S39,$B$2:$B$501,"",$O$2:$O$501,"")&gt;0,IFERROR(OR($P39&lt;&gt;LOOKUP(2,1/(($A$2:$A$501=$A39)*($S$2:$S$501=$S39)*($B$2:$B$501="")*($O$2:$O$501="")),$P$2:$P$501),$Q39&lt;&gt;LOOKUP(2,1/(($A$2:$A$501=$A39)*($S$2:$S$501=$S39)*($B$2:$B$501="")*($O$2:$O$501="")),$Q$2:$Q$501),$R39&lt;&gt;LOOKUP(2,1/(($A$2:$A$501=$A39)*($S$2:$S$501=$S39)*($B$2:$B$501="")*($O$2:$O$501="")),$R$2:$R$501),$T39&lt;&gt;LOOKUP(2,1/(($A$2:$A$501=$A39)*($S$2:$S$501=$S39)*($B$2:$B$501="")*($O$2:$O$501="")),$T$2:$T$501),$U39&lt;&gt;LOOKUP(2,1/(($A$2:$A$501=$A39)*($S$2:$S$501=$S39)*($B$2:$B$501="")*($O$2:$O$501="")),$U$2:$U$501)),FALSE)),"Dependent row does not match the employee row for eligibility, status, coverage level, or funding; ",""))</f>
        <v/>
      </c>
      <c r="AB39">
        <f>IF(COUNTA($A39:$U39)=0,"",IF($L39="","Birthdate is required; ","")&amp;IF(AND($L39&lt;&gt;"",OR(NOT(ISNUMBER($L39)),$L39&lt;=DATE(1900,1,1),$L39&gt;TODAY())),"Birthdate must be an exact valid past date; ","")&amp;IF($P39="","Eligibility Date is required; ","")&amp;IF(AND($P39&lt;&gt;"",OR(NOT(ISNUMBER($P39)),$P39&lt;=DATE(1900,1,1))),"Eligibility Date must be a valid date; ","")&amp;IF(AND($R39="Terminated",$Q39=""),"Termination Date is required when Status is Terminated; ","")&amp;IF(AND($Q39&lt;&gt;"",OR(NOT(ISNUMBER($Q39)),$Q39&lt;=DATE(1900,1,1))),"Termination Date must be a valid date; ","")&amp;IF(AND(ISNUMBER($P39),ISNUMBER($Q39),$Q39&lt;$P39),"Termination Date cannot be before Eligibility Date; ","")&amp;IF($R39="","Status is required; ","")&amp;IF(AND($R39&lt;&gt;"",$R39&lt;&gt;"Active",$R39&lt;&gt;"Terminated"),"Status must be Active or Terminated; ","")&amp;IF(AND('START HERE'!$C$8="Terminations Only",$R39&lt;&gt;"Terminated"),"Terminations Only files must contain terminated records; ",""))</f>
        <v/>
      </c>
      <c r="AC39">
        <f>IF(COUNTA($A39:$U39)=0,"",IF($S39="","Plan Name is required; ","")&amp;IF($T39="","Benefit Coverage Level is required; ","")&amp;IF(AND($U39&lt;&gt;"",OR(NOT(ISNUMBER($U39)),$U39&lt;0)),"Plan Funding Amount must be a nonnegative number; ","")&amp;IF(AND($A39&lt;&gt;"",$S39&lt;&gt;"",COUNTIFS($A$2:$A$501,$A39,$B$2:$B$501,$B39,$S$2:$S$501,$S39)&gt;1),"Duplicate participant and plan row; ",""))</f>
        <v/>
      </c>
      <c r="AD39">
        <f>IF(COUNTA($A39:$U39)=0,"",IF(AND($X39="Employee",$M39="",$N39=""),"No employee phone or email provided; ","")&amp;IF(AND($R39="Active",$Q39&lt;&gt;""),"Active record includes a Termination Date; confirm this is intentional; ","")&amp;IF(AND($B39&lt;&gt;"",$B39&amp;""&lt;&gt;$A39&amp;"",COUNTIF($A$2:$A$501,$B39)&gt;0),"Dependent SSN also appears as an Employee SSN elsewhere; confirm dual-employee coverage is intentional; ","")&amp;IF(AND($B39&lt;&gt;"",COUNTIF($B$2:$B$501,$B39)&gt;COUNTIFS($A$2:$A$501,$A39,$B$2:$B$501,$B39)),"Dependent SSN appears under more than one employee; confirm duplicate family coverage is intentional; ","")&amp;IF(AND(ROW()&gt;2,$A39&lt;&gt;"",$A39&lt;&gt;$A38,COUNTIF($A$2:$A38,$A39)&gt;0),"This household appears in more than one section of the census; keep the family together; ","")&amp;IF(OR(AND($C39&lt;&gt;"",LEN($C39&amp;"")&lt;&gt;LEN(TRIM($C39&amp;""))),AND($D39&lt;&gt;"",LEN($D39&amp;"")&lt;&gt;LEN(TRIM($D39&amp;""))),AND($E39&lt;&gt;"",LEN($E39&amp;"")&lt;&gt;LEN(TRIM($E39&amp;""))),AND($F39&lt;&gt;"",LEN($F39&amp;"")&lt;&gt;LEN(TRIM($F39&amp;""))),AND($G39&lt;&gt;"",LEN($G39&amp;"")&lt;&gt;LEN(TRIM($G39&amp;""))),AND($H39&lt;&gt;"",LEN($H39&amp;"")&lt;&gt;LEN(TRIM($H39&amp;""))),AND($I39&lt;&gt;"",LEN($I39&amp;"")&lt;&gt;LEN(TRIM($I39&amp;""))),AND($J39&lt;&gt;"",LEN($J39&amp;"")&lt;&gt;LEN(TRIM($J39&amp;""))),AND($K39&lt;&gt;"",LEN($K39&amp;"")&lt;&gt;LEN(TRIM($K39&amp;""))),AND($M39&lt;&gt;"",LEN($M39&amp;"")&lt;&gt;LEN(TRIM($M39&amp;""))),AND($N39&lt;&gt;"",LEN($N39&amp;"")&lt;&gt;LEN(TRIM($N39&amp;""))),AND($O39&lt;&gt;"",LEN($O39&amp;"")&lt;&gt;LEN(TRIM($O39&amp;""))),AND($R39&lt;&gt;"",LEN($R39&amp;"")&lt;&gt;LEN(TRIM($R39&amp;""))),AND($S39&lt;&gt;"",LEN($S39&amp;"")&lt;&gt;LEN(TRIM($S39&amp;""))),AND($T39&lt;&gt;"",LEN($T39&amp;"")&lt;&gt;LEN(TRIM($T39&amp;"")))),"Remove leading or trailing spaces from text fields; ","")&amp;IF(OR(AND(LEN($C39)&gt;1,OR(EXACT($C39,UPPER($C39)),EXACT($C39,LOWER($C39)))),AND(LEN($D39)&gt;1,OR(EXACT($D39,UPPER($D39)),EXACT($D39,LOWER($D39)))),AND(LEN($H39)&gt;1,OR(EXACT($H39,UPPER($H39)),EXACT($H39,LOWER($H39))))),"Review capitalization in First Name, Last Name, or City; ","")&amp;IF(AND($N39&lt;&gt;"",NOT(EXACT($N39,LOWER($N39)))),"Email will be standardized to lowercase in the clean output; ","")&amp;IF(AND(OR('START HERE'!$C$8="Initial Enrollment",'START HERE'!$C$8="Open Enrollment"),$R39="Terminated"),"A terminated row is included in an initial or open enrollment file; confirm this is intentional; ",""))</f>
        <v/>
      </c>
      <c r="AE39">
        <f>IF(COUNTA($A39:$U39)=0,"",IF(OR($A39="",AND($A39&lt;&gt;"",NOT(IFERROR(AND(LEN($A39&amp;"")=9,ISNUMBER(--($A39&amp;""))),FALSE))),AND($A39&lt;&gt;"",OR($A39="123456789",$A39="987654321",$A39="012345678",$A39=REPT(LEFT($A39&amp;"",1),9)))),"Employee SSN, ","")&amp;IF(OR(AND($O39&lt;&gt;"",$B39=""),AND($B39&lt;&gt;"",OR(NOT(IFERROR(AND(LEN($B39&amp;"")=9,ISNUMBER(--($B39&amp;""))),FALSE)),$B39=$A39,$B39="123456789",$B39="987654321",$B39="012345678",$B39=REPT(LEFT($B39&amp;"",1),9)))),"Dependent SSN, ","")&amp;IF(OR($C39="",LEN($C39)&gt;19,AND($C39&lt;&gt;"",SUMPRODUCT(--(ROW($1:$19)&lt;=LEN($C39&amp;"")),--ISERROR(FIND(MID($C39&amp;"",ROW($1:$19),1),"ABCDEFGHIJKLMNOPQRSTUVWXYZabcdefghijklmnopqrstuvwxyz .,")))&gt;0)),"First Name, ","")&amp;IF(OR($D39="",LEN($D39)&gt;26,AND($D39&lt;&gt;"",SUMPRODUCT(--(ROW($1:$26)&lt;=LEN($D39&amp;"")),--ISERROR(FIND(MID($D39&amp;"",ROW($1:$26),1),"ABCDEFGHIJKLMNOPQRSTUVWXYZabcdefghijklmnopqrstuvwxyz .,")))&gt;0)),"Last Name, ","")&amp;IF(OR(LEN($E39)&gt;1,AND($E39&lt;&gt;"",SUMPRODUCT(--(ROW($1:$1)&lt;=LEN($E39&amp;"")),--ISERROR(FIND(MID($E39&amp;"",ROW($1:$1),1),"ABCDEFGHIJKLMNOPQRSTUVWXYZabcdefghijklmnopqrstuvwxyz .,")))&gt;0)),"Middle Initial, ","")&amp;IF(OR($F39="",LEN($F39)&gt;75),"Address, ","")&amp;IF(OR($H39="",LEN($H39)&gt;30),"City, ","")&amp;IF(AND($K39="US",OR($I39="",LEN($I39)&lt;&gt;2)),"State, ","")&amp;IF($J39="","ZIP, ","")&amp;IF(OR($K39="",AND($K39&lt;&gt;"US",$K39&lt;&gt;"CA")),"Country, ","")&amp;IF(OR($L39="",AND($L39&lt;&gt;"",OR(NOT(ISNUMBER($L39)),$L39&lt;=DATE(1900,1,1),$L39&gt;TODAY()))),"Birthdate, ","")&amp;IF(AND($N39&lt;&gt;"",NOT(IFERROR(AND(ISNUMBER(SEARCH("@",$N39)),ISNUMBER(SEARCH(".",$N39,SEARCH("@",$N39)+2))),FALSE))),"Email, ","")&amp;IF(OR(AND($B39&lt;&gt;"",$O39=""),AND($O39&lt;&gt;"",$O39&lt;&gt;"Spouse or Common Law Spouse",$O39&lt;&gt;"Domestic Partner",$O39&lt;&gt;"Child",$O39&lt;&gt;"Other",$O39&lt;&gt;"Estate",$O39&lt;&gt;"Unknown")),"Dependent Relationship, ","")&amp;IF($AA39&lt;&gt;"","Household, ","")&amp;IF(OR($P39="",AND($P39&lt;&gt;"",OR(NOT(ISNUMBER($P39)),$P39&lt;=DATE(1900,1,1)))),"Eligibility Date, ","")&amp;IF(OR(AND($R39="Terminated",$Q39=""),AND($Q39&lt;&gt;"",OR(NOT(ISNUMBER($Q39)),$Q39&lt;=DATE(1900,1,1))),AND(ISNUMBER($P39),ISNUMBER($Q39),$Q39&lt;$P39)),"Termination Date, ","")&amp;IF(OR($R39="",AND($R39&lt;&gt;"Active",$R39&lt;&gt;"Terminated"),AND('START HERE'!$C$8="Terminations Only",$R39&lt;&gt;"Terminated")),"Status, ","")&amp;IF($S39="","Plan Name, ","")&amp;IF($T39="","Coverage Level, ","")&amp;IF(AND($U39&lt;&gt;"",OR(NOT(ISNUMBER($U39)),$U39&lt;0)),"Funding, ","")&amp;IF(AND($A39&lt;&gt;"",$S39&lt;&gt;"",COUNTIFS($A$2:$A$501,$A39,$B$2:$B$501,$B39,$S$2:$S$501,$S39)&gt;1),"Duplicate Row, ",""))</f>
        <v/>
      </c>
      <c r="AF39">
        <f>IF(COUNTA($A39:$U39)=0,"",$Y39&amp;$Z39&amp;$AA39&amp;$AB39&amp;$AC39)</f>
        <v/>
      </c>
      <c r="AG39">
        <f>IF($N39="","",LOWER(TRIM($N39)))</f>
        <v/>
      </c>
      <c r="AH39">
        <f>IF($A39="","",COUNTIFS($A$2:$A$501,$A39,$AI$2:$AI$501,1))</f>
        <v/>
      </c>
      <c r="AI39">
        <f>IF(COUNTA($A39:$U39)=0,"",--($AF39&lt;&gt;""))</f>
        <v/>
      </c>
      <c r="AJ39">
        <f>IF(COUNTA($A39:$U39)=0,"",--($AD39&lt;&gt;""))</f>
        <v/>
      </c>
    </row>
    <row r="40" ht="20" customHeight="1">
      <c r="A40" s="80" t="n"/>
      <c r="B40" s="80" t="n"/>
      <c r="C40" s="81" t="n"/>
      <c r="D40" s="81" t="n"/>
      <c r="E40" s="80" t="n"/>
      <c r="F40" s="81" t="n"/>
      <c r="G40" s="81" t="n"/>
      <c r="H40" s="81" t="n"/>
      <c r="I40" s="80" t="n"/>
      <c r="J40" s="80" t="n"/>
      <c r="K40" s="80" t="n"/>
      <c r="L40" s="82" t="n"/>
      <c r="M40" s="80" t="n"/>
      <c r="N40" s="80" t="n"/>
      <c r="O40" s="80" t="n"/>
      <c r="P40" s="82" t="n"/>
      <c r="Q40" s="82" t="n"/>
      <c r="R40" s="80" t="n"/>
      <c r="S40" s="80" t="n"/>
      <c r="T40" s="80" t="n"/>
      <c r="U40" s="83" t="n"/>
      <c r="V40">
        <f>IF($A40="","",IF($A40=$A39,$V39,IF($V39="",0,1-$V39)))</f>
        <v/>
      </c>
      <c r="W40">
        <f>IF($B40&lt;&gt;"",$B40,$A40)</f>
        <v/>
      </c>
      <c r="X40">
        <f>IF(COUNTA($A40:$U40)=0,"",IF(OR($B40&lt;&gt;"",$O40&lt;&gt;""),"Dependent","Employee"))</f>
        <v/>
      </c>
      <c r="Y40">
        <f>IF(COUNTA($A40:$U40)=0,"",IF($A40="","Employee SSN is required; ","")&amp;IF($C40="","First Name is required; ","")&amp;IF(LEN($C40&amp;"")&gt;19,"First Name exceeds 19 characters; ","")&amp;IF(AND($C40&lt;&gt;"",SUMPRODUCT(--(ROW($1:$19)&lt;=LEN($C40&amp;"")),--ISERROR(FIND(MID($C40&amp;"",ROW($1:$19),1),"ABCDEFGHIJKLMNOPQRSTUVWXYZabcdefghijklmnopqrstuvwxyz .,")))&gt;0),"First Name contains unsupported or encoded characters; use plain A-Z letters only; ","")&amp;IF($D40="","Last Name is required; ","")&amp;IF(LEN($D40&amp;"")&gt;26,"Last Name exceeds 26 characters; ","")&amp;IF(AND($D40&lt;&gt;"",SUMPRODUCT(--(ROW($1:$26)&lt;=LEN($D40&amp;"")),--ISERROR(FIND(MID($D40&amp;"",ROW($1:$26),1),"ABCDEFGHIJKLMNOPQRSTUVWXYZabcdefghijklmnopqrstuvwxyz .,")))&gt;0),"Last Name contains unsupported or encoded characters; use plain A-Z letters only; ","")&amp;IF(LEN($E40&amp;"")&gt;1,"Middle Initial may contain only one character; ","")&amp;IF(AND($E40&lt;&gt;"",SUMPRODUCT(--(ROW($1:$1)&lt;=LEN($E40&amp;"")),--ISERROR(FIND(MID($E40&amp;"",ROW($1:$1),1),"ABCDEFGHIJKLMNOPQRSTUVWXYZabcdefghijklmnopqrstuvwxyz .,")))&gt;0),"Middle Initial must be a plain A-Z letter; ","")&amp;IF($F40="","Address is required; ","")&amp;IF(LEN($F40&amp;"")&gt;75,"Address exceeds 75 characters; ","")&amp;IF(LEN($G40&amp;"")&gt;75,"Address 2 exceeds 75 characters; ","")&amp;IF($H40="","City is required; ","")&amp;IF(LEN($H40&amp;"")&gt;30,"City exceeds 30 characters; ","")&amp;IF($K40="","Country is required; ","")&amp;IF(AND($K40&lt;&gt;"",$K40&lt;&gt;"US",$K40&lt;&gt;"CA"),"Country must be US or CA; ","")&amp;IF(AND($K40="US",OR($I40="",LEN($I40&amp;"")&lt;&gt;2)),"Use a 2-letter state code; ","")&amp;IF($J40="","ZIP or postal code is required; ","")&amp;IF(AND($K40="US",$J40&lt;&gt;"",NOT(IFERROR(OR(AND(LEN($J40&amp;"")=5,ISNUMBER(--($J40&amp;""))),AND(LEN($J40&amp;"")=9,ISNUMBER(--($J40&amp;""))),AND(LEN($J40&amp;"")=10,MID($J40&amp;"",6,1)="-",ISNUMBER(--SUBSTITUTE($J40&amp;"","-","")))),FALSE))),"US ZIP must be 5 or 9 digits, with an optional ZIP+4 hyphen; ","")&amp;IF(AND($N40&lt;&gt;"",NOT(IFERROR(AND(ISNUMBER(SEARCH("@",$N40)),ISNUMBER(SEARCH(".",$N40,SEARCH("@",$N40)+2))),FALSE))),"Email format appears invalid; ","")&amp;IF(AND($O40&lt;&gt;"",$B40=""),"Dependent SSN is required for every dependent; ","")&amp;IF(AND($B40&lt;&gt;"",$O40=""),"Dependent Relationship is required when Dependent SSN is entered; ","")&amp;IF(AND($O40&lt;&gt;"",$O40&lt;&gt;"Spouse or Common Law Spouse",$O40&lt;&gt;"Domestic Partner",$O40&lt;&gt;"Child",$O40&lt;&gt;"Other",$O40&lt;&gt;"Estate",$O40&lt;&gt;"Unknown"),"Dependent Relationship must use one of the approved options; ",""))</f>
        <v/>
      </c>
      <c r="Z40">
        <f>IF(COUNTA($A40:$U40)=0,"",IF(AND($A40&lt;&gt;"",NOT(IFERROR(AND(LEN($A40&amp;"")=9,ISNUMBER(--($A40&amp;""))),FALSE))),"Employee SSN must contain exactly 9 digits; ","")&amp;IF(AND($A40&lt;&gt;"",OR($A40="123456789",$A40="987654321",$A40="012345678",$A40=REPT(LEFT($A40&amp;"",1),9))),"Employee SSN appears to be a placeholder; ","")&amp;IF(AND($B40&lt;&gt;"",NOT(IFERROR(AND(LEN($B40&amp;"")=9,ISNUMBER(--($B40&amp;""))),FALSE))),"Dependent SSN must contain exactly 9 digits; ","")&amp;IF(AND($B40&lt;&gt;"",OR($B40="123456789",$B40="987654321",$B40="012345678",$B40=REPT(LEFT($B40&amp;"",1),9))),"Dependent SSN appears to be a placeholder; ","")&amp;IF(AND($A40&lt;&gt;"",$B40&lt;&gt;"",$A40&amp;""=$B40&amp;""),"Dependent SSN cannot match Employee SSN; ","")&amp;IF(AND($W40&lt;&gt;"",OR(COUNTIFS($W$2:$W$501,$W40,$C$2:$C$501,"&lt;&gt;"&amp;$C40)&gt;0,COUNTIFS($W$2:$W$501,$W40,$D$2:$D$501,"&lt;&gt;"&amp;$D40)&gt;0,COUNTIFS($W$2:$W$501,$W40,$L$2:$L$501,"&lt;&gt;"&amp;$L40)&gt;0)),"The same SSN is associated with a different name or birthdate; ",""))</f>
        <v/>
      </c>
      <c r="AA40">
        <f>IF(COUNTA($A40:$U40)=0,"",IF(AND($A40&lt;&gt;"",$S40&lt;&gt;"",COUNTIFS($A$2:$A$501,$A40,$S$2:$S$501,$S40,$B$2:$B$501,"",$O$2:$O$501,"")=0),"Add an employee row for this household and plan; ","")&amp;IF(AND($X40="Dependent",COUNTIFS($A$2:$A40,$A40,$S$2:$S40,$S40,$B$2:$B40,"",$O$2:$O40,"")=0),"Place the employee row before dependent rows for this plan; ","")&amp;IF(AND($X40="Dependent",COUNTIFS($A$2:$A$501,$A40,$S$2:$S$501,$S40,$B$2:$B$501,"",$O$2:$O$501,"")&gt;0,IFERROR(OR($P40&lt;&gt;LOOKUP(2,1/(($A$2:$A$501=$A40)*($S$2:$S$501=$S40)*($B$2:$B$501="")*($O$2:$O$501="")),$P$2:$P$501),$Q40&lt;&gt;LOOKUP(2,1/(($A$2:$A$501=$A40)*($S$2:$S$501=$S40)*($B$2:$B$501="")*($O$2:$O$501="")),$Q$2:$Q$501),$R40&lt;&gt;LOOKUP(2,1/(($A$2:$A$501=$A40)*($S$2:$S$501=$S40)*($B$2:$B$501="")*($O$2:$O$501="")),$R$2:$R$501),$T40&lt;&gt;LOOKUP(2,1/(($A$2:$A$501=$A40)*($S$2:$S$501=$S40)*($B$2:$B$501="")*($O$2:$O$501="")),$T$2:$T$501),$U40&lt;&gt;LOOKUP(2,1/(($A$2:$A$501=$A40)*($S$2:$S$501=$S40)*($B$2:$B$501="")*($O$2:$O$501="")),$U$2:$U$501)),FALSE)),"Dependent row does not match the employee row for eligibility, status, coverage level, or funding; ",""))</f>
        <v/>
      </c>
      <c r="AB40">
        <f>IF(COUNTA($A40:$U40)=0,"",IF($L40="","Birthdate is required; ","")&amp;IF(AND($L40&lt;&gt;"",OR(NOT(ISNUMBER($L40)),$L40&lt;=DATE(1900,1,1),$L40&gt;TODAY())),"Birthdate must be an exact valid past date; ","")&amp;IF($P40="","Eligibility Date is required; ","")&amp;IF(AND($P40&lt;&gt;"",OR(NOT(ISNUMBER($P40)),$P40&lt;=DATE(1900,1,1))),"Eligibility Date must be a valid date; ","")&amp;IF(AND($R40="Terminated",$Q40=""),"Termination Date is required when Status is Terminated; ","")&amp;IF(AND($Q40&lt;&gt;"",OR(NOT(ISNUMBER($Q40)),$Q40&lt;=DATE(1900,1,1))),"Termination Date must be a valid date; ","")&amp;IF(AND(ISNUMBER($P40),ISNUMBER($Q40),$Q40&lt;$P40),"Termination Date cannot be before Eligibility Date; ","")&amp;IF($R40="","Status is required; ","")&amp;IF(AND($R40&lt;&gt;"",$R40&lt;&gt;"Active",$R40&lt;&gt;"Terminated"),"Status must be Active or Terminated; ","")&amp;IF(AND('START HERE'!$C$8="Terminations Only",$R40&lt;&gt;"Terminated"),"Terminations Only files must contain terminated records; ",""))</f>
        <v/>
      </c>
      <c r="AC40">
        <f>IF(COUNTA($A40:$U40)=0,"",IF($S40="","Plan Name is required; ","")&amp;IF($T40="","Benefit Coverage Level is required; ","")&amp;IF(AND($U40&lt;&gt;"",OR(NOT(ISNUMBER($U40)),$U40&lt;0)),"Plan Funding Amount must be a nonnegative number; ","")&amp;IF(AND($A40&lt;&gt;"",$S40&lt;&gt;"",COUNTIFS($A$2:$A$501,$A40,$B$2:$B$501,$B40,$S$2:$S$501,$S40)&gt;1),"Duplicate participant and plan row; ",""))</f>
        <v/>
      </c>
      <c r="AD40">
        <f>IF(COUNTA($A40:$U40)=0,"",IF(AND($X40="Employee",$M40="",$N40=""),"No employee phone or email provided; ","")&amp;IF(AND($R40="Active",$Q40&lt;&gt;""),"Active record includes a Termination Date; confirm this is intentional; ","")&amp;IF(AND($B40&lt;&gt;"",$B40&amp;""&lt;&gt;$A40&amp;"",COUNTIF($A$2:$A$501,$B40)&gt;0),"Dependent SSN also appears as an Employee SSN elsewhere; confirm dual-employee coverage is intentional; ","")&amp;IF(AND($B40&lt;&gt;"",COUNTIF($B$2:$B$501,$B40)&gt;COUNTIFS($A$2:$A$501,$A40,$B$2:$B$501,$B40)),"Dependent SSN appears under more than one employee; confirm duplicate family coverage is intentional; ","")&amp;IF(AND(ROW()&gt;2,$A40&lt;&gt;"",$A40&lt;&gt;$A39,COUNTIF($A$2:$A39,$A40)&gt;0),"This household appears in more than one section of the census; keep the family together; ","")&amp;IF(OR(AND($C40&lt;&gt;"",LEN($C40&amp;"")&lt;&gt;LEN(TRIM($C40&amp;""))),AND($D40&lt;&gt;"",LEN($D40&amp;"")&lt;&gt;LEN(TRIM($D40&amp;""))),AND($E40&lt;&gt;"",LEN($E40&amp;"")&lt;&gt;LEN(TRIM($E40&amp;""))),AND($F40&lt;&gt;"",LEN($F40&amp;"")&lt;&gt;LEN(TRIM($F40&amp;""))),AND($G40&lt;&gt;"",LEN($G40&amp;"")&lt;&gt;LEN(TRIM($G40&amp;""))),AND($H40&lt;&gt;"",LEN($H40&amp;"")&lt;&gt;LEN(TRIM($H40&amp;""))),AND($I40&lt;&gt;"",LEN($I40&amp;"")&lt;&gt;LEN(TRIM($I40&amp;""))),AND($J40&lt;&gt;"",LEN($J40&amp;"")&lt;&gt;LEN(TRIM($J40&amp;""))),AND($K40&lt;&gt;"",LEN($K40&amp;"")&lt;&gt;LEN(TRIM($K40&amp;""))),AND($M40&lt;&gt;"",LEN($M40&amp;"")&lt;&gt;LEN(TRIM($M40&amp;""))),AND($N40&lt;&gt;"",LEN($N40&amp;"")&lt;&gt;LEN(TRIM($N40&amp;""))),AND($O40&lt;&gt;"",LEN($O40&amp;"")&lt;&gt;LEN(TRIM($O40&amp;""))),AND($R40&lt;&gt;"",LEN($R40&amp;"")&lt;&gt;LEN(TRIM($R40&amp;""))),AND($S40&lt;&gt;"",LEN($S40&amp;"")&lt;&gt;LEN(TRIM($S40&amp;""))),AND($T40&lt;&gt;"",LEN($T40&amp;"")&lt;&gt;LEN(TRIM($T40&amp;"")))),"Remove leading or trailing spaces from text fields; ","")&amp;IF(OR(AND(LEN($C40)&gt;1,OR(EXACT($C40,UPPER($C40)),EXACT($C40,LOWER($C40)))),AND(LEN($D40)&gt;1,OR(EXACT($D40,UPPER($D40)),EXACT($D40,LOWER($D40)))),AND(LEN($H40)&gt;1,OR(EXACT($H40,UPPER($H40)),EXACT($H40,LOWER($H40))))),"Review capitalization in First Name, Last Name, or City; ","")&amp;IF(AND($N40&lt;&gt;"",NOT(EXACT($N40,LOWER($N40)))),"Email will be standardized to lowercase in the clean output; ","")&amp;IF(AND(OR('START HERE'!$C$8="Initial Enrollment",'START HERE'!$C$8="Open Enrollment"),$R40="Terminated"),"A terminated row is included in an initial or open enrollment file; confirm this is intentional; ",""))</f>
        <v/>
      </c>
      <c r="AE40">
        <f>IF(COUNTA($A40:$U40)=0,"",IF(OR($A40="",AND($A40&lt;&gt;"",NOT(IFERROR(AND(LEN($A40&amp;"")=9,ISNUMBER(--($A40&amp;""))),FALSE))),AND($A40&lt;&gt;"",OR($A40="123456789",$A40="987654321",$A40="012345678",$A40=REPT(LEFT($A40&amp;"",1),9)))),"Employee SSN, ","")&amp;IF(OR(AND($O40&lt;&gt;"",$B40=""),AND($B40&lt;&gt;"",OR(NOT(IFERROR(AND(LEN($B40&amp;"")=9,ISNUMBER(--($B40&amp;""))),FALSE)),$B40=$A40,$B40="123456789",$B40="987654321",$B40="012345678",$B40=REPT(LEFT($B40&amp;"",1),9)))),"Dependent SSN, ","")&amp;IF(OR($C40="",LEN($C40)&gt;19,AND($C40&lt;&gt;"",SUMPRODUCT(--(ROW($1:$19)&lt;=LEN($C40&amp;"")),--ISERROR(FIND(MID($C40&amp;"",ROW($1:$19),1),"ABCDEFGHIJKLMNOPQRSTUVWXYZabcdefghijklmnopqrstuvwxyz .,")))&gt;0)),"First Name, ","")&amp;IF(OR($D40="",LEN($D40)&gt;26,AND($D40&lt;&gt;"",SUMPRODUCT(--(ROW($1:$26)&lt;=LEN($D40&amp;"")),--ISERROR(FIND(MID($D40&amp;"",ROW($1:$26),1),"ABCDEFGHIJKLMNOPQRSTUVWXYZabcdefghijklmnopqrstuvwxyz .,")))&gt;0)),"Last Name, ","")&amp;IF(OR(LEN($E40)&gt;1,AND($E40&lt;&gt;"",SUMPRODUCT(--(ROW($1:$1)&lt;=LEN($E40&amp;"")),--ISERROR(FIND(MID($E40&amp;"",ROW($1:$1),1),"ABCDEFGHIJKLMNOPQRSTUVWXYZabcdefghijklmnopqrstuvwxyz .,")))&gt;0)),"Middle Initial, ","")&amp;IF(OR($F40="",LEN($F40)&gt;75),"Address, ","")&amp;IF(OR($H40="",LEN($H40)&gt;30),"City, ","")&amp;IF(AND($K40="US",OR($I40="",LEN($I40)&lt;&gt;2)),"State, ","")&amp;IF($J40="","ZIP, ","")&amp;IF(OR($K40="",AND($K40&lt;&gt;"US",$K40&lt;&gt;"CA")),"Country, ","")&amp;IF(OR($L40="",AND($L40&lt;&gt;"",OR(NOT(ISNUMBER($L40)),$L40&lt;=DATE(1900,1,1),$L40&gt;TODAY()))),"Birthdate, ","")&amp;IF(AND($N40&lt;&gt;"",NOT(IFERROR(AND(ISNUMBER(SEARCH("@",$N40)),ISNUMBER(SEARCH(".",$N40,SEARCH("@",$N40)+2))),FALSE))),"Email, ","")&amp;IF(OR(AND($B40&lt;&gt;"",$O40=""),AND($O40&lt;&gt;"",$O40&lt;&gt;"Spouse or Common Law Spouse",$O40&lt;&gt;"Domestic Partner",$O40&lt;&gt;"Child",$O40&lt;&gt;"Other",$O40&lt;&gt;"Estate",$O40&lt;&gt;"Unknown")),"Dependent Relationship, ","")&amp;IF($AA40&lt;&gt;"","Household, ","")&amp;IF(OR($P40="",AND($P40&lt;&gt;"",OR(NOT(ISNUMBER($P40)),$P40&lt;=DATE(1900,1,1)))),"Eligibility Date, ","")&amp;IF(OR(AND($R40="Terminated",$Q40=""),AND($Q40&lt;&gt;"",OR(NOT(ISNUMBER($Q40)),$Q40&lt;=DATE(1900,1,1))),AND(ISNUMBER($P40),ISNUMBER($Q40),$Q40&lt;$P40)),"Termination Date, ","")&amp;IF(OR($R40="",AND($R40&lt;&gt;"Active",$R40&lt;&gt;"Terminated"),AND('START HERE'!$C$8="Terminations Only",$R40&lt;&gt;"Terminated")),"Status, ","")&amp;IF($S40="","Plan Name, ","")&amp;IF($T40="","Coverage Level, ","")&amp;IF(AND($U40&lt;&gt;"",OR(NOT(ISNUMBER($U40)),$U40&lt;0)),"Funding, ","")&amp;IF(AND($A40&lt;&gt;"",$S40&lt;&gt;"",COUNTIFS($A$2:$A$501,$A40,$B$2:$B$501,$B40,$S$2:$S$501,$S40)&gt;1),"Duplicate Row, ",""))</f>
        <v/>
      </c>
      <c r="AF40">
        <f>IF(COUNTA($A40:$U40)=0,"",$Y40&amp;$Z40&amp;$AA40&amp;$AB40&amp;$AC40)</f>
        <v/>
      </c>
      <c r="AG40">
        <f>IF($N40="","",LOWER(TRIM($N40)))</f>
        <v/>
      </c>
      <c r="AH40">
        <f>IF($A40="","",COUNTIFS($A$2:$A$501,$A40,$AI$2:$AI$501,1))</f>
        <v/>
      </c>
      <c r="AI40">
        <f>IF(COUNTA($A40:$U40)=0,"",--($AF40&lt;&gt;""))</f>
        <v/>
      </c>
      <c r="AJ40">
        <f>IF(COUNTA($A40:$U40)=0,"",--($AD40&lt;&gt;""))</f>
        <v/>
      </c>
    </row>
    <row r="41" ht="20" customHeight="1">
      <c r="A41" s="80" t="n"/>
      <c r="B41" s="80" t="n"/>
      <c r="C41" s="81" t="n"/>
      <c r="D41" s="81" t="n"/>
      <c r="E41" s="80" t="n"/>
      <c r="F41" s="81" t="n"/>
      <c r="G41" s="81" t="n"/>
      <c r="H41" s="81" t="n"/>
      <c r="I41" s="80" t="n"/>
      <c r="J41" s="80" t="n"/>
      <c r="K41" s="80" t="n"/>
      <c r="L41" s="82" t="n"/>
      <c r="M41" s="80" t="n"/>
      <c r="N41" s="80" t="n"/>
      <c r="O41" s="80" t="n"/>
      <c r="P41" s="82" t="n"/>
      <c r="Q41" s="82" t="n"/>
      <c r="R41" s="80" t="n"/>
      <c r="S41" s="80" t="n"/>
      <c r="T41" s="80" t="n"/>
      <c r="U41" s="83" t="n"/>
      <c r="V41">
        <f>IF($A41="","",IF($A41=$A40,$V40,IF($V40="",0,1-$V40)))</f>
        <v/>
      </c>
      <c r="W41">
        <f>IF($B41&lt;&gt;"",$B41,$A41)</f>
        <v/>
      </c>
      <c r="X41">
        <f>IF(COUNTA($A41:$U41)=0,"",IF(OR($B41&lt;&gt;"",$O41&lt;&gt;""),"Dependent","Employee"))</f>
        <v/>
      </c>
      <c r="Y41">
        <f>IF(COUNTA($A41:$U41)=0,"",IF($A41="","Employee SSN is required; ","")&amp;IF($C41="","First Name is required; ","")&amp;IF(LEN($C41&amp;"")&gt;19,"First Name exceeds 19 characters; ","")&amp;IF(AND($C41&lt;&gt;"",SUMPRODUCT(--(ROW($1:$19)&lt;=LEN($C41&amp;"")),--ISERROR(FIND(MID($C41&amp;"",ROW($1:$19),1),"ABCDEFGHIJKLMNOPQRSTUVWXYZabcdefghijklmnopqrstuvwxyz .,")))&gt;0),"First Name contains unsupported or encoded characters; use plain A-Z letters only; ","")&amp;IF($D41="","Last Name is required; ","")&amp;IF(LEN($D41&amp;"")&gt;26,"Last Name exceeds 26 characters; ","")&amp;IF(AND($D41&lt;&gt;"",SUMPRODUCT(--(ROW($1:$26)&lt;=LEN($D41&amp;"")),--ISERROR(FIND(MID($D41&amp;"",ROW($1:$26),1),"ABCDEFGHIJKLMNOPQRSTUVWXYZabcdefghijklmnopqrstuvwxyz .,")))&gt;0),"Last Name contains unsupported or encoded characters; use plain A-Z letters only; ","")&amp;IF(LEN($E41&amp;"")&gt;1,"Middle Initial may contain only one character; ","")&amp;IF(AND($E41&lt;&gt;"",SUMPRODUCT(--(ROW($1:$1)&lt;=LEN($E41&amp;"")),--ISERROR(FIND(MID($E41&amp;"",ROW($1:$1),1),"ABCDEFGHIJKLMNOPQRSTUVWXYZabcdefghijklmnopqrstuvwxyz .,")))&gt;0),"Middle Initial must be a plain A-Z letter; ","")&amp;IF($F41="","Address is required; ","")&amp;IF(LEN($F41&amp;"")&gt;75,"Address exceeds 75 characters; ","")&amp;IF(LEN($G41&amp;"")&gt;75,"Address 2 exceeds 75 characters; ","")&amp;IF($H41="","City is required; ","")&amp;IF(LEN($H41&amp;"")&gt;30,"City exceeds 30 characters; ","")&amp;IF($K41="","Country is required; ","")&amp;IF(AND($K41&lt;&gt;"",$K41&lt;&gt;"US",$K41&lt;&gt;"CA"),"Country must be US or CA; ","")&amp;IF(AND($K41="US",OR($I41="",LEN($I41&amp;"")&lt;&gt;2)),"Use a 2-letter state code; ","")&amp;IF($J41="","ZIP or postal code is required; ","")&amp;IF(AND($K41="US",$J41&lt;&gt;"",NOT(IFERROR(OR(AND(LEN($J41&amp;"")=5,ISNUMBER(--($J41&amp;""))),AND(LEN($J41&amp;"")=9,ISNUMBER(--($J41&amp;""))),AND(LEN($J41&amp;"")=10,MID($J41&amp;"",6,1)="-",ISNUMBER(--SUBSTITUTE($J41&amp;"","-","")))),FALSE))),"US ZIP must be 5 or 9 digits, with an optional ZIP+4 hyphen; ","")&amp;IF(AND($N41&lt;&gt;"",NOT(IFERROR(AND(ISNUMBER(SEARCH("@",$N41)),ISNUMBER(SEARCH(".",$N41,SEARCH("@",$N41)+2))),FALSE))),"Email format appears invalid; ","")&amp;IF(AND($O41&lt;&gt;"",$B41=""),"Dependent SSN is required for every dependent; ","")&amp;IF(AND($B41&lt;&gt;"",$O41=""),"Dependent Relationship is required when Dependent SSN is entered; ","")&amp;IF(AND($O41&lt;&gt;"",$O41&lt;&gt;"Spouse or Common Law Spouse",$O41&lt;&gt;"Domestic Partner",$O41&lt;&gt;"Child",$O41&lt;&gt;"Other",$O41&lt;&gt;"Estate",$O41&lt;&gt;"Unknown"),"Dependent Relationship must use one of the approved options; ",""))</f>
        <v/>
      </c>
      <c r="Z41">
        <f>IF(COUNTA($A41:$U41)=0,"",IF(AND($A41&lt;&gt;"",NOT(IFERROR(AND(LEN($A41&amp;"")=9,ISNUMBER(--($A41&amp;""))),FALSE))),"Employee SSN must contain exactly 9 digits; ","")&amp;IF(AND($A41&lt;&gt;"",OR($A41="123456789",$A41="987654321",$A41="012345678",$A41=REPT(LEFT($A41&amp;"",1),9))),"Employee SSN appears to be a placeholder; ","")&amp;IF(AND($B41&lt;&gt;"",NOT(IFERROR(AND(LEN($B41&amp;"")=9,ISNUMBER(--($B41&amp;""))),FALSE))),"Dependent SSN must contain exactly 9 digits; ","")&amp;IF(AND($B41&lt;&gt;"",OR($B41="123456789",$B41="987654321",$B41="012345678",$B41=REPT(LEFT($B41&amp;"",1),9))),"Dependent SSN appears to be a placeholder; ","")&amp;IF(AND($A41&lt;&gt;"",$B41&lt;&gt;"",$A41&amp;""=$B41&amp;""),"Dependent SSN cannot match Employee SSN; ","")&amp;IF(AND($W41&lt;&gt;"",OR(COUNTIFS($W$2:$W$501,$W41,$C$2:$C$501,"&lt;&gt;"&amp;$C41)&gt;0,COUNTIFS($W$2:$W$501,$W41,$D$2:$D$501,"&lt;&gt;"&amp;$D41)&gt;0,COUNTIFS($W$2:$W$501,$W41,$L$2:$L$501,"&lt;&gt;"&amp;$L41)&gt;0)),"The same SSN is associated with a different name or birthdate; ",""))</f>
        <v/>
      </c>
      <c r="AA41">
        <f>IF(COUNTA($A41:$U41)=0,"",IF(AND($A41&lt;&gt;"",$S41&lt;&gt;"",COUNTIFS($A$2:$A$501,$A41,$S$2:$S$501,$S41,$B$2:$B$501,"",$O$2:$O$501,"")=0),"Add an employee row for this household and plan; ","")&amp;IF(AND($X41="Dependent",COUNTIFS($A$2:$A41,$A41,$S$2:$S41,$S41,$B$2:$B41,"",$O$2:$O41,"")=0),"Place the employee row before dependent rows for this plan; ","")&amp;IF(AND($X41="Dependent",COUNTIFS($A$2:$A$501,$A41,$S$2:$S$501,$S41,$B$2:$B$501,"",$O$2:$O$501,"")&gt;0,IFERROR(OR($P41&lt;&gt;LOOKUP(2,1/(($A$2:$A$501=$A41)*($S$2:$S$501=$S41)*($B$2:$B$501="")*($O$2:$O$501="")),$P$2:$P$501),$Q41&lt;&gt;LOOKUP(2,1/(($A$2:$A$501=$A41)*($S$2:$S$501=$S41)*($B$2:$B$501="")*($O$2:$O$501="")),$Q$2:$Q$501),$R41&lt;&gt;LOOKUP(2,1/(($A$2:$A$501=$A41)*($S$2:$S$501=$S41)*($B$2:$B$501="")*($O$2:$O$501="")),$R$2:$R$501),$T41&lt;&gt;LOOKUP(2,1/(($A$2:$A$501=$A41)*($S$2:$S$501=$S41)*($B$2:$B$501="")*($O$2:$O$501="")),$T$2:$T$501),$U41&lt;&gt;LOOKUP(2,1/(($A$2:$A$501=$A41)*($S$2:$S$501=$S41)*($B$2:$B$501="")*($O$2:$O$501="")),$U$2:$U$501)),FALSE)),"Dependent row does not match the employee row for eligibility, status, coverage level, or funding; ",""))</f>
        <v/>
      </c>
      <c r="AB41">
        <f>IF(COUNTA($A41:$U41)=0,"",IF($L41="","Birthdate is required; ","")&amp;IF(AND($L41&lt;&gt;"",OR(NOT(ISNUMBER($L41)),$L41&lt;=DATE(1900,1,1),$L41&gt;TODAY())),"Birthdate must be an exact valid past date; ","")&amp;IF($P41="","Eligibility Date is required; ","")&amp;IF(AND($P41&lt;&gt;"",OR(NOT(ISNUMBER($P41)),$P41&lt;=DATE(1900,1,1))),"Eligibility Date must be a valid date; ","")&amp;IF(AND($R41="Terminated",$Q41=""),"Termination Date is required when Status is Terminated; ","")&amp;IF(AND($Q41&lt;&gt;"",OR(NOT(ISNUMBER($Q41)),$Q41&lt;=DATE(1900,1,1))),"Termination Date must be a valid date; ","")&amp;IF(AND(ISNUMBER($P41),ISNUMBER($Q41),$Q41&lt;$P41),"Termination Date cannot be before Eligibility Date; ","")&amp;IF($R41="","Status is required; ","")&amp;IF(AND($R41&lt;&gt;"",$R41&lt;&gt;"Active",$R41&lt;&gt;"Terminated"),"Status must be Active or Terminated; ","")&amp;IF(AND('START HERE'!$C$8="Terminations Only",$R41&lt;&gt;"Terminated"),"Terminations Only files must contain terminated records; ",""))</f>
        <v/>
      </c>
      <c r="AC41">
        <f>IF(COUNTA($A41:$U41)=0,"",IF($S41="","Plan Name is required; ","")&amp;IF($T41="","Benefit Coverage Level is required; ","")&amp;IF(AND($U41&lt;&gt;"",OR(NOT(ISNUMBER($U41)),$U41&lt;0)),"Plan Funding Amount must be a nonnegative number; ","")&amp;IF(AND($A41&lt;&gt;"",$S41&lt;&gt;"",COUNTIFS($A$2:$A$501,$A41,$B$2:$B$501,$B41,$S$2:$S$501,$S41)&gt;1),"Duplicate participant and plan row; ",""))</f>
        <v/>
      </c>
      <c r="AD41">
        <f>IF(COUNTA($A41:$U41)=0,"",IF(AND($X41="Employee",$M41="",$N41=""),"No employee phone or email provided; ","")&amp;IF(AND($R41="Active",$Q41&lt;&gt;""),"Active record includes a Termination Date; confirm this is intentional; ","")&amp;IF(AND($B41&lt;&gt;"",$B41&amp;""&lt;&gt;$A41&amp;"",COUNTIF($A$2:$A$501,$B41)&gt;0),"Dependent SSN also appears as an Employee SSN elsewhere; confirm dual-employee coverage is intentional; ","")&amp;IF(AND($B41&lt;&gt;"",COUNTIF($B$2:$B$501,$B41)&gt;COUNTIFS($A$2:$A$501,$A41,$B$2:$B$501,$B41)),"Dependent SSN appears under more than one employee; confirm duplicate family coverage is intentional; ","")&amp;IF(AND(ROW()&gt;2,$A41&lt;&gt;"",$A41&lt;&gt;$A40,COUNTIF($A$2:$A40,$A41)&gt;0),"This household appears in more than one section of the census; keep the family together; ","")&amp;IF(OR(AND($C41&lt;&gt;"",LEN($C41&amp;"")&lt;&gt;LEN(TRIM($C41&amp;""))),AND($D41&lt;&gt;"",LEN($D41&amp;"")&lt;&gt;LEN(TRIM($D41&amp;""))),AND($E41&lt;&gt;"",LEN($E41&amp;"")&lt;&gt;LEN(TRIM($E41&amp;""))),AND($F41&lt;&gt;"",LEN($F41&amp;"")&lt;&gt;LEN(TRIM($F41&amp;""))),AND($G41&lt;&gt;"",LEN($G41&amp;"")&lt;&gt;LEN(TRIM($G41&amp;""))),AND($H41&lt;&gt;"",LEN($H41&amp;"")&lt;&gt;LEN(TRIM($H41&amp;""))),AND($I41&lt;&gt;"",LEN($I41&amp;"")&lt;&gt;LEN(TRIM($I41&amp;""))),AND($J41&lt;&gt;"",LEN($J41&amp;"")&lt;&gt;LEN(TRIM($J41&amp;""))),AND($K41&lt;&gt;"",LEN($K41&amp;"")&lt;&gt;LEN(TRIM($K41&amp;""))),AND($M41&lt;&gt;"",LEN($M41&amp;"")&lt;&gt;LEN(TRIM($M41&amp;""))),AND($N41&lt;&gt;"",LEN($N41&amp;"")&lt;&gt;LEN(TRIM($N41&amp;""))),AND($O41&lt;&gt;"",LEN($O41&amp;"")&lt;&gt;LEN(TRIM($O41&amp;""))),AND($R41&lt;&gt;"",LEN($R41&amp;"")&lt;&gt;LEN(TRIM($R41&amp;""))),AND($S41&lt;&gt;"",LEN($S41&amp;"")&lt;&gt;LEN(TRIM($S41&amp;""))),AND($T41&lt;&gt;"",LEN($T41&amp;"")&lt;&gt;LEN(TRIM($T41&amp;"")))),"Remove leading or trailing spaces from text fields; ","")&amp;IF(OR(AND(LEN($C41)&gt;1,OR(EXACT($C41,UPPER($C41)),EXACT($C41,LOWER($C41)))),AND(LEN($D41)&gt;1,OR(EXACT($D41,UPPER($D41)),EXACT($D41,LOWER($D41)))),AND(LEN($H41)&gt;1,OR(EXACT($H41,UPPER($H41)),EXACT($H41,LOWER($H41))))),"Review capitalization in First Name, Last Name, or City; ","")&amp;IF(AND($N41&lt;&gt;"",NOT(EXACT($N41,LOWER($N41)))),"Email will be standardized to lowercase in the clean output; ","")&amp;IF(AND(OR('START HERE'!$C$8="Initial Enrollment",'START HERE'!$C$8="Open Enrollment"),$R41="Terminated"),"A terminated row is included in an initial or open enrollment file; confirm this is intentional; ",""))</f>
        <v/>
      </c>
      <c r="AE41">
        <f>IF(COUNTA($A41:$U41)=0,"",IF(OR($A41="",AND($A41&lt;&gt;"",NOT(IFERROR(AND(LEN($A41&amp;"")=9,ISNUMBER(--($A41&amp;""))),FALSE))),AND($A41&lt;&gt;"",OR($A41="123456789",$A41="987654321",$A41="012345678",$A41=REPT(LEFT($A41&amp;"",1),9)))),"Employee SSN, ","")&amp;IF(OR(AND($O41&lt;&gt;"",$B41=""),AND($B41&lt;&gt;"",OR(NOT(IFERROR(AND(LEN($B41&amp;"")=9,ISNUMBER(--($B41&amp;""))),FALSE)),$B41=$A41,$B41="123456789",$B41="987654321",$B41="012345678",$B41=REPT(LEFT($B41&amp;"",1),9)))),"Dependent SSN, ","")&amp;IF(OR($C41="",LEN($C41)&gt;19,AND($C41&lt;&gt;"",SUMPRODUCT(--(ROW($1:$19)&lt;=LEN($C41&amp;"")),--ISERROR(FIND(MID($C41&amp;"",ROW($1:$19),1),"ABCDEFGHIJKLMNOPQRSTUVWXYZabcdefghijklmnopqrstuvwxyz .,")))&gt;0)),"First Name, ","")&amp;IF(OR($D41="",LEN($D41)&gt;26,AND($D41&lt;&gt;"",SUMPRODUCT(--(ROW($1:$26)&lt;=LEN($D41&amp;"")),--ISERROR(FIND(MID($D41&amp;"",ROW($1:$26),1),"ABCDEFGHIJKLMNOPQRSTUVWXYZabcdefghijklmnopqrstuvwxyz .,")))&gt;0)),"Last Name, ","")&amp;IF(OR(LEN($E41)&gt;1,AND($E41&lt;&gt;"",SUMPRODUCT(--(ROW($1:$1)&lt;=LEN($E41&amp;"")),--ISERROR(FIND(MID($E41&amp;"",ROW($1:$1),1),"ABCDEFGHIJKLMNOPQRSTUVWXYZabcdefghijklmnopqrstuvwxyz .,")))&gt;0)),"Middle Initial, ","")&amp;IF(OR($F41="",LEN($F41)&gt;75),"Address, ","")&amp;IF(OR($H41="",LEN($H41)&gt;30),"City, ","")&amp;IF(AND($K41="US",OR($I41="",LEN($I41)&lt;&gt;2)),"State, ","")&amp;IF($J41="","ZIP, ","")&amp;IF(OR($K41="",AND($K41&lt;&gt;"US",$K41&lt;&gt;"CA")),"Country, ","")&amp;IF(OR($L41="",AND($L41&lt;&gt;"",OR(NOT(ISNUMBER($L41)),$L41&lt;=DATE(1900,1,1),$L41&gt;TODAY()))),"Birthdate, ","")&amp;IF(AND($N41&lt;&gt;"",NOT(IFERROR(AND(ISNUMBER(SEARCH("@",$N41)),ISNUMBER(SEARCH(".",$N41,SEARCH("@",$N41)+2))),FALSE))),"Email, ","")&amp;IF(OR(AND($B41&lt;&gt;"",$O41=""),AND($O41&lt;&gt;"",$O41&lt;&gt;"Spouse or Common Law Spouse",$O41&lt;&gt;"Domestic Partner",$O41&lt;&gt;"Child",$O41&lt;&gt;"Other",$O41&lt;&gt;"Estate",$O41&lt;&gt;"Unknown")),"Dependent Relationship, ","")&amp;IF($AA41&lt;&gt;"","Household, ","")&amp;IF(OR($P41="",AND($P41&lt;&gt;"",OR(NOT(ISNUMBER($P41)),$P41&lt;=DATE(1900,1,1)))),"Eligibility Date, ","")&amp;IF(OR(AND($R41="Terminated",$Q41=""),AND($Q41&lt;&gt;"",OR(NOT(ISNUMBER($Q41)),$Q41&lt;=DATE(1900,1,1))),AND(ISNUMBER($P41),ISNUMBER($Q41),$Q41&lt;$P41)),"Termination Date, ","")&amp;IF(OR($R41="",AND($R41&lt;&gt;"Active",$R41&lt;&gt;"Terminated"),AND('START HERE'!$C$8="Terminations Only",$R41&lt;&gt;"Terminated")),"Status, ","")&amp;IF($S41="","Plan Name, ","")&amp;IF($T41="","Coverage Level, ","")&amp;IF(AND($U41&lt;&gt;"",OR(NOT(ISNUMBER($U41)),$U41&lt;0)),"Funding, ","")&amp;IF(AND($A41&lt;&gt;"",$S41&lt;&gt;"",COUNTIFS($A$2:$A$501,$A41,$B$2:$B$501,$B41,$S$2:$S$501,$S41)&gt;1),"Duplicate Row, ",""))</f>
        <v/>
      </c>
      <c r="AF41">
        <f>IF(COUNTA($A41:$U41)=0,"",$Y41&amp;$Z41&amp;$AA41&amp;$AB41&amp;$AC41)</f>
        <v/>
      </c>
      <c r="AG41">
        <f>IF($N41="","",LOWER(TRIM($N41)))</f>
        <v/>
      </c>
      <c r="AH41">
        <f>IF($A41="","",COUNTIFS($A$2:$A$501,$A41,$AI$2:$AI$501,1))</f>
        <v/>
      </c>
      <c r="AI41">
        <f>IF(COUNTA($A41:$U41)=0,"",--($AF41&lt;&gt;""))</f>
        <v/>
      </c>
      <c r="AJ41">
        <f>IF(COUNTA($A41:$U41)=0,"",--($AD41&lt;&gt;""))</f>
        <v/>
      </c>
    </row>
    <row r="42" ht="20" customHeight="1">
      <c r="A42" s="80" t="n"/>
      <c r="B42" s="80" t="n"/>
      <c r="C42" s="81" t="n"/>
      <c r="D42" s="81" t="n"/>
      <c r="E42" s="80" t="n"/>
      <c r="F42" s="81" t="n"/>
      <c r="G42" s="81" t="n"/>
      <c r="H42" s="81" t="n"/>
      <c r="I42" s="80" t="n"/>
      <c r="J42" s="80" t="n"/>
      <c r="K42" s="80" t="n"/>
      <c r="L42" s="82" t="n"/>
      <c r="M42" s="80" t="n"/>
      <c r="N42" s="80" t="n"/>
      <c r="O42" s="80" t="n"/>
      <c r="P42" s="82" t="n"/>
      <c r="Q42" s="82" t="n"/>
      <c r="R42" s="80" t="n"/>
      <c r="S42" s="80" t="n"/>
      <c r="T42" s="80" t="n"/>
      <c r="U42" s="83" t="n"/>
      <c r="V42">
        <f>IF($A42="","",IF($A42=$A41,$V41,IF($V41="",0,1-$V41)))</f>
        <v/>
      </c>
      <c r="W42">
        <f>IF($B42&lt;&gt;"",$B42,$A42)</f>
        <v/>
      </c>
      <c r="X42">
        <f>IF(COUNTA($A42:$U42)=0,"",IF(OR($B42&lt;&gt;"",$O42&lt;&gt;""),"Dependent","Employee"))</f>
        <v/>
      </c>
      <c r="Y42">
        <f>IF(COUNTA($A42:$U42)=0,"",IF($A42="","Employee SSN is required; ","")&amp;IF($C42="","First Name is required; ","")&amp;IF(LEN($C42&amp;"")&gt;19,"First Name exceeds 19 characters; ","")&amp;IF(AND($C42&lt;&gt;"",SUMPRODUCT(--(ROW($1:$19)&lt;=LEN($C42&amp;"")),--ISERROR(FIND(MID($C42&amp;"",ROW($1:$19),1),"ABCDEFGHIJKLMNOPQRSTUVWXYZabcdefghijklmnopqrstuvwxyz .,")))&gt;0),"First Name contains unsupported or encoded characters; use plain A-Z letters only; ","")&amp;IF($D42="","Last Name is required; ","")&amp;IF(LEN($D42&amp;"")&gt;26,"Last Name exceeds 26 characters; ","")&amp;IF(AND($D42&lt;&gt;"",SUMPRODUCT(--(ROW($1:$26)&lt;=LEN($D42&amp;"")),--ISERROR(FIND(MID($D42&amp;"",ROW($1:$26),1),"ABCDEFGHIJKLMNOPQRSTUVWXYZabcdefghijklmnopqrstuvwxyz .,")))&gt;0),"Last Name contains unsupported or encoded characters; use plain A-Z letters only; ","")&amp;IF(LEN($E42&amp;"")&gt;1,"Middle Initial may contain only one character; ","")&amp;IF(AND($E42&lt;&gt;"",SUMPRODUCT(--(ROW($1:$1)&lt;=LEN($E42&amp;"")),--ISERROR(FIND(MID($E42&amp;"",ROW($1:$1),1),"ABCDEFGHIJKLMNOPQRSTUVWXYZabcdefghijklmnopqrstuvwxyz .,")))&gt;0),"Middle Initial must be a plain A-Z letter; ","")&amp;IF($F42="","Address is required; ","")&amp;IF(LEN($F42&amp;"")&gt;75,"Address exceeds 75 characters; ","")&amp;IF(LEN($G42&amp;"")&gt;75,"Address 2 exceeds 75 characters; ","")&amp;IF($H42="","City is required; ","")&amp;IF(LEN($H42&amp;"")&gt;30,"City exceeds 30 characters; ","")&amp;IF($K42="","Country is required; ","")&amp;IF(AND($K42&lt;&gt;"",$K42&lt;&gt;"US",$K42&lt;&gt;"CA"),"Country must be US or CA; ","")&amp;IF(AND($K42="US",OR($I42="",LEN($I42&amp;"")&lt;&gt;2)),"Use a 2-letter state code; ","")&amp;IF($J42="","ZIP or postal code is required; ","")&amp;IF(AND($K42="US",$J42&lt;&gt;"",NOT(IFERROR(OR(AND(LEN($J42&amp;"")=5,ISNUMBER(--($J42&amp;""))),AND(LEN($J42&amp;"")=9,ISNUMBER(--($J42&amp;""))),AND(LEN($J42&amp;"")=10,MID($J42&amp;"",6,1)="-",ISNUMBER(--SUBSTITUTE($J42&amp;"","-","")))),FALSE))),"US ZIP must be 5 or 9 digits, with an optional ZIP+4 hyphen; ","")&amp;IF(AND($N42&lt;&gt;"",NOT(IFERROR(AND(ISNUMBER(SEARCH("@",$N42)),ISNUMBER(SEARCH(".",$N42,SEARCH("@",$N42)+2))),FALSE))),"Email format appears invalid; ","")&amp;IF(AND($O42&lt;&gt;"",$B42=""),"Dependent SSN is required for every dependent; ","")&amp;IF(AND($B42&lt;&gt;"",$O42=""),"Dependent Relationship is required when Dependent SSN is entered; ","")&amp;IF(AND($O42&lt;&gt;"",$O42&lt;&gt;"Spouse or Common Law Spouse",$O42&lt;&gt;"Domestic Partner",$O42&lt;&gt;"Child",$O42&lt;&gt;"Other",$O42&lt;&gt;"Estate",$O42&lt;&gt;"Unknown"),"Dependent Relationship must use one of the approved options; ",""))</f>
        <v/>
      </c>
      <c r="Z42">
        <f>IF(COUNTA($A42:$U42)=0,"",IF(AND($A42&lt;&gt;"",NOT(IFERROR(AND(LEN($A42&amp;"")=9,ISNUMBER(--($A42&amp;""))),FALSE))),"Employee SSN must contain exactly 9 digits; ","")&amp;IF(AND($A42&lt;&gt;"",OR($A42="123456789",$A42="987654321",$A42="012345678",$A42=REPT(LEFT($A42&amp;"",1),9))),"Employee SSN appears to be a placeholder; ","")&amp;IF(AND($B42&lt;&gt;"",NOT(IFERROR(AND(LEN($B42&amp;"")=9,ISNUMBER(--($B42&amp;""))),FALSE))),"Dependent SSN must contain exactly 9 digits; ","")&amp;IF(AND($B42&lt;&gt;"",OR($B42="123456789",$B42="987654321",$B42="012345678",$B42=REPT(LEFT($B42&amp;"",1),9))),"Dependent SSN appears to be a placeholder; ","")&amp;IF(AND($A42&lt;&gt;"",$B42&lt;&gt;"",$A42&amp;""=$B42&amp;""),"Dependent SSN cannot match Employee SSN; ","")&amp;IF(AND($W42&lt;&gt;"",OR(COUNTIFS($W$2:$W$501,$W42,$C$2:$C$501,"&lt;&gt;"&amp;$C42)&gt;0,COUNTIFS($W$2:$W$501,$W42,$D$2:$D$501,"&lt;&gt;"&amp;$D42)&gt;0,COUNTIFS($W$2:$W$501,$W42,$L$2:$L$501,"&lt;&gt;"&amp;$L42)&gt;0)),"The same SSN is associated with a different name or birthdate; ",""))</f>
        <v/>
      </c>
      <c r="AA42">
        <f>IF(COUNTA($A42:$U42)=0,"",IF(AND($A42&lt;&gt;"",$S42&lt;&gt;"",COUNTIFS($A$2:$A$501,$A42,$S$2:$S$501,$S42,$B$2:$B$501,"",$O$2:$O$501,"")=0),"Add an employee row for this household and plan; ","")&amp;IF(AND($X42="Dependent",COUNTIFS($A$2:$A42,$A42,$S$2:$S42,$S42,$B$2:$B42,"",$O$2:$O42,"")=0),"Place the employee row before dependent rows for this plan; ","")&amp;IF(AND($X42="Dependent",COUNTIFS($A$2:$A$501,$A42,$S$2:$S$501,$S42,$B$2:$B$501,"",$O$2:$O$501,"")&gt;0,IFERROR(OR($P42&lt;&gt;LOOKUP(2,1/(($A$2:$A$501=$A42)*($S$2:$S$501=$S42)*($B$2:$B$501="")*($O$2:$O$501="")),$P$2:$P$501),$Q42&lt;&gt;LOOKUP(2,1/(($A$2:$A$501=$A42)*($S$2:$S$501=$S42)*($B$2:$B$501="")*($O$2:$O$501="")),$Q$2:$Q$501),$R42&lt;&gt;LOOKUP(2,1/(($A$2:$A$501=$A42)*($S$2:$S$501=$S42)*($B$2:$B$501="")*($O$2:$O$501="")),$R$2:$R$501),$T42&lt;&gt;LOOKUP(2,1/(($A$2:$A$501=$A42)*($S$2:$S$501=$S42)*($B$2:$B$501="")*($O$2:$O$501="")),$T$2:$T$501),$U42&lt;&gt;LOOKUP(2,1/(($A$2:$A$501=$A42)*($S$2:$S$501=$S42)*($B$2:$B$501="")*($O$2:$O$501="")),$U$2:$U$501)),FALSE)),"Dependent row does not match the employee row for eligibility, status, coverage level, or funding; ",""))</f>
        <v/>
      </c>
      <c r="AB42">
        <f>IF(COUNTA($A42:$U42)=0,"",IF($L42="","Birthdate is required; ","")&amp;IF(AND($L42&lt;&gt;"",OR(NOT(ISNUMBER($L42)),$L42&lt;=DATE(1900,1,1),$L42&gt;TODAY())),"Birthdate must be an exact valid past date; ","")&amp;IF($P42="","Eligibility Date is required; ","")&amp;IF(AND($P42&lt;&gt;"",OR(NOT(ISNUMBER($P42)),$P42&lt;=DATE(1900,1,1))),"Eligibility Date must be a valid date; ","")&amp;IF(AND($R42="Terminated",$Q42=""),"Termination Date is required when Status is Terminated; ","")&amp;IF(AND($Q42&lt;&gt;"",OR(NOT(ISNUMBER($Q42)),$Q42&lt;=DATE(1900,1,1))),"Termination Date must be a valid date; ","")&amp;IF(AND(ISNUMBER($P42),ISNUMBER($Q42),$Q42&lt;$P42),"Termination Date cannot be before Eligibility Date; ","")&amp;IF($R42="","Status is required; ","")&amp;IF(AND($R42&lt;&gt;"",$R42&lt;&gt;"Active",$R42&lt;&gt;"Terminated"),"Status must be Active or Terminated; ","")&amp;IF(AND('START HERE'!$C$8="Terminations Only",$R42&lt;&gt;"Terminated"),"Terminations Only files must contain terminated records; ",""))</f>
        <v/>
      </c>
      <c r="AC42">
        <f>IF(COUNTA($A42:$U42)=0,"",IF($S42="","Plan Name is required; ","")&amp;IF($T42="","Benefit Coverage Level is required; ","")&amp;IF(AND($U42&lt;&gt;"",OR(NOT(ISNUMBER($U42)),$U42&lt;0)),"Plan Funding Amount must be a nonnegative number; ","")&amp;IF(AND($A42&lt;&gt;"",$S42&lt;&gt;"",COUNTIFS($A$2:$A$501,$A42,$B$2:$B$501,$B42,$S$2:$S$501,$S42)&gt;1),"Duplicate participant and plan row; ",""))</f>
        <v/>
      </c>
      <c r="AD42">
        <f>IF(COUNTA($A42:$U42)=0,"",IF(AND($X42="Employee",$M42="",$N42=""),"No employee phone or email provided; ","")&amp;IF(AND($R42="Active",$Q42&lt;&gt;""),"Active record includes a Termination Date; confirm this is intentional; ","")&amp;IF(AND($B42&lt;&gt;"",$B42&amp;""&lt;&gt;$A42&amp;"",COUNTIF($A$2:$A$501,$B42)&gt;0),"Dependent SSN also appears as an Employee SSN elsewhere; confirm dual-employee coverage is intentional; ","")&amp;IF(AND($B42&lt;&gt;"",COUNTIF($B$2:$B$501,$B42)&gt;COUNTIFS($A$2:$A$501,$A42,$B$2:$B$501,$B42)),"Dependent SSN appears under more than one employee; confirm duplicate family coverage is intentional; ","")&amp;IF(AND(ROW()&gt;2,$A42&lt;&gt;"",$A42&lt;&gt;$A41,COUNTIF($A$2:$A41,$A42)&gt;0),"This household appears in more than one section of the census; keep the family together; ","")&amp;IF(OR(AND($C42&lt;&gt;"",LEN($C42&amp;"")&lt;&gt;LEN(TRIM($C42&amp;""))),AND($D42&lt;&gt;"",LEN($D42&amp;"")&lt;&gt;LEN(TRIM($D42&amp;""))),AND($E42&lt;&gt;"",LEN($E42&amp;"")&lt;&gt;LEN(TRIM($E42&amp;""))),AND($F42&lt;&gt;"",LEN($F42&amp;"")&lt;&gt;LEN(TRIM($F42&amp;""))),AND($G42&lt;&gt;"",LEN($G42&amp;"")&lt;&gt;LEN(TRIM($G42&amp;""))),AND($H42&lt;&gt;"",LEN($H42&amp;"")&lt;&gt;LEN(TRIM($H42&amp;""))),AND($I42&lt;&gt;"",LEN($I42&amp;"")&lt;&gt;LEN(TRIM($I42&amp;""))),AND($J42&lt;&gt;"",LEN($J42&amp;"")&lt;&gt;LEN(TRIM($J42&amp;""))),AND($K42&lt;&gt;"",LEN($K42&amp;"")&lt;&gt;LEN(TRIM($K42&amp;""))),AND($M42&lt;&gt;"",LEN($M42&amp;"")&lt;&gt;LEN(TRIM($M42&amp;""))),AND($N42&lt;&gt;"",LEN($N42&amp;"")&lt;&gt;LEN(TRIM($N42&amp;""))),AND($O42&lt;&gt;"",LEN($O42&amp;"")&lt;&gt;LEN(TRIM($O42&amp;""))),AND($R42&lt;&gt;"",LEN($R42&amp;"")&lt;&gt;LEN(TRIM($R42&amp;""))),AND($S42&lt;&gt;"",LEN($S42&amp;"")&lt;&gt;LEN(TRIM($S42&amp;""))),AND($T42&lt;&gt;"",LEN($T42&amp;"")&lt;&gt;LEN(TRIM($T42&amp;"")))),"Remove leading or trailing spaces from text fields; ","")&amp;IF(OR(AND(LEN($C42)&gt;1,OR(EXACT($C42,UPPER($C42)),EXACT($C42,LOWER($C42)))),AND(LEN($D42)&gt;1,OR(EXACT($D42,UPPER($D42)),EXACT($D42,LOWER($D42)))),AND(LEN($H42)&gt;1,OR(EXACT($H42,UPPER($H42)),EXACT($H42,LOWER($H42))))),"Review capitalization in First Name, Last Name, or City; ","")&amp;IF(AND($N42&lt;&gt;"",NOT(EXACT($N42,LOWER($N42)))),"Email will be standardized to lowercase in the clean output; ","")&amp;IF(AND(OR('START HERE'!$C$8="Initial Enrollment",'START HERE'!$C$8="Open Enrollment"),$R42="Terminated"),"A terminated row is included in an initial or open enrollment file; confirm this is intentional; ",""))</f>
        <v/>
      </c>
      <c r="AE42">
        <f>IF(COUNTA($A42:$U42)=0,"",IF(OR($A42="",AND($A42&lt;&gt;"",NOT(IFERROR(AND(LEN($A42&amp;"")=9,ISNUMBER(--($A42&amp;""))),FALSE))),AND($A42&lt;&gt;"",OR($A42="123456789",$A42="987654321",$A42="012345678",$A42=REPT(LEFT($A42&amp;"",1),9)))),"Employee SSN, ","")&amp;IF(OR(AND($O42&lt;&gt;"",$B42=""),AND($B42&lt;&gt;"",OR(NOT(IFERROR(AND(LEN($B42&amp;"")=9,ISNUMBER(--($B42&amp;""))),FALSE)),$B42=$A42,$B42="123456789",$B42="987654321",$B42="012345678",$B42=REPT(LEFT($B42&amp;"",1),9)))),"Dependent SSN, ","")&amp;IF(OR($C42="",LEN($C42)&gt;19,AND($C42&lt;&gt;"",SUMPRODUCT(--(ROW($1:$19)&lt;=LEN($C42&amp;"")),--ISERROR(FIND(MID($C42&amp;"",ROW($1:$19),1),"ABCDEFGHIJKLMNOPQRSTUVWXYZabcdefghijklmnopqrstuvwxyz .,")))&gt;0)),"First Name, ","")&amp;IF(OR($D42="",LEN($D42)&gt;26,AND($D42&lt;&gt;"",SUMPRODUCT(--(ROW($1:$26)&lt;=LEN($D42&amp;"")),--ISERROR(FIND(MID($D42&amp;"",ROW($1:$26),1),"ABCDEFGHIJKLMNOPQRSTUVWXYZabcdefghijklmnopqrstuvwxyz .,")))&gt;0)),"Last Name, ","")&amp;IF(OR(LEN($E42)&gt;1,AND($E42&lt;&gt;"",SUMPRODUCT(--(ROW($1:$1)&lt;=LEN($E42&amp;"")),--ISERROR(FIND(MID($E42&amp;"",ROW($1:$1),1),"ABCDEFGHIJKLMNOPQRSTUVWXYZabcdefghijklmnopqrstuvwxyz .,")))&gt;0)),"Middle Initial, ","")&amp;IF(OR($F42="",LEN($F42)&gt;75),"Address, ","")&amp;IF(OR($H42="",LEN($H42)&gt;30),"City, ","")&amp;IF(AND($K42="US",OR($I42="",LEN($I42)&lt;&gt;2)),"State, ","")&amp;IF($J42="","ZIP, ","")&amp;IF(OR($K42="",AND($K42&lt;&gt;"US",$K42&lt;&gt;"CA")),"Country, ","")&amp;IF(OR($L42="",AND($L42&lt;&gt;"",OR(NOT(ISNUMBER($L42)),$L42&lt;=DATE(1900,1,1),$L42&gt;TODAY()))),"Birthdate, ","")&amp;IF(AND($N42&lt;&gt;"",NOT(IFERROR(AND(ISNUMBER(SEARCH("@",$N42)),ISNUMBER(SEARCH(".",$N42,SEARCH("@",$N42)+2))),FALSE))),"Email, ","")&amp;IF(OR(AND($B42&lt;&gt;"",$O42=""),AND($O42&lt;&gt;"",$O42&lt;&gt;"Spouse or Common Law Spouse",$O42&lt;&gt;"Domestic Partner",$O42&lt;&gt;"Child",$O42&lt;&gt;"Other",$O42&lt;&gt;"Estate",$O42&lt;&gt;"Unknown")),"Dependent Relationship, ","")&amp;IF($AA42&lt;&gt;"","Household, ","")&amp;IF(OR($P42="",AND($P42&lt;&gt;"",OR(NOT(ISNUMBER($P42)),$P42&lt;=DATE(1900,1,1)))),"Eligibility Date, ","")&amp;IF(OR(AND($R42="Terminated",$Q42=""),AND($Q42&lt;&gt;"",OR(NOT(ISNUMBER($Q42)),$Q42&lt;=DATE(1900,1,1))),AND(ISNUMBER($P42),ISNUMBER($Q42),$Q42&lt;$P42)),"Termination Date, ","")&amp;IF(OR($R42="",AND($R42&lt;&gt;"Active",$R42&lt;&gt;"Terminated"),AND('START HERE'!$C$8="Terminations Only",$R42&lt;&gt;"Terminated")),"Status, ","")&amp;IF($S42="","Plan Name, ","")&amp;IF($T42="","Coverage Level, ","")&amp;IF(AND($U42&lt;&gt;"",OR(NOT(ISNUMBER($U42)),$U42&lt;0)),"Funding, ","")&amp;IF(AND($A42&lt;&gt;"",$S42&lt;&gt;"",COUNTIFS($A$2:$A$501,$A42,$B$2:$B$501,$B42,$S$2:$S$501,$S42)&gt;1),"Duplicate Row, ",""))</f>
        <v/>
      </c>
      <c r="AF42">
        <f>IF(COUNTA($A42:$U42)=0,"",$Y42&amp;$Z42&amp;$AA42&amp;$AB42&amp;$AC42)</f>
        <v/>
      </c>
      <c r="AG42">
        <f>IF($N42="","",LOWER(TRIM($N42)))</f>
        <v/>
      </c>
      <c r="AH42">
        <f>IF($A42="","",COUNTIFS($A$2:$A$501,$A42,$AI$2:$AI$501,1))</f>
        <v/>
      </c>
      <c r="AI42">
        <f>IF(COUNTA($A42:$U42)=0,"",--($AF42&lt;&gt;""))</f>
        <v/>
      </c>
      <c r="AJ42">
        <f>IF(COUNTA($A42:$U42)=0,"",--($AD42&lt;&gt;""))</f>
        <v/>
      </c>
    </row>
    <row r="43" ht="20" customHeight="1">
      <c r="A43" s="80" t="n"/>
      <c r="B43" s="80" t="n"/>
      <c r="C43" s="81" t="n"/>
      <c r="D43" s="81" t="n"/>
      <c r="E43" s="80" t="n"/>
      <c r="F43" s="81" t="n"/>
      <c r="G43" s="81" t="n"/>
      <c r="H43" s="81" t="n"/>
      <c r="I43" s="80" t="n"/>
      <c r="J43" s="80" t="n"/>
      <c r="K43" s="80" t="n"/>
      <c r="L43" s="82" t="n"/>
      <c r="M43" s="80" t="n"/>
      <c r="N43" s="80" t="n"/>
      <c r="O43" s="80" t="n"/>
      <c r="P43" s="82" t="n"/>
      <c r="Q43" s="82" t="n"/>
      <c r="R43" s="80" t="n"/>
      <c r="S43" s="80" t="n"/>
      <c r="T43" s="80" t="n"/>
      <c r="U43" s="83" t="n"/>
      <c r="V43">
        <f>IF($A43="","",IF($A43=$A42,$V42,IF($V42="",0,1-$V42)))</f>
        <v/>
      </c>
      <c r="W43">
        <f>IF($B43&lt;&gt;"",$B43,$A43)</f>
        <v/>
      </c>
      <c r="X43">
        <f>IF(COUNTA($A43:$U43)=0,"",IF(OR($B43&lt;&gt;"",$O43&lt;&gt;""),"Dependent","Employee"))</f>
        <v/>
      </c>
      <c r="Y43">
        <f>IF(COUNTA($A43:$U43)=0,"",IF($A43="","Employee SSN is required; ","")&amp;IF($C43="","First Name is required; ","")&amp;IF(LEN($C43&amp;"")&gt;19,"First Name exceeds 19 characters; ","")&amp;IF(AND($C43&lt;&gt;"",SUMPRODUCT(--(ROW($1:$19)&lt;=LEN($C43&amp;"")),--ISERROR(FIND(MID($C43&amp;"",ROW($1:$19),1),"ABCDEFGHIJKLMNOPQRSTUVWXYZabcdefghijklmnopqrstuvwxyz .,")))&gt;0),"First Name contains unsupported or encoded characters; use plain A-Z letters only; ","")&amp;IF($D43="","Last Name is required; ","")&amp;IF(LEN($D43&amp;"")&gt;26,"Last Name exceeds 26 characters; ","")&amp;IF(AND($D43&lt;&gt;"",SUMPRODUCT(--(ROW($1:$26)&lt;=LEN($D43&amp;"")),--ISERROR(FIND(MID($D43&amp;"",ROW($1:$26),1),"ABCDEFGHIJKLMNOPQRSTUVWXYZabcdefghijklmnopqrstuvwxyz .,")))&gt;0),"Last Name contains unsupported or encoded characters; use plain A-Z letters only; ","")&amp;IF(LEN($E43&amp;"")&gt;1,"Middle Initial may contain only one character; ","")&amp;IF(AND($E43&lt;&gt;"",SUMPRODUCT(--(ROW($1:$1)&lt;=LEN($E43&amp;"")),--ISERROR(FIND(MID($E43&amp;"",ROW($1:$1),1),"ABCDEFGHIJKLMNOPQRSTUVWXYZabcdefghijklmnopqrstuvwxyz .,")))&gt;0),"Middle Initial must be a plain A-Z letter; ","")&amp;IF($F43="","Address is required; ","")&amp;IF(LEN($F43&amp;"")&gt;75,"Address exceeds 75 characters; ","")&amp;IF(LEN($G43&amp;"")&gt;75,"Address 2 exceeds 75 characters; ","")&amp;IF($H43="","City is required; ","")&amp;IF(LEN($H43&amp;"")&gt;30,"City exceeds 30 characters; ","")&amp;IF($K43="","Country is required; ","")&amp;IF(AND($K43&lt;&gt;"",$K43&lt;&gt;"US",$K43&lt;&gt;"CA"),"Country must be US or CA; ","")&amp;IF(AND($K43="US",OR($I43="",LEN($I43&amp;"")&lt;&gt;2)),"Use a 2-letter state code; ","")&amp;IF($J43="","ZIP or postal code is required; ","")&amp;IF(AND($K43="US",$J43&lt;&gt;"",NOT(IFERROR(OR(AND(LEN($J43&amp;"")=5,ISNUMBER(--($J43&amp;""))),AND(LEN($J43&amp;"")=9,ISNUMBER(--($J43&amp;""))),AND(LEN($J43&amp;"")=10,MID($J43&amp;"",6,1)="-",ISNUMBER(--SUBSTITUTE($J43&amp;"","-","")))),FALSE))),"US ZIP must be 5 or 9 digits, with an optional ZIP+4 hyphen; ","")&amp;IF(AND($N43&lt;&gt;"",NOT(IFERROR(AND(ISNUMBER(SEARCH("@",$N43)),ISNUMBER(SEARCH(".",$N43,SEARCH("@",$N43)+2))),FALSE))),"Email format appears invalid; ","")&amp;IF(AND($O43&lt;&gt;"",$B43=""),"Dependent SSN is required for every dependent; ","")&amp;IF(AND($B43&lt;&gt;"",$O43=""),"Dependent Relationship is required when Dependent SSN is entered; ","")&amp;IF(AND($O43&lt;&gt;"",$O43&lt;&gt;"Spouse or Common Law Spouse",$O43&lt;&gt;"Domestic Partner",$O43&lt;&gt;"Child",$O43&lt;&gt;"Other",$O43&lt;&gt;"Estate",$O43&lt;&gt;"Unknown"),"Dependent Relationship must use one of the approved options; ",""))</f>
        <v/>
      </c>
      <c r="Z43">
        <f>IF(COUNTA($A43:$U43)=0,"",IF(AND($A43&lt;&gt;"",NOT(IFERROR(AND(LEN($A43&amp;"")=9,ISNUMBER(--($A43&amp;""))),FALSE))),"Employee SSN must contain exactly 9 digits; ","")&amp;IF(AND($A43&lt;&gt;"",OR($A43="123456789",$A43="987654321",$A43="012345678",$A43=REPT(LEFT($A43&amp;"",1),9))),"Employee SSN appears to be a placeholder; ","")&amp;IF(AND($B43&lt;&gt;"",NOT(IFERROR(AND(LEN($B43&amp;"")=9,ISNUMBER(--($B43&amp;""))),FALSE))),"Dependent SSN must contain exactly 9 digits; ","")&amp;IF(AND($B43&lt;&gt;"",OR($B43="123456789",$B43="987654321",$B43="012345678",$B43=REPT(LEFT($B43&amp;"",1),9))),"Dependent SSN appears to be a placeholder; ","")&amp;IF(AND($A43&lt;&gt;"",$B43&lt;&gt;"",$A43&amp;""=$B43&amp;""),"Dependent SSN cannot match Employee SSN; ","")&amp;IF(AND($W43&lt;&gt;"",OR(COUNTIFS($W$2:$W$501,$W43,$C$2:$C$501,"&lt;&gt;"&amp;$C43)&gt;0,COUNTIFS($W$2:$W$501,$W43,$D$2:$D$501,"&lt;&gt;"&amp;$D43)&gt;0,COUNTIFS($W$2:$W$501,$W43,$L$2:$L$501,"&lt;&gt;"&amp;$L43)&gt;0)),"The same SSN is associated with a different name or birthdate; ",""))</f>
        <v/>
      </c>
      <c r="AA43">
        <f>IF(COUNTA($A43:$U43)=0,"",IF(AND($A43&lt;&gt;"",$S43&lt;&gt;"",COUNTIFS($A$2:$A$501,$A43,$S$2:$S$501,$S43,$B$2:$B$501,"",$O$2:$O$501,"")=0),"Add an employee row for this household and plan; ","")&amp;IF(AND($X43="Dependent",COUNTIFS($A$2:$A43,$A43,$S$2:$S43,$S43,$B$2:$B43,"",$O$2:$O43,"")=0),"Place the employee row before dependent rows for this plan; ","")&amp;IF(AND($X43="Dependent",COUNTIFS($A$2:$A$501,$A43,$S$2:$S$501,$S43,$B$2:$B$501,"",$O$2:$O$501,"")&gt;0,IFERROR(OR($P43&lt;&gt;LOOKUP(2,1/(($A$2:$A$501=$A43)*($S$2:$S$501=$S43)*($B$2:$B$501="")*($O$2:$O$501="")),$P$2:$P$501),$Q43&lt;&gt;LOOKUP(2,1/(($A$2:$A$501=$A43)*($S$2:$S$501=$S43)*($B$2:$B$501="")*($O$2:$O$501="")),$Q$2:$Q$501),$R43&lt;&gt;LOOKUP(2,1/(($A$2:$A$501=$A43)*($S$2:$S$501=$S43)*($B$2:$B$501="")*($O$2:$O$501="")),$R$2:$R$501),$T43&lt;&gt;LOOKUP(2,1/(($A$2:$A$501=$A43)*($S$2:$S$501=$S43)*($B$2:$B$501="")*($O$2:$O$501="")),$T$2:$T$501),$U43&lt;&gt;LOOKUP(2,1/(($A$2:$A$501=$A43)*($S$2:$S$501=$S43)*($B$2:$B$501="")*($O$2:$O$501="")),$U$2:$U$501)),FALSE)),"Dependent row does not match the employee row for eligibility, status, coverage level, or funding; ",""))</f>
        <v/>
      </c>
      <c r="AB43">
        <f>IF(COUNTA($A43:$U43)=0,"",IF($L43="","Birthdate is required; ","")&amp;IF(AND($L43&lt;&gt;"",OR(NOT(ISNUMBER($L43)),$L43&lt;=DATE(1900,1,1),$L43&gt;TODAY())),"Birthdate must be an exact valid past date; ","")&amp;IF($P43="","Eligibility Date is required; ","")&amp;IF(AND($P43&lt;&gt;"",OR(NOT(ISNUMBER($P43)),$P43&lt;=DATE(1900,1,1))),"Eligibility Date must be a valid date; ","")&amp;IF(AND($R43="Terminated",$Q43=""),"Termination Date is required when Status is Terminated; ","")&amp;IF(AND($Q43&lt;&gt;"",OR(NOT(ISNUMBER($Q43)),$Q43&lt;=DATE(1900,1,1))),"Termination Date must be a valid date; ","")&amp;IF(AND(ISNUMBER($P43),ISNUMBER($Q43),$Q43&lt;$P43),"Termination Date cannot be before Eligibility Date; ","")&amp;IF($R43="","Status is required; ","")&amp;IF(AND($R43&lt;&gt;"",$R43&lt;&gt;"Active",$R43&lt;&gt;"Terminated"),"Status must be Active or Terminated; ","")&amp;IF(AND('START HERE'!$C$8="Terminations Only",$R43&lt;&gt;"Terminated"),"Terminations Only files must contain terminated records; ",""))</f>
        <v/>
      </c>
      <c r="AC43">
        <f>IF(COUNTA($A43:$U43)=0,"",IF($S43="","Plan Name is required; ","")&amp;IF($T43="","Benefit Coverage Level is required; ","")&amp;IF(AND($U43&lt;&gt;"",OR(NOT(ISNUMBER($U43)),$U43&lt;0)),"Plan Funding Amount must be a nonnegative number; ","")&amp;IF(AND($A43&lt;&gt;"",$S43&lt;&gt;"",COUNTIFS($A$2:$A$501,$A43,$B$2:$B$501,$B43,$S$2:$S$501,$S43)&gt;1),"Duplicate participant and plan row; ",""))</f>
        <v/>
      </c>
      <c r="AD43">
        <f>IF(COUNTA($A43:$U43)=0,"",IF(AND($X43="Employee",$M43="",$N43=""),"No employee phone or email provided; ","")&amp;IF(AND($R43="Active",$Q43&lt;&gt;""),"Active record includes a Termination Date; confirm this is intentional; ","")&amp;IF(AND($B43&lt;&gt;"",$B43&amp;""&lt;&gt;$A43&amp;"",COUNTIF($A$2:$A$501,$B43)&gt;0),"Dependent SSN also appears as an Employee SSN elsewhere; confirm dual-employee coverage is intentional; ","")&amp;IF(AND($B43&lt;&gt;"",COUNTIF($B$2:$B$501,$B43)&gt;COUNTIFS($A$2:$A$501,$A43,$B$2:$B$501,$B43)),"Dependent SSN appears under more than one employee; confirm duplicate family coverage is intentional; ","")&amp;IF(AND(ROW()&gt;2,$A43&lt;&gt;"",$A43&lt;&gt;$A42,COUNTIF($A$2:$A42,$A43)&gt;0),"This household appears in more than one section of the census; keep the family together; ","")&amp;IF(OR(AND($C43&lt;&gt;"",LEN($C43&amp;"")&lt;&gt;LEN(TRIM($C43&amp;""))),AND($D43&lt;&gt;"",LEN($D43&amp;"")&lt;&gt;LEN(TRIM($D43&amp;""))),AND($E43&lt;&gt;"",LEN($E43&amp;"")&lt;&gt;LEN(TRIM($E43&amp;""))),AND($F43&lt;&gt;"",LEN($F43&amp;"")&lt;&gt;LEN(TRIM($F43&amp;""))),AND($G43&lt;&gt;"",LEN($G43&amp;"")&lt;&gt;LEN(TRIM($G43&amp;""))),AND($H43&lt;&gt;"",LEN($H43&amp;"")&lt;&gt;LEN(TRIM($H43&amp;""))),AND($I43&lt;&gt;"",LEN($I43&amp;"")&lt;&gt;LEN(TRIM($I43&amp;""))),AND($J43&lt;&gt;"",LEN($J43&amp;"")&lt;&gt;LEN(TRIM($J43&amp;""))),AND($K43&lt;&gt;"",LEN($K43&amp;"")&lt;&gt;LEN(TRIM($K43&amp;""))),AND($M43&lt;&gt;"",LEN($M43&amp;"")&lt;&gt;LEN(TRIM($M43&amp;""))),AND($N43&lt;&gt;"",LEN($N43&amp;"")&lt;&gt;LEN(TRIM($N43&amp;""))),AND($O43&lt;&gt;"",LEN($O43&amp;"")&lt;&gt;LEN(TRIM($O43&amp;""))),AND($R43&lt;&gt;"",LEN($R43&amp;"")&lt;&gt;LEN(TRIM($R43&amp;""))),AND($S43&lt;&gt;"",LEN($S43&amp;"")&lt;&gt;LEN(TRIM($S43&amp;""))),AND($T43&lt;&gt;"",LEN($T43&amp;"")&lt;&gt;LEN(TRIM($T43&amp;"")))),"Remove leading or trailing spaces from text fields; ","")&amp;IF(OR(AND(LEN($C43)&gt;1,OR(EXACT($C43,UPPER($C43)),EXACT($C43,LOWER($C43)))),AND(LEN($D43)&gt;1,OR(EXACT($D43,UPPER($D43)),EXACT($D43,LOWER($D43)))),AND(LEN($H43)&gt;1,OR(EXACT($H43,UPPER($H43)),EXACT($H43,LOWER($H43))))),"Review capitalization in First Name, Last Name, or City; ","")&amp;IF(AND($N43&lt;&gt;"",NOT(EXACT($N43,LOWER($N43)))),"Email will be standardized to lowercase in the clean output; ","")&amp;IF(AND(OR('START HERE'!$C$8="Initial Enrollment",'START HERE'!$C$8="Open Enrollment"),$R43="Terminated"),"A terminated row is included in an initial or open enrollment file; confirm this is intentional; ",""))</f>
        <v/>
      </c>
      <c r="AE43">
        <f>IF(COUNTA($A43:$U43)=0,"",IF(OR($A43="",AND($A43&lt;&gt;"",NOT(IFERROR(AND(LEN($A43&amp;"")=9,ISNUMBER(--($A43&amp;""))),FALSE))),AND($A43&lt;&gt;"",OR($A43="123456789",$A43="987654321",$A43="012345678",$A43=REPT(LEFT($A43&amp;"",1),9)))),"Employee SSN, ","")&amp;IF(OR(AND($O43&lt;&gt;"",$B43=""),AND($B43&lt;&gt;"",OR(NOT(IFERROR(AND(LEN($B43&amp;"")=9,ISNUMBER(--($B43&amp;""))),FALSE)),$B43=$A43,$B43="123456789",$B43="987654321",$B43="012345678",$B43=REPT(LEFT($B43&amp;"",1),9)))),"Dependent SSN, ","")&amp;IF(OR($C43="",LEN($C43)&gt;19,AND($C43&lt;&gt;"",SUMPRODUCT(--(ROW($1:$19)&lt;=LEN($C43&amp;"")),--ISERROR(FIND(MID($C43&amp;"",ROW($1:$19),1),"ABCDEFGHIJKLMNOPQRSTUVWXYZabcdefghijklmnopqrstuvwxyz .,")))&gt;0)),"First Name, ","")&amp;IF(OR($D43="",LEN($D43)&gt;26,AND($D43&lt;&gt;"",SUMPRODUCT(--(ROW($1:$26)&lt;=LEN($D43&amp;"")),--ISERROR(FIND(MID($D43&amp;"",ROW($1:$26),1),"ABCDEFGHIJKLMNOPQRSTUVWXYZabcdefghijklmnopqrstuvwxyz .,")))&gt;0)),"Last Name, ","")&amp;IF(OR(LEN($E43)&gt;1,AND($E43&lt;&gt;"",SUMPRODUCT(--(ROW($1:$1)&lt;=LEN($E43&amp;"")),--ISERROR(FIND(MID($E43&amp;"",ROW($1:$1),1),"ABCDEFGHIJKLMNOPQRSTUVWXYZabcdefghijklmnopqrstuvwxyz .,")))&gt;0)),"Middle Initial, ","")&amp;IF(OR($F43="",LEN($F43)&gt;75),"Address, ","")&amp;IF(OR($H43="",LEN($H43)&gt;30),"City, ","")&amp;IF(AND($K43="US",OR($I43="",LEN($I43)&lt;&gt;2)),"State, ","")&amp;IF($J43="","ZIP, ","")&amp;IF(OR($K43="",AND($K43&lt;&gt;"US",$K43&lt;&gt;"CA")),"Country, ","")&amp;IF(OR($L43="",AND($L43&lt;&gt;"",OR(NOT(ISNUMBER($L43)),$L43&lt;=DATE(1900,1,1),$L43&gt;TODAY()))),"Birthdate, ","")&amp;IF(AND($N43&lt;&gt;"",NOT(IFERROR(AND(ISNUMBER(SEARCH("@",$N43)),ISNUMBER(SEARCH(".",$N43,SEARCH("@",$N43)+2))),FALSE))),"Email, ","")&amp;IF(OR(AND($B43&lt;&gt;"",$O43=""),AND($O43&lt;&gt;"",$O43&lt;&gt;"Spouse or Common Law Spouse",$O43&lt;&gt;"Domestic Partner",$O43&lt;&gt;"Child",$O43&lt;&gt;"Other",$O43&lt;&gt;"Estate",$O43&lt;&gt;"Unknown")),"Dependent Relationship, ","")&amp;IF($AA43&lt;&gt;"","Household, ","")&amp;IF(OR($P43="",AND($P43&lt;&gt;"",OR(NOT(ISNUMBER($P43)),$P43&lt;=DATE(1900,1,1)))),"Eligibility Date, ","")&amp;IF(OR(AND($R43="Terminated",$Q43=""),AND($Q43&lt;&gt;"",OR(NOT(ISNUMBER($Q43)),$Q43&lt;=DATE(1900,1,1))),AND(ISNUMBER($P43),ISNUMBER($Q43),$Q43&lt;$P43)),"Termination Date, ","")&amp;IF(OR($R43="",AND($R43&lt;&gt;"Active",$R43&lt;&gt;"Terminated"),AND('START HERE'!$C$8="Terminations Only",$R43&lt;&gt;"Terminated")),"Status, ","")&amp;IF($S43="","Plan Name, ","")&amp;IF($T43="","Coverage Level, ","")&amp;IF(AND($U43&lt;&gt;"",OR(NOT(ISNUMBER($U43)),$U43&lt;0)),"Funding, ","")&amp;IF(AND($A43&lt;&gt;"",$S43&lt;&gt;"",COUNTIFS($A$2:$A$501,$A43,$B$2:$B$501,$B43,$S$2:$S$501,$S43)&gt;1),"Duplicate Row, ",""))</f>
        <v/>
      </c>
      <c r="AF43">
        <f>IF(COUNTA($A43:$U43)=0,"",$Y43&amp;$Z43&amp;$AA43&amp;$AB43&amp;$AC43)</f>
        <v/>
      </c>
      <c r="AG43">
        <f>IF($N43="","",LOWER(TRIM($N43)))</f>
        <v/>
      </c>
      <c r="AH43">
        <f>IF($A43="","",COUNTIFS($A$2:$A$501,$A43,$AI$2:$AI$501,1))</f>
        <v/>
      </c>
      <c r="AI43">
        <f>IF(COUNTA($A43:$U43)=0,"",--($AF43&lt;&gt;""))</f>
        <v/>
      </c>
      <c r="AJ43">
        <f>IF(COUNTA($A43:$U43)=0,"",--($AD43&lt;&gt;""))</f>
        <v/>
      </c>
    </row>
    <row r="44" ht="20" customHeight="1">
      <c r="A44" s="80" t="n"/>
      <c r="B44" s="80" t="n"/>
      <c r="C44" s="81" t="n"/>
      <c r="D44" s="81" t="n"/>
      <c r="E44" s="80" t="n"/>
      <c r="F44" s="81" t="n"/>
      <c r="G44" s="81" t="n"/>
      <c r="H44" s="81" t="n"/>
      <c r="I44" s="80" t="n"/>
      <c r="J44" s="80" t="n"/>
      <c r="K44" s="80" t="n"/>
      <c r="L44" s="82" t="n"/>
      <c r="M44" s="80" t="n"/>
      <c r="N44" s="80" t="n"/>
      <c r="O44" s="80" t="n"/>
      <c r="P44" s="82" t="n"/>
      <c r="Q44" s="82" t="n"/>
      <c r="R44" s="80" t="n"/>
      <c r="S44" s="80" t="n"/>
      <c r="T44" s="80" t="n"/>
      <c r="U44" s="83" t="n"/>
      <c r="V44">
        <f>IF($A44="","",IF($A44=$A43,$V43,IF($V43="",0,1-$V43)))</f>
        <v/>
      </c>
      <c r="W44">
        <f>IF($B44&lt;&gt;"",$B44,$A44)</f>
        <v/>
      </c>
      <c r="X44">
        <f>IF(COUNTA($A44:$U44)=0,"",IF(OR($B44&lt;&gt;"",$O44&lt;&gt;""),"Dependent","Employee"))</f>
        <v/>
      </c>
      <c r="Y44">
        <f>IF(COUNTA($A44:$U44)=0,"",IF($A44="","Employee SSN is required; ","")&amp;IF($C44="","First Name is required; ","")&amp;IF(LEN($C44&amp;"")&gt;19,"First Name exceeds 19 characters; ","")&amp;IF(AND($C44&lt;&gt;"",SUMPRODUCT(--(ROW($1:$19)&lt;=LEN($C44&amp;"")),--ISERROR(FIND(MID($C44&amp;"",ROW($1:$19),1),"ABCDEFGHIJKLMNOPQRSTUVWXYZabcdefghijklmnopqrstuvwxyz .,")))&gt;0),"First Name contains unsupported or encoded characters; use plain A-Z letters only; ","")&amp;IF($D44="","Last Name is required; ","")&amp;IF(LEN($D44&amp;"")&gt;26,"Last Name exceeds 26 characters; ","")&amp;IF(AND($D44&lt;&gt;"",SUMPRODUCT(--(ROW($1:$26)&lt;=LEN($D44&amp;"")),--ISERROR(FIND(MID($D44&amp;"",ROW($1:$26),1),"ABCDEFGHIJKLMNOPQRSTUVWXYZabcdefghijklmnopqrstuvwxyz .,")))&gt;0),"Last Name contains unsupported or encoded characters; use plain A-Z letters only; ","")&amp;IF(LEN($E44&amp;"")&gt;1,"Middle Initial may contain only one character; ","")&amp;IF(AND($E44&lt;&gt;"",SUMPRODUCT(--(ROW($1:$1)&lt;=LEN($E44&amp;"")),--ISERROR(FIND(MID($E44&amp;"",ROW($1:$1),1),"ABCDEFGHIJKLMNOPQRSTUVWXYZabcdefghijklmnopqrstuvwxyz .,")))&gt;0),"Middle Initial must be a plain A-Z letter; ","")&amp;IF($F44="","Address is required; ","")&amp;IF(LEN($F44&amp;"")&gt;75,"Address exceeds 75 characters; ","")&amp;IF(LEN($G44&amp;"")&gt;75,"Address 2 exceeds 75 characters; ","")&amp;IF($H44="","City is required; ","")&amp;IF(LEN($H44&amp;"")&gt;30,"City exceeds 30 characters; ","")&amp;IF($K44="","Country is required; ","")&amp;IF(AND($K44&lt;&gt;"",$K44&lt;&gt;"US",$K44&lt;&gt;"CA"),"Country must be US or CA; ","")&amp;IF(AND($K44="US",OR($I44="",LEN($I44&amp;"")&lt;&gt;2)),"Use a 2-letter state code; ","")&amp;IF($J44="","ZIP or postal code is required; ","")&amp;IF(AND($K44="US",$J44&lt;&gt;"",NOT(IFERROR(OR(AND(LEN($J44&amp;"")=5,ISNUMBER(--($J44&amp;""))),AND(LEN($J44&amp;"")=9,ISNUMBER(--($J44&amp;""))),AND(LEN($J44&amp;"")=10,MID($J44&amp;"",6,1)="-",ISNUMBER(--SUBSTITUTE($J44&amp;"","-","")))),FALSE))),"US ZIP must be 5 or 9 digits, with an optional ZIP+4 hyphen; ","")&amp;IF(AND($N44&lt;&gt;"",NOT(IFERROR(AND(ISNUMBER(SEARCH("@",$N44)),ISNUMBER(SEARCH(".",$N44,SEARCH("@",$N44)+2))),FALSE))),"Email format appears invalid; ","")&amp;IF(AND($O44&lt;&gt;"",$B44=""),"Dependent SSN is required for every dependent; ","")&amp;IF(AND($B44&lt;&gt;"",$O44=""),"Dependent Relationship is required when Dependent SSN is entered; ","")&amp;IF(AND($O44&lt;&gt;"",$O44&lt;&gt;"Spouse or Common Law Spouse",$O44&lt;&gt;"Domestic Partner",$O44&lt;&gt;"Child",$O44&lt;&gt;"Other",$O44&lt;&gt;"Estate",$O44&lt;&gt;"Unknown"),"Dependent Relationship must use one of the approved options; ",""))</f>
        <v/>
      </c>
      <c r="Z44">
        <f>IF(COUNTA($A44:$U44)=0,"",IF(AND($A44&lt;&gt;"",NOT(IFERROR(AND(LEN($A44&amp;"")=9,ISNUMBER(--($A44&amp;""))),FALSE))),"Employee SSN must contain exactly 9 digits; ","")&amp;IF(AND($A44&lt;&gt;"",OR($A44="123456789",$A44="987654321",$A44="012345678",$A44=REPT(LEFT($A44&amp;"",1),9))),"Employee SSN appears to be a placeholder; ","")&amp;IF(AND($B44&lt;&gt;"",NOT(IFERROR(AND(LEN($B44&amp;"")=9,ISNUMBER(--($B44&amp;""))),FALSE))),"Dependent SSN must contain exactly 9 digits; ","")&amp;IF(AND($B44&lt;&gt;"",OR($B44="123456789",$B44="987654321",$B44="012345678",$B44=REPT(LEFT($B44&amp;"",1),9))),"Dependent SSN appears to be a placeholder; ","")&amp;IF(AND($A44&lt;&gt;"",$B44&lt;&gt;"",$A44&amp;""=$B44&amp;""),"Dependent SSN cannot match Employee SSN; ","")&amp;IF(AND($W44&lt;&gt;"",OR(COUNTIFS($W$2:$W$501,$W44,$C$2:$C$501,"&lt;&gt;"&amp;$C44)&gt;0,COUNTIFS($W$2:$W$501,$W44,$D$2:$D$501,"&lt;&gt;"&amp;$D44)&gt;0,COUNTIFS($W$2:$W$501,$W44,$L$2:$L$501,"&lt;&gt;"&amp;$L44)&gt;0)),"The same SSN is associated with a different name or birthdate; ",""))</f>
        <v/>
      </c>
      <c r="AA44">
        <f>IF(COUNTA($A44:$U44)=0,"",IF(AND($A44&lt;&gt;"",$S44&lt;&gt;"",COUNTIFS($A$2:$A$501,$A44,$S$2:$S$501,$S44,$B$2:$B$501,"",$O$2:$O$501,"")=0),"Add an employee row for this household and plan; ","")&amp;IF(AND($X44="Dependent",COUNTIFS($A$2:$A44,$A44,$S$2:$S44,$S44,$B$2:$B44,"",$O$2:$O44,"")=0),"Place the employee row before dependent rows for this plan; ","")&amp;IF(AND($X44="Dependent",COUNTIFS($A$2:$A$501,$A44,$S$2:$S$501,$S44,$B$2:$B$501,"",$O$2:$O$501,"")&gt;0,IFERROR(OR($P44&lt;&gt;LOOKUP(2,1/(($A$2:$A$501=$A44)*($S$2:$S$501=$S44)*($B$2:$B$501="")*($O$2:$O$501="")),$P$2:$P$501),$Q44&lt;&gt;LOOKUP(2,1/(($A$2:$A$501=$A44)*($S$2:$S$501=$S44)*($B$2:$B$501="")*($O$2:$O$501="")),$Q$2:$Q$501),$R44&lt;&gt;LOOKUP(2,1/(($A$2:$A$501=$A44)*($S$2:$S$501=$S44)*($B$2:$B$501="")*($O$2:$O$501="")),$R$2:$R$501),$T44&lt;&gt;LOOKUP(2,1/(($A$2:$A$501=$A44)*($S$2:$S$501=$S44)*($B$2:$B$501="")*($O$2:$O$501="")),$T$2:$T$501),$U44&lt;&gt;LOOKUP(2,1/(($A$2:$A$501=$A44)*($S$2:$S$501=$S44)*($B$2:$B$501="")*($O$2:$O$501="")),$U$2:$U$501)),FALSE)),"Dependent row does not match the employee row for eligibility, status, coverage level, or funding; ",""))</f>
        <v/>
      </c>
      <c r="AB44">
        <f>IF(COUNTA($A44:$U44)=0,"",IF($L44="","Birthdate is required; ","")&amp;IF(AND($L44&lt;&gt;"",OR(NOT(ISNUMBER($L44)),$L44&lt;=DATE(1900,1,1),$L44&gt;TODAY())),"Birthdate must be an exact valid past date; ","")&amp;IF($P44="","Eligibility Date is required; ","")&amp;IF(AND($P44&lt;&gt;"",OR(NOT(ISNUMBER($P44)),$P44&lt;=DATE(1900,1,1))),"Eligibility Date must be a valid date; ","")&amp;IF(AND($R44="Terminated",$Q44=""),"Termination Date is required when Status is Terminated; ","")&amp;IF(AND($Q44&lt;&gt;"",OR(NOT(ISNUMBER($Q44)),$Q44&lt;=DATE(1900,1,1))),"Termination Date must be a valid date; ","")&amp;IF(AND(ISNUMBER($P44),ISNUMBER($Q44),$Q44&lt;$P44),"Termination Date cannot be before Eligibility Date; ","")&amp;IF($R44="","Status is required; ","")&amp;IF(AND($R44&lt;&gt;"",$R44&lt;&gt;"Active",$R44&lt;&gt;"Terminated"),"Status must be Active or Terminated; ","")&amp;IF(AND('START HERE'!$C$8="Terminations Only",$R44&lt;&gt;"Terminated"),"Terminations Only files must contain terminated records; ",""))</f>
        <v/>
      </c>
      <c r="AC44">
        <f>IF(COUNTA($A44:$U44)=0,"",IF($S44="","Plan Name is required; ","")&amp;IF($T44="","Benefit Coverage Level is required; ","")&amp;IF(AND($U44&lt;&gt;"",OR(NOT(ISNUMBER($U44)),$U44&lt;0)),"Plan Funding Amount must be a nonnegative number; ","")&amp;IF(AND($A44&lt;&gt;"",$S44&lt;&gt;"",COUNTIFS($A$2:$A$501,$A44,$B$2:$B$501,$B44,$S$2:$S$501,$S44)&gt;1),"Duplicate participant and plan row; ",""))</f>
        <v/>
      </c>
      <c r="AD44">
        <f>IF(COUNTA($A44:$U44)=0,"",IF(AND($X44="Employee",$M44="",$N44=""),"No employee phone or email provided; ","")&amp;IF(AND($R44="Active",$Q44&lt;&gt;""),"Active record includes a Termination Date; confirm this is intentional; ","")&amp;IF(AND($B44&lt;&gt;"",$B44&amp;""&lt;&gt;$A44&amp;"",COUNTIF($A$2:$A$501,$B44)&gt;0),"Dependent SSN also appears as an Employee SSN elsewhere; confirm dual-employee coverage is intentional; ","")&amp;IF(AND($B44&lt;&gt;"",COUNTIF($B$2:$B$501,$B44)&gt;COUNTIFS($A$2:$A$501,$A44,$B$2:$B$501,$B44)),"Dependent SSN appears under more than one employee; confirm duplicate family coverage is intentional; ","")&amp;IF(AND(ROW()&gt;2,$A44&lt;&gt;"",$A44&lt;&gt;$A43,COUNTIF($A$2:$A43,$A44)&gt;0),"This household appears in more than one section of the census; keep the family together; ","")&amp;IF(OR(AND($C44&lt;&gt;"",LEN($C44&amp;"")&lt;&gt;LEN(TRIM($C44&amp;""))),AND($D44&lt;&gt;"",LEN($D44&amp;"")&lt;&gt;LEN(TRIM($D44&amp;""))),AND($E44&lt;&gt;"",LEN($E44&amp;"")&lt;&gt;LEN(TRIM($E44&amp;""))),AND($F44&lt;&gt;"",LEN($F44&amp;"")&lt;&gt;LEN(TRIM($F44&amp;""))),AND($G44&lt;&gt;"",LEN($G44&amp;"")&lt;&gt;LEN(TRIM($G44&amp;""))),AND($H44&lt;&gt;"",LEN($H44&amp;"")&lt;&gt;LEN(TRIM($H44&amp;""))),AND($I44&lt;&gt;"",LEN($I44&amp;"")&lt;&gt;LEN(TRIM($I44&amp;""))),AND($J44&lt;&gt;"",LEN($J44&amp;"")&lt;&gt;LEN(TRIM($J44&amp;""))),AND($K44&lt;&gt;"",LEN($K44&amp;"")&lt;&gt;LEN(TRIM($K44&amp;""))),AND($M44&lt;&gt;"",LEN($M44&amp;"")&lt;&gt;LEN(TRIM($M44&amp;""))),AND($N44&lt;&gt;"",LEN($N44&amp;"")&lt;&gt;LEN(TRIM($N44&amp;""))),AND($O44&lt;&gt;"",LEN($O44&amp;"")&lt;&gt;LEN(TRIM($O44&amp;""))),AND($R44&lt;&gt;"",LEN($R44&amp;"")&lt;&gt;LEN(TRIM($R44&amp;""))),AND($S44&lt;&gt;"",LEN($S44&amp;"")&lt;&gt;LEN(TRIM($S44&amp;""))),AND($T44&lt;&gt;"",LEN($T44&amp;"")&lt;&gt;LEN(TRIM($T44&amp;"")))),"Remove leading or trailing spaces from text fields; ","")&amp;IF(OR(AND(LEN($C44)&gt;1,OR(EXACT($C44,UPPER($C44)),EXACT($C44,LOWER($C44)))),AND(LEN($D44)&gt;1,OR(EXACT($D44,UPPER($D44)),EXACT($D44,LOWER($D44)))),AND(LEN($H44)&gt;1,OR(EXACT($H44,UPPER($H44)),EXACT($H44,LOWER($H44))))),"Review capitalization in First Name, Last Name, or City; ","")&amp;IF(AND($N44&lt;&gt;"",NOT(EXACT($N44,LOWER($N44)))),"Email will be standardized to lowercase in the clean output; ","")&amp;IF(AND(OR('START HERE'!$C$8="Initial Enrollment",'START HERE'!$C$8="Open Enrollment"),$R44="Terminated"),"A terminated row is included in an initial or open enrollment file; confirm this is intentional; ",""))</f>
        <v/>
      </c>
      <c r="AE44">
        <f>IF(COUNTA($A44:$U44)=0,"",IF(OR($A44="",AND($A44&lt;&gt;"",NOT(IFERROR(AND(LEN($A44&amp;"")=9,ISNUMBER(--($A44&amp;""))),FALSE))),AND($A44&lt;&gt;"",OR($A44="123456789",$A44="987654321",$A44="012345678",$A44=REPT(LEFT($A44&amp;"",1),9)))),"Employee SSN, ","")&amp;IF(OR(AND($O44&lt;&gt;"",$B44=""),AND($B44&lt;&gt;"",OR(NOT(IFERROR(AND(LEN($B44&amp;"")=9,ISNUMBER(--($B44&amp;""))),FALSE)),$B44=$A44,$B44="123456789",$B44="987654321",$B44="012345678",$B44=REPT(LEFT($B44&amp;"",1),9)))),"Dependent SSN, ","")&amp;IF(OR($C44="",LEN($C44)&gt;19,AND($C44&lt;&gt;"",SUMPRODUCT(--(ROW($1:$19)&lt;=LEN($C44&amp;"")),--ISERROR(FIND(MID($C44&amp;"",ROW($1:$19),1),"ABCDEFGHIJKLMNOPQRSTUVWXYZabcdefghijklmnopqrstuvwxyz .,")))&gt;0)),"First Name, ","")&amp;IF(OR($D44="",LEN($D44)&gt;26,AND($D44&lt;&gt;"",SUMPRODUCT(--(ROW($1:$26)&lt;=LEN($D44&amp;"")),--ISERROR(FIND(MID($D44&amp;"",ROW($1:$26),1),"ABCDEFGHIJKLMNOPQRSTUVWXYZabcdefghijklmnopqrstuvwxyz .,")))&gt;0)),"Last Name, ","")&amp;IF(OR(LEN($E44)&gt;1,AND($E44&lt;&gt;"",SUMPRODUCT(--(ROW($1:$1)&lt;=LEN($E44&amp;"")),--ISERROR(FIND(MID($E44&amp;"",ROW($1:$1),1),"ABCDEFGHIJKLMNOPQRSTUVWXYZabcdefghijklmnopqrstuvwxyz .,")))&gt;0)),"Middle Initial, ","")&amp;IF(OR($F44="",LEN($F44)&gt;75),"Address, ","")&amp;IF(OR($H44="",LEN($H44)&gt;30),"City, ","")&amp;IF(AND($K44="US",OR($I44="",LEN($I44)&lt;&gt;2)),"State, ","")&amp;IF($J44="","ZIP, ","")&amp;IF(OR($K44="",AND($K44&lt;&gt;"US",$K44&lt;&gt;"CA")),"Country, ","")&amp;IF(OR($L44="",AND($L44&lt;&gt;"",OR(NOT(ISNUMBER($L44)),$L44&lt;=DATE(1900,1,1),$L44&gt;TODAY()))),"Birthdate, ","")&amp;IF(AND($N44&lt;&gt;"",NOT(IFERROR(AND(ISNUMBER(SEARCH("@",$N44)),ISNUMBER(SEARCH(".",$N44,SEARCH("@",$N44)+2))),FALSE))),"Email, ","")&amp;IF(OR(AND($B44&lt;&gt;"",$O44=""),AND($O44&lt;&gt;"",$O44&lt;&gt;"Spouse or Common Law Spouse",$O44&lt;&gt;"Domestic Partner",$O44&lt;&gt;"Child",$O44&lt;&gt;"Other",$O44&lt;&gt;"Estate",$O44&lt;&gt;"Unknown")),"Dependent Relationship, ","")&amp;IF($AA44&lt;&gt;"","Household, ","")&amp;IF(OR($P44="",AND($P44&lt;&gt;"",OR(NOT(ISNUMBER($P44)),$P44&lt;=DATE(1900,1,1)))),"Eligibility Date, ","")&amp;IF(OR(AND($R44="Terminated",$Q44=""),AND($Q44&lt;&gt;"",OR(NOT(ISNUMBER($Q44)),$Q44&lt;=DATE(1900,1,1))),AND(ISNUMBER($P44),ISNUMBER($Q44),$Q44&lt;$P44)),"Termination Date, ","")&amp;IF(OR($R44="",AND($R44&lt;&gt;"Active",$R44&lt;&gt;"Terminated"),AND('START HERE'!$C$8="Terminations Only",$R44&lt;&gt;"Terminated")),"Status, ","")&amp;IF($S44="","Plan Name, ","")&amp;IF($T44="","Coverage Level, ","")&amp;IF(AND($U44&lt;&gt;"",OR(NOT(ISNUMBER($U44)),$U44&lt;0)),"Funding, ","")&amp;IF(AND($A44&lt;&gt;"",$S44&lt;&gt;"",COUNTIFS($A$2:$A$501,$A44,$B$2:$B$501,$B44,$S$2:$S$501,$S44)&gt;1),"Duplicate Row, ",""))</f>
        <v/>
      </c>
      <c r="AF44">
        <f>IF(COUNTA($A44:$U44)=0,"",$Y44&amp;$Z44&amp;$AA44&amp;$AB44&amp;$AC44)</f>
        <v/>
      </c>
      <c r="AG44">
        <f>IF($N44="","",LOWER(TRIM($N44)))</f>
        <v/>
      </c>
      <c r="AH44">
        <f>IF($A44="","",COUNTIFS($A$2:$A$501,$A44,$AI$2:$AI$501,1))</f>
        <v/>
      </c>
      <c r="AI44">
        <f>IF(COUNTA($A44:$U44)=0,"",--($AF44&lt;&gt;""))</f>
        <v/>
      </c>
      <c r="AJ44">
        <f>IF(COUNTA($A44:$U44)=0,"",--($AD44&lt;&gt;""))</f>
        <v/>
      </c>
    </row>
    <row r="45" ht="20" customHeight="1">
      <c r="A45" s="80" t="n"/>
      <c r="B45" s="80" t="n"/>
      <c r="C45" s="81" t="n"/>
      <c r="D45" s="81" t="n"/>
      <c r="E45" s="80" t="n"/>
      <c r="F45" s="81" t="n"/>
      <c r="G45" s="81" t="n"/>
      <c r="H45" s="81" t="n"/>
      <c r="I45" s="80" t="n"/>
      <c r="J45" s="80" t="n"/>
      <c r="K45" s="80" t="n"/>
      <c r="L45" s="82" t="n"/>
      <c r="M45" s="80" t="n"/>
      <c r="N45" s="80" t="n"/>
      <c r="O45" s="80" t="n"/>
      <c r="P45" s="82" t="n"/>
      <c r="Q45" s="82" t="n"/>
      <c r="R45" s="80" t="n"/>
      <c r="S45" s="80" t="n"/>
      <c r="T45" s="80" t="n"/>
      <c r="U45" s="83" t="n"/>
      <c r="V45">
        <f>IF($A45="","",IF($A45=$A44,$V44,IF($V44="",0,1-$V44)))</f>
        <v/>
      </c>
      <c r="W45">
        <f>IF($B45&lt;&gt;"",$B45,$A45)</f>
        <v/>
      </c>
      <c r="X45">
        <f>IF(COUNTA($A45:$U45)=0,"",IF(OR($B45&lt;&gt;"",$O45&lt;&gt;""),"Dependent","Employee"))</f>
        <v/>
      </c>
      <c r="Y45">
        <f>IF(COUNTA($A45:$U45)=0,"",IF($A45="","Employee SSN is required; ","")&amp;IF($C45="","First Name is required; ","")&amp;IF(LEN($C45&amp;"")&gt;19,"First Name exceeds 19 characters; ","")&amp;IF(AND($C45&lt;&gt;"",SUMPRODUCT(--(ROW($1:$19)&lt;=LEN($C45&amp;"")),--ISERROR(FIND(MID($C45&amp;"",ROW($1:$19),1),"ABCDEFGHIJKLMNOPQRSTUVWXYZabcdefghijklmnopqrstuvwxyz .,")))&gt;0),"First Name contains unsupported or encoded characters; use plain A-Z letters only; ","")&amp;IF($D45="","Last Name is required; ","")&amp;IF(LEN($D45&amp;"")&gt;26,"Last Name exceeds 26 characters; ","")&amp;IF(AND($D45&lt;&gt;"",SUMPRODUCT(--(ROW($1:$26)&lt;=LEN($D45&amp;"")),--ISERROR(FIND(MID($D45&amp;"",ROW($1:$26),1),"ABCDEFGHIJKLMNOPQRSTUVWXYZabcdefghijklmnopqrstuvwxyz .,")))&gt;0),"Last Name contains unsupported or encoded characters; use plain A-Z letters only; ","")&amp;IF(LEN($E45&amp;"")&gt;1,"Middle Initial may contain only one character; ","")&amp;IF(AND($E45&lt;&gt;"",SUMPRODUCT(--(ROW($1:$1)&lt;=LEN($E45&amp;"")),--ISERROR(FIND(MID($E45&amp;"",ROW($1:$1),1),"ABCDEFGHIJKLMNOPQRSTUVWXYZabcdefghijklmnopqrstuvwxyz .,")))&gt;0),"Middle Initial must be a plain A-Z letter; ","")&amp;IF($F45="","Address is required; ","")&amp;IF(LEN($F45&amp;"")&gt;75,"Address exceeds 75 characters; ","")&amp;IF(LEN($G45&amp;"")&gt;75,"Address 2 exceeds 75 characters; ","")&amp;IF($H45="","City is required; ","")&amp;IF(LEN($H45&amp;"")&gt;30,"City exceeds 30 characters; ","")&amp;IF($K45="","Country is required; ","")&amp;IF(AND($K45&lt;&gt;"",$K45&lt;&gt;"US",$K45&lt;&gt;"CA"),"Country must be US or CA; ","")&amp;IF(AND($K45="US",OR($I45="",LEN($I45&amp;"")&lt;&gt;2)),"Use a 2-letter state code; ","")&amp;IF($J45="","ZIP or postal code is required; ","")&amp;IF(AND($K45="US",$J45&lt;&gt;"",NOT(IFERROR(OR(AND(LEN($J45&amp;"")=5,ISNUMBER(--($J45&amp;""))),AND(LEN($J45&amp;"")=9,ISNUMBER(--($J45&amp;""))),AND(LEN($J45&amp;"")=10,MID($J45&amp;"",6,1)="-",ISNUMBER(--SUBSTITUTE($J45&amp;"","-","")))),FALSE))),"US ZIP must be 5 or 9 digits, with an optional ZIP+4 hyphen; ","")&amp;IF(AND($N45&lt;&gt;"",NOT(IFERROR(AND(ISNUMBER(SEARCH("@",$N45)),ISNUMBER(SEARCH(".",$N45,SEARCH("@",$N45)+2))),FALSE))),"Email format appears invalid; ","")&amp;IF(AND($O45&lt;&gt;"",$B45=""),"Dependent SSN is required for every dependent; ","")&amp;IF(AND($B45&lt;&gt;"",$O45=""),"Dependent Relationship is required when Dependent SSN is entered; ","")&amp;IF(AND($O45&lt;&gt;"",$O45&lt;&gt;"Spouse or Common Law Spouse",$O45&lt;&gt;"Domestic Partner",$O45&lt;&gt;"Child",$O45&lt;&gt;"Other",$O45&lt;&gt;"Estate",$O45&lt;&gt;"Unknown"),"Dependent Relationship must use one of the approved options; ",""))</f>
        <v/>
      </c>
      <c r="Z45">
        <f>IF(COUNTA($A45:$U45)=0,"",IF(AND($A45&lt;&gt;"",NOT(IFERROR(AND(LEN($A45&amp;"")=9,ISNUMBER(--($A45&amp;""))),FALSE))),"Employee SSN must contain exactly 9 digits; ","")&amp;IF(AND($A45&lt;&gt;"",OR($A45="123456789",$A45="987654321",$A45="012345678",$A45=REPT(LEFT($A45&amp;"",1),9))),"Employee SSN appears to be a placeholder; ","")&amp;IF(AND($B45&lt;&gt;"",NOT(IFERROR(AND(LEN($B45&amp;"")=9,ISNUMBER(--($B45&amp;""))),FALSE))),"Dependent SSN must contain exactly 9 digits; ","")&amp;IF(AND($B45&lt;&gt;"",OR($B45="123456789",$B45="987654321",$B45="012345678",$B45=REPT(LEFT($B45&amp;"",1),9))),"Dependent SSN appears to be a placeholder; ","")&amp;IF(AND($A45&lt;&gt;"",$B45&lt;&gt;"",$A45&amp;""=$B45&amp;""),"Dependent SSN cannot match Employee SSN; ","")&amp;IF(AND($W45&lt;&gt;"",OR(COUNTIFS($W$2:$W$501,$W45,$C$2:$C$501,"&lt;&gt;"&amp;$C45)&gt;0,COUNTIFS($W$2:$W$501,$W45,$D$2:$D$501,"&lt;&gt;"&amp;$D45)&gt;0,COUNTIFS($W$2:$W$501,$W45,$L$2:$L$501,"&lt;&gt;"&amp;$L45)&gt;0)),"The same SSN is associated with a different name or birthdate; ",""))</f>
        <v/>
      </c>
      <c r="AA45">
        <f>IF(COUNTA($A45:$U45)=0,"",IF(AND($A45&lt;&gt;"",$S45&lt;&gt;"",COUNTIFS($A$2:$A$501,$A45,$S$2:$S$501,$S45,$B$2:$B$501,"",$O$2:$O$501,"")=0),"Add an employee row for this household and plan; ","")&amp;IF(AND($X45="Dependent",COUNTIFS($A$2:$A45,$A45,$S$2:$S45,$S45,$B$2:$B45,"",$O$2:$O45,"")=0),"Place the employee row before dependent rows for this plan; ","")&amp;IF(AND($X45="Dependent",COUNTIFS($A$2:$A$501,$A45,$S$2:$S$501,$S45,$B$2:$B$501,"",$O$2:$O$501,"")&gt;0,IFERROR(OR($P45&lt;&gt;LOOKUP(2,1/(($A$2:$A$501=$A45)*($S$2:$S$501=$S45)*($B$2:$B$501="")*($O$2:$O$501="")),$P$2:$P$501),$Q45&lt;&gt;LOOKUP(2,1/(($A$2:$A$501=$A45)*($S$2:$S$501=$S45)*($B$2:$B$501="")*($O$2:$O$501="")),$Q$2:$Q$501),$R45&lt;&gt;LOOKUP(2,1/(($A$2:$A$501=$A45)*($S$2:$S$501=$S45)*($B$2:$B$501="")*($O$2:$O$501="")),$R$2:$R$501),$T45&lt;&gt;LOOKUP(2,1/(($A$2:$A$501=$A45)*($S$2:$S$501=$S45)*($B$2:$B$501="")*($O$2:$O$501="")),$T$2:$T$501),$U45&lt;&gt;LOOKUP(2,1/(($A$2:$A$501=$A45)*($S$2:$S$501=$S45)*($B$2:$B$501="")*($O$2:$O$501="")),$U$2:$U$501)),FALSE)),"Dependent row does not match the employee row for eligibility, status, coverage level, or funding; ",""))</f>
        <v/>
      </c>
      <c r="AB45">
        <f>IF(COUNTA($A45:$U45)=0,"",IF($L45="","Birthdate is required; ","")&amp;IF(AND($L45&lt;&gt;"",OR(NOT(ISNUMBER($L45)),$L45&lt;=DATE(1900,1,1),$L45&gt;TODAY())),"Birthdate must be an exact valid past date; ","")&amp;IF($P45="","Eligibility Date is required; ","")&amp;IF(AND($P45&lt;&gt;"",OR(NOT(ISNUMBER($P45)),$P45&lt;=DATE(1900,1,1))),"Eligibility Date must be a valid date; ","")&amp;IF(AND($R45="Terminated",$Q45=""),"Termination Date is required when Status is Terminated; ","")&amp;IF(AND($Q45&lt;&gt;"",OR(NOT(ISNUMBER($Q45)),$Q45&lt;=DATE(1900,1,1))),"Termination Date must be a valid date; ","")&amp;IF(AND(ISNUMBER($P45),ISNUMBER($Q45),$Q45&lt;$P45),"Termination Date cannot be before Eligibility Date; ","")&amp;IF($R45="","Status is required; ","")&amp;IF(AND($R45&lt;&gt;"",$R45&lt;&gt;"Active",$R45&lt;&gt;"Terminated"),"Status must be Active or Terminated; ","")&amp;IF(AND('START HERE'!$C$8="Terminations Only",$R45&lt;&gt;"Terminated"),"Terminations Only files must contain terminated records; ",""))</f>
        <v/>
      </c>
      <c r="AC45">
        <f>IF(COUNTA($A45:$U45)=0,"",IF($S45="","Plan Name is required; ","")&amp;IF($T45="","Benefit Coverage Level is required; ","")&amp;IF(AND($U45&lt;&gt;"",OR(NOT(ISNUMBER($U45)),$U45&lt;0)),"Plan Funding Amount must be a nonnegative number; ","")&amp;IF(AND($A45&lt;&gt;"",$S45&lt;&gt;"",COUNTIFS($A$2:$A$501,$A45,$B$2:$B$501,$B45,$S$2:$S$501,$S45)&gt;1),"Duplicate participant and plan row; ",""))</f>
        <v/>
      </c>
      <c r="AD45">
        <f>IF(COUNTA($A45:$U45)=0,"",IF(AND($X45="Employee",$M45="",$N45=""),"No employee phone or email provided; ","")&amp;IF(AND($R45="Active",$Q45&lt;&gt;""),"Active record includes a Termination Date; confirm this is intentional; ","")&amp;IF(AND($B45&lt;&gt;"",$B45&amp;""&lt;&gt;$A45&amp;"",COUNTIF($A$2:$A$501,$B45)&gt;0),"Dependent SSN also appears as an Employee SSN elsewhere; confirm dual-employee coverage is intentional; ","")&amp;IF(AND($B45&lt;&gt;"",COUNTIF($B$2:$B$501,$B45)&gt;COUNTIFS($A$2:$A$501,$A45,$B$2:$B$501,$B45)),"Dependent SSN appears under more than one employee; confirm duplicate family coverage is intentional; ","")&amp;IF(AND(ROW()&gt;2,$A45&lt;&gt;"",$A45&lt;&gt;$A44,COUNTIF($A$2:$A44,$A45)&gt;0),"This household appears in more than one section of the census; keep the family together; ","")&amp;IF(OR(AND($C45&lt;&gt;"",LEN($C45&amp;"")&lt;&gt;LEN(TRIM($C45&amp;""))),AND($D45&lt;&gt;"",LEN($D45&amp;"")&lt;&gt;LEN(TRIM($D45&amp;""))),AND($E45&lt;&gt;"",LEN($E45&amp;"")&lt;&gt;LEN(TRIM($E45&amp;""))),AND($F45&lt;&gt;"",LEN($F45&amp;"")&lt;&gt;LEN(TRIM($F45&amp;""))),AND($G45&lt;&gt;"",LEN($G45&amp;"")&lt;&gt;LEN(TRIM($G45&amp;""))),AND($H45&lt;&gt;"",LEN($H45&amp;"")&lt;&gt;LEN(TRIM($H45&amp;""))),AND($I45&lt;&gt;"",LEN($I45&amp;"")&lt;&gt;LEN(TRIM($I45&amp;""))),AND($J45&lt;&gt;"",LEN($J45&amp;"")&lt;&gt;LEN(TRIM($J45&amp;""))),AND($K45&lt;&gt;"",LEN($K45&amp;"")&lt;&gt;LEN(TRIM($K45&amp;""))),AND($M45&lt;&gt;"",LEN($M45&amp;"")&lt;&gt;LEN(TRIM($M45&amp;""))),AND($N45&lt;&gt;"",LEN($N45&amp;"")&lt;&gt;LEN(TRIM($N45&amp;""))),AND($O45&lt;&gt;"",LEN($O45&amp;"")&lt;&gt;LEN(TRIM($O45&amp;""))),AND($R45&lt;&gt;"",LEN($R45&amp;"")&lt;&gt;LEN(TRIM($R45&amp;""))),AND($S45&lt;&gt;"",LEN($S45&amp;"")&lt;&gt;LEN(TRIM($S45&amp;""))),AND($T45&lt;&gt;"",LEN($T45&amp;"")&lt;&gt;LEN(TRIM($T45&amp;"")))),"Remove leading or trailing spaces from text fields; ","")&amp;IF(OR(AND(LEN($C45)&gt;1,OR(EXACT($C45,UPPER($C45)),EXACT($C45,LOWER($C45)))),AND(LEN($D45)&gt;1,OR(EXACT($D45,UPPER($D45)),EXACT($D45,LOWER($D45)))),AND(LEN($H45)&gt;1,OR(EXACT($H45,UPPER($H45)),EXACT($H45,LOWER($H45))))),"Review capitalization in First Name, Last Name, or City; ","")&amp;IF(AND($N45&lt;&gt;"",NOT(EXACT($N45,LOWER($N45)))),"Email will be standardized to lowercase in the clean output; ","")&amp;IF(AND(OR('START HERE'!$C$8="Initial Enrollment",'START HERE'!$C$8="Open Enrollment"),$R45="Terminated"),"A terminated row is included in an initial or open enrollment file; confirm this is intentional; ",""))</f>
        <v/>
      </c>
      <c r="AE45">
        <f>IF(COUNTA($A45:$U45)=0,"",IF(OR($A45="",AND($A45&lt;&gt;"",NOT(IFERROR(AND(LEN($A45&amp;"")=9,ISNUMBER(--($A45&amp;""))),FALSE))),AND($A45&lt;&gt;"",OR($A45="123456789",$A45="987654321",$A45="012345678",$A45=REPT(LEFT($A45&amp;"",1),9)))),"Employee SSN, ","")&amp;IF(OR(AND($O45&lt;&gt;"",$B45=""),AND($B45&lt;&gt;"",OR(NOT(IFERROR(AND(LEN($B45&amp;"")=9,ISNUMBER(--($B45&amp;""))),FALSE)),$B45=$A45,$B45="123456789",$B45="987654321",$B45="012345678",$B45=REPT(LEFT($B45&amp;"",1),9)))),"Dependent SSN, ","")&amp;IF(OR($C45="",LEN($C45)&gt;19,AND($C45&lt;&gt;"",SUMPRODUCT(--(ROW($1:$19)&lt;=LEN($C45&amp;"")),--ISERROR(FIND(MID($C45&amp;"",ROW($1:$19),1),"ABCDEFGHIJKLMNOPQRSTUVWXYZabcdefghijklmnopqrstuvwxyz .,")))&gt;0)),"First Name, ","")&amp;IF(OR($D45="",LEN($D45)&gt;26,AND($D45&lt;&gt;"",SUMPRODUCT(--(ROW($1:$26)&lt;=LEN($D45&amp;"")),--ISERROR(FIND(MID($D45&amp;"",ROW($1:$26),1),"ABCDEFGHIJKLMNOPQRSTUVWXYZabcdefghijklmnopqrstuvwxyz .,")))&gt;0)),"Last Name, ","")&amp;IF(OR(LEN($E45)&gt;1,AND($E45&lt;&gt;"",SUMPRODUCT(--(ROW($1:$1)&lt;=LEN($E45&amp;"")),--ISERROR(FIND(MID($E45&amp;"",ROW($1:$1),1),"ABCDEFGHIJKLMNOPQRSTUVWXYZabcdefghijklmnopqrstuvwxyz .,")))&gt;0)),"Middle Initial, ","")&amp;IF(OR($F45="",LEN($F45)&gt;75),"Address, ","")&amp;IF(OR($H45="",LEN($H45)&gt;30),"City, ","")&amp;IF(AND($K45="US",OR($I45="",LEN($I45)&lt;&gt;2)),"State, ","")&amp;IF($J45="","ZIP, ","")&amp;IF(OR($K45="",AND($K45&lt;&gt;"US",$K45&lt;&gt;"CA")),"Country, ","")&amp;IF(OR($L45="",AND($L45&lt;&gt;"",OR(NOT(ISNUMBER($L45)),$L45&lt;=DATE(1900,1,1),$L45&gt;TODAY()))),"Birthdate, ","")&amp;IF(AND($N45&lt;&gt;"",NOT(IFERROR(AND(ISNUMBER(SEARCH("@",$N45)),ISNUMBER(SEARCH(".",$N45,SEARCH("@",$N45)+2))),FALSE))),"Email, ","")&amp;IF(OR(AND($B45&lt;&gt;"",$O45=""),AND($O45&lt;&gt;"",$O45&lt;&gt;"Spouse or Common Law Spouse",$O45&lt;&gt;"Domestic Partner",$O45&lt;&gt;"Child",$O45&lt;&gt;"Other",$O45&lt;&gt;"Estate",$O45&lt;&gt;"Unknown")),"Dependent Relationship, ","")&amp;IF($AA45&lt;&gt;"","Household, ","")&amp;IF(OR($P45="",AND($P45&lt;&gt;"",OR(NOT(ISNUMBER($P45)),$P45&lt;=DATE(1900,1,1)))),"Eligibility Date, ","")&amp;IF(OR(AND($R45="Terminated",$Q45=""),AND($Q45&lt;&gt;"",OR(NOT(ISNUMBER($Q45)),$Q45&lt;=DATE(1900,1,1))),AND(ISNUMBER($P45),ISNUMBER($Q45),$Q45&lt;$P45)),"Termination Date, ","")&amp;IF(OR($R45="",AND($R45&lt;&gt;"Active",$R45&lt;&gt;"Terminated"),AND('START HERE'!$C$8="Terminations Only",$R45&lt;&gt;"Terminated")),"Status, ","")&amp;IF($S45="","Plan Name, ","")&amp;IF($T45="","Coverage Level, ","")&amp;IF(AND($U45&lt;&gt;"",OR(NOT(ISNUMBER($U45)),$U45&lt;0)),"Funding, ","")&amp;IF(AND($A45&lt;&gt;"",$S45&lt;&gt;"",COUNTIFS($A$2:$A$501,$A45,$B$2:$B$501,$B45,$S$2:$S$501,$S45)&gt;1),"Duplicate Row, ",""))</f>
        <v/>
      </c>
      <c r="AF45">
        <f>IF(COUNTA($A45:$U45)=0,"",$Y45&amp;$Z45&amp;$AA45&amp;$AB45&amp;$AC45)</f>
        <v/>
      </c>
      <c r="AG45">
        <f>IF($N45="","",LOWER(TRIM($N45)))</f>
        <v/>
      </c>
      <c r="AH45">
        <f>IF($A45="","",COUNTIFS($A$2:$A$501,$A45,$AI$2:$AI$501,1))</f>
        <v/>
      </c>
      <c r="AI45">
        <f>IF(COUNTA($A45:$U45)=0,"",--($AF45&lt;&gt;""))</f>
        <v/>
      </c>
      <c r="AJ45">
        <f>IF(COUNTA($A45:$U45)=0,"",--($AD45&lt;&gt;""))</f>
        <v/>
      </c>
    </row>
    <row r="46" ht="20" customHeight="1">
      <c r="A46" s="80" t="n"/>
      <c r="B46" s="80" t="n"/>
      <c r="C46" s="81" t="n"/>
      <c r="D46" s="81" t="n"/>
      <c r="E46" s="80" t="n"/>
      <c r="F46" s="81" t="n"/>
      <c r="G46" s="81" t="n"/>
      <c r="H46" s="81" t="n"/>
      <c r="I46" s="80" t="n"/>
      <c r="J46" s="80" t="n"/>
      <c r="K46" s="80" t="n"/>
      <c r="L46" s="82" t="n"/>
      <c r="M46" s="80" t="n"/>
      <c r="N46" s="80" t="n"/>
      <c r="O46" s="80" t="n"/>
      <c r="P46" s="82" t="n"/>
      <c r="Q46" s="82" t="n"/>
      <c r="R46" s="80" t="n"/>
      <c r="S46" s="80" t="n"/>
      <c r="T46" s="80" t="n"/>
      <c r="U46" s="83" t="n"/>
      <c r="V46">
        <f>IF($A46="","",IF($A46=$A45,$V45,IF($V45="",0,1-$V45)))</f>
        <v/>
      </c>
      <c r="W46">
        <f>IF($B46&lt;&gt;"",$B46,$A46)</f>
        <v/>
      </c>
      <c r="X46">
        <f>IF(COUNTA($A46:$U46)=0,"",IF(OR($B46&lt;&gt;"",$O46&lt;&gt;""),"Dependent","Employee"))</f>
        <v/>
      </c>
      <c r="Y46">
        <f>IF(COUNTA($A46:$U46)=0,"",IF($A46="","Employee SSN is required; ","")&amp;IF($C46="","First Name is required; ","")&amp;IF(LEN($C46&amp;"")&gt;19,"First Name exceeds 19 characters; ","")&amp;IF(AND($C46&lt;&gt;"",SUMPRODUCT(--(ROW($1:$19)&lt;=LEN($C46&amp;"")),--ISERROR(FIND(MID($C46&amp;"",ROW($1:$19),1),"ABCDEFGHIJKLMNOPQRSTUVWXYZabcdefghijklmnopqrstuvwxyz .,")))&gt;0),"First Name contains unsupported or encoded characters; use plain A-Z letters only; ","")&amp;IF($D46="","Last Name is required; ","")&amp;IF(LEN($D46&amp;"")&gt;26,"Last Name exceeds 26 characters; ","")&amp;IF(AND($D46&lt;&gt;"",SUMPRODUCT(--(ROW($1:$26)&lt;=LEN($D46&amp;"")),--ISERROR(FIND(MID($D46&amp;"",ROW($1:$26),1),"ABCDEFGHIJKLMNOPQRSTUVWXYZabcdefghijklmnopqrstuvwxyz .,")))&gt;0),"Last Name contains unsupported or encoded characters; use plain A-Z letters only; ","")&amp;IF(LEN($E46&amp;"")&gt;1,"Middle Initial may contain only one character; ","")&amp;IF(AND($E46&lt;&gt;"",SUMPRODUCT(--(ROW($1:$1)&lt;=LEN($E46&amp;"")),--ISERROR(FIND(MID($E46&amp;"",ROW($1:$1),1),"ABCDEFGHIJKLMNOPQRSTUVWXYZabcdefghijklmnopqrstuvwxyz .,")))&gt;0),"Middle Initial must be a plain A-Z letter; ","")&amp;IF($F46="","Address is required; ","")&amp;IF(LEN($F46&amp;"")&gt;75,"Address exceeds 75 characters; ","")&amp;IF(LEN($G46&amp;"")&gt;75,"Address 2 exceeds 75 characters; ","")&amp;IF($H46="","City is required; ","")&amp;IF(LEN($H46&amp;"")&gt;30,"City exceeds 30 characters; ","")&amp;IF($K46="","Country is required; ","")&amp;IF(AND($K46&lt;&gt;"",$K46&lt;&gt;"US",$K46&lt;&gt;"CA"),"Country must be US or CA; ","")&amp;IF(AND($K46="US",OR($I46="",LEN($I46&amp;"")&lt;&gt;2)),"Use a 2-letter state code; ","")&amp;IF($J46="","ZIP or postal code is required; ","")&amp;IF(AND($K46="US",$J46&lt;&gt;"",NOT(IFERROR(OR(AND(LEN($J46&amp;"")=5,ISNUMBER(--($J46&amp;""))),AND(LEN($J46&amp;"")=9,ISNUMBER(--($J46&amp;""))),AND(LEN($J46&amp;"")=10,MID($J46&amp;"",6,1)="-",ISNUMBER(--SUBSTITUTE($J46&amp;"","-","")))),FALSE))),"US ZIP must be 5 or 9 digits, with an optional ZIP+4 hyphen; ","")&amp;IF(AND($N46&lt;&gt;"",NOT(IFERROR(AND(ISNUMBER(SEARCH("@",$N46)),ISNUMBER(SEARCH(".",$N46,SEARCH("@",$N46)+2))),FALSE))),"Email format appears invalid; ","")&amp;IF(AND($O46&lt;&gt;"",$B46=""),"Dependent SSN is required for every dependent; ","")&amp;IF(AND($B46&lt;&gt;"",$O46=""),"Dependent Relationship is required when Dependent SSN is entered; ","")&amp;IF(AND($O46&lt;&gt;"",$O46&lt;&gt;"Spouse or Common Law Spouse",$O46&lt;&gt;"Domestic Partner",$O46&lt;&gt;"Child",$O46&lt;&gt;"Other",$O46&lt;&gt;"Estate",$O46&lt;&gt;"Unknown"),"Dependent Relationship must use one of the approved options; ",""))</f>
        <v/>
      </c>
      <c r="Z46">
        <f>IF(COUNTA($A46:$U46)=0,"",IF(AND($A46&lt;&gt;"",NOT(IFERROR(AND(LEN($A46&amp;"")=9,ISNUMBER(--($A46&amp;""))),FALSE))),"Employee SSN must contain exactly 9 digits; ","")&amp;IF(AND($A46&lt;&gt;"",OR($A46="123456789",$A46="987654321",$A46="012345678",$A46=REPT(LEFT($A46&amp;"",1),9))),"Employee SSN appears to be a placeholder; ","")&amp;IF(AND($B46&lt;&gt;"",NOT(IFERROR(AND(LEN($B46&amp;"")=9,ISNUMBER(--($B46&amp;""))),FALSE))),"Dependent SSN must contain exactly 9 digits; ","")&amp;IF(AND($B46&lt;&gt;"",OR($B46="123456789",$B46="987654321",$B46="012345678",$B46=REPT(LEFT($B46&amp;"",1),9))),"Dependent SSN appears to be a placeholder; ","")&amp;IF(AND($A46&lt;&gt;"",$B46&lt;&gt;"",$A46&amp;""=$B46&amp;""),"Dependent SSN cannot match Employee SSN; ","")&amp;IF(AND($W46&lt;&gt;"",OR(COUNTIFS($W$2:$W$501,$W46,$C$2:$C$501,"&lt;&gt;"&amp;$C46)&gt;0,COUNTIFS($W$2:$W$501,$W46,$D$2:$D$501,"&lt;&gt;"&amp;$D46)&gt;0,COUNTIFS($W$2:$W$501,$W46,$L$2:$L$501,"&lt;&gt;"&amp;$L46)&gt;0)),"The same SSN is associated with a different name or birthdate; ",""))</f>
        <v/>
      </c>
      <c r="AA46">
        <f>IF(COUNTA($A46:$U46)=0,"",IF(AND($A46&lt;&gt;"",$S46&lt;&gt;"",COUNTIFS($A$2:$A$501,$A46,$S$2:$S$501,$S46,$B$2:$B$501,"",$O$2:$O$501,"")=0),"Add an employee row for this household and plan; ","")&amp;IF(AND($X46="Dependent",COUNTIFS($A$2:$A46,$A46,$S$2:$S46,$S46,$B$2:$B46,"",$O$2:$O46,"")=0),"Place the employee row before dependent rows for this plan; ","")&amp;IF(AND($X46="Dependent",COUNTIFS($A$2:$A$501,$A46,$S$2:$S$501,$S46,$B$2:$B$501,"",$O$2:$O$501,"")&gt;0,IFERROR(OR($P46&lt;&gt;LOOKUP(2,1/(($A$2:$A$501=$A46)*($S$2:$S$501=$S46)*($B$2:$B$501="")*($O$2:$O$501="")),$P$2:$P$501),$Q46&lt;&gt;LOOKUP(2,1/(($A$2:$A$501=$A46)*($S$2:$S$501=$S46)*($B$2:$B$501="")*($O$2:$O$501="")),$Q$2:$Q$501),$R46&lt;&gt;LOOKUP(2,1/(($A$2:$A$501=$A46)*($S$2:$S$501=$S46)*($B$2:$B$501="")*($O$2:$O$501="")),$R$2:$R$501),$T46&lt;&gt;LOOKUP(2,1/(($A$2:$A$501=$A46)*($S$2:$S$501=$S46)*($B$2:$B$501="")*($O$2:$O$501="")),$T$2:$T$501),$U46&lt;&gt;LOOKUP(2,1/(($A$2:$A$501=$A46)*($S$2:$S$501=$S46)*($B$2:$B$501="")*($O$2:$O$501="")),$U$2:$U$501)),FALSE)),"Dependent row does not match the employee row for eligibility, status, coverage level, or funding; ",""))</f>
        <v/>
      </c>
      <c r="AB46">
        <f>IF(COUNTA($A46:$U46)=0,"",IF($L46="","Birthdate is required; ","")&amp;IF(AND($L46&lt;&gt;"",OR(NOT(ISNUMBER($L46)),$L46&lt;=DATE(1900,1,1),$L46&gt;TODAY())),"Birthdate must be an exact valid past date; ","")&amp;IF($P46="","Eligibility Date is required; ","")&amp;IF(AND($P46&lt;&gt;"",OR(NOT(ISNUMBER($P46)),$P46&lt;=DATE(1900,1,1))),"Eligibility Date must be a valid date; ","")&amp;IF(AND($R46="Terminated",$Q46=""),"Termination Date is required when Status is Terminated; ","")&amp;IF(AND($Q46&lt;&gt;"",OR(NOT(ISNUMBER($Q46)),$Q46&lt;=DATE(1900,1,1))),"Termination Date must be a valid date; ","")&amp;IF(AND(ISNUMBER($P46),ISNUMBER($Q46),$Q46&lt;$P46),"Termination Date cannot be before Eligibility Date; ","")&amp;IF($R46="","Status is required; ","")&amp;IF(AND($R46&lt;&gt;"",$R46&lt;&gt;"Active",$R46&lt;&gt;"Terminated"),"Status must be Active or Terminated; ","")&amp;IF(AND('START HERE'!$C$8="Terminations Only",$R46&lt;&gt;"Terminated"),"Terminations Only files must contain terminated records; ",""))</f>
        <v/>
      </c>
      <c r="AC46">
        <f>IF(COUNTA($A46:$U46)=0,"",IF($S46="","Plan Name is required; ","")&amp;IF($T46="","Benefit Coverage Level is required; ","")&amp;IF(AND($U46&lt;&gt;"",OR(NOT(ISNUMBER($U46)),$U46&lt;0)),"Plan Funding Amount must be a nonnegative number; ","")&amp;IF(AND($A46&lt;&gt;"",$S46&lt;&gt;"",COUNTIFS($A$2:$A$501,$A46,$B$2:$B$501,$B46,$S$2:$S$501,$S46)&gt;1),"Duplicate participant and plan row; ",""))</f>
        <v/>
      </c>
      <c r="AD46">
        <f>IF(COUNTA($A46:$U46)=0,"",IF(AND($X46="Employee",$M46="",$N46=""),"No employee phone or email provided; ","")&amp;IF(AND($R46="Active",$Q46&lt;&gt;""),"Active record includes a Termination Date; confirm this is intentional; ","")&amp;IF(AND($B46&lt;&gt;"",$B46&amp;""&lt;&gt;$A46&amp;"",COUNTIF($A$2:$A$501,$B46)&gt;0),"Dependent SSN also appears as an Employee SSN elsewhere; confirm dual-employee coverage is intentional; ","")&amp;IF(AND($B46&lt;&gt;"",COUNTIF($B$2:$B$501,$B46)&gt;COUNTIFS($A$2:$A$501,$A46,$B$2:$B$501,$B46)),"Dependent SSN appears under more than one employee; confirm duplicate family coverage is intentional; ","")&amp;IF(AND(ROW()&gt;2,$A46&lt;&gt;"",$A46&lt;&gt;$A45,COUNTIF($A$2:$A45,$A46)&gt;0),"This household appears in more than one section of the census; keep the family together; ","")&amp;IF(OR(AND($C46&lt;&gt;"",LEN($C46&amp;"")&lt;&gt;LEN(TRIM($C46&amp;""))),AND($D46&lt;&gt;"",LEN($D46&amp;"")&lt;&gt;LEN(TRIM($D46&amp;""))),AND($E46&lt;&gt;"",LEN($E46&amp;"")&lt;&gt;LEN(TRIM($E46&amp;""))),AND($F46&lt;&gt;"",LEN($F46&amp;"")&lt;&gt;LEN(TRIM($F46&amp;""))),AND($G46&lt;&gt;"",LEN($G46&amp;"")&lt;&gt;LEN(TRIM($G46&amp;""))),AND($H46&lt;&gt;"",LEN($H46&amp;"")&lt;&gt;LEN(TRIM($H46&amp;""))),AND($I46&lt;&gt;"",LEN($I46&amp;"")&lt;&gt;LEN(TRIM($I46&amp;""))),AND($J46&lt;&gt;"",LEN($J46&amp;"")&lt;&gt;LEN(TRIM($J46&amp;""))),AND($K46&lt;&gt;"",LEN($K46&amp;"")&lt;&gt;LEN(TRIM($K46&amp;""))),AND($M46&lt;&gt;"",LEN($M46&amp;"")&lt;&gt;LEN(TRIM($M46&amp;""))),AND($N46&lt;&gt;"",LEN($N46&amp;"")&lt;&gt;LEN(TRIM($N46&amp;""))),AND($O46&lt;&gt;"",LEN($O46&amp;"")&lt;&gt;LEN(TRIM($O46&amp;""))),AND($R46&lt;&gt;"",LEN($R46&amp;"")&lt;&gt;LEN(TRIM($R46&amp;""))),AND($S46&lt;&gt;"",LEN($S46&amp;"")&lt;&gt;LEN(TRIM($S46&amp;""))),AND($T46&lt;&gt;"",LEN($T46&amp;"")&lt;&gt;LEN(TRIM($T46&amp;"")))),"Remove leading or trailing spaces from text fields; ","")&amp;IF(OR(AND(LEN($C46)&gt;1,OR(EXACT($C46,UPPER($C46)),EXACT($C46,LOWER($C46)))),AND(LEN($D46)&gt;1,OR(EXACT($D46,UPPER($D46)),EXACT($D46,LOWER($D46)))),AND(LEN($H46)&gt;1,OR(EXACT($H46,UPPER($H46)),EXACT($H46,LOWER($H46))))),"Review capitalization in First Name, Last Name, or City; ","")&amp;IF(AND($N46&lt;&gt;"",NOT(EXACT($N46,LOWER($N46)))),"Email will be standardized to lowercase in the clean output; ","")&amp;IF(AND(OR('START HERE'!$C$8="Initial Enrollment",'START HERE'!$C$8="Open Enrollment"),$R46="Terminated"),"A terminated row is included in an initial or open enrollment file; confirm this is intentional; ",""))</f>
        <v/>
      </c>
      <c r="AE46">
        <f>IF(COUNTA($A46:$U46)=0,"",IF(OR($A46="",AND($A46&lt;&gt;"",NOT(IFERROR(AND(LEN($A46&amp;"")=9,ISNUMBER(--($A46&amp;""))),FALSE))),AND($A46&lt;&gt;"",OR($A46="123456789",$A46="987654321",$A46="012345678",$A46=REPT(LEFT($A46&amp;"",1),9)))),"Employee SSN, ","")&amp;IF(OR(AND($O46&lt;&gt;"",$B46=""),AND($B46&lt;&gt;"",OR(NOT(IFERROR(AND(LEN($B46&amp;"")=9,ISNUMBER(--($B46&amp;""))),FALSE)),$B46=$A46,$B46="123456789",$B46="987654321",$B46="012345678",$B46=REPT(LEFT($B46&amp;"",1),9)))),"Dependent SSN, ","")&amp;IF(OR($C46="",LEN($C46)&gt;19,AND($C46&lt;&gt;"",SUMPRODUCT(--(ROW($1:$19)&lt;=LEN($C46&amp;"")),--ISERROR(FIND(MID($C46&amp;"",ROW($1:$19),1),"ABCDEFGHIJKLMNOPQRSTUVWXYZabcdefghijklmnopqrstuvwxyz .,")))&gt;0)),"First Name, ","")&amp;IF(OR($D46="",LEN($D46)&gt;26,AND($D46&lt;&gt;"",SUMPRODUCT(--(ROW($1:$26)&lt;=LEN($D46&amp;"")),--ISERROR(FIND(MID($D46&amp;"",ROW($1:$26),1),"ABCDEFGHIJKLMNOPQRSTUVWXYZabcdefghijklmnopqrstuvwxyz .,")))&gt;0)),"Last Name, ","")&amp;IF(OR(LEN($E46)&gt;1,AND($E46&lt;&gt;"",SUMPRODUCT(--(ROW($1:$1)&lt;=LEN($E46&amp;"")),--ISERROR(FIND(MID($E46&amp;"",ROW($1:$1),1),"ABCDEFGHIJKLMNOPQRSTUVWXYZabcdefghijklmnopqrstuvwxyz .,")))&gt;0)),"Middle Initial, ","")&amp;IF(OR($F46="",LEN($F46)&gt;75),"Address, ","")&amp;IF(OR($H46="",LEN($H46)&gt;30),"City, ","")&amp;IF(AND($K46="US",OR($I46="",LEN($I46)&lt;&gt;2)),"State, ","")&amp;IF($J46="","ZIP, ","")&amp;IF(OR($K46="",AND($K46&lt;&gt;"US",$K46&lt;&gt;"CA")),"Country, ","")&amp;IF(OR($L46="",AND($L46&lt;&gt;"",OR(NOT(ISNUMBER($L46)),$L46&lt;=DATE(1900,1,1),$L46&gt;TODAY()))),"Birthdate, ","")&amp;IF(AND($N46&lt;&gt;"",NOT(IFERROR(AND(ISNUMBER(SEARCH("@",$N46)),ISNUMBER(SEARCH(".",$N46,SEARCH("@",$N46)+2))),FALSE))),"Email, ","")&amp;IF(OR(AND($B46&lt;&gt;"",$O46=""),AND($O46&lt;&gt;"",$O46&lt;&gt;"Spouse or Common Law Spouse",$O46&lt;&gt;"Domestic Partner",$O46&lt;&gt;"Child",$O46&lt;&gt;"Other",$O46&lt;&gt;"Estate",$O46&lt;&gt;"Unknown")),"Dependent Relationship, ","")&amp;IF($AA46&lt;&gt;"","Household, ","")&amp;IF(OR($P46="",AND($P46&lt;&gt;"",OR(NOT(ISNUMBER($P46)),$P46&lt;=DATE(1900,1,1)))),"Eligibility Date, ","")&amp;IF(OR(AND($R46="Terminated",$Q46=""),AND($Q46&lt;&gt;"",OR(NOT(ISNUMBER($Q46)),$Q46&lt;=DATE(1900,1,1))),AND(ISNUMBER($P46),ISNUMBER($Q46),$Q46&lt;$P46)),"Termination Date, ","")&amp;IF(OR($R46="",AND($R46&lt;&gt;"Active",$R46&lt;&gt;"Terminated"),AND('START HERE'!$C$8="Terminations Only",$R46&lt;&gt;"Terminated")),"Status, ","")&amp;IF($S46="","Plan Name, ","")&amp;IF($T46="","Coverage Level, ","")&amp;IF(AND($U46&lt;&gt;"",OR(NOT(ISNUMBER($U46)),$U46&lt;0)),"Funding, ","")&amp;IF(AND($A46&lt;&gt;"",$S46&lt;&gt;"",COUNTIFS($A$2:$A$501,$A46,$B$2:$B$501,$B46,$S$2:$S$501,$S46)&gt;1),"Duplicate Row, ",""))</f>
        <v/>
      </c>
      <c r="AF46">
        <f>IF(COUNTA($A46:$U46)=0,"",$Y46&amp;$Z46&amp;$AA46&amp;$AB46&amp;$AC46)</f>
        <v/>
      </c>
      <c r="AG46">
        <f>IF($N46="","",LOWER(TRIM($N46)))</f>
        <v/>
      </c>
      <c r="AH46">
        <f>IF($A46="","",COUNTIFS($A$2:$A$501,$A46,$AI$2:$AI$501,1))</f>
        <v/>
      </c>
      <c r="AI46">
        <f>IF(COUNTA($A46:$U46)=0,"",--($AF46&lt;&gt;""))</f>
        <v/>
      </c>
      <c r="AJ46">
        <f>IF(COUNTA($A46:$U46)=0,"",--($AD46&lt;&gt;""))</f>
        <v/>
      </c>
    </row>
    <row r="47" ht="20" customHeight="1">
      <c r="A47" s="80" t="n"/>
      <c r="B47" s="80" t="n"/>
      <c r="C47" s="81" t="n"/>
      <c r="D47" s="81" t="n"/>
      <c r="E47" s="80" t="n"/>
      <c r="F47" s="81" t="n"/>
      <c r="G47" s="81" t="n"/>
      <c r="H47" s="81" t="n"/>
      <c r="I47" s="80" t="n"/>
      <c r="J47" s="80" t="n"/>
      <c r="K47" s="80" t="n"/>
      <c r="L47" s="82" t="n"/>
      <c r="M47" s="80" t="n"/>
      <c r="N47" s="80" t="n"/>
      <c r="O47" s="80" t="n"/>
      <c r="P47" s="82" t="n"/>
      <c r="Q47" s="82" t="n"/>
      <c r="R47" s="80" t="n"/>
      <c r="S47" s="80" t="n"/>
      <c r="T47" s="80" t="n"/>
      <c r="U47" s="83" t="n"/>
      <c r="V47">
        <f>IF($A47="","",IF($A47=$A46,$V46,IF($V46="",0,1-$V46)))</f>
        <v/>
      </c>
      <c r="W47">
        <f>IF($B47&lt;&gt;"",$B47,$A47)</f>
        <v/>
      </c>
      <c r="X47">
        <f>IF(COUNTA($A47:$U47)=0,"",IF(OR($B47&lt;&gt;"",$O47&lt;&gt;""),"Dependent","Employee"))</f>
        <v/>
      </c>
      <c r="Y47">
        <f>IF(COUNTA($A47:$U47)=0,"",IF($A47="","Employee SSN is required; ","")&amp;IF($C47="","First Name is required; ","")&amp;IF(LEN($C47&amp;"")&gt;19,"First Name exceeds 19 characters; ","")&amp;IF(AND($C47&lt;&gt;"",SUMPRODUCT(--(ROW($1:$19)&lt;=LEN($C47&amp;"")),--ISERROR(FIND(MID($C47&amp;"",ROW($1:$19),1),"ABCDEFGHIJKLMNOPQRSTUVWXYZabcdefghijklmnopqrstuvwxyz .,")))&gt;0),"First Name contains unsupported or encoded characters; use plain A-Z letters only; ","")&amp;IF($D47="","Last Name is required; ","")&amp;IF(LEN($D47&amp;"")&gt;26,"Last Name exceeds 26 characters; ","")&amp;IF(AND($D47&lt;&gt;"",SUMPRODUCT(--(ROW($1:$26)&lt;=LEN($D47&amp;"")),--ISERROR(FIND(MID($D47&amp;"",ROW($1:$26),1),"ABCDEFGHIJKLMNOPQRSTUVWXYZabcdefghijklmnopqrstuvwxyz .,")))&gt;0),"Last Name contains unsupported or encoded characters; use plain A-Z letters only; ","")&amp;IF(LEN($E47&amp;"")&gt;1,"Middle Initial may contain only one character; ","")&amp;IF(AND($E47&lt;&gt;"",SUMPRODUCT(--(ROW($1:$1)&lt;=LEN($E47&amp;"")),--ISERROR(FIND(MID($E47&amp;"",ROW($1:$1),1),"ABCDEFGHIJKLMNOPQRSTUVWXYZabcdefghijklmnopqrstuvwxyz .,")))&gt;0),"Middle Initial must be a plain A-Z letter; ","")&amp;IF($F47="","Address is required; ","")&amp;IF(LEN($F47&amp;"")&gt;75,"Address exceeds 75 characters; ","")&amp;IF(LEN($G47&amp;"")&gt;75,"Address 2 exceeds 75 characters; ","")&amp;IF($H47="","City is required; ","")&amp;IF(LEN($H47&amp;"")&gt;30,"City exceeds 30 characters; ","")&amp;IF($K47="","Country is required; ","")&amp;IF(AND($K47&lt;&gt;"",$K47&lt;&gt;"US",$K47&lt;&gt;"CA"),"Country must be US or CA; ","")&amp;IF(AND($K47="US",OR($I47="",LEN($I47&amp;"")&lt;&gt;2)),"Use a 2-letter state code; ","")&amp;IF($J47="","ZIP or postal code is required; ","")&amp;IF(AND($K47="US",$J47&lt;&gt;"",NOT(IFERROR(OR(AND(LEN($J47&amp;"")=5,ISNUMBER(--($J47&amp;""))),AND(LEN($J47&amp;"")=9,ISNUMBER(--($J47&amp;""))),AND(LEN($J47&amp;"")=10,MID($J47&amp;"",6,1)="-",ISNUMBER(--SUBSTITUTE($J47&amp;"","-","")))),FALSE))),"US ZIP must be 5 or 9 digits, with an optional ZIP+4 hyphen; ","")&amp;IF(AND($N47&lt;&gt;"",NOT(IFERROR(AND(ISNUMBER(SEARCH("@",$N47)),ISNUMBER(SEARCH(".",$N47,SEARCH("@",$N47)+2))),FALSE))),"Email format appears invalid; ","")&amp;IF(AND($O47&lt;&gt;"",$B47=""),"Dependent SSN is required for every dependent; ","")&amp;IF(AND($B47&lt;&gt;"",$O47=""),"Dependent Relationship is required when Dependent SSN is entered; ","")&amp;IF(AND($O47&lt;&gt;"",$O47&lt;&gt;"Spouse or Common Law Spouse",$O47&lt;&gt;"Domestic Partner",$O47&lt;&gt;"Child",$O47&lt;&gt;"Other",$O47&lt;&gt;"Estate",$O47&lt;&gt;"Unknown"),"Dependent Relationship must use one of the approved options; ",""))</f>
        <v/>
      </c>
      <c r="Z47">
        <f>IF(COUNTA($A47:$U47)=0,"",IF(AND($A47&lt;&gt;"",NOT(IFERROR(AND(LEN($A47&amp;"")=9,ISNUMBER(--($A47&amp;""))),FALSE))),"Employee SSN must contain exactly 9 digits; ","")&amp;IF(AND($A47&lt;&gt;"",OR($A47="123456789",$A47="987654321",$A47="012345678",$A47=REPT(LEFT($A47&amp;"",1),9))),"Employee SSN appears to be a placeholder; ","")&amp;IF(AND($B47&lt;&gt;"",NOT(IFERROR(AND(LEN($B47&amp;"")=9,ISNUMBER(--($B47&amp;""))),FALSE))),"Dependent SSN must contain exactly 9 digits; ","")&amp;IF(AND($B47&lt;&gt;"",OR($B47="123456789",$B47="987654321",$B47="012345678",$B47=REPT(LEFT($B47&amp;"",1),9))),"Dependent SSN appears to be a placeholder; ","")&amp;IF(AND($A47&lt;&gt;"",$B47&lt;&gt;"",$A47&amp;""=$B47&amp;""),"Dependent SSN cannot match Employee SSN; ","")&amp;IF(AND($W47&lt;&gt;"",OR(COUNTIFS($W$2:$W$501,$W47,$C$2:$C$501,"&lt;&gt;"&amp;$C47)&gt;0,COUNTIFS($W$2:$W$501,$W47,$D$2:$D$501,"&lt;&gt;"&amp;$D47)&gt;0,COUNTIFS($W$2:$W$501,$W47,$L$2:$L$501,"&lt;&gt;"&amp;$L47)&gt;0)),"The same SSN is associated with a different name or birthdate; ",""))</f>
        <v/>
      </c>
      <c r="AA47">
        <f>IF(COUNTA($A47:$U47)=0,"",IF(AND($A47&lt;&gt;"",$S47&lt;&gt;"",COUNTIFS($A$2:$A$501,$A47,$S$2:$S$501,$S47,$B$2:$B$501,"",$O$2:$O$501,"")=0),"Add an employee row for this household and plan; ","")&amp;IF(AND($X47="Dependent",COUNTIFS($A$2:$A47,$A47,$S$2:$S47,$S47,$B$2:$B47,"",$O$2:$O47,"")=0),"Place the employee row before dependent rows for this plan; ","")&amp;IF(AND($X47="Dependent",COUNTIFS($A$2:$A$501,$A47,$S$2:$S$501,$S47,$B$2:$B$501,"",$O$2:$O$501,"")&gt;0,IFERROR(OR($P47&lt;&gt;LOOKUP(2,1/(($A$2:$A$501=$A47)*($S$2:$S$501=$S47)*($B$2:$B$501="")*($O$2:$O$501="")),$P$2:$P$501),$Q47&lt;&gt;LOOKUP(2,1/(($A$2:$A$501=$A47)*($S$2:$S$501=$S47)*($B$2:$B$501="")*($O$2:$O$501="")),$Q$2:$Q$501),$R47&lt;&gt;LOOKUP(2,1/(($A$2:$A$501=$A47)*($S$2:$S$501=$S47)*($B$2:$B$501="")*($O$2:$O$501="")),$R$2:$R$501),$T47&lt;&gt;LOOKUP(2,1/(($A$2:$A$501=$A47)*($S$2:$S$501=$S47)*($B$2:$B$501="")*($O$2:$O$501="")),$T$2:$T$501),$U47&lt;&gt;LOOKUP(2,1/(($A$2:$A$501=$A47)*($S$2:$S$501=$S47)*($B$2:$B$501="")*($O$2:$O$501="")),$U$2:$U$501)),FALSE)),"Dependent row does not match the employee row for eligibility, status, coverage level, or funding; ",""))</f>
        <v/>
      </c>
      <c r="AB47">
        <f>IF(COUNTA($A47:$U47)=0,"",IF($L47="","Birthdate is required; ","")&amp;IF(AND($L47&lt;&gt;"",OR(NOT(ISNUMBER($L47)),$L47&lt;=DATE(1900,1,1),$L47&gt;TODAY())),"Birthdate must be an exact valid past date; ","")&amp;IF($P47="","Eligibility Date is required; ","")&amp;IF(AND($P47&lt;&gt;"",OR(NOT(ISNUMBER($P47)),$P47&lt;=DATE(1900,1,1))),"Eligibility Date must be a valid date; ","")&amp;IF(AND($R47="Terminated",$Q47=""),"Termination Date is required when Status is Terminated; ","")&amp;IF(AND($Q47&lt;&gt;"",OR(NOT(ISNUMBER($Q47)),$Q47&lt;=DATE(1900,1,1))),"Termination Date must be a valid date; ","")&amp;IF(AND(ISNUMBER($P47),ISNUMBER($Q47),$Q47&lt;$P47),"Termination Date cannot be before Eligibility Date; ","")&amp;IF($R47="","Status is required; ","")&amp;IF(AND($R47&lt;&gt;"",$R47&lt;&gt;"Active",$R47&lt;&gt;"Terminated"),"Status must be Active or Terminated; ","")&amp;IF(AND('START HERE'!$C$8="Terminations Only",$R47&lt;&gt;"Terminated"),"Terminations Only files must contain terminated records; ",""))</f>
        <v/>
      </c>
      <c r="AC47">
        <f>IF(COUNTA($A47:$U47)=0,"",IF($S47="","Plan Name is required; ","")&amp;IF($T47="","Benefit Coverage Level is required; ","")&amp;IF(AND($U47&lt;&gt;"",OR(NOT(ISNUMBER($U47)),$U47&lt;0)),"Plan Funding Amount must be a nonnegative number; ","")&amp;IF(AND($A47&lt;&gt;"",$S47&lt;&gt;"",COUNTIFS($A$2:$A$501,$A47,$B$2:$B$501,$B47,$S$2:$S$501,$S47)&gt;1),"Duplicate participant and plan row; ",""))</f>
        <v/>
      </c>
      <c r="AD47">
        <f>IF(COUNTA($A47:$U47)=0,"",IF(AND($X47="Employee",$M47="",$N47=""),"No employee phone or email provided; ","")&amp;IF(AND($R47="Active",$Q47&lt;&gt;""),"Active record includes a Termination Date; confirm this is intentional; ","")&amp;IF(AND($B47&lt;&gt;"",$B47&amp;""&lt;&gt;$A47&amp;"",COUNTIF($A$2:$A$501,$B47)&gt;0),"Dependent SSN also appears as an Employee SSN elsewhere; confirm dual-employee coverage is intentional; ","")&amp;IF(AND($B47&lt;&gt;"",COUNTIF($B$2:$B$501,$B47)&gt;COUNTIFS($A$2:$A$501,$A47,$B$2:$B$501,$B47)),"Dependent SSN appears under more than one employee; confirm duplicate family coverage is intentional; ","")&amp;IF(AND(ROW()&gt;2,$A47&lt;&gt;"",$A47&lt;&gt;$A46,COUNTIF($A$2:$A46,$A47)&gt;0),"This household appears in more than one section of the census; keep the family together; ","")&amp;IF(OR(AND($C47&lt;&gt;"",LEN($C47&amp;"")&lt;&gt;LEN(TRIM($C47&amp;""))),AND($D47&lt;&gt;"",LEN($D47&amp;"")&lt;&gt;LEN(TRIM($D47&amp;""))),AND($E47&lt;&gt;"",LEN($E47&amp;"")&lt;&gt;LEN(TRIM($E47&amp;""))),AND($F47&lt;&gt;"",LEN($F47&amp;"")&lt;&gt;LEN(TRIM($F47&amp;""))),AND($G47&lt;&gt;"",LEN($G47&amp;"")&lt;&gt;LEN(TRIM($G47&amp;""))),AND($H47&lt;&gt;"",LEN($H47&amp;"")&lt;&gt;LEN(TRIM($H47&amp;""))),AND($I47&lt;&gt;"",LEN($I47&amp;"")&lt;&gt;LEN(TRIM($I47&amp;""))),AND($J47&lt;&gt;"",LEN($J47&amp;"")&lt;&gt;LEN(TRIM($J47&amp;""))),AND($K47&lt;&gt;"",LEN($K47&amp;"")&lt;&gt;LEN(TRIM($K47&amp;""))),AND($M47&lt;&gt;"",LEN($M47&amp;"")&lt;&gt;LEN(TRIM($M47&amp;""))),AND($N47&lt;&gt;"",LEN($N47&amp;"")&lt;&gt;LEN(TRIM($N47&amp;""))),AND($O47&lt;&gt;"",LEN($O47&amp;"")&lt;&gt;LEN(TRIM($O47&amp;""))),AND($R47&lt;&gt;"",LEN($R47&amp;"")&lt;&gt;LEN(TRIM($R47&amp;""))),AND($S47&lt;&gt;"",LEN($S47&amp;"")&lt;&gt;LEN(TRIM($S47&amp;""))),AND($T47&lt;&gt;"",LEN($T47&amp;"")&lt;&gt;LEN(TRIM($T47&amp;"")))),"Remove leading or trailing spaces from text fields; ","")&amp;IF(OR(AND(LEN($C47)&gt;1,OR(EXACT($C47,UPPER($C47)),EXACT($C47,LOWER($C47)))),AND(LEN($D47)&gt;1,OR(EXACT($D47,UPPER($D47)),EXACT($D47,LOWER($D47)))),AND(LEN($H47)&gt;1,OR(EXACT($H47,UPPER($H47)),EXACT($H47,LOWER($H47))))),"Review capitalization in First Name, Last Name, or City; ","")&amp;IF(AND($N47&lt;&gt;"",NOT(EXACT($N47,LOWER($N47)))),"Email will be standardized to lowercase in the clean output; ","")&amp;IF(AND(OR('START HERE'!$C$8="Initial Enrollment",'START HERE'!$C$8="Open Enrollment"),$R47="Terminated"),"A terminated row is included in an initial or open enrollment file; confirm this is intentional; ",""))</f>
        <v/>
      </c>
      <c r="AE47">
        <f>IF(COUNTA($A47:$U47)=0,"",IF(OR($A47="",AND($A47&lt;&gt;"",NOT(IFERROR(AND(LEN($A47&amp;"")=9,ISNUMBER(--($A47&amp;""))),FALSE))),AND($A47&lt;&gt;"",OR($A47="123456789",$A47="987654321",$A47="012345678",$A47=REPT(LEFT($A47&amp;"",1),9)))),"Employee SSN, ","")&amp;IF(OR(AND($O47&lt;&gt;"",$B47=""),AND($B47&lt;&gt;"",OR(NOT(IFERROR(AND(LEN($B47&amp;"")=9,ISNUMBER(--($B47&amp;""))),FALSE)),$B47=$A47,$B47="123456789",$B47="987654321",$B47="012345678",$B47=REPT(LEFT($B47&amp;"",1),9)))),"Dependent SSN, ","")&amp;IF(OR($C47="",LEN($C47)&gt;19,AND($C47&lt;&gt;"",SUMPRODUCT(--(ROW($1:$19)&lt;=LEN($C47&amp;"")),--ISERROR(FIND(MID($C47&amp;"",ROW($1:$19),1),"ABCDEFGHIJKLMNOPQRSTUVWXYZabcdefghijklmnopqrstuvwxyz .,")))&gt;0)),"First Name, ","")&amp;IF(OR($D47="",LEN($D47)&gt;26,AND($D47&lt;&gt;"",SUMPRODUCT(--(ROW($1:$26)&lt;=LEN($D47&amp;"")),--ISERROR(FIND(MID($D47&amp;"",ROW($1:$26),1),"ABCDEFGHIJKLMNOPQRSTUVWXYZabcdefghijklmnopqrstuvwxyz .,")))&gt;0)),"Last Name, ","")&amp;IF(OR(LEN($E47)&gt;1,AND($E47&lt;&gt;"",SUMPRODUCT(--(ROW($1:$1)&lt;=LEN($E47&amp;"")),--ISERROR(FIND(MID($E47&amp;"",ROW($1:$1),1),"ABCDEFGHIJKLMNOPQRSTUVWXYZabcdefghijklmnopqrstuvwxyz .,")))&gt;0)),"Middle Initial, ","")&amp;IF(OR($F47="",LEN($F47)&gt;75),"Address, ","")&amp;IF(OR($H47="",LEN($H47)&gt;30),"City, ","")&amp;IF(AND($K47="US",OR($I47="",LEN($I47)&lt;&gt;2)),"State, ","")&amp;IF($J47="","ZIP, ","")&amp;IF(OR($K47="",AND($K47&lt;&gt;"US",$K47&lt;&gt;"CA")),"Country, ","")&amp;IF(OR($L47="",AND($L47&lt;&gt;"",OR(NOT(ISNUMBER($L47)),$L47&lt;=DATE(1900,1,1),$L47&gt;TODAY()))),"Birthdate, ","")&amp;IF(AND($N47&lt;&gt;"",NOT(IFERROR(AND(ISNUMBER(SEARCH("@",$N47)),ISNUMBER(SEARCH(".",$N47,SEARCH("@",$N47)+2))),FALSE))),"Email, ","")&amp;IF(OR(AND($B47&lt;&gt;"",$O47=""),AND($O47&lt;&gt;"",$O47&lt;&gt;"Spouse or Common Law Spouse",$O47&lt;&gt;"Domestic Partner",$O47&lt;&gt;"Child",$O47&lt;&gt;"Other",$O47&lt;&gt;"Estate",$O47&lt;&gt;"Unknown")),"Dependent Relationship, ","")&amp;IF($AA47&lt;&gt;"","Household, ","")&amp;IF(OR($P47="",AND($P47&lt;&gt;"",OR(NOT(ISNUMBER($P47)),$P47&lt;=DATE(1900,1,1)))),"Eligibility Date, ","")&amp;IF(OR(AND($R47="Terminated",$Q47=""),AND($Q47&lt;&gt;"",OR(NOT(ISNUMBER($Q47)),$Q47&lt;=DATE(1900,1,1))),AND(ISNUMBER($P47),ISNUMBER($Q47),$Q47&lt;$P47)),"Termination Date, ","")&amp;IF(OR($R47="",AND($R47&lt;&gt;"Active",$R47&lt;&gt;"Terminated"),AND('START HERE'!$C$8="Terminations Only",$R47&lt;&gt;"Terminated")),"Status, ","")&amp;IF($S47="","Plan Name, ","")&amp;IF($T47="","Coverage Level, ","")&amp;IF(AND($U47&lt;&gt;"",OR(NOT(ISNUMBER($U47)),$U47&lt;0)),"Funding, ","")&amp;IF(AND($A47&lt;&gt;"",$S47&lt;&gt;"",COUNTIFS($A$2:$A$501,$A47,$B$2:$B$501,$B47,$S$2:$S$501,$S47)&gt;1),"Duplicate Row, ",""))</f>
        <v/>
      </c>
      <c r="AF47">
        <f>IF(COUNTA($A47:$U47)=0,"",$Y47&amp;$Z47&amp;$AA47&amp;$AB47&amp;$AC47)</f>
        <v/>
      </c>
      <c r="AG47">
        <f>IF($N47="","",LOWER(TRIM($N47)))</f>
        <v/>
      </c>
      <c r="AH47">
        <f>IF($A47="","",COUNTIFS($A$2:$A$501,$A47,$AI$2:$AI$501,1))</f>
        <v/>
      </c>
      <c r="AI47">
        <f>IF(COUNTA($A47:$U47)=0,"",--($AF47&lt;&gt;""))</f>
        <v/>
      </c>
      <c r="AJ47">
        <f>IF(COUNTA($A47:$U47)=0,"",--($AD47&lt;&gt;""))</f>
        <v/>
      </c>
    </row>
    <row r="48" ht="20" customHeight="1">
      <c r="A48" s="80" t="n"/>
      <c r="B48" s="80" t="n"/>
      <c r="C48" s="81" t="n"/>
      <c r="D48" s="81" t="n"/>
      <c r="E48" s="80" t="n"/>
      <c r="F48" s="81" t="n"/>
      <c r="G48" s="81" t="n"/>
      <c r="H48" s="81" t="n"/>
      <c r="I48" s="80" t="n"/>
      <c r="J48" s="80" t="n"/>
      <c r="K48" s="80" t="n"/>
      <c r="L48" s="82" t="n"/>
      <c r="M48" s="80" t="n"/>
      <c r="N48" s="80" t="n"/>
      <c r="O48" s="80" t="n"/>
      <c r="P48" s="82" t="n"/>
      <c r="Q48" s="82" t="n"/>
      <c r="R48" s="80" t="n"/>
      <c r="S48" s="80" t="n"/>
      <c r="T48" s="80" t="n"/>
      <c r="U48" s="83" t="n"/>
      <c r="V48">
        <f>IF($A48="","",IF($A48=$A47,$V47,IF($V47="",0,1-$V47)))</f>
        <v/>
      </c>
      <c r="W48">
        <f>IF($B48&lt;&gt;"",$B48,$A48)</f>
        <v/>
      </c>
      <c r="X48">
        <f>IF(COUNTA($A48:$U48)=0,"",IF(OR($B48&lt;&gt;"",$O48&lt;&gt;""),"Dependent","Employee"))</f>
        <v/>
      </c>
      <c r="Y48">
        <f>IF(COUNTA($A48:$U48)=0,"",IF($A48="","Employee SSN is required; ","")&amp;IF($C48="","First Name is required; ","")&amp;IF(LEN($C48&amp;"")&gt;19,"First Name exceeds 19 characters; ","")&amp;IF(AND($C48&lt;&gt;"",SUMPRODUCT(--(ROW($1:$19)&lt;=LEN($C48&amp;"")),--ISERROR(FIND(MID($C48&amp;"",ROW($1:$19),1),"ABCDEFGHIJKLMNOPQRSTUVWXYZabcdefghijklmnopqrstuvwxyz .,")))&gt;0),"First Name contains unsupported or encoded characters; use plain A-Z letters only; ","")&amp;IF($D48="","Last Name is required; ","")&amp;IF(LEN($D48&amp;"")&gt;26,"Last Name exceeds 26 characters; ","")&amp;IF(AND($D48&lt;&gt;"",SUMPRODUCT(--(ROW($1:$26)&lt;=LEN($D48&amp;"")),--ISERROR(FIND(MID($D48&amp;"",ROW($1:$26),1),"ABCDEFGHIJKLMNOPQRSTUVWXYZabcdefghijklmnopqrstuvwxyz .,")))&gt;0),"Last Name contains unsupported or encoded characters; use plain A-Z letters only; ","")&amp;IF(LEN($E48&amp;"")&gt;1,"Middle Initial may contain only one character; ","")&amp;IF(AND($E48&lt;&gt;"",SUMPRODUCT(--(ROW($1:$1)&lt;=LEN($E48&amp;"")),--ISERROR(FIND(MID($E48&amp;"",ROW($1:$1),1),"ABCDEFGHIJKLMNOPQRSTUVWXYZabcdefghijklmnopqrstuvwxyz .,")))&gt;0),"Middle Initial must be a plain A-Z letter; ","")&amp;IF($F48="","Address is required; ","")&amp;IF(LEN($F48&amp;"")&gt;75,"Address exceeds 75 characters; ","")&amp;IF(LEN($G48&amp;"")&gt;75,"Address 2 exceeds 75 characters; ","")&amp;IF($H48="","City is required; ","")&amp;IF(LEN($H48&amp;"")&gt;30,"City exceeds 30 characters; ","")&amp;IF($K48="","Country is required; ","")&amp;IF(AND($K48&lt;&gt;"",$K48&lt;&gt;"US",$K48&lt;&gt;"CA"),"Country must be US or CA; ","")&amp;IF(AND($K48="US",OR($I48="",LEN($I48&amp;"")&lt;&gt;2)),"Use a 2-letter state code; ","")&amp;IF($J48="","ZIP or postal code is required; ","")&amp;IF(AND($K48="US",$J48&lt;&gt;"",NOT(IFERROR(OR(AND(LEN($J48&amp;"")=5,ISNUMBER(--($J48&amp;""))),AND(LEN($J48&amp;"")=9,ISNUMBER(--($J48&amp;""))),AND(LEN($J48&amp;"")=10,MID($J48&amp;"",6,1)="-",ISNUMBER(--SUBSTITUTE($J48&amp;"","-","")))),FALSE))),"US ZIP must be 5 or 9 digits, with an optional ZIP+4 hyphen; ","")&amp;IF(AND($N48&lt;&gt;"",NOT(IFERROR(AND(ISNUMBER(SEARCH("@",$N48)),ISNUMBER(SEARCH(".",$N48,SEARCH("@",$N48)+2))),FALSE))),"Email format appears invalid; ","")&amp;IF(AND($O48&lt;&gt;"",$B48=""),"Dependent SSN is required for every dependent; ","")&amp;IF(AND($B48&lt;&gt;"",$O48=""),"Dependent Relationship is required when Dependent SSN is entered; ","")&amp;IF(AND($O48&lt;&gt;"",$O48&lt;&gt;"Spouse or Common Law Spouse",$O48&lt;&gt;"Domestic Partner",$O48&lt;&gt;"Child",$O48&lt;&gt;"Other",$O48&lt;&gt;"Estate",$O48&lt;&gt;"Unknown"),"Dependent Relationship must use one of the approved options; ",""))</f>
        <v/>
      </c>
      <c r="Z48">
        <f>IF(COUNTA($A48:$U48)=0,"",IF(AND($A48&lt;&gt;"",NOT(IFERROR(AND(LEN($A48&amp;"")=9,ISNUMBER(--($A48&amp;""))),FALSE))),"Employee SSN must contain exactly 9 digits; ","")&amp;IF(AND($A48&lt;&gt;"",OR($A48="123456789",$A48="987654321",$A48="012345678",$A48=REPT(LEFT($A48&amp;"",1),9))),"Employee SSN appears to be a placeholder; ","")&amp;IF(AND($B48&lt;&gt;"",NOT(IFERROR(AND(LEN($B48&amp;"")=9,ISNUMBER(--($B48&amp;""))),FALSE))),"Dependent SSN must contain exactly 9 digits; ","")&amp;IF(AND($B48&lt;&gt;"",OR($B48="123456789",$B48="987654321",$B48="012345678",$B48=REPT(LEFT($B48&amp;"",1),9))),"Dependent SSN appears to be a placeholder; ","")&amp;IF(AND($A48&lt;&gt;"",$B48&lt;&gt;"",$A48&amp;""=$B48&amp;""),"Dependent SSN cannot match Employee SSN; ","")&amp;IF(AND($W48&lt;&gt;"",OR(COUNTIFS($W$2:$W$501,$W48,$C$2:$C$501,"&lt;&gt;"&amp;$C48)&gt;0,COUNTIFS($W$2:$W$501,$W48,$D$2:$D$501,"&lt;&gt;"&amp;$D48)&gt;0,COUNTIFS($W$2:$W$501,$W48,$L$2:$L$501,"&lt;&gt;"&amp;$L48)&gt;0)),"The same SSN is associated with a different name or birthdate; ",""))</f>
        <v/>
      </c>
      <c r="AA48">
        <f>IF(COUNTA($A48:$U48)=0,"",IF(AND($A48&lt;&gt;"",$S48&lt;&gt;"",COUNTIFS($A$2:$A$501,$A48,$S$2:$S$501,$S48,$B$2:$B$501,"",$O$2:$O$501,"")=0),"Add an employee row for this household and plan; ","")&amp;IF(AND($X48="Dependent",COUNTIFS($A$2:$A48,$A48,$S$2:$S48,$S48,$B$2:$B48,"",$O$2:$O48,"")=0),"Place the employee row before dependent rows for this plan; ","")&amp;IF(AND($X48="Dependent",COUNTIFS($A$2:$A$501,$A48,$S$2:$S$501,$S48,$B$2:$B$501,"",$O$2:$O$501,"")&gt;0,IFERROR(OR($P48&lt;&gt;LOOKUP(2,1/(($A$2:$A$501=$A48)*($S$2:$S$501=$S48)*($B$2:$B$501="")*($O$2:$O$501="")),$P$2:$P$501),$Q48&lt;&gt;LOOKUP(2,1/(($A$2:$A$501=$A48)*($S$2:$S$501=$S48)*($B$2:$B$501="")*($O$2:$O$501="")),$Q$2:$Q$501),$R48&lt;&gt;LOOKUP(2,1/(($A$2:$A$501=$A48)*($S$2:$S$501=$S48)*($B$2:$B$501="")*($O$2:$O$501="")),$R$2:$R$501),$T48&lt;&gt;LOOKUP(2,1/(($A$2:$A$501=$A48)*($S$2:$S$501=$S48)*($B$2:$B$501="")*($O$2:$O$501="")),$T$2:$T$501),$U48&lt;&gt;LOOKUP(2,1/(($A$2:$A$501=$A48)*($S$2:$S$501=$S48)*($B$2:$B$501="")*($O$2:$O$501="")),$U$2:$U$501)),FALSE)),"Dependent row does not match the employee row for eligibility, status, coverage level, or funding; ",""))</f>
        <v/>
      </c>
      <c r="AB48">
        <f>IF(COUNTA($A48:$U48)=0,"",IF($L48="","Birthdate is required; ","")&amp;IF(AND($L48&lt;&gt;"",OR(NOT(ISNUMBER($L48)),$L48&lt;=DATE(1900,1,1),$L48&gt;TODAY())),"Birthdate must be an exact valid past date; ","")&amp;IF($P48="","Eligibility Date is required; ","")&amp;IF(AND($P48&lt;&gt;"",OR(NOT(ISNUMBER($P48)),$P48&lt;=DATE(1900,1,1))),"Eligibility Date must be a valid date; ","")&amp;IF(AND($R48="Terminated",$Q48=""),"Termination Date is required when Status is Terminated; ","")&amp;IF(AND($Q48&lt;&gt;"",OR(NOT(ISNUMBER($Q48)),$Q48&lt;=DATE(1900,1,1))),"Termination Date must be a valid date; ","")&amp;IF(AND(ISNUMBER($P48),ISNUMBER($Q48),$Q48&lt;$P48),"Termination Date cannot be before Eligibility Date; ","")&amp;IF($R48="","Status is required; ","")&amp;IF(AND($R48&lt;&gt;"",$R48&lt;&gt;"Active",$R48&lt;&gt;"Terminated"),"Status must be Active or Terminated; ","")&amp;IF(AND('START HERE'!$C$8="Terminations Only",$R48&lt;&gt;"Terminated"),"Terminations Only files must contain terminated records; ",""))</f>
        <v/>
      </c>
      <c r="AC48">
        <f>IF(COUNTA($A48:$U48)=0,"",IF($S48="","Plan Name is required; ","")&amp;IF($T48="","Benefit Coverage Level is required; ","")&amp;IF(AND($U48&lt;&gt;"",OR(NOT(ISNUMBER($U48)),$U48&lt;0)),"Plan Funding Amount must be a nonnegative number; ","")&amp;IF(AND($A48&lt;&gt;"",$S48&lt;&gt;"",COUNTIFS($A$2:$A$501,$A48,$B$2:$B$501,$B48,$S$2:$S$501,$S48)&gt;1),"Duplicate participant and plan row; ",""))</f>
        <v/>
      </c>
      <c r="AD48">
        <f>IF(COUNTA($A48:$U48)=0,"",IF(AND($X48="Employee",$M48="",$N48=""),"No employee phone or email provided; ","")&amp;IF(AND($R48="Active",$Q48&lt;&gt;""),"Active record includes a Termination Date; confirm this is intentional; ","")&amp;IF(AND($B48&lt;&gt;"",$B48&amp;""&lt;&gt;$A48&amp;"",COUNTIF($A$2:$A$501,$B48)&gt;0),"Dependent SSN also appears as an Employee SSN elsewhere; confirm dual-employee coverage is intentional; ","")&amp;IF(AND($B48&lt;&gt;"",COUNTIF($B$2:$B$501,$B48)&gt;COUNTIFS($A$2:$A$501,$A48,$B$2:$B$501,$B48)),"Dependent SSN appears under more than one employee; confirm duplicate family coverage is intentional; ","")&amp;IF(AND(ROW()&gt;2,$A48&lt;&gt;"",$A48&lt;&gt;$A47,COUNTIF($A$2:$A47,$A48)&gt;0),"This household appears in more than one section of the census; keep the family together; ","")&amp;IF(OR(AND($C48&lt;&gt;"",LEN($C48&amp;"")&lt;&gt;LEN(TRIM($C48&amp;""))),AND($D48&lt;&gt;"",LEN($D48&amp;"")&lt;&gt;LEN(TRIM($D48&amp;""))),AND($E48&lt;&gt;"",LEN($E48&amp;"")&lt;&gt;LEN(TRIM($E48&amp;""))),AND($F48&lt;&gt;"",LEN($F48&amp;"")&lt;&gt;LEN(TRIM($F48&amp;""))),AND($G48&lt;&gt;"",LEN($G48&amp;"")&lt;&gt;LEN(TRIM($G48&amp;""))),AND($H48&lt;&gt;"",LEN($H48&amp;"")&lt;&gt;LEN(TRIM($H48&amp;""))),AND($I48&lt;&gt;"",LEN($I48&amp;"")&lt;&gt;LEN(TRIM($I48&amp;""))),AND($J48&lt;&gt;"",LEN($J48&amp;"")&lt;&gt;LEN(TRIM($J48&amp;""))),AND($K48&lt;&gt;"",LEN($K48&amp;"")&lt;&gt;LEN(TRIM($K48&amp;""))),AND($M48&lt;&gt;"",LEN($M48&amp;"")&lt;&gt;LEN(TRIM($M48&amp;""))),AND($N48&lt;&gt;"",LEN($N48&amp;"")&lt;&gt;LEN(TRIM($N48&amp;""))),AND($O48&lt;&gt;"",LEN($O48&amp;"")&lt;&gt;LEN(TRIM($O48&amp;""))),AND($R48&lt;&gt;"",LEN($R48&amp;"")&lt;&gt;LEN(TRIM($R48&amp;""))),AND($S48&lt;&gt;"",LEN($S48&amp;"")&lt;&gt;LEN(TRIM($S48&amp;""))),AND($T48&lt;&gt;"",LEN($T48&amp;"")&lt;&gt;LEN(TRIM($T48&amp;"")))),"Remove leading or trailing spaces from text fields; ","")&amp;IF(OR(AND(LEN($C48)&gt;1,OR(EXACT($C48,UPPER($C48)),EXACT($C48,LOWER($C48)))),AND(LEN($D48)&gt;1,OR(EXACT($D48,UPPER($D48)),EXACT($D48,LOWER($D48)))),AND(LEN($H48)&gt;1,OR(EXACT($H48,UPPER($H48)),EXACT($H48,LOWER($H48))))),"Review capitalization in First Name, Last Name, or City; ","")&amp;IF(AND($N48&lt;&gt;"",NOT(EXACT($N48,LOWER($N48)))),"Email will be standardized to lowercase in the clean output; ","")&amp;IF(AND(OR('START HERE'!$C$8="Initial Enrollment",'START HERE'!$C$8="Open Enrollment"),$R48="Terminated"),"A terminated row is included in an initial or open enrollment file; confirm this is intentional; ",""))</f>
        <v/>
      </c>
      <c r="AE48">
        <f>IF(COUNTA($A48:$U48)=0,"",IF(OR($A48="",AND($A48&lt;&gt;"",NOT(IFERROR(AND(LEN($A48&amp;"")=9,ISNUMBER(--($A48&amp;""))),FALSE))),AND($A48&lt;&gt;"",OR($A48="123456789",$A48="987654321",$A48="012345678",$A48=REPT(LEFT($A48&amp;"",1),9)))),"Employee SSN, ","")&amp;IF(OR(AND($O48&lt;&gt;"",$B48=""),AND($B48&lt;&gt;"",OR(NOT(IFERROR(AND(LEN($B48&amp;"")=9,ISNUMBER(--($B48&amp;""))),FALSE)),$B48=$A48,$B48="123456789",$B48="987654321",$B48="012345678",$B48=REPT(LEFT($B48&amp;"",1),9)))),"Dependent SSN, ","")&amp;IF(OR($C48="",LEN($C48)&gt;19,AND($C48&lt;&gt;"",SUMPRODUCT(--(ROW($1:$19)&lt;=LEN($C48&amp;"")),--ISERROR(FIND(MID($C48&amp;"",ROW($1:$19),1),"ABCDEFGHIJKLMNOPQRSTUVWXYZabcdefghijklmnopqrstuvwxyz .,")))&gt;0)),"First Name, ","")&amp;IF(OR($D48="",LEN($D48)&gt;26,AND($D48&lt;&gt;"",SUMPRODUCT(--(ROW($1:$26)&lt;=LEN($D48&amp;"")),--ISERROR(FIND(MID($D48&amp;"",ROW($1:$26),1),"ABCDEFGHIJKLMNOPQRSTUVWXYZabcdefghijklmnopqrstuvwxyz .,")))&gt;0)),"Last Name, ","")&amp;IF(OR(LEN($E48)&gt;1,AND($E48&lt;&gt;"",SUMPRODUCT(--(ROW($1:$1)&lt;=LEN($E48&amp;"")),--ISERROR(FIND(MID($E48&amp;"",ROW($1:$1),1),"ABCDEFGHIJKLMNOPQRSTUVWXYZabcdefghijklmnopqrstuvwxyz .,")))&gt;0)),"Middle Initial, ","")&amp;IF(OR($F48="",LEN($F48)&gt;75),"Address, ","")&amp;IF(OR($H48="",LEN($H48)&gt;30),"City, ","")&amp;IF(AND($K48="US",OR($I48="",LEN($I48)&lt;&gt;2)),"State, ","")&amp;IF($J48="","ZIP, ","")&amp;IF(OR($K48="",AND($K48&lt;&gt;"US",$K48&lt;&gt;"CA")),"Country, ","")&amp;IF(OR($L48="",AND($L48&lt;&gt;"",OR(NOT(ISNUMBER($L48)),$L48&lt;=DATE(1900,1,1),$L48&gt;TODAY()))),"Birthdate, ","")&amp;IF(AND($N48&lt;&gt;"",NOT(IFERROR(AND(ISNUMBER(SEARCH("@",$N48)),ISNUMBER(SEARCH(".",$N48,SEARCH("@",$N48)+2))),FALSE))),"Email, ","")&amp;IF(OR(AND($B48&lt;&gt;"",$O48=""),AND($O48&lt;&gt;"",$O48&lt;&gt;"Spouse or Common Law Spouse",$O48&lt;&gt;"Domestic Partner",$O48&lt;&gt;"Child",$O48&lt;&gt;"Other",$O48&lt;&gt;"Estate",$O48&lt;&gt;"Unknown")),"Dependent Relationship, ","")&amp;IF($AA48&lt;&gt;"","Household, ","")&amp;IF(OR($P48="",AND($P48&lt;&gt;"",OR(NOT(ISNUMBER($P48)),$P48&lt;=DATE(1900,1,1)))),"Eligibility Date, ","")&amp;IF(OR(AND($R48="Terminated",$Q48=""),AND($Q48&lt;&gt;"",OR(NOT(ISNUMBER($Q48)),$Q48&lt;=DATE(1900,1,1))),AND(ISNUMBER($P48),ISNUMBER($Q48),$Q48&lt;$P48)),"Termination Date, ","")&amp;IF(OR($R48="",AND($R48&lt;&gt;"Active",$R48&lt;&gt;"Terminated"),AND('START HERE'!$C$8="Terminations Only",$R48&lt;&gt;"Terminated")),"Status, ","")&amp;IF($S48="","Plan Name, ","")&amp;IF($T48="","Coverage Level, ","")&amp;IF(AND($U48&lt;&gt;"",OR(NOT(ISNUMBER($U48)),$U48&lt;0)),"Funding, ","")&amp;IF(AND($A48&lt;&gt;"",$S48&lt;&gt;"",COUNTIFS($A$2:$A$501,$A48,$B$2:$B$501,$B48,$S$2:$S$501,$S48)&gt;1),"Duplicate Row, ",""))</f>
        <v/>
      </c>
      <c r="AF48">
        <f>IF(COUNTA($A48:$U48)=0,"",$Y48&amp;$Z48&amp;$AA48&amp;$AB48&amp;$AC48)</f>
        <v/>
      </c>
      <c r="AG48">
        <f>IF($N48="","",LOWER(TRIM($N48)))</f>
        <v/>
      </c>
      <c r="AH48">
        <f>IF($A48="","",COUNTIFS($A$2:$A$501,$A48,$AI$2:$AI$501,1))</f>
        <v/>
      </c>
      <c r="AI48">
        <f>IF(COUNTA($A48:$U48)=0,"",--($AF48&lt;&gt;""))</f>
        <v/>
      </c>
      <c r="AJ48">
        <f>IF(COUNTA($A48:$U48)=0,"",--($AD48&lt;&gt;""))</f>
        <v/>
      </c>
    </row>
    <row r="49" ht="20" customHeight="1">
      <c r="A49" s="80" t="n"/>
      <c r="B49" s="80" t="n"/>
      <c r="C49" s="81" t="n"/>
      <c r="D49" s="81" t="n"/>
      <c r="E49" s="80" t="n"/>
      <c r="F49" s="81" t="n"/>
      <c r="G49" s="81" t="n"/>
      <c r="H49" s="81" t="n"/>
      <c r="I49" s="80" t="n"/>
      <c r="J49" s="80" t="n"/>
      <c r="K49" s="80" t="n"/>
      <c r="L49" s="82" t="n"/>
      <c r="M49" s="80" t="n"/>
      <c r="N49" s="80" t="n"/>
      <c r="O49" s="80" t="n"/>
      <c r="P49" s="82" t="n"/>
      <c r="Q49" s="82" t="n"/>
      <c r="R49" s="80" t="n"/>
      <c r="S49" s="80" t="n"/>
      <c r="T49" s="80" t="n"/>
      <c r="U49" s="83" t="n"/>
      <c r="V49">
        <f>IF($A49="","",IF($A49=$A48,$V48,IF($V48="",0,1-$V48)))</f>
        <v/>
      </c>
      <c r="W49">
        <f>IF($B49&lt;&gt;"",$B49,$A49)</f>
        <v/>
      </c>
      <c r="X49">
        <f>IF(COUNTA($A49:$U49)=0,"",IF(OR($B49&lt;&gt;"",$O49&lt;&gt;""),"Dependent","Employee"))</f>
        <v/>
      </c>
      <c r="Y49">
        <f>IF(COUNTA($A49:$U49)=0,"",IF($A49="","Employee SSN is required; ","")&amp;IF($C49="","First Name is required; ","")&amp;IF(LEN($C49&amp;"")&gt;19,"First Name exceeds 19 characters; ","")&amp;IF(AND($C49&lt;&gt;"",SUMPRODUCT(--(ROW($1:$19)&lt;=LEN($C49&amp;"")),--ISERROR(FIND(MID($C49&amp;"",ROW($1:$19),1),"ABCDEFGHIJKLMNOPQRSTUVWXYZabcdefghijklmnopqrstuvwxyz .,")))&gt;0),"First Name contains unsupported or encoded characters; use plain A-Z letters only; ","")&amp;IF($D49="","Last Name is required; ","")&amp;IF(LEN($D49&amp;"")&gt;26,"Last Name exceeds 26 characters; ","")&amp;IF(AND($D49&lt;&gt;"",SUMPRODUCT(--(ROW($1:$26)&lt;=LEN($D49&amp;"")),--ISERROR(FIND(MID($D49&amp;"",ROW($1:$26),1),"ABCDEFGHIJKLMNOPQRSTUVWXYZabcdefghijklmnopqrstuvwxyz .,")))&gt;0),"Last Name contains unsupported or encoded characters; use plain A-Z letters only; ","")&amp;IF(LEN($E49&amp;"")&gt;1,"Middle Initial may contain only one character; ","")&amp;IF(AND($E49&lt;&gt;"",SUMPRODUCT(--(ROW($1:$1)&lt;=LEN($E49&amp;"")),--ISERROR(FIND(MID($E49&amp;"",ROW($1:$1),1),"ABCDEFGHIJKLMNOPQRSTUVWXYZabcdefghijklmnopqrstuvwxyz .,")))&gt;0),"Middle Initial must be a plain A-Z letter; ","")&amp;IF($F49="","Address is required; ","")&amp;IF(LEN($F49&amp;"")&gt;75,"Address exceeds 75 characters; ","")&amp;IF(LEN($G49&amp;"")&gt;75,"Address 2 exceeds 75 characters; ","")&amp;IF($H49="","City is required; ","")&amp;IF(LEN($H49&amp;"")&gt;30,"City exceeds 30 characters; ","")&amp;IF($K49="","Country is required; ","")&amp;IF(AND($K49&lt;&gt;"",$K49&lt;&gt;"US",$K49&lt;&gt;"CA"),"Country must be US or CA; ","")&amp;IF(AND($K49="US",OR($I49="",LEN($I49&amp;"")&lt;&gt;2)),"Use a 2-letter state code; ","")&amp;IF($J49="","ZIP or postal code is required; ","")&amp;IF(AND($K49="US",$J49&lt;&gt;"",NOT(IFERROR(OR(AND(LEN($J49&amp;"")=5,ISNUMBER(--($J49&amp;""))),AND(LEN($J49&amp;"")=9,ISNUMBER(--($J49&amp;""))),AND(LEN($J49&amp;"")=10,MID($J49&amp;"",6,1)="-",ISNUMBER(--SUBSTITUTE($J49&amp;"","-","")))),FALSE))),"US ZIP must be 5 or 9 digits, with an optional ZIP+4 hyphen; ","")&amp;IF(AND($N49&lt;&gt;"",NOT(IFERROR(AND(ISNUMBER(SEARCH("@",$N49)),ISNUMBER(SEARCH(".",$N49,SEARCH("@",$N49)+2))),FALSE))),"Email format appears invalid; ","")&amp;IF(AND($O49&lt;&gt;"",$B49=""),"Dependent SSN is required for every dependent; ","")&amp;IF(AND($B49&lt;&gt;"",$O49=""),"Dependent Relationship is required when Dependent SSN is entered; ","")&amp;IF(AND($O49&lt;&gt;"",$O49&lt;&gt;"Spouse or Common Law Spouse",$O49&lt;&gt;"Domestic Partner",$O49&lt;&gt;"Child",$O49&lt;&gt;"Other",$O49&lt;&gt;"Estate",$O49&lt;&gt;"Unknown"),"Dependent Relationship must use one of the approved options; ",""))</f>
        <v/>
      </c>
      <c r="Z49">
        <f>IF(COUNTA($A49:$U49)=0,"",IF(AND($A49&lt;&gt;"",NOT(IFERROR(AND(LEN($A49&amp;"")=9,ISNUMBER(--($A49&amp;""))),FALSE))),"Employee SSN must contain exactly 9 digits; ","")&amp;IF(AND($A49&lt;&gt;"",OR($A49="123456789",$A49="987654321",$A49="012345678",$A49=REPT(LEFT($A49&amp;"",1),9))),"Employee SSN appears to be a placeholder; ","")&amp;IF(AND($B49&lt;&gt;"",NOT(IFERROR(AND(LEN($B49&amp;"")=9,ISNUMBER(--($B49&amp;""))),FALSE))),"Dependent SSN must contain exactly 9 digits; ","")&amp;IF(AND($B49&lt;&gt;"",OR($B49="123456789",$B49="987654321",$B49="012345678",$B49=REPT(LEFT($B49&amp;"",1),9))),"Dependent SSN appears to be a placeholder; ","")&amp;IF(AND($A49&lt;&gt;"",$B49&lt;&gt;"",$A49&amp;""=$B49&amp;""),"Dependent SSN cannot match Employee SSN; ","")&amp;IF(AND($W49&lt;&gt;"",OR(COUNTIFS($W$2:$W$501,$W49,$C$2:$C$501,"&lt;&gt;"&amp;$C49)&gt;0,COUNTIFS($W$2:$W$501,$W49,$D$2:$D$501,"&lt;&gt;"&amp;$D49)&gt;0,COUNTIFS($W$2:$W$501,$W49,$L$2:$L$501,"&lt;&gt;"&amp;$L49)&gt;0)),"The same SSN is associated with a different name or birthdate; ",""))</f>
        <v/>
      </c>
      <c r="AA49">
        <f>IF(COUNTA($A49:$U49)=0,"",IF(AND($A49&lt;&gt;"",$S49&lt;&gt;"",COUNTIFS($A$2:$A$501,$A49,$S$2:$S$501,$S49,$B$2:$B$501,"",$O$2:$O$501,"")=0),"Add an employee row for this household and plan; ","")&amp;IF(AND($X49="Dependent",COUNTIFS($A$2:$A49,$A49,$S$2:$S49,$S49,$B$2:$B49,"",$O$2:$O49,"")=0),"Place the employee row before dependent rows for this plan; ","")&amp;IF(AND($X49="Dependent",COUNTIFS($A$2:$A$501,$A49,$S$2:$S$501,$S49,$B$2:$B$501,"",$O$2:$O$501,"")&gt;0,IFERROR(OR($P49&lt;&gt;LOOKUP(2,1/(($A$2:$A$501=$A49)*($S$2:$S$501=$S49)*($B$2:$B$501="")*($O$2:$O$501="")),$P$2:$P$501),$Q49&lt;&gt;LOOKUP(2,1/(($A$2:$A$501=$A49)*($S$2:$S$501=$S49)*($B$2:$B$501="")*($O$2:$O$501="")),$Q$2:$Q$501),$R49&lt;&gt;LOOKUP(2,1/(($A$2:$A$501=$A49)*($S$2:$S$501=$S49)*($B$2:$B$501="")*($O$2:$O$501="")),$R$2:$R$501),$T49&lt;&gt;LOOKUP(2,1/(($A$2:$A$501=$A49)*($S$2:$S$501=$S49)*($B$2:$B$501="")*($O$2:$O$501="")),$T$2:$T$501),$U49&lt;&gt;LOOKUP(2,1/(($A$2:$A$501=$A49)*($S$2:$S$501=$S49)*($B$2:$B$501="")*($O$2:$O$501="")),$U$2:$U$501)),FALSE)),"Dependent row does not match the employee row for eligibility, status, coverage level, or funding; ",""))</f>
        <v/>
      </c>
      <c r="AB49">
        <f>IF(COUNTA($A49:$U49)=0,"",IF($L49="","Birthdate is required; ","")&amp;IF(AND($L49&lt;&gt;"",OR(NOT(ISNUMBER($L49)),$L49&lt;=DATE(1900,1,1),$L49&gt;TODAY())),"Birthdate must be an exact valid past date; ","")&amp;IF($P49="","Eligibility Date is required; ","")&amp;IF(AND($P49&lt;&gt;"",OR(NOT(ISNUMBER($P49)),$P49&lt;=DATE(1900,1,1))),"Eligibility Date must be a valid date; ","")&amp;IF(AND($R49="Terminated",$Q49=""),"Termination Date is required when Status is Terminated; ","")&amp;IF(AND($Q49&lt;&gt;"",OR(NOT(ISNUMBER($Q49)),$Q49&lt;=DATE(1900,1,1))),"Termination Date must be a valid date; ","")&amp;IF(AND(ISNUMBER($P49),ISNUMBER($Q49),$Q49&lt;$P49),"Termination Date cannot be before Eligibility Date; ","")&amp;IF($R49="","Status is required; ","")&amp;IF(AND($R49&lt;&gt;"",$R49&lt;&gt;"Active",$R49&lt;&gt;"Terminated"),"Status must be Active or Terminated; ","")&amp;IF(AND('START HERE'!$C$8="Terminations Only",$R49&lt;&gt;"Terminated"),"Terminations Only files must contain terminated records; ",""))</f>
        <v/>
      </c>
      <c r="AC49">
        <f>IF(COUNTA($A49:$U49)=0,"",IF($S49="","Plan Name is required; ","")&amp;IF($T49="","Benefit Coverage Level is required; ","")&amp;IF(AND($U49&lt;&gt;"",OR(NOT(ISNUMBER($U49)),$U49&lt;0)),"Plan Funding Amount must be a nonnegative number; ","")&amp;IF(AND($A49&lt;&gt;"",$S49&lt;&gt;"",COUNTIFS($A$2:$A$501,$A49,$B$2:$B$501,$B49,$S$2:$S$501,$S49)&gt;1),"Duplicate participant and plan row; ",""))</f>
        <v/>
      </c>
      <c r="AD49">
        <f>IF(COUNTA($A49:$U49)=0,"",IF(AND($X49="Employee",$M49="",$N49=""),"No employee phone or email provided; ","")&amp;IF(AND($R49="Active",$Q49&lt;&gt;""),"Active record includes a Termination Date; confirm this is intentional; ","")&amp;IF(AND($B49&lt;&gt;"",$B49&amp;""&lt;&gt;$A49&amp;"",COUNTIF($A$2:$A$501,$B49)&gt;0),"Dependent SSN also appears as an Employee SSN elsewhere; confirm dual-employee coverage is intentional; ","")&amp;IF(AND($B49&lt;&gt;"",COUNTIF($B$2:$B$501,$B49)&gt;COUNTIFS($A$2:$A$501,$A49,$B$2:$B$501,$B49)),"Dependent SSN appears under more than one employee; confirm duplicate family coverage is intentional; ","")&amp;IF(AND(ROW()&gt;2,$A49&lt;&gt;"",$A49&lt;&gt;$A48,COUNTIF($A$2:$A48,$A49)&gt;0),"This household appears in more than one section of the census; keep the family together; ","")&amp;IF(OR(AND($C49&lt;&gt;"",LEN($C49&amp;"")&lt;&gt;LEN(TRIM($C49&amp;""))),AND($D49&lt;&gt;"",LEN($D49&amp;"")&lt;&gt;LEN(TRIM($D49&amp;""))),AND($E49&lt;&gt;"",LEN($E49&amp;"")&lt;&gt;LEN(TRIM($E49&amp;""))),AND($F49&lt;&gt;"",LEN($F49&amp;"")&lt;&gt;LEN(TRIM($F49&amp;""))),AND($G49&lt;&gt;"",LEN($G49&amp;"")&lt;&gt;LEN(TRIM($G49&amp;""))),AND($H49&lt;&gt;"",LEN($H49&amp;"")&lt;&gt;LEN(TRIM($H49&amp;""))),AND($I49&lt;&gt;"",LEN($I49&amp;"")&lt;&gt;LEN(TRIM($I49&amp;""))),AND($J49&lt;&gt;"",LEN($J49&amp;"")&lt;&gt;LEN(TRIM($J49&amp;""))),AND($K49&lt;&gt;"",LEN($K49&amp;"")&lt;&gt;LEN(TRIM($K49&amp;""))),AND($M49&lt;&gt;"",LEN($M49&amp;"")&lt;&gt;LEN(TRIM($M49&amp;""))),AND($N49&lt;&gt;"",LEN($N49&amp;"")&lt;&gt;LEN(TRIM($N49&amp;""))),AND($O49&lt;&gt;"",LEN($O49&amp;"")&lt;&gt;LEN(TRIM($O49&amp;""))),AND($R49&lt;&gt;"",LEN($R49&amp;"")&lt;&gt;LEN(TRIM($R49&amp;""))),AND($S49&lt;&gt;"",LEN($S49&amp;"")&lt;&gt;LEN(TRIM($S49&amp;""))),AND($T49&lt;&gt;"",LEN($T49&amp;"")&lt;&gt;LEN(TRIM($T49&amp;"")))),"Remove leading or trailing spaces from text fields; ","")&amp;IF(OR(AND(LEN($C49)&gt;1,OR(EXACT($C49,UPPER($C49)),EXACT($C49,LOWER($C49)))),AND(LEN($D49)&gt;1,OR(EXACT($D49,UPPER($D49)),EXACT($D49,LOWER($D49)))),AND(LEN($H49)&gt;1,OR(EXACT($H49,UPPER($H49)),EXACT($H49,LOWER($H49))))),"Review capitalization in First Name, Last Name, or City; ","")&amp;IF(AND($N49&lt;&gt;"",NOT(EXACT($N49,LOWER($N49)))),"Email will be standardized to lowercase in the clean output; ","")&amp;IF(AND(OR('START HERE'!$C$8="Initial Enrollment",'START HERE'!$C$8="Open Enrollment"),$R49="Terminated"),"A terminated row is included in an initial or open enrollment file; confirm this is intentional; ",""))</f>
        <v/>
      </c>
      <c r="AE49">
        <f>IF(COUNTA($A49:$U49)=0,"",IF(OR($A49="",AND($A49&lt;&gt;"",NOT(IFERROR(AND(LEN($A49&amp;"")=9,ISNUMBER(--($A49&amp;""))),FALSE))),AND($A49&lt;&gt;"",OR($A49="123456789",$A49="987654321",$A49="012345678",$A49=REPT(LEFT($A49&amp;"",1),9)))),"Employee SSN, ","")&amp;IF(OR(AND($O49&lt;&gt;"",$B49=""),AND($B49&lt;&gt;"",OR(NOT(IFERROR(AND(LEN($B49&amp;"")=9,ISNUMBER(--($B49&amp;""))),FALSE)),$B49=$A49,$B49="123456789",$B49="987654321",$B49="012345678",$B49=REPT(LEFT($B49&amp;"",1),9)))),"Dependent SSN, ","")&amp;IF(OR($C49="",LEN($C49)&gt;19,AND($C49&lt;&gt;"",SUMPRODUCT(--(ROW($1:$19)&lt;=LEN($C49&amp;"")),--ISERROR(FIND(MID($C49&amp;"",ROW($1:$19),1),"ABCDEFGHIJKLMNOPQRSTUVWXYZabcdefghijklmnopqrstuvwxyz .,")))&gt;0)),"First Name, ","")&amp;IF(OR($D49="",LEN($D49)&gt;26,AND($D49&lt;&gt;"",SUMPRODUCT(--(ROW($1:$26)&lt;=LEN($D49&amp;"")),--ISERROR(FIND(MID($D49&amp;"",ROW($1:$26),1),"ABCDEFGHIJKLMNOPQRSTUVWXYZabcdefghijklmnopqrstuvwxyz .,")))&gt;0)),"Last Name, ","")&amp;IF(OR(LEN($E49)&gt;1,AND($E49&lt;&gt;"",SUMPRODUCT(--(ROW($1:$1)&lt;=LEN($E49&amp;"")),--ISERROR(FIND(MID($E49&amp;"",ROW($1:$1),1),"ABCDEFGHIJKLMNOPQRSTUVWXYZabcdefghijklmnopqrstuvwxyz .,")))&gt;0)),"Middle Initial, ","")&amp;IF(OR($F49="",LEN($F49)&gt;75),"Address, ","")&amp;IF(OR($H49="",LEN($H49)&gt;30),"City, ","")&amp;IF(AND($K49="US",OR($I49="",LEN($I49)&lt;&gt;2)),"State, ","")&amp;IF($J49="","ZIP, ","")&amp;IF(OR($K49="",AND($K49&lt;&gt;"US",$K49&lt;&gt;"CA")),"Country, ","")&amp;IF(OR($L49="",AND($L49&lt;&gt;"",OR(NOT(ISNUMBER($L49)),$L49&lt;=DATE(1900,1,1),$L49&gt;TODAY()))),"Birthdate, ","")&amp;IF(AND($N49&lt;&gt;"",NOT(IFERROR(AND(ISNUMBER(SEARCH("@",$N49)),ISNUMBER(SEARCH(".",$N49,SEARCH("@",$N49)+2))),FALSE))),"Email, ","")&amp;IF(OR(AND($B49&lt;&gt;"",$O49=""),AND($O49&lt;&gt;"",$O49&lt;&gt;"Spouse or Common Law Spouse",$O49&lt;&gt;"Domestic Partner",$O49&lt;&gt;"Child",$O49&lt;&gt;"Other",$O49&lt;&gt;"Estate",$O49&lt;&gt;"Unknown")),"Dependent Relationship, ","")&amp;IF($AA49&lt;&gt;"","Household, ","")&amp;IF(OR($P49="",AND($P49&lt;&gt;"",OR(NOT(ISNUMBER($P49)),$P49&lt;=DATE(1900,1,1)))),"Eligibility Date, ","")&amp;IF(OR(AND($R49="Terminated",$Q49=""),AND($Q49&lt;&gt;"",OR(NOT(ISNUMBER($Q49)),$Q49&lt;=DATE(1900,1,1))),AND(ISNUMBER($P49),ISNUMBER($Q49),$Q49&lt;$P49)),"Termination Date, ","")&amp;IF(OR($R49="",AND($R49&lt;&gt;"Active",$R49&lt;&gt;"Terminated"),AND('START HERE'!$C$8="Terminations Only",$R49&lt;&gt;"Terminated")),"Status, ","")&amp;IF($S49="","Plan Name, ","")&amp;IF($T49="","Coverage Level, ","")&amp;IF(AND($U49&lt;&gt;"",OR(NOT(ISNUMBER($U49)),$U49&lt;0)),"Funding, ","")&amp;IF(AND($A49&lt;&gt;"",$S49&lt;&gt;"",COUNTIFS($A$2:$A$501,$A49,$B$2:$B$501,$B49,$S$2:$S$501,$S49)&gt;1),"Duplicate Row, ",""))</f>
        <v/>
      </c>
      <c r="AF49">
        <f>IF(COUNTA($A49:$U49)=0,"",$Y49&amp;$Z49&amp;$AA49&amp;$AB49&amp;$AC49)</f>
        <v/>
      </c>
      <c r="AG49">
        <f>IF($N49="","",LOWER(TRIM($N49)))</f>
        <v/>
      </c>
      <c r="AH49">
        <f>IF($A49="","",COUNTIFS($A$2:$A$501,$A49,$AI$2:$AI$501,1))</f>
        <v/>
      </c>
      <c r="AI49">
        <f>IF(COUNTA($A49:$U49)=0,"",--($AF49&lt;&gt;""))</f>
        <v/>
      </c>
      <c r="AJ49">
        <f>IF(COUNTA($A49:$U49)=0,"",--($AD49&lt;&gt;""))</f>
        <v/>
      </c>
    </row>
    <row r="50" ht="20" customHeight="1">
      <c r="A50" s="80" t="n"/>
      <c r="B50" s="80" t="n"/>
      <c r="C50" s="81" t="n"/>
      <c r="D50" s="81" t="n"/>
      <c r="E50" s="80" t="n"/>
      <c r="F50" s="81" t="n"/>
      <c r="G50" s="81" t="n"/>
      <c r="H50" s="81" t="n"/>
      <c r="I50" s="80" t="n"/>
      <c r="J50" s="80" t="n"/>
      <c r="K50" s="80" t="n"/>
      <c r="L50" s="82" t="n"/>
      <c r="M50" s="80" t="n"/>
      <c r="N50" s="80" t="n"/>
      <c r="O50" s="80" t="n"/>
      <c r="P50" s="82" t="n"/>
      <c r="Q50" s="82" t="n"/>
      <c r="R50" s="80" t="n"/>
      <c r="S50" s="80" t="n"/>
      <c r="T50" s="80" t="n"/>
      <c r="U50" s="83" t="n"/>
      <c r="V50">
        <f>IF($A50="","",IF($A50=$A49,$V49,IF($V49="",0,1-$V49)))</f>
        <v/>
      </c>
      <c r="W50">
        <f>IF($B50&lt;&gt;"",$B50,$A50)</f>
        <v/>
      </c>
      <c r="X50">
        <f>IF(COUNTA($A50:$U50)=0,"",IF(OR($B50&lt;&gt;"",$O50&lt;&gt;""),"Dependent","Employee"))</f>
        <v/>
      </c>
      <c r="Y50">
        <f>IF(COUNTA($A50:$U50)=0,"",IF($A50="","Employee SSN is required; ","")&amp;IF($C50="","First Name is required; ","")&amp;IF(LEN($C50&amp;"")&gt;19,"First Name exceeds 19 characters; ","")&amp;IF(AND($C50&lt;&gt;"",SUMPRODUCT(--(ROW($1:$19)&lt;=LEN($C50&amp;"")),--ISERROR(FIND(MID($C50&amp;"",ROW($1:$19),1),"ABCDEFGHIJKLMNOPQRSTUVWXYZabcdefghijklmnopqrstuvwxyz .,")))&gt;0),"First Name contains unsupported or encoded characters; use plain A-Z letters only; ","")&amp;IF($D50="","Last Name is required; ","")&amp;IF(LEN($D50&amp;"")&gt;26,"Last Name exceeds 26 characters; ","")&amp;IF(AND($D50&lt;&gt;"",SUMPRODUCT(--(ROW($1:$26)&lt;=LEN($D50&amp;"")),--ISERROR(FIND(MID($D50&amp;"",ROW($1:$26),1),"ABCDEFGHIJKLMNOPQRSTUVWXYZabcdefghijklmnopqrstuvwxyz .,")))&gt;0),"Last Name contains unsupported or encoded characters; use plain A-Z letters only; ","")&amp;IF(LEN($E50&amp;"")&gt;1,"Middle Initial may contain only one character; ","")&amp;IF(AND($E50&lt;&gt;"",SUMPRODUCT(--(ROW($1:$1)&lt;=LEN($E50&amp;"")),--ISERROR(FIND(MID($E50&amp;"",ROW($1:$1),1),"ABCDEFGHIJKLMNOPQRSTUVWXYZabcdefghijklmnopqrstuvwxyz .,")))&gt;0),"Middle Initial must be a plain A-Z letter; ","")&amp;IF($F50="","Address is required; ","")&amp;IF(LEN($F50&amp;"")&gt;75,"Address exceeds 75 characters; ","")&amp;IF(LEN($G50&amp;"")&gt;75,"Address 2 exceeds 75 characters; ","")&amp;IF($H50="","City is required; ","")&amp;IF(LEN($H50&amp;"")&gt;30,"City exceeds 30 characters; ","")&amp;IF($K50="","Country is required; ","")&amp;IF(AND($K50&lt;&gt;"",$K50&lt;&gt;"US",$K50&lt;&gt;"CA"),"Country must be US or CA; ","")&amp;IF(AND($K50="US",OR($I50="",LEN($I50&amp;"")&lt;&gt;2)),"Use a 2-letter state code; ","")&amp;IF($J50="","ZIP or postal code is required; ","")&amp;IF(AND($K50="US",$J50&lt;&gt;"",NOT(IFERROR(OR(AND(LEN($J50&amp;"")=5,ISNUMBER(--($J50&amp;""))),AND(LEN($J50&amp;"")=9,ISNUMBER(--($J50&amp;""))),AND(LEN($J50&amp;"")=10,MID($J50&amp;"",6,1)="-",ISNUMBER(--SUBSTITUTE($J50&amp;"","-","")))),FALSE))),"US ZIP must be 5 or 9 digits, with an optional ZIP+4 hyphen; ","")&amp;IF(AND($N50&lt;&gt;"",NOT(IFERROR(AND(ISNUMBER(SEARCH("@",$N50)),ISNUMBER(SEARCH(".",$N50,SEARCH("@",$N50)+2))),FALSE))),"Email format appears invalid; ","")&amp;IF(AND($O50&lt;&gt;"",$B50=""),"Dependent SSN is required for every dependent; ","")&amp;IF(AND($B50&lt;&gt;"",$O50=""),"Dependent Relationship is required when Dependent SSN is entered; ","")&amp;IF(AND($O50&lt;&gt;"",$O50&lt;&gt;"Spouse or Common Law Spouse",$O50&lt;&gt;"Domestic Partner",$O50&lt;&gt;"Child",$O50&lt;&gt;"Other",$O50&lt;&gt;"Estate",$O50&lt;&gt;"Unknown"),"Dependent Relationship must use one of the approved options; ",""))</f>
        <v/>
      </c>
      <c r="Z50">
        <f>IF(COUNTA($A50:$U50)=0,"",IF(AND($A50&lt;&gt;"",NOT(IFERROR(AND(LEN($A50&amp;"")=9,ISNUMBER(--($A50&amp;""))),FALSE))),"Employee SSN must contain exactly 9 digits; ","")&amp;IF(AND($A50&lt;&gt;"",OR($A50="123456789",$A50="987654321",$A50="012345678",$A50=REPT(LEFT($A50&amp;"",1),9))),"Employee SSN appears to be a placeholder; ","")&amp;IF(AND($B50&lt;&gt;"",NOT(IFERROR(AND(LEN($B50&amp;"")=9,ISNUMBER(--($B50&amp;""))),FALSE))),"Dependent SSN must contain exactly 9 digits; ","")&amp;IF(AND($B50&lt;&gt;"",OR($B50="123456789",$B50="987654321",$B50="012345678",$B50=REPT(LEFT($B50&amp;"",1),9))),"Dependent SSN appears to be a placeholder; ","")&amp;IF(AND($A50&lt;&gt;"",$B50&lt;&gt;"",$A50&amp;""=$B50&amp;""),"Dependent SSN cannot match Employee SSN; ","")&amp;IF(AND($W50&lt;&gt;"",OR(COUNTIFS($W$2:$W$501,$W50,$C$2:$C$501,"&lt;&gt;"&amp;$C50)&gt;0,COUNTIFS($W$2:$W$501,$W50,$D$2:$D$501,"&lt;&gt;"&amp;$D50)&gt;0,COUNTIFS($W$2:$W$501,$W50,$L$2:$L$501,"&lt;&gt;"&amp;$L50)&gt;0)),"The same SSN is associated with a different name or birthdate; ",""))</f>
        <v/>
      </c>
      <c r="AA50">
        <f>IF(COUNTA($A50:$U50)=0,"",IF(AND($A50&lt;&gt;"",$S50&lt;&gt;"",COUNTIFS($A$2:$A$501,$A50,$S$2:$S$501,$S50,$B$2:$B$501,"",$O$2:$O$501,"")=0),"Add an employee row for this household and plan; ","")&amp;IF(AND($X50="Dependent",COUNTIFS($A$2:$A50,$A50,$S$2:$S50,$S50,$B$2:$B50,"",$O$2:$O50,"")=0),"Place the employee row before dependent rows for this plan; ","")&amp;IF(AND($X50="Dependent",COUNTIFS($A$2:$A$501,$A50,$S$2:$S$501,$S50,$B$2:$B$501,"",$O$2:$O$501,"")&gt;0,IFERROR(OR($P50&lt;&gt;LOOKUP(2,1/(($A$2:$A$501=$A50)*($S$2:$S$501=$S50)*($B$2:$B$501="")*($O$2:$O$501="")),$P$2:$P$501),$Q50&lt;&gt;LOOKUP(2,1/(($A$2:$A$501=$A50)*($S$2:$S$501=$S50)*($B$2:$B$501="")*($O$2:$O$501="")),$Q$2:$Q$501),$R50&lt;&gt;LOOKUP(2,1/(($A$2:$A$501=$A50)*($S$2:$S$501=$S50)*($B$2:$B$501="")*($O$2:$O$501="")),$R$2:$R$501),$T50&lt;&gt;LOOKUP(2,1/(($A$2:$A$501=$A50)*($S$2:$S$501=$S50)*($B$2:$B$501="")*($O$2:$O$501="")),$T$2:$T$501),$U50&lt;&gt;LOOKUP(2,1/(($A$2:$A$501=$A50)*($S$2:$S$501=$S50)*($B$2:$B$501="")*($O$2:$O$501="")),$U$2:$U$501)),FALSE)),"Dependent row does not match the employee row for eligibility, status, coverage level, or funding; ",""))</f>
        <v/>
      </c>
      <c r="AB50">
        <f>IF(COUNTA($A50:$U50)=0,"",IF($L50="","Birthdate is required; ","")&amp;IF(AND($L50&lt;&gt;"",OR(NOT(ISNUMBER($L50)),$L50&lt;=DATE(1900,1,1),$L50&gt;TODAY())),"Birthdate must be an exact valid past date; ","")&amp;IF($P50="","Eligibility Date is required; ","")&amp;IF(AND($P50&lt;&gt;"",OR(NOT(ISNUMBER($P50)),$P50&lt;=DATE(1900,1,1))),"Eligibility Date must be a valid date; ","")&amp;IF(AND($R50="Terminated",$Q50=""),"Termination Date is required when Status is Terminated; ","")&amp;IF(AND($Q50&lt;&gt;"",OR(NOT(ISNUMBER($Q50)),$Q50&lt;=DATE(1900,1,1))),"Termination Date must be a valid date; ","")&amp;IF(AND(ISNUMBER($P50),ISNUMBER($Q50),$Q50&lt;$P50),"Termination Date cannot be before Eligibility Date; ","")&amp;IF($R50="","Status is required; ","")&amp;IF(AND($R50&lt;&gt;"",$R50&lt;&gt;"Active",$R50&lt;&gt;"Terminated"),"Status must be Active or Terminated; ","")&amp;IF(AND('START HERE'!$C$8="Terminations Only",$R50&lt;&gt;"Terminated"),"Terminations Only files must contain terminated records; ",""))</f>
        <v/>
      </c>
      <c r="AC50">
        <f>IF(COUNTA($A50:$U50)=0,"",IF($S50="","Plan Name is required; ","")&amp;IF($T50="","Benefit Coverage Level is required; ","")&amp;IF(AND($U50&lt;&gt;"",OR(NOT(ISNUMBER($U50)),$U50&lt;0)),"Plan Funding Amount must be a nonnegative number; ","")&amp;IF(AND($A50&lt;&gt;"",$S50&lt;&gt;"",COUNTIFS($A$2:$A$501,$A50,$B$2:$B$501,$B50,$S$2:$S$501,$S50)&gt;1),"Duplicate participant and plan row; ",""))</f>
        <v/>
      </c>
      <c r="AD50">
        <f>IF(COUNTA($A50:$U50)=0,"",IF(AND($X50="Employee",$M50="",$N50=""),"No employee phone or email provided; ","")&amp;IF(AND($R50="Active",$Q50&lt;&gt;""),"Active record includes a Termination Date; confirm this is intentional; ","")&amp;IF(AND($B50&lt;&gt;"",$B50&amp;""&lt;&gt;$A50&amp;"",COUNTIF($A$2:$A$501,$B50)&gt;0),"Dependent SSN also appears as an Employee SSN elsewhere; confirm dual-employee coverage is intentional; ","")&amp;IF(AND($B50&lt;&gt;"",COUNTIF($B$2:$B$501,$B50)&gt;COUNTIFS($A$2:$A$501,$A50,$B$2:$B$501,$B50)),"Dependent SSN appears under more than one employee; confirm duplicate family coverage is intentional; ","")&amp;IF(AND(ROW()&gt;2,$A50&lt;&gt;"",$A50&lt;&gt;$A49,COUNTIF($A$2:$A49,$A50)&gt;0),"This household appears in more than one section of the census; keep the family together; ","")&amp;IF(OR(AND($C50&lt;&gt;"",LEN($C50&amp;"")&lt;&gt;LEN(TRIM($C50&amp;""))),AND($D50&lt;&gt;"",LEN($D50&amp;"")&lt;&gt;LEN(TRIM($D50&amp;""))),AND($E50&lt;&gt;"",LEN($E50&amp;"")&lt;&gt;LEN(TRIM($E50&amp;""))),AND($F50&lt;&gt;"",LEN($F50&amp;"")&lt;&gt;LEN(TRIM($F50&amp;""))),AND($G50&lt;&gt;"",LEN($G50&amp;"")&lt;&gt;LEN(TRIM($G50&amp;""))),AND($H50&lt;&gt;"",LEN($H50&amp;"")&lt;&gt;LEN(TRIM($H50&amp;""))),AND($I50&lt;&gt;"",LEN($I50&amp;"")&lt;&gt;LEN(TRIM($I50&amp;""))),AND($J50&lt;&gt;"",LEN($J50&amp;"")&lt;&gt;LEN(TRIM($J50&amp;""))),AND($K50&lt;&gt;"",LEN($K50&amp;"")&lt;&gt;LEN(TRIM($K50&amp;""))),AND($M50&lt;&gt;"",LEN($M50&amp;"")&lt;&gt;LEN(TRIM($M50&amp;""))),AND($N50&lt;&gt;"",LEN($N50&amp;"")&lt;&gt;LEN(TRIM($N50&amp;""))),AND($O50&lt;&gt;"",LEN($O50&amp;"")&lt;&gt;LEN(TRIM($O50&amp;""))),AND($R50&lt;&gt;"",LEN($R50&amp;"")&lt;&gt;LEN(TRIM($R50&amp;""))),AND($S50&lt;&gt;"",LEN($S50&amp;"")&lt;&gt;LEN(TRIM($S50&amp;""))),AND($T50&lt;&gt;"",LEN($T50&amp;"")&lt;&gt;LEN(TRIM($T50&amp;"")))),"Remove leading or trailing spaces from text fields; ","")&amp;IF(OR(AND(LEN($C50)&gt;1,OR(EXACT($C50,UPPER($C50)),EXACT($C50,LOWER($C50)))),AND(LEN($D50)&gt;1,OR(EXACT($D50,UPPER($D50)),EXACT($D50,LOWER($D50)))),AND(LEN($H50)&gt;1,OR(EXACT($H50,UPPER($H50)),EXACT($H50,LOWER($H50))))),"Review capitalization in First Name, Last Name, or City; ","")&amp;IF(AND($N50&lt;&gt;"",NOT(EXACT($N50,LOWER($N50)))),"Email will be standardized to lowercase in the clean output; ","")&amp;IF(AND(OR('START HERE'!$C$8="Initial Enrollment",'START HERE'!$C$8="Open Enrollment"),$R50="Terminated"),"A terminated row is included in an initial or open enrollment file; confirm this is intentional; ",""))</f>
        <v/>
      </c>
      <c r="AE50">
        <f>IF(COUNTA($A50:$U50)=0,"",IF(OR($A50="",AND($A50&lt;&gt;"",NOT(IFERROR(AND(LEN($A50&amp;"")=9,ISNUMBER(--($A50&amp;""))),FALSE))),AND($A50&lt;&gt;"",OR($A50="123456789",$A50="987654321",$A50="012345678",$A50=REPT(LEFT($A50&amp;"",1),9)))),"Employee SSN, ","")&amp;IF(OR(AND($O50&lt;&gt;"",$B50=""),AND($B50&lt;&gt;"",OR(NOT(IFERROR(AND(LEN($B50&amp;"")=9,ISNUMBER(--($B50&amp;""))),FALSE)),$B50=$A50,$B50="123456789",$B50="987654321",$B50="012345678",$B50=REPT(LEFT($B50&amp;"",1),9)))),"Dependent SSN, ","")&amp;IF(OR($C50="",LEN($C50)&gt;19,AND($C50&lt;&gt;"",SUMPRODUCT(--(ROW($1:$19)&lt;=LEN($C50&amp;"")),--ISERROR(FIND(MID($C50&amp;"",ROW($1:$19),1),"ABCDEFGHIJKLMNOPQRSTUVWXYZabcdefghijklmnopqrstuvwxyz .,")))&gt;0)),"First Name, ","")&amp;IF(OR($D50="",LEN($D50)&gt;26,AND($D50&lt;&gt;"",SUMPRODUCT(--(ROW($1:$26)&lt;=LEN($D50&amp;"")),--ISERROR(FIND(MID($D50&amp;"",ROW($1:$26),1),"ABCDEFGHIJKLMNOPQRSTUVWXYZabcdefghijklmnopqrstuvwxyz .,")))&gt;0)),"Last Name, ","")&amp;IF(OR(LEN($E50)&gt;1,AND($E50&lt;&gt;"",SUMPRODUCT(--(ROW($1:$1)&lt;=LEN($E50&amp;"")),--ISERROR(FIND(MID($E50&amp;"",ROW($1:$1),1),"ABCDEFGHIJKLMNOPQRSTUVWXYZabcdefghijklmnopqrstuvwxyz .,")))&gt;0)),"Middle Initial, ","")&amp;IF(OR($F50="",LEN($F50)&gt;75),"Address, ","")&amp;IF(OR($H50="",LEN($H50)&gt;30),"City, ","")&amp;IF(AND($K50="US",OR($I50="",LEN($I50)&lt;&gt;2)),"State, ","")&amp;IF($J50="","ZIP, ","")&amp;IF(OR($K50="",AND($K50&lt;&gt;"US",$K50&lt;&gt;"CA")),"Country, ","")&amp;IF(OR($L50="",AND($L50&lt;&gt;"",OR(NOT(ISNUMBER($L50)),$L50&lt;=DATE(1900,1,1),$L50&gt;TODAY()))),"Birthdate, ","")&amp;IF(AND($N50&lt;&gt;"",NOT(IFERROR(AND(ISNUMBER(SEARCH("@",$N50)),ISNUMBER(SEARCH(".",$N50,SEARCH("@",$N50)+2))),FALSE))),"Email, ","")&amp;IF(OR(AND($B50&lt;&gt;"",$O50=""),AND($O50&lt;&gt;"",$O50&lt;&gt;"Spouse or Common Law Spouse",$O50&lt;&gt;"Domestic Partner",$O50&lt;&gt;"Child",$O50&lt;&gt;"Other",$O50&lt;&gt;"Estate",$O50&lt;&gt;"Unknown")),"Dependent Relationship, ","")&amp;IF($AA50&lt;&gt;"","Household, ","")&amp;IF(OR($P50="",AND($P50&lt;&gt;"",OR(NOT(ISNUMBER($P50)),$P50&lt;=DATE(1900,1,1)))),"Eligibility Date, ","")&amp;IF(OR(AND($R50="Terminated",$Q50=""),AND($Q50&lt;&gt;"",OR(NOT(ISNUMBER($Q50)),$Q50&lt;=DATE(1900,1,1))),AND(ISNUMBER($P50),ISNUMBER($Q50),$Q50&lt;$P50)),"Termination Date, ","")&amp;IF(OR($R50="",AND($R50&lt;&gt;"Active",$R50&lt;&gt;"Terminated"),AND('START HERE'!$C$8="Terminations Only",$R50&lt;&gt;"Terminated")),"Status, ","")&amp;IF($S50="","Plan Name, ","")&amp;IF($T50="","Coverage Level, ","")&amp;IF(AND($U50&lt;&gt;"",OR(NOT(ISNUMBER($U50)),$U50&lt;0)),"Funding, ","")&amp;IF(AND($A50&lt;&gt;"",$S50&lt;&gt;"",COUNTIFS($A$2:$A$501,$A50,$B$2:$B$501,$B50,$S$2:$S$501,$S50)&gt;1),"Duplicate Row, ",""))</f>
        <v/>
      </c>
      <c r="AF50">
        <f>IF(COUNTA($A50:$U50)=0,"",$Y50&amp;$Z50&amp;$AA50&amp;$AB50&amp;$AC50)</f>
        <v/>
      </c>
      <c r="AG50">
        <f>IF($N50="","",LOWER(TRIM($N50)))</f>
        <v/>
      </c>
      <c r="AH50">
        <f>IF($A50="","",COUNTIFS($A$2:$A$501,$A50,$AI$2:$AI$501,1))</f>
        <v/>
      </c>
      <c r="AI50">
        <f>IF(COUNTA($A50:$U50)=0,"",--($AF50&lt;&gt;""))</f>
        <v/>
      </c>
      <c r="AJ50">
        <f>IF(COUNTA($A50:$U50)=0,"",--($AD50&lt;&gt;""))</f>
        <v/>
      </c>
    </row>
    <row r="51" ht="20" customHeight="1">
      <c r="A51" s="80" t="n"/>
      <c r="B51" s="80" t="n"/>
      <c r="C51" s="81" t="n"/>
      <c r="D51" s="81" t="n"/>
      <c r="E51" s="80" t="n"/>
      <c r="F51" s="81" t="n"/>
      <c r="G51" s="81" t="n"/>
      <c r="H51" s="81" t="n"/>
      <c r="I51" s="80" t="n"/>
      <c r="J51" s="80" t="n"/>
      <c r="K51" s="80" t="n"/>
      <c r="L51" s="82" t="n"/>
      <c r="M51" s="80" t="n"/>
      <c r="N51" s="80" t="n"/>
      <c r="O51" s="80" t="n"/>
      <c r="P51" s="82" t="n"/>
      <c r="Q51" s="82" t="n"/>
      <c r="R51" s="80" t="n"/>
      <c r="S51" s="80" t="n"/>
      <c r="T51" s="80" t="n"/>
      <c r="U51" s="83" t="n"/>
      <c r="V51">
        <f>IF($A51="","",IF($A51=$A50,$V50,IF($V50="",0,1-$V50)))</f>
        <v/>
      </c>
      <c r="W51">
        <f>IF($B51&lt;&gt;"",$B51,$A51)</f>
        <v/>
      </c>
      <c r="X51">
        <f>IF(COUNTA($A51:$U51)=0,"",IF(OR($B51&lt;&gt;"",$O51&lt;&gt;""),"Dependent","Employee"))</f>
        <v/>
      </c>
      <c r="Y51">
        <f>IF(COUNTA($A51:$U51)=0,"",IF($A51="","Employee SSN is required; ","")&amp;IF($C51="","First Name is required; ","")&amp;IF(LEN($C51&amp;"")&gt;19,"First Name exceeds 19 characters; ","")&amp;IF(AND($C51&lt;&gt;"",SUMPRODUCT(--(ROW($1:$19)&lt;=LEN($C51&amp;"")),--ISERROR(FIND(MID($C51&amp;"",ROW($1:$19),1),"ABCDEFGHIJKLMNOPQRSTUVWXYZabcdefghijklmnopqrstuvwxyz .,")))&gt;0),"First Name contains unsupported or encoded characters; use plain A-Z letters only; ","")&amp;IF($D51="","Last Name is required; ","")&amp;IF(LEN($D51&amp;"")&gt;26,"Last Name exceeds 26 characters; ","")&amp;IF(AND($D51&lt;&gt;"",SUMPRODUCT(--(ROW($1:$26)&lt;=LEN($D51&amp;"")),--ISERROR(FIND(MID($D51&amp;"",ROW($1:$26),1),"ABCDEFGHIJKLMNOPQRSTUVWXYZabcdefghijklmnopqrstuvwxyz .,")))&gt;0),"Last Name contains unsupported or encoded characters; use plain A-Z letters only; ","")&amp;IF(LEN($E51&amp;"")&gt;1,"Middle Initial may contain only one character; ","")&amp;IF(AND($E51&lt;&gt;"",SUMPRODUCT(--(ROW($1:$1)&lt;=LEN($E51&amp;"")),--ISERROR(FIND(MID($E51&amp;"",ROW($1:$1),1),"ABCDEFGHIJKLMNOPQRSTUVWXYZabcdefghijklmnopqrstuvwxyz .,")))&gt;0),"Middle Initial must be a plain A-Z letter; ","")&amp;IF($F51="","Address is required; ","")&amp;IF(LEN($F51&amp;"")&gt;75,"Address exceeds 75 characters; ","")&amp;IF(LEN($G51&amp;"")&gt;75,"Address 2 exceeds 75 characters; ","")&amp;IF($H51="","City is required; ","")&amp;IF(LEN($H51&amp;"")&gt;30,"City exceeds 30 characters; ","")&amp;IF($K51="","Country is required; ","")&amp;IF(AND($K51&lt;&gt;"",$K51&lt;&gt;"US",$K51&lt;&gt;"CA"),"Country must be US or CA; ","")&amp;IF(AND($K51="US",OR($I51="",LEN($I51&amp;"")&lt;&gt;2)),"Use a 2-letter state code; ","")&amp;IF($J51="","ZIP or postal code is required; ","")&amp;IF(AND($K51="US",$J51&lt;&gt;"",NOT(IFERROR(OR(AND(LEN($J51&amp;"")=5,ISNUMBER(--($J51&amp;""))),AND(LEN($J51&amp;"")=9,ISNUMBER(--($J51&amp;""))),AND(LEN($J51&amp;"")=10,MID($J51&amp;"",6,1)="-",ISNUMBER(--SUBSTITUTE($J51&amp;"","-","")))),FALSE))),"US ZIP must be 5 or 9 digits, with an optional ZIP+4 hyphen; ","")&amp;IF(AND($N51&lt;&gt;"",NOT(IFERROR(AND(ISNUMBER(SEARCH("@",$N51)),ISNUMBER(SEARCH(".",$N51,SEARCH("@",$N51)+2))),FALSE))),"Email format appears invalid; ","")&amp;IF(AND($O51&lt;&gt;"",$B51=""),"Dependent SSN is required for every dependent; ","")&amp;IF(AND($B51&lt;&gt;"",$O51=""),"Dependent Relationship is required when Dependent SSN is entered; ","")&amp;IF(AND($O51&lt;&gt;"",$O51&lt;&gt;"Spouse or Common Law Spouse",$O51&lt;&gt;"Domestic Partner",$O51&lt;&gt;"Child",$O51&lt;&gt;"Other",$O51&lt;&gt;"Estate",$O51&lt;&gt;"Unknown"),"Dependent Relationship must use one of the approved options; ",""))</f>
        <v/>
      </c>
      <c r="Z51">
        <f>IF(COUNTA($A51:$U51)=0,"",IF(AND($A51&lt;&gt;"",NOT(IFERROR(AND(LEN($A51&amp;"")=9,ISNUMBER(--($A51&amp;""))),FALSE))),"Employee SSN must contain exactly 9 digits; ","")&amp;IF(AND($A51&lt;&gt;"",OR($A51="123456789",$A51="987654321",$A51="012345678",$A51=REPT(LEFT($A51&amp;"",1),9))),"Employee SSN appears to be a placeholder; ","")&amp;IF(AND($B51&lt;&gt;"",NOT(IFERROR(AND(LEN($B51&amp;"")=9,ISNUMBER(--($B51&amp;""))),FALSE))),"Dependent SSN must contain exactly 9 digits; ","")&amp;IF(AND($B51&lt;&gt;"",OR($B51="123456789",$B51="987654321",$B51="012345678",$B51=REPT(LEFT($B51&amp;"",1),9))),"Dependent SSN appears to be a placeholder; ","")&amp;IF(AND($A51&lt;&gt;"",$B51&lt;&gt;"",$A51&amp;""=$B51&amp;""),"Dependent SSN cannot match Employee SSN; ","")&amp;IF(AND($W51&lt;&gt;"",OR(COUNTIFS($W$2:$W$501,$W51,$C$2:$C$501,"&lt;&gt;"&amp;$C51)&gt;0,COUNTIFS($W$2:$W$501,$W51,$D$2:$D$501,"&lt;&gt;"&amp;$D51)&gt;0,COUNTIFS($W$2:$W$501,$W51,$L$2:$L$501,"&lt;&gt;"&amp;$L51)&gt;0)),"The same SSN is associated with a different name or birthdate; ",""))</f>
        <v/>
      </c>
      <c r="AA51">
        <f>IF(COUNTA($A51:$U51)=0,"",IF(AND($A51&lt;&gt;"",$S51&lt;&gt;"",COUNTIFS($A$2:$A$501,$A51,$S$2:$S$501,$S51,$B$2:$B$501,"",$O$2:$O$501,"")=0),"Add an employee row for this household and plan; ","")&amp;IF(AND($X51="Dependent",COUNTIFS($A$2:$A51,$A51,$S$2:$S51,$S51,$B$2:$B51,"",$O$2:$O51,"")=0),"Place the employee row before dependent rows for this plan; ","")&amp;IF(AND($X51="Dependent",COUNTIFS($A$2:$A$501,$A51,$S$2:$S$501,$S51,$B$2:$B$501,"",$O$2:$O$501,"")&gt;0,IFERROR(OR($P51&lt;&gt;LOOKUP(2,1/(($A$2:$A$501=$A51)*($S$2:$S$501=$S51)*($B$2:$B$501="")*($O$2:$O$501="")),$P$2:$P$501),$Q51&lt;&gt;LOOKUP(2,1/(($A$2:$A$501=$A51)*($S$2:$S$501=$S51)*($B$2:$B$501="")*($O$2:$O$501="")),$Q$2:$Q$501),$R51&lt;&gt;LOOKUP(2,1/(($A$2:$A$501=$A51)*($S$2:$S$501=$S51)*($B$2:$B$501="")*($O$2:$O$501="")),$R$2:$R$501),$T51&lt;&gt;LOOKUP(2,1/(($A$2:$A$501=$A51)*($S$2:$S$501=$S51)*($B$2:$B$501="")*($O$2:$O$501="")),$T$2:$T$501),$U51&lt;&gt;LOOKUP(2,1/(($A$2:$A$501=$A51)*($S$2:$S$501=$S51)*($B$2:$B$501="")*($O$2:$O$501="")),$U$2:$U$501)),FALSE)),"Dependent row does not match the employee row for eligibility, status, coverage level, or funding; ",""))</f>
        <v/>
      </c>
      <c r="AB51">
        <f>IF(COUNTA($A51:$U51)=0,"",IF($L51="","Birthdate is required; ","")&amp;IF(AND($L51&lt;&gt;"",OR(NOT(ISNUMBER($L51)),$L51&lt;=DATE(1900,1,1),$L51&gt;TODAY())),"Birthdate must be an exact valid past date; ","")&amp;IF($P51="","Eligibility Date is required; ","")&amp;IF(AND($P51&lt;&gt;"",OR(NOT(ISNUMBER($P51)),$P51&lt;=DATE(1900,1,1))),"Eligibility Date must be a valid date; ","")&amp;IF(AND($R51="Terminated",$Q51=""),"Termination Date is required when Status is Terminated; ","")&amp;IF(AND($Q51&lt;&gt;"",OR(NOT(ISNUMBER($Q51)),$Q51&lt;=DATE(1900,1,1))),"Termination Date must be a valid date; ","")&amp;IF(AND(ISNUMBER($P51),ISNUMBER($Q51),$Q51&lt;$P51),"Termination Date cannot be before Eligibility Date; ","")&amp;IF($R51="","Status is required; ","")&amp;IF(AND($R51&lt;&gt;"",$R51&lt;&gt;"Active",$R51&lt;&gt;"Terminated"),"Status must be Active or Terminated; ","")&amp;IF(AND('START HERE'!$C$8="Terminations Only",$R51&lt;&gt;"Terminated"),"Terminations Only files must contain terminated records; ",""))</f>
        <v/>
      </c>
      <c r="AC51">
        <f>IF(COUNTA($A51:$U51)=0,"",IF($S51="","Plan Name is required; ","")&amp;IF($T51="","Benefit Coverage Level is required; ","")&amp;IF(AND($U51&lt;&gt;"",OR(NOT(ISNUMBER($U51)),$U51&lt;0)),"Plan Funding Amount must be a nonnegative number; ","")&amp;IF(AND($A51&lt;&gt;"",$S51&lt;&gt;"",COUNTIFS($A$2:$A$501,$A51,$B$2:$B$501,$B51,$S$2:$S$501,$S51)&gt;1),"Duplicate participant and plan row; ",""))</f>
        <v/>
      </c>
      <c r="AD51">
        <f>IF(COUNTA($A51:$U51)=0,"",IF(AND($X51="Employee",$M51="",$N51=""),"No employee phone or email provided; ","")&amp;IF(AND($R51="Active",$Q51&lt;&gt;""),"Active record includes a Termination Date; confirm this is intentional; ","")&amp;IF(AND($B51&lt;&gt;"",$B51&amp;""&lt;&gt;$A51&amp;"",COUNTIF($A$2:$A$501,$B51)&gt;0),"Dependent SSN also appears as an Employee SSN elsewhere; confirm dual-employee coverage is intentional; ","")&amp;IF(AND($B51&lt;&gt;"",COUNTIF($B$2:$B$501,$B51)&gt;COUNTIFS($A$2:$A$501,$A51,$B$2:$B$501,$B51)),"Dependent SSN appears under more than one employee; confirm duplicate family coverage is intentional; ","")&amp;IF(AND(ROW()&gt;2,$A51&lt;&gt;"",$A51&lt;&gt;$A50,COUNTIF($A$2:$A50,$A51)&gt;0),"This household appears in more than one section of the census; keep the family together; ","")&amp;IF(OR(AND($C51&lt;&gt;"",LEN($C51&amp;"")&lt;&gt;LEN(TRIM($C51&amp;""))),AND($D51&lt;&gt;"",LEN($D51&amp;"")&lt;&gt;LEN(TRIM($D51&amp;""))),AND($E51&lt;&gt;"",LEN($E51&amp;"")&lt;&gt;LEN(TRIM($E51&amp;""))),AND($F51&lt;&gt;"",LEN($F51&amp;"")&lt;&gt;LEN(TRIM($F51&amp;""))),AND($G51&lt;&gt;"",LEN($G51&amp;"")&lt;&gt;LEN(TRIM($G51&amp;""))),AND($H51&lt;&gt;"",LEN($H51&amp;"")&lt;&gt;LEN(TRIM($H51&amp;""))),AND($I51&lt;&gt;"",LEN($I51&amp;"")&lt;&gt;LEN(TRIM($I51&amp;""))),AND($J51&lt;&gt;"",LEN($J51&amp;"")&lt;&gt;LEN(TRIM($J51&amp;""))),AND($K51&lt;&gt;"",LEN($K51&amp;"")&lt;&gt;LEN(TRIM($K51&amp;""))),AND($M51&lt;&gt;"",LEN($M51&amp;"")&lt;&gt;LEN(TRIM($M51&amp;""))),AND($N51&lt;&gt;"",LEN($N51&amp;"")&lt;&gt;LEN(TRIM($N51&amp;""))),AND($O51&lt;&gt;"",LEN($O51&amp;"")&lt;&gt;LEN(TRIM($O51&amp;""))),AND($R51&lt;&gt;"",LEN($R51&amp;"")&lt;&gt;LEN(TRIM($R51&amp;""))),AND($S51&lt;&gt;"",LEN($S51&amp;"")&lt;&gt;LEN(TRIM($S51&amp;""))),AND($T51&lt;&gt;"",LEN($T51&amp;"")&lt;&gt;LEN(TRIM($T51&amp;"")))),"Remove leading or trailing spaces from text fields; ","")&amp;IF(OR(AND(LEN($C51)&gt;1,OR(EXACT($C51,UPPER($C51)),EXACT($C51,LOWER($C51)))),AND(LEN($D51)&gt;1,OR(EXACT($D51,UPPER($D51)),EXACT($D51,LOWER($D51)))),AND(LEN($H51)&gt;1,OR(EXACT($H51,UPPER($H51)),EXACT($H51,LOWER($H51))))),"Review capitalization in First Name, Last Name, or City; ","")&amp;IF(AND($N51&lt;&gt;"",NOT(EXACT($N51,LOWER($N51)))),"Email will be standardized to lowercase in the clean output; ","")&amp;IF(AND(OR('START HERE'!$C$8="Initial Enrollment",'START HERE'!$C$8="Open Enrollment"),$R51="Terminated"),"A terminated row is included in an initial or open enrollment file; confirm this is intentional; ",""))</f>
        <v/>
      </c>
      <c r="AE51">
        <f>IF(COUNTA($A51:$U51)=0,"",IF(OR($A51="",AND($A51&lt;&gt;"",NOT(IFERROR(AND(LEN($A51&amp;"")=9,ISNUMBER(--($A51&amp;""))),FALSE))),AND($A51&lt;&gt;"",OR($A51="123456789",$A51="987654321",$A51="012345678",$A51=REPT(LEFT($A51&amp;"",1),9)))),"Employee SSN, ","")&amp;IF(OR(AND($O51&lt;&gt;"",$B51=""),AND($B51&lt;&gt;"",OR(NOT(IFERROR(AND(LEN($B51&amp;"")=9,ISNUMBER(--($B51&amp;""))),FALSE)),$B51=$A51,$B51="123456789",$B51="987654321",$B51="012345678",$B51=REPT(LEFT($B51&amp;"",1),9)))),"Dependent SSN, ","")&amp;IF(OR($C51="",LEN($C51)&gt;19,AND($C51&lt;&gt;"",SUMPRODUCT(--(ROW($1:$19)&lt;=LEN($C51&amp;"")),--ISERROR(FIND(MID($C51&amp;"",ROW($1:$19),1),"ABCDEFGHIJKLMNOPQRSTUVWXYZabcdefghijklmnopqrstuvwxyz .,")))&gt;0)),"First Name, ","")&amp;IF(OR($D51="",LEN($D51)&gt;26,AND($D51&lt;&gt;"",SUMPRODUCT(--(ROW($1:$26)&lt;=LEN($D51&amp;"")),--ISERROR(FIND(MID($D51&amp;"",ROW($1:$26),1),"ABCDEFGHIJKLMNOPQRSTUVWXYZabcdefghijklmnopqrstuvwxyz .,")))&gt;0)),"Last Name, ","")&amp;IF(OR(LEN($E51)&gt;1,AND($E51&lt;&gt;"",SUMPRODUCT(--(ROW($1:$1)&lt;=LEN($E51&amp;"")),--ISERROR(FIND(MID($E51&amp;"",ROW($1:$1),1),"ABCDEFGHIJKLMNOPQRSTUVWXYZabcdefghijklmnopqrstuvwxyz .,")))&gt;0)),"Middle Initial, ","")&amp;IF(OR($F51="",LEN($F51)&gt;75),"Address, ","")&amp;IF(OR($H51="",LEN($H51)&gt;30),"City, ","")&amp;IF(AND($K51="US",OR($I51="",LEN($I51)&lt;&gt;2)),"State, ","")&amp;IF($J51="","ZIP, ","")&amp;IF(OR($K51="",AND($K51&lt;&gt;"US",$K51&lt;&gt;"CA")),"Country, ","")&amp;IF(OR($L51="",AND($L51&lt;&gt;"",OR(NOT(ISNUMBER($L51)),$L51&lt;=DATE(1900,1,1),$L51&gt;TODAY()))),"Birthdate, ","")&amp;IF(AND($N51&lt;&gt;"",NOT(IFERROR(AND(ISNUMBER(SEARCH("@",$N51)),ISNUMBER(SEARCH(".",$N51,SEARCH("@",$N51)+2))),FALSE))),"Email, ","")&amp;IF(OR(AND($B51&lt;&gt;"",$O51=""),AND($O51&lt;&gt;"",$O51&lt;&gt;"Spouse or Common Law Spouse",$O51&lt;&gt;"Domestic Partner",$O51&lt;&gt;"Child",$O51&lt;&gt;"Other",$O51&lt;&gt;"Estate",$O51&lt;&gt;"Unknown")),"Dependent Relationship, ","")&amp;IF($AA51&lt;&gt;"","Household, ","")&amp;IF(OR($P51="",AND($P51&lt;&gt;"",OR(NOT(ISNUMBER($P51)),$P51&lt;=DATE(1900,1,1)))),"Eligibility Date, ","")&amp;IF(OR(AND($R51="Terminated",$Q51=""),AND($Q51&lt;&gt;"",OR(NOT(ISNUMBER($Q51)),$Q51&lt;=DATE(1900,1,1))),AND(ISNUMBER($P51),ISNUMBER($Q51),$Q51&lt;$P51)),"Termination Date, ","")&amp;IF(OR($R51="",AND($R51&lt;&gt;"Active",$R51&lt;&gt;"Terminated"),AND('START HERE'!$C$8="Terminations Only",$R51&lt;&gt;"Terminated")),"Status, ","")&amp;IF($S51="","Plan Name, ","")&amp;IF($T51="","Coverage Level, ","")&amp;IF(AND($U51&lt;&gt;"",OR(NOT(ISNUMBER($U51)),$U51&lt;0)),"Funding, ","")&amp;IF(AND($A51&lt;&gt;"",$S51&lt;&gt;"",COUNTIFS($A$2:$A$501,$A51,$B$2:$B$501,$B51,$S$2:$S$501,$S51)&gt;1),"Duplicate Row, ",""))</f>
        <v/>
      </c>
      <c r="AF51">
        <f>IF(COUNTA($A51:$U51)=0,"",$Y51&amp;$Z51&amp;$AA51&amp;$AB51&amp;$AC51)</f>
        <v/>
      </c>
      <c r="AG51">
        <f>IF($N51="","",LOWER(TRIM($N51)))</f>
        <v/>
      </c>
      <c r="AH51">
        <f>IF($A51="","",COUNTIFS($A$2:$A$501,$A51,$AI$2:$AI$501,1))</f>
        <v/>
      </c>
      <c r="AI51">
        <f>IF(COUNTA($A51:$U51)=0,"",--($AF51&lt;&gt;""))</f>
        <v/>
      </c>
      <c r="AJ51">
        <f>IF(COUNTA($A51:$U51)=0,"",--($AD51&lt;&gt;""))</f>
        <v/>
      </c>
    </row>
    <row r="52" ht="20" customHeight="1">
      <c r="A52" s="80" t="n"/>
      <c r="B52" s="80" t="n"/>
      <c r="C52" s="81" t="n"/>
      <c r="D52" s="81" t="n"/>
      <c r="E52" s="80" t="n"/>
      <c r="F52" s="81" t="n"/>
      <c r="G52" s="81" t="n"/>
      <c r="H52" s="81" t="n"/>
      <c r="I52" s="80" t="n"/>
      <c r="J52" s="80" t="n"/>
      <c r="K52" s="80" t="n"/>
      <c r="L52" s="82" t="n"/>
      <c r="M52" s="80" t="n"/>
      <c r="N52" s="80" t="n"/>
      <c r="O52" s="80" t="n"/>
      <c r="P52" s="82" t="n"/>
      <c r="Q52" s="82" t="n"/>
      <c r="R52" s="80" t="n"/>
      <c r="S52" s="80" t="n"/>
      <c r="T52" s="80" t="n"/>
      <c r="U52" s="83" t="n"/>
      <c r="V52">
        <f>IF($A52="","",IF($A52=$A51,$V51,IF($V51="",0,1-$V51)))</f>
        <v/>
      </c>
      <c r="W52">
        <f>IF($B52&lt;&gt;"",$B52,$A52)</f>
        <v/>
      </c>
      <c r="X52">
        <f>IF(COUNTA($A52:$U52)=0,"",IF(OR($B52&lt;&gt;"",$O52&lt;&gt;""),"Dependent","Employee"))</f>
        <v/>
      </c>
      <c r="Y52">
        <f>IF(COUNTA($A52:$U52)=0,"",IF($A52="","Employee SSN is required; ","")&amp;IF($C52="","First Name is required; ","")&amp;IF(LEN($C52&amp;"")&gt;19,"First Name exceeds 19 characters; ","")&amp;IF(AND($C52&lt;&gt;"",SUMPRODUCT(--(ROW($1:$19)&lt;=LEN($C52&amp;"")),--ISERROR(FIND(MID($C52&amp;"",ROW($1:$19),1),"ABCDEFGHIJKLMNOPQRSTUVWXYZabcdefghijklmnopqrstuvwxyz .,")))&gt;0),"First Name contains unsupported or encoded characters; use plain A-Z letters only; ","")&amp;IF($D52="","Last Name is required; ","")&amp;IF(LEN($D52&amp;"")&gt;26,"Last Name exceeds 26 characters; ","")&amp;IF(AND($D52&lt;&gt;"",SUMPRODUCT(--(ROW($1:$26)&lt;=LEN($D52&amp;"")),--ISERROR(FIND(MID($D52&amp;"",ROW($1:$26),1),"ABCDEFGHIJKLMNOPQRSTUVWXYZabcdefghijklmnopqrstuvwxyz .,")))&gt;0),"Last Name contains unsupported or encoded characters; use plain A-Z letters only; ","")&amp;IF(LEN($E52&amp;"")&gt;1,"Middle Initial may contain only one character; ","")&amp;IF(AND($E52&lt;&gt;"",SUMPRODUCT(--(ROW($1:$1)&lt;=LEN($E52&amp;"")),--ISERROR(FIND(MID($E52&amp;"",ROW($1:$1),1),"ABCDEFGHIJKLMNOPQRSTUVWXYZabcdefghijklmnopqrstuvwxyz .,")))&gt;0),"Middle Initial must be a plain A-Z letter; ","")&amp;IF($F52="","Address is required; ","")&amp;IF(LEN($F52&amp;"")&gt;75,"Address exceeds 75 characters; ","")&amp;IF(LEN($G52&amp;"")&gt;75,"Address 2 exceeds 75 characters; ","")&amp;IF($H52="","City is required; ","")&amp;IF(LEN($H52&amp;"")&gt;30,"City exceeds 30 characters; ","")&amp;IF($K52="","Country is required; ","")&amp;IF(AND($K52&lt;&gt;"",$K52&lt;&gt;"US",$K52&lt;&gt;"CA"),"Country must be US or CA; ","")&amp;IF(AND($K52="US",OR($I52="",LEN($I52&amp;"")&lt;&gt;2)),"Use a 2-letter state code; ","")&amp;IF($J52="","ZIP or postal code is required; ","")&amp;IF(AND($K52="US",$J52&lt;&gt;"",NOT(IFERROR(OR(AND(LEN($J52&amp;"")=5,ISNUMBER(--($J52&amp;""))),AND(LEN($J52&amp;"")=9,ISNUMBER(--($J52&amp;""))),AND(LEN($J52&amp;"")=10,MID($J52&amp;"",6,1)="-",ISNUMBER(--SUBSTITUTE($J52&amp;"","-","")))),FALSE))),"US ZIP must be 5 or 9 digits, with an optional ZIP+4 hyphen; ","")&amp;IF(AND($N52&lt;&gt;"",NOT(IFERROR(AND(ISNUMBER(SEARCH("@",$N52)),ISNUMBER(SEARCH(".",$N52,SEARCH("@",$N52)+2))),FALSE))),"Email format appears invalid; ","")&amp;IF(AND($O52&lt;&gt;"",$B52=""),"Dependent SSN is required for every dependent; ","")&amp;IF(AND($B52&lt;&gt;"",$O52=""),"Dependent Relationship is required when Dependent SSN is entered; ","")&amp;IF(AND($O52&lt;&gt;"",$O52&lt;&gt;"Spouse or Common Law Spouse",$O52&lt;&gt;"Domestic Partner",$O52&lt;&gt;"Child",$O52&lt;&gt;"Other",$O52&lt;&gt;"Estate",$O52&lt;&gt;"Unknown"),"Dependent Relationship must use one of the approved options; ",""))</f>
        <v/>
      </c>
      <c r="Z52">
        <f>IF(COUNTA($A52:$U52)=0,"",IF(AND($A52&lt;&gt;"",NOT(IFERROR(AND(LEN($A52&amp;"")=9,ISNUMBER(--($A52&amp;""))),FALSE))),"Employee SSN must contain exactly 9 digits; ","")&amp;IF(AND($A52&lt;&gt;"",OR($A52="123456789",$A52="987654321",$A52="012345678",$A52=REPT(LEFT($A52&amp;"",1),9))),"Employee SSN appears to be a placeholder; ","")&amp;IF(AND($B52&lt;&gt;"",NOT(IFERROR(AND(LEN($B52&amp;"")=9,ISNUMBER(--($B52&amp;""))),FALSE))),"Dependent SSN must contain exactly 9 digits; ","")&amp;IF(AND($B52&lt;&gt;"",OR($B52="123456789",$B52="987654321",$B52="012345678",$B52=REPT(LEFT($B52&amp;"",1),9))),"Dependent SSN appears to be a placeholder; ","")&amp;IF(AND($A52&lt;&gt;"",$B52&lt;&gt;"",$A52&amp;""=$B52&amp;""),"Dependent SSN cannot match Employee SSN; ","")&amp;IF(AND($W52&lt;&gt;"",OR(COUNTIFS($W$2:$W$501,$W52,$C$2:$C$501,"&lt;&gt;"&amp;$C52)&gt;0,COUNTIFS($W$2:$W$501,$W52,$D$2:$D$501,"&lt;&gt;"&amp;$D52)&gt;0,COUNTIFS($W$2:$W$501,$W52,$L$2:$L$501,"&lt;&gt;"&amp;$L52)&gt;0)),"The same SSN is associated with a different name or birthdate; ",""))</f>
        <v/>
      </c>
      <c r="AA52">
        <f>IF(COUNTA($A52:$U52)=0,"",IF(AND($A52&lt;&gt;"",$S52&lt;&gt;"",COUNTIFS($A$2:$A$501,$A52,$S$2:$S$501,$S52,$B$2:$B$501,"",$O$2:$O$501,"")=0),"Add an employee row for this household and plan; ","")&amp;IF(AND($X52="Dependent",COUNTIFS($A$2:$A52,$A52,$S$2:$S52,$S52,$B$2:$B52,"",$O$2:$O52,"")=0),"Place the employee row before dependent rows for this plan; ","")&amp;IF(AND($X52="Dependent",COUNTIFS($A$2:$A$501,$A52,$S$2:$S$501,$S52,$B$2:$B$501,"",$O$2:$O$501,"")&gt;0,IFERROR(OR($P52&lt;&gt;LOOKUP(2,1/(($A$2:$A$501=$A52)*($S$2:$S$501=$S52)*($B$2:$B$501="")*($O$2:$O$501="")),$P$2:$P$501),$Q52&lt;&gt;LOOKUP(2,1/(($A$2:$A$501=$A52)*($S$2:$S$501=$S52)*($B$2:$B$501="")*($O$2:$O$501="")),$Q$2:$Q$501),$R52&lt;&gt;LOOKUP(2,1/(($A$2:$A$501=$A52)*($S$2:$S$501=$S52)*($B$2:$B$501="")*($O$2:$O$501="")),$R$2:$R$501),$T52&lt;&gt;LOOKUP(2,1/(($A$2:$A$501=$A52)*($S$2:$S$501=$S52)*($B$2:$B$501="")*($O$2:$O$501="")),$T$2:$T$501),$U52&lt;&gt;LOOKUP(2,1/(($A$2:$A$501=$A52)*($S$2:$S$501=$S52)*($B$2:$B$501="")*($O$2:$O$501="")),$U$2:$U$501)),FALSE)),"Dependent row does not match the employee row for eligibility, status, coverage level, or funding; ",""))</f>
        <v/>
      </c>
      <c r="AB52">
        <f>IF(COUNTA($A52:$U52)=0,"",IF($L52="","Birthdate is required; ","")&amp;IF(AND($L52&lt;&gt;"",OR(NOT(ISNUMBER($L52)),$L52&lt;=DATE(1900,1,1),$L52&gt;TODAY())),"Birthdate must be an exact valid past date; ","")&amp;IF($P52="","Eligibility Date is required; ","")&amp;IF(AND($P52&lt;&gt;"",OR(NOT(ISNUMBER($P52)),$P52&lt;=DATE(1900,1,1))),"Eligibility Date must be a valid date; ","")&amp;IF(AND($R52="Terminated",$Q52=""),"Termination Date is required when Status is Terminated; ","")&amp;IF(AND($Q52&lt;&gt;"",OR(NOT(ISNUMBER($Q52)),$Q52&lt;=DATE(1900,1,1))),"Termination Date must be a valid date; ","")&amp;IF(AND(ISNUMBER($P52),ISNUMBER($Q52),$Q52&lt;$P52),"Termination Date cannot be before Eligibility Date; ","")&amp;IF($R52="","Status is required; ","")&amp;IF(AND($R52&lt;&gt;"",$R52&lt;&gt;"Active",$R52&lt;&gt;"Terminated"),"Status must be Active or Terminated; ","")&amp;IF(AND('START HERE'!$C$8="Terminations Only",$R52&lt;&gt;"Terminated"),"Terminations Only files must contain terminated records; ",""))</f>
        <v/>
      </c>
      <c r="AC52">
        <f>IF(COUNTA($A52:$U52)=0,"",IF($S52="","Plan Name is required; ","")&amp;IF($T52="","Benefit Coverage Level is required; ","")&amp;IF(AND($U52&lt;&gt;"",OR(NOT(ISNUMBER($U52)),$U52&lt;0)),"Plan Funding Amount must be a nonnegative number; ","")&amp;IF(AND($A52&lt;&gt;"",$S52&lt;&gt;"",COUNTIFS($A$2:$A$501,$A52,$B$2:$B$501,$B52,$S$2:$S$501,$S52)&gt;1),"Duplicate participant and plan row; ",""))</f>
        <v/>
      </c>
      <c r="AD52">
        <f>IF(COUNTA($A52:$U52)=0,"",IF(AND($X52="Employee",$M52="",$N52=""),"No employee phone or email provided; ","")&amp;IF(AND($R52="Active",$Q52&lt;&gt;""),"Active record includes a Termination Date; confirm this is intentional; ","")&amp;IF(AND($B52&lt;&gt;"",$B52&amp;""&lt;&gt;$A52&amp;"",COUNTIF($A$2:$A$501,$B52)&gt;0),"Dependent SSN also appears as an Employee SSN elsewhere; confirm dual-employee coverage is intentional; ","")&amp;IF(AND($B52&lt;&gt;"",COUNTIF($B$2:$B$501,$B52)&gt;COUNTIFS($A$2:$A$501,$A52,$B$2:$B$501,$B52)),"Dependent SSN appears under more than one employee; confirm duplicate family coverage is intentional; ","")&amp;IF(AND(ROW()&gt;2,$A52&lt;&gt;"",$A52&lt;&gt;$A51,COUNTIF($A$2:$A51,$A52)&gt;0),"This household appears in more than one section of the census; keep the family together; ","")&amp;IF(OR(AND($C52&lt;&gt;"",LEN($C52&amp;"")&lt;&gt;LEN(TRIM($C52&amp;""))),AND($D52&lt;&gt;"",LEN($D52&amp;"")&lt;&gt;LEN(TRIM($D52&amp;""))),AND($E52&lt;&gt;"",LEN($E52&amp;"")&lt;&gt;LEN(TRIM($E52&amp;""))),AND($F52&lt;&gt;"",LEN($F52&amp;"")&lt;&gt;LEN(TRIM($F52&amp;""))),AND($G52&lt;&gt;"",LEN($G52&amp;"")&lt;&gt;LEN(TRIM($G52&amp;""))),AND($H52&lt;&gt;"",LEN($H52&amp;"")&lt;&gt;LEN(TRIM($H52&amp;""))),AND($I52&lt;&gt;"",LEN($I52&amp;"")&lt;&gt;LEN(TRIM($I52&amp;""))),AND($J52&lt;&gt;"",LEN($J52&amp;"")&lt;&gt;LEN(TRIM($J52&amp;""))),AND($K52&lt;&gt;"",LEN($K52&amp;"")&lt;&gt;LEN(TRIM($K52&amp;""))),AND($M52&lt;&gt;"",LEN($M52&amp;"")&lt;&gt;LEN(TRIM($M52&amp;""))),AND($N52&lt;&gt;"",LEN($N52&amp;"")&lt;&gt;LEN(TRIM($N52&amp;""))),AND($O52&lt;&gt;"",LEN($O52&amp;"")&lt;&gt;LEN(TRIM($O52&amp;""))),AND($R52&lt;&gt;"",LEN($R52&amp;"")&lt;&gt;LEN(TRIM($R52&amp;""))),AND($S52&lt;&gt;"",LEN($S52&amp;"")&lt;&gt;LEN(TRIM($S52&amp;""))),AND($T52&lt;&gt;"",LEN($T52&amp;"")&lt;&gt;LEN(TRIM($T52&amp;"")))),"Remove leading or trailing spaces from text fields; ","")&amp;IF(OR(AND(LEN($C52)&gt;1,OR(EXACT($C52,UPPER($C52)),EXACT($C52,LOWER($C52)))),AND(LEN($D52)&gt;1,OR(EXACT($D52,UPPER($D52)),EXACT($D52,LOWER($D52)))),AND(LEN($H52)&gt;1,OR(EXACT($H52,UPPER($H52)),EXACT($H52,LOWER($H52))))),"Review capitalization in First Name, Last Name, or City; ","")&amp;IF(AND($N52&lt;&gt;"",NOT(EXACT($N52,LOWER($N52)))),"Email will be standardized to lowercase in the clean output; ","")&amp;IF(AND(OR('START HERE'!$C$8="Initial Enrollment",'START HERE'!$C$8="Open Enrollment"),$R52="Terminated"),"A terminated row is included in an initial or open enrollment file; confirm this is intentional; ",""))</f>
        <v/>
      </c>
      <c r="AE52">
        <f>IF(COUNTA($A52:$U52)=0,"",IF(OR($A52="",AND($A52&lt;&gt;"",NOT(IFERROR(AND(LEN($A52&amp;"")=9,ISNUMBER(--($A52&amp;""))),FALSE))),AND($A52&lt;&gt;"",OR($A52="123456789",$A52="987654321",$A52="012345678",$A52=REPT(LEFT($A52&amp;"",1),9)))),"Employee SSN, ","")&amp;IF(OR(AND($O52&lt;&gt;"",$B52=""),AND($B52&lt;&gt;"",OR(NOT(IFERROR(AND(LEN($B52&amp;"")=9,ISNUMBER(--($B52&amp;""))),FALSE)),$B52=$A52,$B52="123456789",$B52="987654321",$B52="012345678",$B52=REPT(LEFT($B52&amp;"",1),9)))),"Dependent SSN, ","")&amp;IF(OR($C52="",LEN($C52)&gt;19,AND($C52&lt;&gt;"",SUMPRODUCT(--(ROW($1:$19)&lt;=LEN($C52&amp;"")),--ISERROR(FIND(MID($C52&amp;"",ROW($1:$19),1),"ABCDEFGHIJKLMNOPQRSTUVWXYZabcdefghijklmnopqrstuvwxyz .,")))&gt;0)),"First Name, ","")&amp;IF(OR($D52="",LEN($D52)&gt;26,AND($D52&lt;&gt;"",SUMPRODUCT(--(ROW($1:$26)&lt;=LEN($D52&amp;"")),--ISERROR(FIND(MID($D52&amp;"",ROW($1:$26),1),"ABCDEFGHIJKLMNOPQRSTUVWXYZabcdefghijklmnopqrstuvwxyz .,")))&gt;0)),"Last Name, ","")&amp;IF(OR(LEN($E52)&gt;1,AND($E52&lt;&gt;"",SUMPRODUCT(--(ROW($1:$1)&lt;=LEN($E52&amp;"")),--ISERROR(FIND(MID($E52&amp;"",ROW($1:$1),1),"ABCDEFGHIJKLMNOPQRSTUVWXYZabcdefghijklmnopqrstuvwxyz .,")))&gt;0)),"Middle Initial, ","")&amp;IF(OR($F52="",LEN($F52)&gt;75),"Address, ","")&amp;IF(OR($H52="",LEN($H52)&gt;30),"City, ","")&amp;IF(AND($K52="US",OR($I52="",LEN($I52)&lt;&gt;2)),"State, ","")&amp;IF($J52="","ZIP, ","")&amp;IF(OR($K52="",AND($K52&lt;&gt;"US",$K52&lt;&gt;"CA")),"Country, ","")&amp;IF(OR($L52="",AND($L52&lt;&gt;"",OR(NOT(ISNUMBER($L52)),$L52&lt;=DATE(1900,1,1),$L52&gt;TODAY()))),"Birthdate, ","")&amp;IF(AND($N52&lt;&gt;"",NOT(IFERROR(AND(ISNUMBER(SEARCH("@",$N52)),ISNUMBER(SEARCH(".",$N52,SEARCH("@",$N52)+2))),FALSE))),"Email, ","")&amp;IF(OR(AND($B52&lt;&gt;"",$O52=""),AND($O52&lt;&gt;"",$O52&lt;&gt;"Spouse or Common Law Spouse",$O52&lt;&gt;"Domestic Partner",$O52&lt;&gt;"Child",$O52&lt;&gt;"Other",$O52&lt;&gt;"Estate",$O52&lt;&gt;"Unknown")),"Dependent Relationship, ","")&amp;IF($AA52&lt;&gt;"","Household, ","")&amp;IF(OR($P52="",AND($P52&lt;&gt;"",OR(NOT(ISNUMBER($P52)),$P52&lt;=DATE(1900,1,1)))),"Eligibility Date, ","")&amp;IF(OR(AND($R52="Terminated",$Q52=""),AND($Q52&lt;&gt;"",OR(NOT(ISNUMBER($Q52)),$Q52&lt;=DATE(1900,1,1))),AND(ISNUMBER($P52),ISNUMBER($Q52),$Q52&lt;$P52)),"Termination Date, ","")&amp;IF(OR($R52="",AND($R52&lt;&gt;"Active",$R52&lt;&gt;"Terminated"),AND('START HERE'!$C$8="Terminations Only",$R52&lt;&gt;"Terminated")),"Status, ","")&amp;IF($S52="","Plan Name, ","")&amp;IF($T52="","Coverage Level, ","")&amp;IF(AND($U52&lt;&gt;"",OR(NOT(ISNUMBER($U52)),$U52&lt;0)),"Funding, ","")&amp;IF(AND($A52&lt;&gt;"",$S52&lt;&gt;"",COUNTIFS($A$2:$A$501,$A52,$B$2:$B$501,$B52,$S$2:$S$501,$S52)&gt;1),"Duplicate Row, ",""))</f>
        <v/>
      </c>
      <c r="AF52">
        <f>IF(COUNTA($A52:$U52)=0,"",$Y52&amp;$Z52&amp;$AA52&amp;$AB52&amp;$AC52)</f>
        <v/>
      </c>
      <c r="AG52">
        <f>IF($N52="","",LOWER(TRIM($N52)))</f>
        <v/>
      </c>
      <c r="AH52">
        <f>IF($A52="","",COUNTIFS($A$2:$A$501,$A52,$AI$2:$AI$501,1))</f>
        <v/>
      </c>
      <c r="AI52">
        <f>IF(COUNTA($A52:$U52)=0,"",--($AF52&lt;&gt;""))</f>
        <v/>
      </c>
      <c r="AJ52">
        <f>IF(COUNTA($A52:$U52)=0,"",--($AD52&lt;&gt;""))</f>
        <v/>
      </c>
    </row>
    <row r="53" ht="20" customHeight="1">
      <c r="A53" s="80" t="n"/>
      <c r="B53" s="80" t="n"/>
      <c r="C53" s="81" t="n"/>
      <c r="D53" s="81" t="n"/>
      <c r="E53" s="80" t="n"/>
      <c r="F53" s="81" t="n"/>
      <c r="G53" s="81" t="n"/>
      <c r="H53" s="81" t="n"/>
      <c r="I53" s="80" t="n"/>
      <c r="J53" s="80" t="n"/>
      <c r="K53" s="80" t="n"/>
      <c r="L53" s="82" t="n"/>
      <c r="M53" s="80" t="n"/>
      <c r="N53" s="80" t="n"/>
      <c r="O53" s="80" t="n"/>
      <c r="P53" s="82" t="n"/>
      <c r="Q53" s="82" t="n"/>
      <c r="R53" s="80" t="n"/>
      <c r="S53" s="80" t="n"/>
      <c r="T53" s="80" t="n"/>
      <c r="U53" s="83" t="n"/>
      <c r="V53">
        <f>IF($A53="","",IF($A53=$A52,$V52,IF($V52="",0,1-$V52)))</f>
        <v/>
      </c>
      <c r="W53">
        <f>IF($B53&lt;&gt;"",$B53,$A53)</f>
        <v/>
      </c>
      <c r="X53">
        <f>IF(COUNTA($A53:$U53)=0,"",IF(OR($B53&lt;&gt;"",$O53&lt;&gt;""),"Dependent","Employee"))</f>
        <v/>
      </c>
      <c r="Y53">
        <f>IF(COUNTA($A53:$U53)=0,"",IF($A53="","Employee SSN is required; ","")&amp;IF($C53="","First Name is required; ","")&amp;IF(LEN($C53&amp;"")&gt;19,"First Name exceeds 19 characters; ","")&amp;IF(AND($C53&lt;&gt;"",SUMPRODUCT(--(ROW($1:$19)&lt;=LEN($C53&amp;"")),--ISERROR(FIND(MID($C53&amp;"",ROW($1:$19),1),"ABCDEFGHIJKLMNOPQRSTUVWXYZabcdefghijklmnopqrstuvwxyz .,")))&gt;0),"First Name contains unsupported or encoded characters; use plain A-Z letters only; ","")&amp;IF($D53="","Last Name is required; ","")&amp;IF(LEN($D53&amp;"")&gt;26,"Last Name exceeds 26 characters; ","")&amp;IF(AND($D53&lt;&gt;"",SUMPRODUCT(--(ROW($1:$26)&lt;=LEN($D53&amp;"")),--ISERROR(FIND(MID($D53&amp;"",ROW($1:$26),1),"ABCDEFGHIJKLMNOPQRSTUVWXYZabcdefghijklmnopqrstuvwxyz .,")))&gt;0),"Last Name contains unsupported or encoded characters; use plain A-Z letters only; ","")&amp;IF(LEN($E53&amp;"")&gt;1,"Middle Initial may contain only one character; ","")&amp;IF(AND($E53&lt;&gt;"",SUMPRODUCT(--(ROW($1:$1)&lt;=LEN($E53&amp;"")),--ISERROR(FIND(MID($E53&amp;"",ROW($1:$1),1),"ABCDEFGHIJKLMNOPQRSTUVWXYZabcdefghijklmnopqrstuvwxyz .,")))&gt;0),"Middle Initial must be a plain A-Z letter; ","")&amp;IF($F53="","Address is required; ","")&amp;IF(LEN($F53&amp;"")&gt;75,"Address exceeds 75 characters; ","")&amp;IF(LEN($G53&amp;"")&gt;75,"Address 2 exceeds 75 characters; ","")&amp;IF($H53="","City is required; ","")&amp;IF(LEN($H53&amp;"")&gt;30,"City exceeds 30 characters; ","")&amp;IF($K53="","Country is required; ","")&amp;IF(AND($K53&lt;&gt;"",$K53&lt;&gt;"US",$K53&lt;&gt;"CA"),"Country must be US or CA; ","")&amp;IF(AND($K53="US",OR($I53="",LEN($I53&amp;"")&lt;&gt;2)),"Use a 2-letter state code; ","")&amp;IF($J53="","ZIP or postal code is required; ","")&amp;IF(AND($K53="US",$J53&lt;&gt;"",NOT(IFERROR(OR(AND(LEN($J53&amp;"")=5,ISNUMBER(--($J53&amp;""))),AND(LEN($J53&amp;"")=9,ISNUMBER(--($J53&amp;""))),AND(LEN($J53&amp;"")=10,MID($J53&amp;"",6,1)="-",ISNUMBER(--SUBSTITUTE($J53&amp;"","-","")))),FALSE))),"US ZIP must be 5 or 9 digits, with an optional ZIP+4 hyphen; ","")&amp;IF(AND($N53&lt;&gt;"",NOT(IFERROR(AND(ISNUMBER(SEARCH("@",$N53)),ISNUMBER(SEARCH(".",$N53,SEARCH("@",$N53)+2))),FALSE))),"Email format appears invalid; ","")&amp;IF(AND($O53&lt;&gt;"",$B53=""),"Dependent SSN is required for every dependent; ","")&amp;IF(AND($B53&lt;&gt;"",$O53=""),"Dependent Relationship is required when Dependent SSN is entered; ","")&amp;IF(AND($O53&lt;&gt;"",$O53&lt;&gt;"Spouse or Common Law Spouse",$O53&lt;&gt;"Domestic Partner",$O53&lt;&gt;"Child",$O53&lt;&gt;"Other",$O53&lt;&gt;"Estate",$O53&lt;&gt;"Unknown"),"Dependent Relationship must use one of the approved options; ",""))</f>
        <v/>
      </c>
      <c r="Z53">
        <f>IF(COUNTA($A53:$U53)=0,"",IF(AND($A53&lt;&gt;"",NOT(IFERROR(AND(LEN($A53&amp;"")=9,ISNUMBER(--($A53&amp;""))),FALSE))),"Employee SSN must contain exactly 9 digits; ","")&amp;IF(AND($A53&lt;&gt;"",OR($A53="123456789",$A53="987654321",$A53="012345678",$A53=REPT(LEFT($A53&amp;"",1),9))),"Employee SSN appears to be a placeholder; ","")&amp;IF(AND($B53&lt;&gt;"",NOT(IFERROR(AND(LEN($B53&amp;"")=9,ISNUMBER(--($B53&amp;""))),FALSE))),"Dependent SSN must contain exactly 9 digits; ","")&amp;IF(AND($B53&lt;&gt;"",OR($B53="123456789",$B53="987654321",$B53="012345678",$B53=REPT(LEFT($B53&amp;"",1),9))),"Dependent SSN appears to be a placeholder; ","")&amp;IF(AND($A53&lt;&gt;"",$B53&lt;&gt;"",$A53&amp;""=$B53&amp;""),"Dependent SSN cannot match Employee SSN; ","")&amp;IF(AND($W53&lt;&gt;"",OR(COUNTIFS($W$2:$W$501,$W53,$C$2:$C$501,"&lt;&gt;"&amp;$C53)&gt;0,COUNTIFS($W$2:$W$501,$W53,$D$2:$D$501,"&lt;&gt;"&amp;$D53)&gt;0,COUNTIFS($W$2:$W$501,$W53,$L$2:$L$501,"&lt;&gt;"&amp;$L53)&gt;0)),"The same SSN is associated with a different name or birthdate; ",""))</f>
        <v/>
      </c>
      <c r="AA53">
        <f>IF(COUNTA($A53:$U53)=0,"",IF(AND($A53&lt;&gt;"",$S53&lt;&gt;"",COUNTIFS($A$2:$A$501,$A53,$S$2:$S$501,$S53,$B$2:$B$501,"",$O$2:$O$501,"")=0),"Add an employee row for this household and plan; ","")&amp;IF(AND($X53="Dependent",COUNTIFS($A$2:$A53,$A53,$S$2:$S53,$S53,$B$2:$B53,"",$O$2:$O53,"")=0),"Place the employee row before dependent rows for this plan; ","")&amp;IF(AND($X53="Dependent",COUNTIFS($A$2:$A$501,$A53,$S$2:$S$501,$S53,$B$2:$B$501,"",$O$2:$O$501,"")&gt;0,IFERROR(OR($P53&lt;&gt;LOOKUP(2,1/(($A$2:$A$501=$A53)*($S$2:$S$501=$S53)*($B$2:$B$501="")*($O$2:$O$501="")),$P$2:$P$501),$Q53&lt;&gt;LOOKUP(2,1/(($A$2:$A$501=$A53)*($S$2:$S$501=$S53)*($B$2:$B$501="")*($O$2:$O$501="")),$Q$2:$Q$501),$R53&lt;&gt;LOOKUP(2,1/(($A$2:$A$501=$A53)*($S$2:$S$501=$S53)*($B$2:$B$501="")*($O$2:$O$501="")),$R$2:$R$501),$T53&lt;&gt;LOOKUP(2,1/(($A$2:$A$501=$A53)*($S$2:$S$501=$S53)*($B$2:$B$501="")*($O$2:$O$501="")),$T$2:$T$501),$U53&lt;&gt;LOOKUP(2,1/(($A$2:$A$501=$A53)*($S$2:$S$501=$S53)*($B$2:$B$501="")*($O$2:$O$501="")),$U$2:$U$501)),FALSE)),"Dependent row does not match the employee row for eligibility, status, coverage level, or funding; ",""))</f>
        <v/>
      </c>
      <c r="AB53">
        <f>IF(COUNTA($A53:$U53)=0,"",IF($L53="","Birthdate is required; ","")&amp;IF(AND($L53&lt;&gt;"",OR(NOT(ISNUMBER($L53)),$L53&lt;=DATE(1900,1,1),$L53&gt;TODAY())),"Birthdate must be an exact valid past date; ","")&amp;IF($P53="","Eligibility Date is required; ","")&amp;IF(AND($P53&lt;&gt;"",OR(NOT(ISNUMBER($P53)),$P53&lt;=DATE(1900,1,1))),"Eligibility Date must be a valid date; ","")&amp;IF(AND($R53="Terminated",$Q53=""),"Termination Date is required when Status is Terminated; ","")&amp;IF(AND($Q53&lt;&gt;"",OR(NOT(ISNUMBER($Q53)),$Q53&lt;=DATE(1900,1,1))),"Termination Date must be a valid date; ","")&amp;IF(AND(ISNUMBER($P53),ISNUMBER($Q53),$Q53&lt;$P53),"Termination Date cannot be before Eligibility Date; ","")&amp;IF($R53="","Status is required; ","")&amp;IF(AND($R53&lt;&gt;"",$R53&lt;&gt;"Active",$R53&lt;&gt;"Terminated"),"Status must be Active or Terminated; ","")&amp;IF(AND('START HERE'!$C$8="Terminations Only",$R53&lt;&gt;"Terminated"),"Terminations Only files must contain terminated records; ",""))</f>
        <v/>
      </c>
      <c r="AC53">
        <f>IF(COUNTA($A53:$U53)=0,"",IF($S53="","Plan Name is required; ","")&amp;IF($T53="","Benefit Coverage Level is required; ","")&amp;IF(AND($U53&lt;&gt;"",OR(NOT(ISNUMBER($U53)),$U53&lt;0)),"Plan Funding Amount must be a nonnegative number; ","")&amp;IF(AND($A53&lt;&gt;"",$S53&lt;&gt;"",COUNTIFS($A$2:$A$501,$A53,$B$2:$B$501,$B53,$S$2:$S$501,$S53)&gt;1),"Duplicate participant and plan row; ",""))</f>
        <v/>
      </c>
      <c r="AD53">
        <f>IF(COUNTA($A53:$U53)=0,"",IF(AND($X53="Employee",$M53="",$N53=""),"No employee phone or email provided; ","")&amp;IF(AND($R53="Active",$Q53&lt;&gt;""),"Active record includes a Termination Date; confirm this is intentional; ","")&amp;IF(AND($B53&lt;&gt;"",$B53&amp;""&lt;&gt;$A53&amp;"",COUNTIF($A$2:$A$501,$B53)&gt;0),"Dependent SSN also appears as an Employee SSN elsewhere; confirm dual-employee coverage is intentional; ","")&amp;IF(AND($B53&lt;&gt;"",COUNTIF($B$2:$B$501,$B53)&gt;COUNTIFS($A$2:$A$501,$A53,$B$2:$B$501,$B53)),"Dependent SSN appears under more than one employee; confirm duplicate family coverage is intentional; ","")&amp;IF(AND(ROW()&gt;2,$A53&lt;&gt;"",$A53&lt;&gt;$A52,COUNTIF($A$2:$A52,$A53)&gt;0),"This household appears in more than one section of the census; keep the family together; ","")&amp;IF(OR(AND($C53&lt;&gt;"",LEN($C53&amp;"")&lt;&gt;LEN(TRIM($C53&amp;""))),AND($D53&lt;&gt;"",LEN($D53&amp;"")&lt;&gt;LEN(TRIM($D53&amp;""))),AND($E53&lt;&gt;"",LEN($E53&amp;"")&lt;&gt;LEN(TRIM($E53&amp;""))),AND($F53&lt;&gt;"",LEN($F53&amp;"")&lt;&gt;LEN(TRIM($F53&amp;""))),AND($G53&lt;&gt;"",LEN($G53&amp;"")&lt;&gt;LEN(TRIM($G53&amp;""))),AND($H53&lt;&gt;"",LEN($H53&amp;"")&lt;&gt;LEN(TRIM($H53&amp;""))),AND($I53&lt;&gt;"",LEN($I53&amp;"")&lt;&gt;LEN(TRIM($I53&amp;""))),AND($J53&lt;&gt;"",LEN($J53&amp;"")&lt;&gt;LEN(TRIM($J53&amp;""))),AND($K53&lt;&gt;"",LEN($K53&amp;"")&lt;&gt;LEN(TRIM($K53&amp;""))),AND($M53&lt;&gt;"",LEN($M53&amp;"")&lt;&gt;LEN(TRIM($M53&amp;""))),AND($N53&lt;&gt;"",LEN($N53&amp;"")&lt;&gt;LEN(TRIM($N53&amp;""))),AND($O53&lt;&gt;"",LEN($O53&amp;"")&lt;&gt;LEN(TRIM($O53&amp;""))),AND($R53&lt;&gt;"",LEN($R53&amp;"")&lt;&gt;LEN(TRIM($R53&amp;""))),AND($S53&lt;&gt;"",LEN($S53&amp;"")&lt;&gt;LEN(TRIM($S53&amp;""))),AND($T53&lt;&gt;"",LEN($T53&amp;"")&lt;&gt;LEN(TRIM($T53&amp;"")))),"Remove leading or trailing spaces from text fields; ","")&amp;IF(OR(AND(LEN($C53)&gt;1,OR(EXACT($C53,UPPER($C53)),EXACT($C53,LOWER($C53)))),AND(LEN($D53)&gt;1,OR(EXACT($D53,UPPER($D53)),EXACT($D53,LOWER($D53)))),AND(LEN($H53)&gt;1,OR(EXACT($H53,UPPER($H53)),EXACT($H53,LOWER($H53))))),"Review capitalization in First Name, Last Name, or City; ","")&amp;IF(AND($N53&lt;&gt;"",NOT(EXACT($N53,LOWER($N53)))),"Email will be standardized to lowercase in the clean output; ","")&amp;IF(AND(OR('START HERE'!$C$8="Initial Enrollment",'START HERE'!$C$8="Open Enrollment"),$R53="Terminated"),"A terminated row is included in an initial or open enrollment file; confirm this is intentional; ",""))</f>
        <v/>
      </c>
      <c r="AE53">
        <f>IF(COUNTA($A53:$U53)=0,"",IF(OR($A53="",AND($A53&lt;&gt;"",NOT(IFERROR(AND(LEN($A53&amp;"")=9,ISNUMBER(--($A53&amp;""))),FALSE))),AND($A53&lt;&gt;"",OR($A53="123456789",$A53="987654321",$A53="012345678",$A53=REPT(LEFT($A53&amp;"",1),9)))),"Employee SSN, ","")&amp;IF(OR(AND($O53&lt;&gt;"",$B53=""),AND($B53&lt;&gt;"",OR(NOT(IFERROR(AND(LEN($B53&amp;"")=9,ISNUMBER(--($B53&amp;""))),FALSE)),$B53=$A53,$B53="123456789",$B53="987654321",$B53="012345678",$B53=REPT(LEFT($B53&amp;"",1),9)))),"Dependent SSN, ","")&amp;IF(OR($C53="",LEN($C53)&gt;19,AND($C53&lt;&gt;"",SUMPRODUCT(--(ROW($1:$19)&lt;=LEN($C53&amp;"")),--ISERROR(FIND(MID($C53&amp;"",ROW($1:$19),1),"ABCDEFGHIJKLMNOPQRSTUVWXYZabcdefghijklmnopqrstuvwxyz .,")))&gt;0)),"First Name, ","")&amp;IF(OR($D53="",LEN($D53)&gt;26,AND($D53&lt;&gt;"",SUMPRODUCT(--(ROW($1:$26)&lt;=LEN($D53&amp;"")),--ISERROR(FIND(MID($D53&amp;"",ROW($1:$26),1),"ABCDEFGHIJKLMNOPQRSTUVWXYZabcdefghijklmnopqrstuvwxyz .,")))&gt;0)),"Last Name, ","")&amp;IF(OR(LEN($E53)&gt;1,AND($E53&lt;&gt;"",SUMPRODUCT(--(ROW($1:$1)&lt;=LEN($E53&amp;"")),--ISERROR(FIND(MID($E53&amp;"",ROW($1:$1),1),"ABCDEFGHIJKLMNOPQRSTUVWXYZabcdefghijklmnopqrstuvwxyz .,")))&gt;0)),"Middle Initial, ","")&amp;IF(OR($F53="",LEN($F53)&gt;75),"Address, ","")&amp;IF(OR($H53="",LEN($H53)&gt;30),"City, ","")&amp;IF(AND($K53="US",OR($I53="",LEN($I53)&lt;&gt;2)),"State, ","")&amp;IF($J53="","ZIP, ","")&amp;IF(OR($K53="",AND($K53&lt;&gt;"US",$K53&lt;&gt;"CA")),"Country, ","")&amp;IF(OR($L53="",AND($L53&lt;&gt;"",OR(NOT(ISNUMBER($L53)),$L53&lt;=DATE(1900,1,1),$L53&gt;TODAY()))),"Birthdate, ","")&amp;IF(AND($N53&lt;&gt;"",NOT(IFERROR(AND(ISNUMBER(SEARCH("@",$N53)),ISNUMBER(SEARCH(".",$N53,SEARCH("@",$N53)+2))),FALSE))),"Email, ","")&amp;IF(OR(AND($B53&lt;&gt;"",$O53=""),AND($O53&lt;&gt;"",$O53&lt;&gt;"Spouse or Common Law Spouse",$O53&lt;&gt;"Domestic Partner",$O53&lt;&gt;"Child",$O53&lt;&gt;"Other",$O53&lt;&gt;"Estate",$O53&lt;&gt;"Unknown")),"Dependent Relationship, ","")&amp;IF($AA53&lt;&gt;"","Household, ","")&amp;IF(OR($P53="",AND($P53&lt;&gt;"",OR(NOT(ISNUMBER($P53)),$P53&lt;=DATE(1900,1,1)))),"Eligibility Date, ","")&amp;IF(OR(AND($R53="Terminated",$Q53=""),AND($Q53&lt;&gt;"",OR(NOT(ISNUMBER($Q53)),$Q53&lt;=DATE(1900,1,1))),AND(ISNUMBER($P53),ISNUMBER($Q53),$Q53&lt;$P53)),"Termination Date, ","")&amp;IF(OR($R53="",AND($R53&lt;&gt;"Active",$R53&lt;&gt;"Terminated"),AND('START HERE'!$C$8="Terminations Only",$R53&lt;&gt;"Terminated")),"Status, ","")&amp;IF($S53="","Plan Name, ","")&amp;IF($T53="","Coverage Level, ","")&amp;IF(AND($U53&lt;&gt;"",OR(NOT(ISNUMBER($U53)),$U53&lt;0)),"Funding, ","")&amp;IF(AND($A53&lt;&gt;"",$S53&lt;&gt;"",COUNTIFS($A$2:$A$501,$A53,$B$2:$B$501,$B53,$S$2:$S$501,$S53)&gt;1),"Duplicate Row, ",""))</f>
        <v/>
      </c>
      <c r="AF53">
        <f>IF(COUNTA($A53:$U53)=0,"",$Y53&amp;$Z53&amp;$AA53&amp;$AB53&amp;$AC53)</f>
        <v/>
      </c>
      <c r="AG53">
        <f>IF($N53="","",LOWER(TRIM($N53)))</f>
        <v/>
      </c>
      <c r="AH53">
        <f>IF($A53="","",COUNTIFS($A$2:$A$501,$A53,$AI$2:$AI$501,1))</f>
        <v/>
      </c>
      <c r="AI53">
        <f>IF(COUNTA($A53:$U53)=0,"",--($AF53&lt;&gt;""))</f>
        <v/>
      </c>
      <c r="AJ53">
        <f>IF(COUNTA($A53:$U53)=0,"",--($AD53&lt;&gt;""))</f>
        <v/>
      </c>
    </row>
    <row r="54" ht="20" customHeight="1">
      <c r="A54" s="80" t="n"/>
      <c r="B54" s="80" t="n"/>
      <c r="C54" s="81" t="n"/>
      <c r="D54" s="81" t="n"/>
      <c r="E54" s="80" t="n"/>
      <c r="F54" s="81" t="n"/>
      <c r="G54" s="81" t="n"/>
      <c r="H54" s="81" t="n"/>
      <c r="I54" s="80" t="n"/>
      <c r="J54" s="80" t="n"/>
      <c r="K54" s="80" t="n"/>
      <c r="L54" s="82" t="n"/>
      <c r="M54" s="80" t="n"/>
      <c r="N54" s="80" t="n"/>
      <c r="O54" s="80" t="n"/>
      <c r="P54" s="82" t="n"/>
      <c r="Q54" s="82" t="n"/>
      <c r="R54" s="80" t="n"/>
      <c r="S54" s="80" t="n"/>
      <c r="T54" s="80" t="n"/>
      <c r="U54" s="83" t="n"/>
      <c r="V54">
        <f>IF($A54="","",IF($A54=$A53,$V53,IF($V53="",0,1-$V53)))</f>
        <v/>
      </c>
      <c r="W54">
        <f>IF($B54&lt;&gt;"",$B54,$A54)</f>
        <v/>
      </c>
      <c r="X54">
        <f>IF(COUNTA($A54:$U54)=0,"",IF(OR($B54&lt;&gt;"",$O54&lt;&gt;""),"Dependent","Employee"))</f>
        <v/>
      </c>
      <c r="Y54">
        <f>IF(COUNTA($A54:$U54)=0,"",IF($A54="","Employee SSN is required; ","")&amp;IF($C54="","First Name is required; ","")&amp;IF(LEN($C54&amp;"")&gt;19,"First Name exceeds 19 characters; ","")&amp;IF(AND($C54&lt;&gt;"",SUMPRODUCT(--(ROW($1:$19)&lt;=LEN($C54&amp;"")),--ISERROR(FIND(MID($C54&amp;"",ROW($1:$19),1),"ABCDEFGHIJKLMNOPQRSTUVWXYZabcdefghijklmnopqrstuvwxyz .,")))&gt;0),"First Name contains unsupported or encoded characters; use plain A-Z letters only; ","")&amp;IF($D54="","Last Name is required; ","")&amp;IF(LEN($D54&amp;"")&gt;26,"Last Name exceeds 26 characters; ","")&amp;IF(AND($D54&lt;&gt;"",SUMPRODUCT(--(ROW($1:$26)&lt;=LEN($D54&amp;"")),--ISERROR(FIND(MID($D54&amp;"",ROW($1:$26),1),"ABCDEFGHIJKLMNOPQRSTUVWXYZabcdefghijklmnopqrstuvwxyz .,")))&gt;0),"Last Name contains unsupported or encoded characters; use plain A-Z letters only; ","")&amp;IF(LEN($E54&amp;"")&gt;1,"Middle Initial may contain only one character; ","")&amp;IF(AND($E54&lt;&gt;"",SUMPRODUCT(--(ROW($1:$1)&lt;=LEN($E54&amp;"")),--ISERROR(FIND(MID($E54&amp;"",ROW($1:$1),1),"ABCDEFGHIJKLMNOPQRSTUVWXYZabcdefghijklmnopqrstuvwxyz .,")))&gt;0),"Middle Initial must be a plain A-Z letter; ","")&amp;IF($F54="","Address is required; ","")&amp;IF(LEN($F54&amp;"")&gt;75,"Address exceeds 75 characters; ","")&amp;IF(LEN($G54&amp;"")&gt;75,"Address 2 exceeds 75 characters; ","")&amp;IF($H54="","City is required; ","")&amp;IF(LEN($H54&amp;"")&gt;30,"City exceeds 30 characters; ","")&amp;IF($K54="","Country is required; ","")&amp;IF(AND($K54&lt;&gt;"",$K54&lt;&gt;"US",$K54&lt;&gt;"CA"),"Country must be US or CA; ","")&amp;IF(AND($K54="US",OR($I54="",LEN($I54&amp;"")&lt;&gt;2)),"Use a 2-letter state code; ","")&amp;IF($J54="","ZIP or postal code is required; ","")&amp;IF(AND($K54="US",$J54&lt;&gt;"",NOT(IFERROR(OR(AND(LEN($J54&amp;"")=5,ISNUMBER(--($J54&amp;""))),AND(LEN($J54&amp;"")=9,ISNUMBER(--($J54&amp;""))),AND(LEN($J54&amp;"")=10,MID($J54&amp;"",6,1)="-",ISNUMBER(--SUBSTITUTE($J54&amp;"","-","")))),FALSE))),"US ZIP must be 5 or 9 digits, with an optional ZIP+4 hyphen; ","")&amp;IF(AND($N54&lt;&gt;"",NOT(IFERROR(AND(ISNUMBER(SEARCH("@",$N54)),ISNUMBER(SEARCH(".",$N54,SEARCH("@",$N54)+2))),FALSE))),"Email format appears invalid; ","")&amp;IF(AND($O54&lt;&gt;"",$B54=""),"Dependent SSN is required for every dependent; ","")&amp;IF(AND($B54&lt;&gt;"",$O54=""),"Dependent Relationship is required when Dependent SSN is entered; ","")&amp;IF(AND($O54&lt;&gt;"",$O54&lt;&gt;"Spouse or Common Law Spouse",$O54&lt;&gt;"Domestic Partner",$O54&lt;&gt;"Child",$O54&lt;&gt;"Other",$O54&lt;&gt;"Estate",$O54&lt;&gt;"Unknown"),"Dependent Relationship must use one of the approved options; ",""))</f>
        <v/>
      </c>
      <c r="Z54">
        <f>IF(COUNTA($A54:$U54)=0,"",IF(AND($A54&lt;&gt;"",NOT(IFERROR(AND(LEN($A54&amp;"")=9,ISNUMBER(--($A54&amp;""))),FALSE))),"Employee SSN must contain exactly 9 digits; ","")&amp;IF(AND($A54&lt;&gt;"",OR($A54="123456789",$A54="987654321",$A54="012345678",$A54=REPT(LEFT($A54&amp;"",1),9))),"Employee SSN appears to be a placeholder; ","")&amp;IF(AND($B54&lt;&gt;"",NOT(IFERROR(AND(LEN($B54&amp;"")=9,ISNUMBER(--($B54&amp;""))),FALSE))),"Dependent SSN must contain exactly 9 digits; ","")&amp;IF(AND($B54&lt;&gt;"",OR($B54="123456789",$B54="987654321",$B54="012345678",$B54=REPT(LEFT($B54&amp;"",1),9))),"Dependent SSN appears to be a placeholder; ","")&amp;IF(AND($A54&lt;&gt;"",$B54&lt;&gt;"",$A54&amp;""=$B54&amp;""),"Dependent SSN cannot match Employee SSN; ","")&amp;IF(AND($W54&lt;&gt;"",OR(COUNTIFS($W$2:$W$501,$W54,$C$2:$C$501,"&lt;&gt;"&amp;$C54)&gt;0,COUNTIFS($W$2:$W$501,$W54,$D$2:$D$501,"&lt;&gt;"&amp;$D54)&gt;0,COUNTIFS($W$2:$W$501,$W54,$L$2:$L$501,"&lt;&gt;"&amp;$L54)&gt;0)),"The same SSN is associated with a different name or birthdate; ",""))</f>
        <v/>
      </c>
      <c r="AA54">
        <f>IF(COUNTA($A54:$U54)=0,"",IF(AND($A54&lt;&gt;"",$S54&lt;&gt;"",COUNTIFS($A$2:$A$501,$A54,$S$2:$S$501,$S54,$B$2:$B$501,"",$O$2:$O$501,"")=0),"Add an employee row for this household and plan; ","")&amp;IF(AND($X54="Dependent",COUNTIFS($A$2:$A54,$A54,$S$2:$S54,$S54,$B$2:$B54,"",$O$2:$O54,"")=0),"Place the employee row before dependent rows for this plan; ","")&amp;IF(AND($X54="Dependent",COUNTIFS($A$2:$A$501,$A54,$S$2:$S$501,$S54,$B$2:$B$501,"",$O$2:$O$501,"")&gt;0,IFERROR(OR($P54&lt;&gt;LOOKUP(2,1/(($A$2:$A$501=$A54)*($S$2:$S$501=$S54)*($B$2:$B$501="")*($O$2:$O$501="")),$P$2:$P$501),$Q54&lt;&gt;LOOKUP(2,1/(($A$2:$A$501=$A54)*($S$2:$S$501=$S54)*($B$2:$B$501="")*($O$2:$O$501="")),$Q$2:$Q$501),$R54&lt;&gt;LOOKUP(2,1/(($A$2:$A$501=$A54)*($S$2:$S$501=$S54)*($B$2:$B$501="")*($O$2:$O$501="")),$R$2:$R$501),$T54&lt;&gt;LOOKUP(2,1/(($A$2:$A$501=$A54)*($S$2:$S$501=$S54)*($B$2:$B$501="")*($O$2:$O$501="")),$T$2:$T$501),$U54&lt;&gt;LOOKUP(2,1/(($A$2:$A$501=$A54)*($S$2:$S$501=$S54)*($B$2:$B$501="")*($O$2:$O$501="")),$U$2:$U$501)),FALSE)),"Dependent row does not match the employee row for eligibility, status, coverage level, or funding; ",""))</f>
        <v/>
      </c>
      <c r="AB54">
        <f>IF(COUNTA($A54:$U54)=0,"",IF($L54="","Birthdate is required; ","")&amp;IF(AND($L54&lt;&gt;"",OR(NOT(ISNUMBER($L54)),$L54&lt;=DATE(1900,1,1),$L54&gt;TODAY())),"Birthdate must be an exact valid past date; ","")&amp;IF($P54="","Eligibility Date is required; ","")&amp;IF(AND($P54&lt;&gt;"",OR(NOT(ISNUMBER($P54)),$P54&lt;=DATE(1900,1,1))),"Eligibility Date must be a valid date; ","")&amp;IF(AND($R54="Terminated",$Q54=""),"Termination Date is required when Status is Terminated; ","")&amp;IF(AND($Q54&lt;&gt;"",OR(NOT(ISNUMBER($Q54)),$Q54&lt;=DATE(1900,1,1))),"Termination Date must be a valid date; ","")&amp;IF(AND(ISNUMBER($P54),ISNUMBER($Q54),$Q54&lt;$P54),"Termination Date cannot be before Eligibility Date; ","")&amp;IF($R54="","Status is required; ","")&amp;IF(AND($R54&lt;&gt;"",$R54&lt;&gt;"Active",$R54&lt;&gt;"Terminated"),"Status must be Active or Terminated; ","")&amp;IF(AND('START HERE'!$C$8="Terminations Only",$R54&lt;&gt;"Terminated"),"Terminations Only files must contain terminated records; ",""))</f>
        <v/>
      </c>
      <c r="AC54">
        <f>IF(COUNTA($A54:$U54)=0,"",IF($S54="","Plan Name is required; ","")&amp;IF($T54="","Benefit Coverage Level is required; ","")&amp;IF(AND($U54&lt;&gt;"",OR(NOT(ISNUMBER($U54)),$U54&lt;0)),"Plan Funding Amount must be a nonnegative number; ","")&amp;IF(AND($A54&lt;&gt;"",$S54&lt;&gt;"",COUNTIFS($A$2:$A$501,$A54,$B$2:$B$501,$B54,$S$2:$S$501,$S54)&gt;1),"Duplicate participant and plan row; ",""))</f>
        <v/>
      </c>
      <c r="AD54">
        <f>IF(COUNTA($A54:$U54)=0,"",IF(AND($X54="Employee",$M54="",$N54=""),"No employee phone or email provided; ","")&amp;IF(AND($R54="Active",$Q54&lt;&gt;""),"Active record includes a Termination Date; confirm this is intentional; ","")&amp;IF(AND($B54&lt;&gt;"",$B54&amp;""&lt;&gt;$A54&amp;"",COUNTIF($A$2:$A$501,$B54)&gt;0),"Dependent SSN also appears as an Employee SSN elsewhere; confirm dual-employee coverage is intentional; ","")&amp;IF(AND($B54&lt;&gt;"",COUNTIF($B$2:$B$501,$B54)&gt;COUNTIFS($A$2:$A$501,$A54,$B$2:$B$501,$B54)),"Dependent SSN appears under more than one employee; confirm duplicate family coverage is intentional; ","")&amp;IF(AND(ROW()&gt;2,$A54&lt;&gt;"",$A54&lt;&gt;$A53,COUNTIF($A$2:$A53,$A54)&gt;0),"This household appears in more than one section of the census; keep the family together; ","")&amp;IF(OR(AND($C54&lt;&gt;"",LEN($C54&amp;"")&lt;&gt;LEN(TRIM($C54&amp;""))),AND($D54&lt;&gt;"",LEN($D54&amp;"")&lt;&gt;LEN(TRIM($D54&amp;""))),AND($E54&lt;&gt;"",LEN($E54&amp;"")&lt;&gt;LEN(TRIM($E54&amp;""))),AND($F54&lt;&gt;"",LEN($F54&amp;"")&lt;&gt;LEN(TRIM($F54&amp;""))),AND($G54&lt;&gt;"",LEN($G54&amp;"")&lt;&gt;LEN(TRIM($G54&amp;""))),AND($H54&lt;&gt;"",LEN($H54&amp;"")&lt;&gt;LEN(TRIM($H54&amp;""))),AND($I54&lt;&gt;"",LEN($I54&amp;"")&lt;&gt;LEN(TRIM($I54&amp;""))),AND($J54&lt;&gt;"",LEN($J54&amp;"")&lt;&gt;LEN(TRIM($J54&amp;""))),AND($K54&lt;&gt;"",LEN($K54&amp;"")&lt;&gt;LEN(TRIM($K54&amp;""))),AND($M54&lt;&gt;"",LEN($M54&amp;"")&lt;&gt;LEN(TRIM($M54&amp;""))),AND($N54&lt;&gt;"",LEN($N54&amp;"")&lt;&gt;LEN(TRIM($N54&amp;""))),AND($O54&lt;&gt;"",LEN($O54&amp;"")&lt;&gt;LEN(TRIM($O54&amp;""))),AND($R54&lt;&gt;"",LEN($R54&amp;"")&lt;&gt;LEN(TRIM($R54&amp;""))),AND($S54&lt;&gt;"",LEN($S54&amp;"")&lt;&gt;LEN(TRIM($S54&amp;""))),AND($T54&lt;&gt;"",LEN($T54&amp;"")&lt;&gt;LEN(TRIM($T54&amp;"")))),"Remove leading or trailing spaces from text fields; ","")&amp;IF(OR(AND(LEN($C54)&gt;1,OR(EXACT($C54,UPPER($C54)),EXACT($C54,LOWER($C54)))),AND(LEN($D54)&gt;1,OR(EXACT($D54,UPPER($D54)),EXACT($D54,LOWER($D54)))),AND(LEN($H54)&gt;1,OR(EXACT($H54,UPPER($H54)),EXACT($H54,LOWER($H54))))),"Review capitalization in First Name, Last Name, or City; ","")&amp;IF(AND($N54&lt;&gt;"",NOT(EXACT($N54,LOWER($N54)))),"Email will be standardized to lowercase in the clean output; ","")&amp;IF(AND(OR('START HERE'!$C$8="Initial Enrollment",'START HERE'!$C$8="Open Enrollment"),$R54="Terminated"),"A terminated row is included in an initial or open enrollment file; confirm this is intentional; ",""))</f>
        <v/>
      </c>
      <c r="AE54">
        <f>IF(COUNTA($A54:$U54)=0,"",IF(OR($A54="",AND($A54&lt;&gt;"",NOT(IFERROR(AND(LEN($A54&amp;"")=9,ISNUMBER(--($A54&amp;""))),FALSE))),AND($A54&lt;&gt;"",OR($A54="123456789",$A54="987654321",$A54="012345678",$A54=REPT(LEFT($A54&amp;"",1),9)))),"Employee SSN, ","")&amp;IF(OR(AND($O54&lt;&gt;"",$B54=""),AND($B54&lt;&gt;"",OR(NOT(IFERROR(AND(LEN($B54&amp;"")=9,ISNUMBER(--($B54&amp;""))),FALSE)),$B54=$A54,$B54="123456789",$B54="987654321",$B54="012345678",$B54=REPT(LEFT($B54&amp;"",1),9)))),"Dependent SSN, ","")&amp;IF(OR($C54="",LEN($C54)&gt;19,AND($C54&lt;&gt;"",SUMPRODUCT(--(ROW($1:$19)&lt;=LEN($C54&amp;"")),--ISERROR(FIND(MID($C54&amp;"",ROW($1:$19),1),"ABCDEFGHIJKLMNOPQRSTUVWXYZabcdefghijklmnopqrstuvwxyz .,")))&gt;0)),"First Name, ","")&amp;IF(OR($D54="",LEN($D54)&gt;26,AND($D54&lt;&gt;"",SUMPRODUCT(--(ROW($1:$26)&lt;=LEN($D54&amp;"")),--ISERROR(FIND(MID($D54&amp;"",ROW($1:$26),1),"ABCDEFGHIJKLMNOPQRSTUVWXYZabcdefghijklmnopqrstuvwxyz .,")))&gt;0)),"Last Name, ","")&amp;IF(OR(LEN($E54)&gt;1,AND($E54&lt;&gt;"",SUMPRODUCT(--(ROW($1:$1)&lt;=LEN($E54&amp;"")),--ISERROR(FIND(MID($E54&amp;"",ROW($1:$1),1),"ABCDEFGHIJKLMNOPQRSTUVWXYZabcdefghijklmnopqrstuvwxyz .,")))&gt;0)),"Middle Initial, ","")&amp;IF(OR($F54="",LEN($F54)&gt;75),"Address, ","")&amp;IF(OR($H54="",LEN($H54)&gt;30),"City, ","")&amp;IF(AND($K54="US",OR($I54="",LEN($I54)&lt;&gt;2)),"State, ","")&amp;IF($J54="","ZIP, ","")&amp;IF(OR($K54="",AND($K54&lt;&gt;"US",$K54&lt;&gt;"CA")),"Country, ","")&amp;IF(OR($L54="",AND($L54&lt;&gt;"",OR(NOT(ISNUMBER($L54)),$L54&lt;=DATE(1900,1,1),$L54&gt;TODAY()))),"Birthdate, ","")&amp;IF(AND($N54&lt;&gt;"",NOT(IFERROR(AND(ISNUMBER(SEARCH("@",$N54)),ISNUMBER(SEARCH(".",$N54,SEARCH("@",$N54)+2))),FALSE))),"Email, ","")&amp;IF(OR(AND($B54&lt;&gt;"",$O54=""),AND($O54&lt;&gt;"",$O54&lt;&gt;"Spouse or Common Law Spouse",$O54&lt;&gt;"Domestic Partner",$O54&lt;&gt;"Child",$O54&lt;&gt;"Other",$O54&lt;&gt;"Estate",$O54&lt;&gt;"Unknown")),"Dependent Relationship, ","")&amp;IF($AA54&lt;&gt;"","Household, ","")&amp;IF(OR($P54="",AND($P54&lt;&gt;"",OR(NOT(ISNUMBER($P54)),$P54&lt;=DATE(1900,1,1)))),"Eligibility Date, ","")&amp;IF(OR(AND($R54="Terminated",$Q54=""),AND($Q54&lt;&gt;"",OR(NOT(ISNUMBER($Q54)),$Q54&lt;=DATE(1900,1,1))),AND(ISNUMBER($P54),ISNUMBER($Q54),$Q54&lt;$P54)),"Termination Date, ","")&amp;IF(OR($R54="",AND($R54&lt;&gt;"Active",$R54&lt;&gt;"Terminated"),AND('START HERE'!$C$8="Terminations Only",$R54&lt;&gt;"Terminated")),"Status, ","")&amp;IF($S54="","Plan Name, ","")&amp;IF($T54="","Coverage Level, ","")&amp;IF(AND($U54&lt;&gt;"",OR(NOT(ISNUMBER($U54)),$U54&lt;0)),"Funding, ","")&amp;IF(AND($A54&lt;&gt;"",$S54&lt;&gt;"",COUNTIFS($A$2:$A$501,$A54,$B$2:$B$501,$B54,$S$2:$S$501,$S54)&gt;1),"Duplicate Row, ",""))</f>
        <v/>
      </c>
      <c r="AF54">
        <f>IF(COUNTA($A54:$U54)=0,"",$Y54&amp;$Z54&amp;$AA54&amp;$AB54&amp;$AC54)</f>
        <v/>
      </c>
      <c r="AG54">
        <f>IF($N54="","",LOWER(TRIM($N54)))</f>
        <v/>
      </c>
      <c r="AH54">
        <f>IF($A54="","",COUNTIFS($A$2:$A$501,$A54,$AI$2:$AI$501,1))</f>
        <v/>
      </c>
      <c r="AI54">
        <f>IF(COUNTA($A54:$U54)=0,"",--($AF54&lt;&gt;""))</f>
        <v/>
      </c>
      <c r="AJ54">
        <f>IF(COUNTA($A54:$U54)=0,"",--($AD54&lt;&gt;""))</f>
        <v/>
      </c>
    </row>
    <row r="55" ht="20" customHeight="1">
      <c r="A55" s="80" t="n"/>
      <c r="B55" s="80" t="n"/>
      <c r="C55" s="81" t="n"/>
      <c r="D55" s="81" t="n"/>
      <c r="E55" s="80" t="n"/>
      <c r="F55" s="81" t="n"/>
      <c r="G55" s="81" t="n"/>
      <c r="H55" s="81" t="n"/>
      <c r="I55" s="80" t="n"/>
      <c r="J55" s="80" t="n"/>
      <c r="K55" s="80" t="n"/>
      <c r="L55" s="82" t="n"/>
      <c r="M55" s="80" t="n"/>
      <c r="N55" s="80" t="n"/>
      <c r="O55" s="80" t="n"/>
      <c r="P55" s="82" t="n"/>
      <c r="Q55" s="82" t="n"/>
      <c r="R55" s="80" t="n"/>
      <c r="S55" s="80" t="n"/>
      <c r="T55" s="80" t="n"/>
      <c r="U55" s="83" t="n"/>
      <c r="V55">
        <f>IF($A55="","",IF($A55=$A54,$V54,IF($V54="",0,1-$V54)))</f>
        <v/>
      </c>
      <c r="W55">
        <f>IF($B55&lt;&gt;"",$B55,$A55)</f>
        <v/>
      </c>
      <c r="X55">
        <f>IF(COUNTA($A55:$U55)=0,"",IF(OR($B55&lt;&gt;"",$O55&lt;&gt;""),"Dependent","Employee"))</f>
        <v/>
      </c>
      <c r="Y55">
        <f>IF(COUNTA($A55:$U55)=0,"",IF($A55="","Employee SSN is required; ","")&amp;IF($C55="","First Name is required; ","")&amp;IF(LEN($C55&amp;"")&gt;19,"First Name exceeds 19 characters; ","")&amp;IF(AND($C55&lt;&gt;"",SUMPRODUCT(--(ROW($1:$19)&lt;=LEN($C55&amp;"")),--ISERROR(FIND(MID($C55&amp;"",ROW($1:$19),1),"ABCDEFGHIJKLMNOPQRSTUVWXYZabcdefghijklmnopqrstuvwxyz .,")))&gt;0),"First Name contains unsupported or encoded characters; use plain A-Z letters only; ","")&amp;IF($D55="","Last Name is required; ","")&amp;IF(LEN($D55&amp;"")&gt;26,"Last Name exceeds 26 characters; ","")&amp;IF(AND($D55&lt;&gt;"",SUMPRODUCT(--(ROW($1:$26)&lt;=LEN($D55&amp;"")),--ISERROR(FIND(MID($D55&amp;"",ROW($1:$26),1),"ABCDEFGHIJKLMNOPQRSTUVWXYZabcdefghijklmnopqrstuvwxyz .,")))&gt;0),"Last Name contains unsupported or encoded characters; use plain A-Z letters only; ","")&amp;IF(LEN($E55&amp;"")&gt;1,"Middle Initial may contain only one character; ","")&amp;IF(AND($E55&lt;&gt;"",SUMPRODUCT(--(ROW($1:$1)&lt;=LEN($E55&amp;"")),--ISERROR(FIND(MID($E55&amp;"",ROW($1:$1),1),"ABCDEFGHIJKLMNOPQRSTUVWXYZabcdefghijklmnopqrstuvwxyz .,")))&gt;0),"Middle Initial must be a plain A-Z letter; ","")&amp;IF($F55="","Address is required; ","")&amp;IF(LEN($F55&amp;"")&gt;75,"Address exceeds 75 characters; ","")&amp;IF(LEN($G55&amp;"")&gt;75,"Address 2 exceeds 75 characters; ","")&amp;IF($H55="","City is required; ","")&amp;IF(LEN($H55&amp;"")&gt;30,"City exceeds 30 characters; ","")&amp;IF($K55="","Country is required; ","")&amp;IF(AND($K55&lt;&gt;"",$K55&lt;&gt;"US",$K55&lt;&gt;"CA"),"Country must be US or CA; ","")&amp;IF(AND($K55="US",OR($I55="",LEN($I55&amp;"")&lt;&gt;2)),"Use a 2-letter state code; ","")&amp;IF($J55="","ZIP or postal code is required; ","")&amp;IF(AND($K55="US",$J55&lt;&gt;"",NOT(IFERROR(OR(AND(LEN($J55&amp;"")=5,ISNUMBER(--($J55&amp;""))),AND(LEN($J55&amp;"")=9,ISNUMBER(--($J55&amp;""))),AND(LEN($J55&amp;"")=10,MID($J55&amp;"",6,1)="-",ISNUMBER(--SUBSTITUTE($J55&amp;"","-","")))),FALSE))),"US ZIP must be 5 or 9 digits, with an optional ZIP+4 hyphen; ","")&amp;IF(AND($N55&lt;&gt;"",NOT(IFERROR(AND(ISNUMBER(SEARCH("@",$N55)),ISNUMBER(SEARCH(".",$N55,SEARCH("@",$N55)+2))),FALSE))),"Email format appears invalid; ","")&amp;IF(AND($O55&lt;&gt;"",$B55=""),"Dependent SSN is required for every dependent; ","")&amp;IF(AND($B55&lt;&gt;"",$O55=""),"Dependent Relationship is required when Dependent SSN is entered; ","")&amp;IF(AND($O55&lt;&gt;"",$O55&lt;&gt;"Spouse or Common Law Spouse",$O55&lt;&gt;"Domestic Partner",$O55&lt;&gt;"Child",$O55&lt;&gt;"Other",$O55&lt;&gt;"Estate",$O55&lt;&gt;"Unknown"),"Dependent Relationship must use one of the approved options; ",""))</f>
        <v/>
      </c>
      <c r="Z55">
        <f>IF(COUNTA($A55:$U55)=0,"",IF(AND($A55&lt;&gt;"",NOT(IFERROR(AND(LEN($A55&amp;"")=9,ISNUMBER(--($A55&amp;""))),FALSE))),"Employee SSN must contain exactly 9 digits; ","")&amp;IF(AND($A55&lt;&gt;"",OR($A55="123456789",$A55="987654321",$A55="012345678",$A55=REPT(LEFT($A55&amp;"",1),9))),"Employee SSN appears to be a placeholder; ","")&amp;IF(AND($B55&lt;&gt;"",NOT(IFERROR(AND(LEN($B55&amp;"")=9,ISNUMBER(--($B55&amp;""))),FALSE))),"Dependent SSN must contain exactly 9 digits; ","")&amp;IF(AND($B55&lt;&gt;"",OR($B55="123456789",$B55="987654321",$B55="012345678",$B55=REPT(LEFT($B55&amp;"",1),9))),"Dependent SSN appears to be a placeholder; ","")&amp;IF(AND($A55&lt;&gt;"",$B55&lt;&gt;"",$A55&amp;""=$B55&amp;""),"Dependent SSN cannot match Employee SSN; ","")&amp;IF(AND($W55&lt;&gt;"",OR(COUNTIFS($W$2:$W$501,$W55,$C$2:$C$501,"&lt;&gt;"&amp;$C55)&gt;0,COUNTIFS($W$2:$W$501,$W55,$D$2:$D$501,"&lt;&gt;"&amp;$D55)&gt;0,COUNTIFS($W$2:$W$501,$W55,$L$2:$L$501,"&lt;&gt;"&amp;$L55)&gt;0)),"The same SSN is associated with a different name or birthdate; ",""))</f>
        <v/>
      </c>
      <c r="AA55">
        <f>IF(COUNTA($A55:$U55)=0,"",IF(AND($A55&lt;&gt;"",$S55&lt;&gt;"",COUNTIFS($A$2:$A$501,$A55,$S$2:$S$501,$S55,$B$2:$B$501,"",$O$2:$O$501,"")=0),"Add an employee row for this household and plan; ","")&amp;IF(AND($X55="Dependent",COUNTIFS($A$2:$A55,$A55,$S$2:$S55,$S55,$B$2:$B55,"",$O$2:$O55,"")=0),"Place the employee row before dependent rows for this plan; ","")&amp;IF(AND($X55="Dependent",COUNTIFS($A$2:$A$501,$A55,$S$2:$S$501,$S55,$B$2:$B$501,"",$O$2:$O$501,"")&gt;0,IFERROR(OR($P55&lt;&gt;LOOKUP(2,1/(($A$2:$A$501=$A55)*($S$2:$S$501=$S55)*($B$2:$B$501="")*($O$2:$O$501="")),$P$2:$P$501),$Q55&lt;&gt;LOOKUP(2,1/(($A$2:$A$501=$A55)*($S$2:$S$501=$S55)*($B$2:$B$501="")*($O$2:$O$501="")),$Q$2:$Q$501),$R55&lt;&gt;LOOKUP(2,1/(($A$2:$A$501=$A55)*($S$2:$S$501=$S55)*($B$2:$B$501="")*($O$2:$O$501="")),$R$2:$R$501),$T55&lt;&gt;LOOKUP(2,1/(($A$2:$A$501=$A55)*($S$2:$S$501=$S55)*($B$2:$B$501="")*($O$2:$O$501="")),$T$2:$T$501),$U55&lt;&gt;LOOKUP(2,1/(($A$2:$A$501=$A55)*($S$2:$S$501=$S55)*($B$2:$B$501="")*($O$2:$O$501="")),$U$2:$U$501)),FALSE)),"Dependent row does not match the employee row for eligibility, status, coverage level, or funding; ",""))</f>
        <v/>
      </c>
      <c r="AB55">
        <f>IF(COUNTA($A55:$U55)=0,"",IF($L55="","Birthdate is required; ","")&amp;IF(AND($L55&lt;&gt;"",OR(NOT(ISNUMBER($L55)),$L55&lt;=DATE(1900,1,1),$L55&gt;TODAY())),"Birthdate must be an exact valid past date; ","")&amp;IF($P55="","Eligibility Date is required; ","")&amp;IF(AND($P55&lt;&gt;"",OR(NOT(ISNUMBER($P55)),$P55&lt;=DATE(1900,1,1))),"Eligibility Date must be a valid date; ","")&amp;IF(AND($R55="Terminated",$Q55=""),"Termination Date is required when Status is Terminated; ","")&amp;IF(AND($Q55&lt;&gt;"",OR(NOT(ISNUMBER($Q55)),$Q55&lt;=DATE(1900,1,1))),"Termination Date must be a valid date; ","")&amp;IF(AND(ISNUMBER($P55),ISNUMBER($Q55),$Q55&lt;$P55),"Termination Date cannot be before Eligibility Date; ","")&amp;IF($R55="","Status is required; ","")&amp;IF(AND($R55&lt;&gt;"",$R55&lt;&gt;"Active",$R55&lt;&gt;"Terminated"),"Status must be Active or Terminated; ","")&amp;IF(AND('START HERE'!$C$8="Terminations Only",$R55&lt;&gt;"Terminated"),"Terminations Only files must contain terminated records; ",""))</f>
        <v/>
      </c>
      <c r="AC55">
        <f>IF(COUNTA($A55:$U55)=0,"",IF($S55="","Plan Name is required; ","")&amp;IF($T55="","Benefit Coverage Level is required; ","")&amp;IF(AND($U55&lt;&gt;"",OR(NOT(ISNUMBER($U55)),$U55&lt;0)),"Plan Funding Amount must be a nonnegative number; ","")&amp;IF(AND($A55&lt;&gt;"",$S55&lt;&gt;"",COUNTIFS($A$2:$A$501,$A55,$B$2:$B$501,$B55,$S$2:$S$501,$S55)&gt;1),"Duplicate participant and plan row; ",""))</f>
        <v/>
      </c>
      <c r="AD55">
        <f>IF(COUNTA($A55:$U55)=0,"",IF(AND($X55="Employee",$M55="",$N55=""),"No employee phone or email provided; ","")&amp;IF(AND($R55="Active",$Q55&lt;&gt;""),"Active record includes a Termination Date; confirm this is intentional; ","")&amp;IF(AND($B55&lt;&gt;"",$B55&amp;""&lt;&gt;$A55&amp;"",COUNTIF($A$2:$A$501,$B55)&gt;0),"Dependent SSN also appears as an Employee SSN elsewhere; confirm dual-employee coverage is intentional; ","")&amp;IF(AND($B55&lt;&gt;"",COUNTIF($B$2:$B$501,$B55)&gt;COUNTIFS($A$2:$A$501,$A55,$B$2:$B$501,$B55)),"Dependent SSN appears under more than one employee; confirm duplicate family coverage is intentional; ","")&amp;IF(AND(ROW()&gt;2,$A55&lt;&gt;"",$A55&lt;&gt;$A54,COUNTIF($A$2:$A54,$A55)&gt;0),"This household appears in more than one section of the census; keep the family together; ","")&amp;IF(OR(AND($C55&lt;&gt;"",LEN($C55&amp;"")&lt;&gt;LEN(TRIM($C55&amp;""))),AND($D55&lt;&gt;"",LEN($D55&amp;"")&lt;&gt;LEN(TRIM($D55&amp;""))),AND($E55&lt;&gt;"",LEN($E55&amp;"")&lt;&gt;LEN(TRIM($E55&amp;""))),AND($F55&lt;&gt;"",LEN($F55&amp;"")&lt;&gt;LEN(TRIM($F55&amp;""))),AND($G55&lt;&gt;"",LEN($G55&amp;"")&lt;&gt;LEN(TRIM($G55&amp;""))),AND($H55&lt;&gt;"",LEN($H55&amp;"")&lt;&gt;LEN(TRIM($H55&amp;""))),AND($I55&lt;&gt;"",LEN($I55&amp;"")&lt;&gt;LEN(TRIM($I55&amp;""))),AND($J55&lt;&gt;"",LEN($J55&amp;"")&lt;&gt;LEN(TRIM($J55&amp;""))),AND($K55&lt;&gt;"",LEN($K55&amp;"")&lt;&gt;LEN(TRIM($K55&amp;""))),AND($M55&lt;&gt;"",LEN($M55&amp;"")&lt;&gt;LEN(TRIM($M55&amp;""))),AND($N55&lt;&gt;"",LEN($N55&amp;"")&lt;&gt;LEN(TRIM($N55&amp;""))),AND($O55&lt;&gt;"",LEN($O55&amp;"")&lt;&gt;LEN(TRIM($O55&amp;""))),AND($R55&lt;&gt;"",LEN($R55&amp;"")&lt;&gt;LEN(TRIM($R55&amp;""))),AND($S55&lt;&gt;"",LEN($S55&amp;"")&lt;&gt;LEN(TRIM($S55&amp;""))),AND($T55&lt;&gt;"",LEN($T55&amp;"")&lt;&gt;LEN(TRIM($T55&amp;"")))),"Remove leading or trailing spaces from text fields; ","")&amp;IF(OR(AND(LEN($C55)&gt;1,OR(EXACT($C55,UPPER($C55)),EXACT($C55,LOWER($C55)))),AND(LEN($D55)&gt;1,OR(EXACT($D55,UPPER($D55)),EXACT($D55,LOWER($D55)))),AND(LEN($H55)&gt;1,OR(EXACT($H55,UPPER($H55)),EXACT($H55,LOWER($H55))))),"Review capitalization in First Name, Last Name, or City; ","")&amp;IF(AND($N55&lt;&gt;"",NOT(EXACT($N55,LOWER($N55)))),"Email will be standardized to lowercase in the clean output; ","")&amp;IF(AND(OR('START HERE'!$C$8="Initial Enrollment",'START HERE'!$C$8="Open Enrollment"),$R55="Terminated"),"A terminated row is included in an initial or open enrollment file; confirm this is intentional; ",""))</f>
        <v/>
      </c>
      <c r="AE55">
        <f>IF(COUNTA($A55:$U55)=0,"",IF(OR($A55="",AND($A55&lt;&gt;"",NOT(IFERROR(AND(LEN($A55&amp;"")=9,ISNUMBER(--($A55&amp;""))),FALSE))),AND($A55&lt;&gt;"",OR($A55="123456789",$A55="987654321",$A55="012345678",$A55=REPT(LEFT($A55&amp;"",1),9)))),"Employee SSN, ","")&amp;IF(OR(AND($O55&lt;&gt;"",$B55=""),AND($B55&lt;&gt;"",OR(NOT(IFERROR(AND(LEN($B55&amp;"")=9,ISNUMBER(--($B55&amp;""))),FALSE)),$B55=$A55,$B55="123456789",$B55="987654321",$B55="012345678",$B55=REPT(LEFT($B55&amp;"",1),9)))),"Dependent SSN, ","")&amp;IF(OR($C55="",LEN($C55)&gt;19,AND($C55&lt;&gt;"",SUMPRODUCT(--(ROW($1:$19)&lt;=LEN($C55&amp;"")),--ISERROR(FIND(MID($C55&amp;"",ROW($1:$19),1),"ABCDEFGHIJKLMNOPQRSTUVWXYZabcdefghijklmnopqrstuvwxyz .,")))&gt;0)),"First Name, ","")&amp;IF(OR($D55="",LEN($D55)&gt;26,AND($D55&lt;&gt;"",SUMPRODUCT(--(ROW($1:$26)&lt;=LEN($D55&amp;"")),--ISERROR(FIND(MID($D55&amp;"",ROW($1:$26),1),"ABCDEFGHIJKLMNOPQRSTUVWXYZabcdefghijklmnopqrstuvwxyz .,")))&gt;0)),"Last Name, ","")&amp;IF(OR(LEN($E55)&gt;1,AND($E55&lt;&gt;"",SUMPRODUCT(--(ROW($1:$1)&lt;=LEN($E55&amp;"")),--ISERROR(FIND(MID($E55&amp;"",ROW($1:$1),1),"ABCDEFGHIJKLMNOPQRSTUVWXYZabcdefghijklmnopqrstuvwxyz .,")))&gt;0)),"Middle Initial, ","")&amp;IF(OR($F55="",LEN($F55)&gt;75),"Address, ","")&amp;IF(OR($H55="",LEN($H55)&gt;30),"City, ","")&amp;IF(AND($K55="US",OR($I55="",LEN($I55)&lt;&gt;2)),"State, ","")&amp;IF($J55="","ZIP, ","")&amp;IF(OR($K55="",AND($K55&lt;&gt;"US",$K55&lt;&gt;"CA")),"Country, ","")&amp;IF(OR($L55="",AND($L55&lt;&gt;"",OR(NOT(ISNUMBER($L55)),$L55&lt;=DATE(1900,1,1),$L55&gt;TODAY()))),"Birthdate, ","")&amp;IF(AND($N55&lt;&gt;"",NOT(IFERROR(AND(ISNUMBER(SEARCH("@",$N55)),ISNUMBER(SEARCH(".",$N55,SEARCH("@",$N55)+2))),FALSE))),"Email, ","")&amp;IF(OR(AND($B55&lt;&gt;"",$O55=""),AND($O55&lt;&gt;"",$O55&lt;&gt;"Spouse or Common Law Spouse",$O55&lt;&gt;"Domestic Partner",$O55&lt;&gt;"Child",$O55&lt;&gt;"Other",$O55&lt;&gt;"Estate",$O55&lt;&gt;"Unknown")),"Dependent Relationship, ","")&amp;IF($AA55&lt;&gt;"","Household, ","")&amp;IF(OR($P55="",AND($P55&lt;&gt;"",OR(NOT(ISNUMBER($P55)),$P55&lt;=DATE(1900,1,1)))),"Eligibility Date, ","")&amp;IF(OR(AND($R55="Terminated",$Q55=""),AND($Q55&lt;&gt;"",OR(NOT(ISNUMBER($Q55)),$Q55&lt;=DATE(1900,1,1))),AND(ISNUMBER($P55),ISNUMBER($Q55),$Q55&lt;$P55)),"Termination Date, ","")&amp;IF(OR($R55="",AND($R55&lt;&gt;"Active",$R55&lt;&gt;"Terminated"),AND('START HERE'!$C$8="Terminations Only",$R55&lt;&gt;"Terminated")),"Status, ","")&amp;IF($S55="","Plan Name, ","")&amp;IF($T55="","Coverage Level, ","")&amp;IF(AND($U55&lt;&gt;"",OR(NOT(ISNUMBER($U55)),$U55&lt;0)),"Funding, ","")&amp;IF(AND($A55&lt;&gt;"",$S55&lt;&gt;"",COUNTIFS($A$2:$A$501,$A55,$B$2:$B$501,$B55,$S$2:$S$501,$S55)&gt;1),"Duplicate Row, ",""))</f>
        <v/>
      </c>
      <c r="AF55">
        <f>IF(COUNTA($A55:$U55)=0,"",$Y55&amp;$Z55&amp;$AA55&amp;$AB55&amp;$AC55)</f>
        <v/>
      </c>
      <c r="AG55">
        <f>IF($N55="","",LOWER(TRIM($N55)))</f>
        <v/>
      </c>
      <c r="AH55">
        <f>IF($A55="","",COUNTIFS($A$2:$A$501,$A55,$AI$2:$AI$501,1))</f>
        <v/>
      </c>
      <c r="AI55">
        <f>IF(COUNTA($A55:$U55)=0,"",--($AF55&lt;&gt;""))</f>
        <v/>
      </c>
      <c r="AJ55">
        <f>IF(COUNTA($A55:$U55)=0,"",--($AD55&lt;&gt;""))</f>
        <v/>
      </c>
    </row>
    <row r="56" ht="20" customHeight="1">
      <c r="A56" s="80" t="n"/>
      <c r="B56" s="80" t="n"/>
      <c r="C56" s="81" t="n"/>
      <c r="D56" s="81" t="n"/>
      <c r="E56" s="80" t="n"/>
      <c r="F56" s="81" t="n"/>
      <c r="G56" s="81" t="n"/>
      <c r="H56" s="81" t="n"/>
      <c r="I56" s="80" t="n"/>
      <c r="J56" s="80" t="n"/>
      <c r="K56" s="80" t="n"/>
      <c r="L56" s="82" t="n"/>
      <c r="M56" s="80" t="n"/>
      <c r="N56" s="80" t="n"/>
      <c r="O56" s="80" t="n"/>
      <c r="P56" s="82" t="n"/>
      <c r="Q56" s="82" t="n"/>
      <c r="R56" s="80" t="n"/>
      <c r="S56" s="80" t="n"/>
      <c r="T56" s="80" t="n"/>
      <c r="U56" s="83" t="n"/>
      <c r="V56">
        <f>IF($A56="","",IF($A56=$A55,$V55,IF($V55="",0,1-$V55)))</f>
        <v/>
      </c>
      <c r="W56">
        <f>IF($B56&lt;&gt;"",$B56,$A56)</f>
        <v/>
      </c>
      <c r="X56">
        <f>IF(COUNTA($A56:$U56)=0,"",IF(OR($B56&lt;&gt;"",$O56&lt;&gt;""),"Dependent","Employee"))</f>
        <v/>
      </c>
      <c r="Y56">
        <f>IF(COUNTA($A56:$U56)=0,"",IF($A56="","Employee SSN is required; ","")&amp;IF($C56="","First Name is required; ","")&amp;IF(LEN($C56&amp;"")&gt;19,"First Name exceeds 19 characters; ","")&amp;IF(AND($C56&lt;&gt;"",SUMPRODUCT(--(ROW($1:$19)&lt;=LEN($C56&amp;"")),--ISERROR(FIND(MID($C56&amp;"",ROW($1:$19),1),"ABCDEFGHIJKLMNOPQRSTUVWXYZabcdefghijklmnopqrstuvwxyz .,")))&gt;0),"First Name contains unsupported or encoded characters; use plain A-Z letters only; ","")&amp;IF($D56="","Last Name is required; ","")&amp;IF(LEN($D56&amp;"")&gt;26,"Last Name exceeds 26 characters; ","")&amp;IF(AND($D56&lt;&gt;"",SUMPRODUCT(--(ROW($1:$26)&lt;=LEN($D56&amp;"")),--ISERROR(FIND(MID($D56&amp;"",ROW($1:$26),1),"ABCDEFGHIJKLMNOPQRSTUVWXYZabcdefghijklmnopqrstuvwxyz .,")))&gt;0),"Last Name contains unsupported or encoded characters; use plain A-Z letters only; ","")&amp;IF(LEN($E56&amp;"")&gt;1,"Middle Initial may contain only one character; ","")&amp;IF(AND($E56&lt;&gt;"",SUMPRODUCT(--(ROW($1:$1)&lt;=LEN($E56&amp;"")),--ISERROR(FIND(MID($E56&amp;"",ROW($1:$1),1),"ABCDEFGHIJKLMNOPQRSTUVWXYZabcdefghijklmnopqrstuvwxyz .,")))&gt;0),"Middle Initial must be a plain A-Z letter; ","")&amp;IF($F56="","Address is required; ","")&amp;IF(LEN($F56&amp;"")&gt;75,"Address exceeds 75 characters; ","")&amp;IF(LEN($G56&amp;"")&gt;75,"Address 2 exceeds 75 characters; ","")&amp;IF($H56="","City is required; ","")&amp;IF(LEN($H56&amp;"")&gt;30,"City exceeds 30 characters; ","")&amp;IF($K56="","Country is required; ","")&amp;IF(AND($K56&lt;&gt;"",$K56&lt;&gt;"US",$K56&lt;&gt;"CA"),"Country must be US or CA; ","")&amp;IF(AND($K56="US",OR($I56="",LEN($I56&amp;"")&lt;&gt;2)),"Use a 2-letter state code; ","")&amp;IF($J56="","ZIP or postal code is required; ","")&amp;IF(AND($K56="US",$J56&lt;&gt;"",NOT(IFERROR(OR(AND(LEN($J56&amp;"")=5,ISNUMBER(--($J56&amp;""))),AND(LEN($J56&amp;"")=9,ISNUMBER(--($J56&amp;""))),AND(LEN($J56&amp;"")=10,MID($J56&amp;"",6,1)="-",ISNUMBER(--SUBSTITUTE($J56&amp;"","-","")))),FALSE))),"US ZIP must be 5 or 9 digits, with an optional ZIP+4 hyphen; ","")&amp;IF(AND($N56&lt;&gt;"",NOT(IFERROR(AND(ISNUMBER(SEARCH("@",$N56)),ISNUMBER(SEARCH(".",$N56,SEARCH("@",$N56)+2))),FALSE))),"Email format appears invalid; ","")&amp;IF(AND($O56&lt;&gt;"",$B56=""),"Dependent SSN is required for every dependent; ","")&amp;IF(AND($B56&lt;&gt;"",$O56=""),"Dependent Relationship is required when Dependent SSN is entered; ","")&amp;IF(AND($O56&lt;&gt;"",$O56&lt;&gt;"Spouse or Common Law Spouse",$O56&lt;&gt;"Domestic Partner",$O56&lt;&gt;"Child",$O56&lt;&gt;"Other",$O56&lt;&gt;"Estate",$O56&lt;&gt;"Unknown"),"Dependent Relationship must use one of the approved options; ",""))</f>
        <v/>
      </c>
      <c r="Z56">
        <f>IF(COUNTA($A56:$U56)=0,"",IF(AND($A56&lt;&gt;"",NOT(IFERROR(AND(LEN($A56&amp;"")=9,ISNUMBER(--($A56&amp;""))),FALSE))),"Employee SSN must contain exactly 9 digits; ","")&amp;IF(AND($A56&lt;&gt;"",OR($A56="123456789",$A56="987654321",$A56="012345678",$A56=REPT(LEFT($A56&amp;"",1),9))),"Employee SSN appears to be a placeholder; ","")&amp;IF(AND($B56&lt;&gt;"",NOT(IFERROR(AND(LEN($B56&amp;"")=9,ISNUMBER(--($B56&amp;""))),FALSE))),"Dependent SSN must contain exactly 9 digits; ","")&amp;IF(AND($B56&lt;&gt;"",OR($B56="123456789",$B56="987654321",$B56="012345678",$B56=REPT(LEFT($B56&amp;"",1),9))),"Dependent SSN appears to be a placeholder; ","")&amp;IF(AND($A56&lt;&gt;"",$B56&lt;&gt;"",$A56&amp;""=$B56&amp;""),"Dependent SSN cannot match Employee SSN; ","")&amp;IF(AND($W56&lt;&gt;"",OR(COUNTIFS($W$2:$W$501,$W56,$C$2:$C$501,"&lt;&gt;"&amp;$C56)&gt;0,COUNTIFS($W$2:$W$501,$W56,$D$2:$D$501,"&lt;&gt;"&amp;$D56)&gt;0,COUNTIFS($W$2:$W$501,$W56,$L$2:$L$501,"&lt;&gt;"&amp;$L56)&gt;0)),"The same SSN is associated with a different name or birthdate; ",""))</f>
        <v/>
      </c>
      <c r="AA56">
        <f>IF(COUNTA($A56:$U56)=0,"",IF(AND($A56&lt;&gt;"",$S56&lt;&gt;"",COUNTIFS($A$2:$A$501,$A56,$S$2:$S$501,$S56,$B$2:$B$501,"",$O$2:$O$501,"")=0),"Add an employee row for this household and plan; ","")&amp;IF(AND($X56="Dependent",COUNTIFS($A$2:$A56,$A56,$S$2:$S56,$S56,$B$2:$B56,"",$O$2:$O56,"")=0),"Place the employee row before dependent rows for this plan; ","")&amp;IF(AND($X56="Dependent",COUNTIFS($A$2:$A$501,$A56,$S$2:$S$501,$S56,$B$2:$B$501,"",$O$2:$O$501,"")&gt;0,IFERROR(OR($P56&lt;&gt;LOOKUP(2,1/(($A$2:$A$501=$A56)*($S$2:$S$501=$S56)*($B$2:$B$501="")*($O$2:$O$501="")),$P$2:$P$501),$Q56&lt;&gt;LOOKUP(2,1/(($A$2:$A$501=$A56)*($S$2:$S$501=$S56)*($B$2:$B$501="")*($O$2:$O$501="")),$Q$2:$Q$501),$R56&lt;&gt;LOOKUP(2,1/(($A$2:$A$501=$A56)*($S$2:$S$501=$S56)*($B$2:$B$501="")*($O$2:$O$501="")),$R$2:$R$501),$T56&lt;&gt;LOOKUP(2,1/(($A$2:$A$501=$A56)*($S$2:$S$501=$S56)*($B$2:$B$501="")*($O$2:$O$501="")),$T$2:$T$501),$U56&lt;&gt;LOOKUP(2,1/(($A$2:$A$501=$A56)*($S$2:$S$501=$S56)*($B$2:$B$501="")*($O$2:$O$501="")),$U$2:$U$501)),FALSE)),"Dependent row does not match the employee row for eligibility, status, coverage level, or funding; ",""))</f>
        <v/>
      </c>
      <c r="AB56">
        <f>IF(COUNTA($A56:$U56)=0,"",IF($L56="","Birthdate is required; ","")&amp;IF(AND($L56&lt;&gt;"",OR(NOT(ISNUMBER($L56)),$L56&lt;=DATE(1900,1,1),$L56&gt;TODAY())),"Birthdate must be an exact valid past date; ","")&amp;IF($P56="","Eligibility Date is required; ","")&amp;IF(AND($P56&lt;&gt;"",OR(NOT(ISNUMBER($P56)),$P56&lt;=DATE(1900,1,1))),"Eligibility Date must be a valid date; ","")&amp;IF(AND($R56="Terminated",$Q56=""),"Termination Date is required when Status is Terminated; ","")&amp;IF(AND($Q56&lt;&gt;"",OR(NOT(ISNUMBER($Q56)),$Q56&lt;=DATE(1900,1,1))),"Termination Date must be a valid date; ","")&amp;IF(AND(ISNUMBER($P56),ISNUMBER($Q56),$Q56&lt;$P56),"Termination Date cannot be before Eligibility Date; ","")&amp;IF($R56="","Status is required; ","")&amp;IF(AND($R56&lt;&gt;"",$R56&lt;&gt;"Active",$R56&lt;&gt;"Terminated"),"Status must be Active or Terminated; ","")&amp;IF(AND('START HERE'!$C$8="Terminations Only",$R56&lt;&gt;"Terminated"),"Terminations Only files must contain terminated records; ",""))</f>
        <v/>
      </c>
      <c r="AC56">
        <f>IF(COUNTA($A56:$U56)=0,"",IF($S56="","Plan Name is required; ","")&amp;IF($T56="","Benefit Coverage Level is required; ","")&amp;IF(AND($U56&lt;&gt;"",OR(NOT(ISNUMBER($U56)),$U56&lt;0)),"Plan Funding Amount must be a nonnegative number; ","")&amp;IF(AND($A56&lt;&gt;"",$S56&lt;&gt;"",COUNTIFS($A$2:$A$501,$A56,$B$2:$B$501,$B56,$S$2:$S$501,$S56)&gt;1),"Duplicate participant and plan row; ",""))</f>
        <v/>
      </c>
      <c r="AD56">
        <f>IF(COUNTA($A56:$U56)=0,"",IF(AND($X56="Employee",$M56="",$N56=""),"No employee phone or email provided; ","")&amp;IF(AND($R56="Active",$Q56&lt;&gt;""),"Active record includes a Termination Date; confirm this is intentional; ","")&amp;IF(AND($B56&lt;&gt;"",$B56&amp;""&lt;&gt;$A56&amp;"",COUNTIF($A$2:$A$501,$B56)&gt;0),"Dependent SSN also appears as an Employee SSN elsewhere; confirm dual-employee coverage is intentional; ","")&amp;IF(AND($B56&lt;&gt;"",COUNTIF($B$2:$B$501,$B56)&gt;COUNTIFS($A$2:$A$501,$A56,$B$2:$B$501,$B56)),"Dependent SSN appears under more than one employee; confirm duplicate family coverage is intentional; ","")&amp;IF(AND(ROW()&gt;2,$A56&lt;&gt;"",$A56&lt;&gt;$A55,COUNTIF($A$2:$A55,$A56)&gt;0),"This household appears in more than one section of the census; keep the family together; ","")&amp;IF(OR(AND($C56&lt;&gt;"",LEN($C56&amp;"")&lt;&gt;LEN(TRIM($C56&amp;""))),AND($D56&lt;&gt;"",LEN($D56&amp;"")&lt;&gt;LEN(TRIM($D56&amp;""))),AND($E56&lt;&gt;"",LEN($E56&amp;"")&lt;&gt;LEN(TRIM($E56&amp;""))),AND($F56&lt;&gt;"",LEN($F56&amp;"")&lt;&gt;LEN(TRIM($F56&amp;""))),AND($G56&lt;&gt;"",LEN($G56&amp;"")&lt;&gt;LEN(TRIM($G56&amp;""))),AND($H56&lt;&gt;"",LEN($H56&amp;"")&lt;&gt;LEN(TRIM($H56&amp;""))),AND($I56&lt;&gt;"",LEN($I56&amp;"")&lt;&gt;LEN(TRIM($I56&amp;""))),AND($J56&lt;&gt;"",LEN($J56&amp;"")&lt;&gt;LEN(TRIM($J56&amp;""))),AND($K56&lt;&gt;"",LEN($K56&amp;"")&lt;&gt;LEN(TRIM($K56&amp;""))),AND($M56&lt;&gt;"",LEN($M56&amp;"")&lt;&gt;LEN(TRIM($M56&amp;""))),AND($N56&lt;&gt;"",LEN($N56&amp;"")&lt;&gt;LEN(TRIM($N56&amp;""))),AND($O56&lt;&gt;"",LEN($O56&amp;"")&lt;&gt;LEN(TRIM($O56&amp;""))),AND($R56&lt;&gt;"",LEN($R56&amp;"")&lt;&gt;LEN(TRIM($R56&amp;""))),AND($S56&lt;&gt;"",LEN($S56&amp;"")&lt;&gt;LEN(TRIM($S56&amp;""))),AND($T56&lt;&gt;"",LEN($T56&amp;"")&lt;&gt;LEN(TRIM($T56&amp;"")))),"Remove leading or trailing spaces from text fields; ","")&amp;IF(OR(AND(LEN($C56)&gt;1,OR(EXACT($C56,UPPER($C56)),EXACT($C56,LOWER($C56)))),AND(LEN($D56)&gt;1,OR(EXACT($D56,UPPER($D56)),EXACT($D56,LOWER($D56)))),AND(LEN($H56)&gt;1,OR(EXACT($H56,UPPER($H56)),EXACT($H56,LOWER($H56))))),"Review capitalization in First Name, Last Name, or City; ","")&amp;IF(AND($N56&lt;&gt;"",NOT(EXACT($N56,LOWER($N56)))),"Email will be standardized to lowercase in the clean output; ","")&amp;IF(AND(OR('START HERE'!$C$8="Initial Enrollment",'START HERE'!$C$8="Open Enrollment"),$R56="Terminated"),"A terminated row is included in an initial or open enrollment file; confirm this is intentional; ",""))</f>
        <v/>
      </c>
      <c r="AE56">
        <f>IF(COUNTA($A56:$U56)=0,"",IF(OR($A56="",AND($A56&lt;&gt;"",NOT(IFERROR(AND(LEN($A56&amp;"")=9,ISNUMBER(--($A56&amp;""))),FALSE))),AND($A56&lt;&gt;"",OR($A56="123456789",$A56="987654321",$A56="012345678",$A56=REPT(LEFT($A56&amp;"",1),9)))),"Employee SSN, ","")&amp;IF(OR(AND($O56&lt;&gt;"",$B56=""),AND($B56&lt;&gt;"",OR(NOT(IFERROR(AND(LEN($B56&amp;"")=9,ISNUMBER(--($B56&amp;""))),FALSE)),$B56=$A56,$B56="123456789",$B56="987654321",$B56="012345678",$B56=REPT(LEFT($B56&amp;"",1),9)))),"Dependent SSN, ","")&amp;IF(OR($C56="",LEN($C56)&gt;19,AND($C56&lt;&gt;"",SUMPRODUCT(--(ROW($1:$19)&lt;=LEN($C56&amp;"")),--ISERROR(FIND(MID($C56&amp;"",ROW($1:$19),1),"ABCDEFGHIJKLMNOPQRSTUVWXYZabcdefghijklmnopqrstuvwxyz .,")))&gt;0)),"First Name, ","")&amp;IF(OR($D56="",LEN($D56)&gt;26,AND($D56&lt;&gt;"",SUMPRODUCT(--(ROW($1:$26)&lt;=LEN($D56&amp;"")),--ISERROR(FIND(MID($D56&amp;"",ROW($1:$26),1),"ABCDEFGHIJKLMNOPQRSTUVWXYZabcdefghijklmnopqrstuvwxyz .,")))&gt;0)),"Last Name, ","")&amp;IF(OR(LEN($E56)&gt;1,AND($E56&lt;&gt;"",SUMPRODUCT(--(ROW($1:$1)&lt;=LEN($E56&amp;"")),--ISERROR(FIND(MID($E56&amp;"",ROW($1:$1),1),"ABCDEFGHIJKLMNOPQRSTUVWXYZabcdefghijklmnopqrstuvwxyz .,")))&gt;0)),"Middle Initial, ","")&amp;IF(OR($F56="",LEN($F56)&gt;75),"Address, ","")&amp;IF(OR($H56="",LEN($H56)&gt;30),"City, ","")&amp;IF(AND($K56="US",OR($I56="",LEN($I56)&lt;&gt;2)),"State, ","")&amp;IF($J56="","ZIP, ","")&amp;IF(OR($K56="",AND($K56&lt;&gt;"US",$K56&lt;&gt;"CA")),"Country, ","")&amp;IF(OR($L56="",AND($L56&lt;&gt;"",OR(NOT(ISNUMBER($L56)),$L56&lt;=DATE(1900,1,1),$L56&gt;TODAY()))),"Birthdate, ","")&amp;IF(AND($N56&lt;&gt;"",NOT(IFERROR(AND(ISNUMBER(SEARCH("@",$N56)),ISNUMBER(SEARCH(".",$N56,SEARCH("@",$N56)+2))),FALSE))),"Email, ","")&amp;IF(OR(AND($B56&lt;&gt;"",$O56=""),AND($O56&lt;&gt;"",$O56&lt;&gt;"Spouse or Common Law Spouse",$O56&lt;&gt;"Domestic Partner",$O56&lt;&gt;"Child",$O56&lt;&gt;"Other",$O56&lt;&gt;"Estate",$O56&lt;&gt;"Unknown")),"Dependent Relationship, ","")&amp;IF($AA56&lt;&gt;"","Household, ","")&amp;IF(OR($P56="",AND($P56&lt;&gt;"",OR(NOT(ISNUMBER($P56)),$P56&lt;=DATE(1900,1,1)))),"Eligibility Date, ","")&amp;IF(OR(AND($R56="Terminated",$Q56=""),AND($Q56&lt;&gt;"",OR(NOT(ISNUMBER($Q56)),$Q56&lt;=DATE(1900,1,1))),AND(ISNUMBER($P56),ISNUMBER($Q56),$Q56&lt;$P56)),"Termination Date, ","")&amp;IF(OR($R56="",AND($R56&lt;&gt;"Active",$R56&lt;&gt;"Terminated"),AND('START HERE'!$C$8="Terminations Only",$R56&lt;&gt;"Terminated")),"Status, ","")&amp;IF($S56="","Plan Name, ","")&amp;IF($T56="","Coverage Level, ","")&amp;IF(AND($U56&lt;&gt;"",OR(NOT(ISNUMBER($U56)),$U56&lt;0)),"Funding, ","")&amp;IF(AND($A56&lt;&gt;"",$S56&lt;&gt;"",COUNTIFS($A$2:$A$501,$A56,$B$2:$B$501,$B56,$S$2:$S$501,$S56)&gt;1),"Duplicate Row, ",""))</f>
        <v/>
      </c>
      <c r="AF56">
        <f>IF(COUNTA($A56:$U56)=0,"",$Y56&amp;$Z56&amp;$AA56&amp;$AB56&amp;$AC56)</f>
        <v/>
      </c>
      <c r="AG56">
        <f>IF($N56="","",LOWER(TRIM($N56)))</f>
        <v/>
      </c>
      <c r="AH56">
        <f>IF($A56="","",COUNTIFS($A$2:$A$501,$A56,$AI$2:$AI$501,1))</f>
        <v/>
      </c>
      <c r="AI56">
        <f>IF(COUNTA($A56:$U56)=0,"",--($AF56&lt;&gt;""))</f>
        <v/>
      </c>
      <c r="AJ56">
        <f>IF(COUNTA($A56:$U56)=0,"",--($AD56&lt;&gt;""))</f>
        <v/>
      </c>
    </row>
    <row r="57" ht="20" customHeight="1">
      <c r="A57" s="80" t="n"/>
      <c r="B57" s="80" t="n"/>
      <c r="C57" s="81" t="n"/>
      <c r="D57" s="81" t="n"/>
      <c r="E57" s="80" t="n"/>
      <c r="F57" s="81" t="n"/>
      <c r="G57" s="81" t="n"/>
      <c r="H57" s="81" t="n"/>
      <c r="I57" s="80" t="n"/>
      <c r="J57" s="80" t="n"/>
      <c r="K57" s="80" t="n"/>
      <c r="L57" s="82" t="n"/>
      <c r="M57" s="80" t="n"/>
      <c r="N57" s="80" t="n"/>
      <c r="O57" s="80" t="n"/>
      <c r="P57" s="82" t="n"/>
      <c r="Q57" s="82" t="n"/>
      <c r="R57" s="80" t="n"/>
      <c r="S57" s="80" t="n"/>
      <c r="T57" s="80" t="n"/>
      <c r="U57" s="83" t="n"/>
      <c r="V57">
        <f>IF($A57="","",IF($A57=$A56,$V56,IF($V56="",0,1-$V56)))</f>
        <v/>
      </c>
      <c r="W57">
        <f>IF($B57&lt;&gt;"",$B57,$A57)</f>
        <v/>
      </c>
      <c r="X57">
        <f>IF(COUNTA($A57:$U57)=0,"",IF(OR($B57&lt;&gt;"",$O57&lt;&gt;""),"Dependent","Employee"))</f>
        <v/>
      </c>
      <c r="Y57">
        <f>IF(COUNTA($A57:$U57)=0,"",IF($A57="","Employee SSN is required; ","")&amp;IF($C57="","First Name is required; ","")&amp;IF(LEN($C57&amp;"")&gt;19,"First Name exceeds 19 characters; ","")&amp;IF(AND($C57&lt;&gt;"",SUMPRODUCT(--(ROW($1:$19)&lt;=LEN($C57&amp;"")),--ISERROR(FIND(MID($C57&amp;"",ROW($1:$19),1),"ABCDEFGHIJKLMNOPQRSTUVWXYZabcdefghijklmnopqrstuvwxyz .,")))&gt;0),"First Name contains unsupported or encoded characters; use plain A-Z letters only; ","")&amp;IF($D57="","Last Name is required; ","")&amp;IF(LEN($D57&amp;"")&gt;26,"Last Name exceeds 26 characters; ","")&amp;IF(AND($D57&lt;&gt;"",SUMPRODUCT(--(ROW($1:$26)&lt;=LEN($D57&amp;"")),--ISERROR(FIND(MID($D57&amp;"",ROW($1:$26),1),"ABCDEFGHIJKLMNOPQRSTUVWXYZabcdefghijklmnopqrstuvwxyz .,")))&gt;0),"Last Name contains unsupported or encoded characters; use plain A-Z letters only; ","")&amp;IF(LEN($E57&amp;"")&gt;1,"Middle Initial may contain only one character; ","")&amp;IF(AND($E57&lt;&gt;"",SUMPRODUCT(--(ROW($1:$1)&lt;=LEN($E57&amp;"")),--ISERROR(FIND(MID($E57&amp;"",ROW($1:$1),1),"ABCDEFGHIJKLMNOPQRSTUVWXYZabcdefghijklmnopqrstuvwxyz .,")))&gt;0),"Middle Initial must be a plain A-Z letter; ","")&amp;IF($F57="","Address is required; ","")&amp;IF(LEN($F57&amp;"")&gt;75,"Address exceeds 75 characters; ","")&amp;IF(LEN($G57&amp;"")&gt;75,"Address 2 exceeds 75 characters; ","")&amp;IF($H57="","City is required; ","")&amp;IF(LEN($H57&amp;"")&gt;30,"City exceeds 30 characters; ","")&amp;IF($K57="","Country is required; ","")&amp;IF(AND($K57&lt;&gt;"",$K57&lt;&gt;"US",$K57&lt;&gt;"CA"),"Country must be US or CA; ","")&amp;IF(AND($K57="US",OR($I57="",LEN($I57&amp;"")&lt;&gt;2)),"Use a 2-letter state code; ","")&amp;IF($J57="","ZIP or postal code is required; ","")&amp;IF(AND($K57="US",$J57&lt;&gt;"",NOT(IFERROR(OR(AND(LEN($J57&amp;"")=5,ISNUMBER(--($J57&amp;""))),AND(LEN($J57&amp;"")=9,ISNUMBER(--($J57&amp;""))),AND(LEN($J57&amp;"")=10,MID($J57&amp;"",6,1)="-",ISNUMBER(--SUBSTITUTE($J57&amp;"","-","")))),FALSE))),"US ZIP must be 5 or 9 digits, with an optional ZIP+4 hyphen; ","")&amp;IF(AND($N57&lt;&gt;"",NOT(IFERROR(AND(ISNUMBER(SEARCH("@",$N57)),ISNUMBER(SEARCH(".",$N57,SEARCH("@",$N57)+2))),FALSE))),"Email format appears invalid; ","")&amp;IF(AND($O57&lt;&gt;"",$B57=""),"Dependent SSN is required for every dependent; ","")&amp;IF(AND($B57&lt;&gt;"",$O57=""),"Dependent Relationship is required when Dependent SSN is entered; ","")&amp;IF(AND($O57&lt;&gt;"",$O57&lt;&gt;"Spouse or Common Law Spouse",$O57&lt;&gt;"Domestic Partner",$O57&lt;&gt;"Child",$O57&lt;&gt;"Other",$O57&lt;&gt;"Estate",$O57&lt;&gt;"Unknown"),"Dependent Relationship must use one of the approved options; ",""))</f>
        <v/>
      </c>
      <c r="Z57">
        <f>IF(COUNTA($A57:$U57)=0,"",IF(AND($A57&lt;&gt;"",NOT(IFERROR(AND(LEN($A57&amp;"")=9,ISNUMBER(--($A57&amp;""))),FALSE))),"Employee SSN must contain exactly 9 digits; ","")&amp;IF(AND($A57&lt;&gt;"",OR($A57="123456789",$A57="987654321",$A57="012345678",$A57=REPT(LEFT($A57&amp;"",1),9))),"Employee SSN appears to be a placeholder; ","")&amp;IF(AND($B57&lt;&gt;"",NOT(IFERROR(AND(LEN($B57&amp;"")=9,ISNUMBER(--($B57&amp;""))),FALSE))),"Dependent SSN must contain exactly 9 digits; ","")&amp;IF(AND($B57&lt;&gt;"",OR($B57="123456789",$B57="987654321",$B57="012345678",$B57=REPT(LEFT($B57&amp;"",1),9))),"Dependent SSN appears to be a placeholder; ","")&amp;IF(AND($A57&lt;&gt;"",$B57&lt;&gt;"",$A57&amp;""=$B57&amp;""),"Dependent SSN cannot match Employee SSN; ","")&amp;IF(AND($W57&lt;&gt;"",OR(COUNTIFS($W$2:$W$501,$W57,$C$2:$C$501,"&lt;&gt;"&amp;$C57)&gt;0,COUNTIFS($W$2:$W$501,$W57,$D$2:$D$501,"&lt;&gt;"&amp;$D57)&gt;0,COUNTIFS($W$2:$W$501,$W57,$L$2:$L$501,"&lt;&gt;"&amp;$L57)&gt;0)),"The same SSN is associated with a different name or birthdate; ",""))</f>
        <v/>
      </c>
      <c r="AA57">
        <f>IF(COUNTA($A57:$U57)=0,"",IF(AND($A57&lt;&gt;"",$S57&lt;&gt;"",COUNTIFS($A$2:$A$501,$A57,$S$2:$S$501,$S57,$B$2:$B$501,"",$O$2:$O$501,"")=0),"Add an employee row for this household and plan; ","")&amp;IF(AND($X57="Dependent",COUNTIFS($A$2:$A57,$A57,$S$2:$S57,$S57,$B$2:$B57,"",$O$2:$O57,"")=0),"Place the employee row before dependent rows for this plan; ","")&amp;IF(AND($X57="Dependent",COUNTIFS($A$2:$A$501,$A57,$S$2:$S$501,$S57,$B$2:$B$501,"",$O$2:$O$501,"")&gt;0,IFERROR(OR($P57&lt;&gt;LOOKUP(2,1/(($A$2:$A$501=$A57)*($S$2:$S$501=$S57)*($B$2:$B$501="")*($O$2:$O$501="")),$P$2:$P$501),$Q57&lt;&gt;LOOKUP(2,1/(($A$2:$A$501=$A57)*($S$2:$S$501=$S57)*($B$2:$B$501="")*($O$2:$O$501="")),$Q$2:$Q$501),$R57&lt;&gt;LOOKUP(2,1/(($A$2:$A$501=$A57)*($S$2:$S$501=$S57)*($B$2:$B$501="")*($O$2:$O$501="")),$R$2:$R$501),$T57&lt;&gt;LOOKUP(2,1/(($A$2:$A$501=$A57)*($S$2:$S$501=$S57)*($B$2:$B$501="")*($O$2:$O$501="")),$T$2:$T$501),$U57&lt;&gt;LOOKUP(2,1/(($A$2:$A$501=$A57)*($S$2:$S$501=$S57)*($B$2:$B$501="")*($O$2:$O$501="")),$U$2:$U$501)),FALSE)),"Dependent row does not match the employee row for eligibility, status, coverage level, or funding; ",""))</f>
        <v/>
      </c>
      <c r="AB57">
        <f>IF(COUNTA($A57:$U57)=0,"",IF($L57="","Birthdate is required; ","")&amp;IF(AND($L57&lt;&gt;"",OR(NOT(ISNUMBER($L57)),$L57&lt;=DATE(1900,1,1),$L57&gt;TODAY())),"Birthdate must be an exact valid past date; ","")&amp;IF($P57="","Eligibility Date is required; ","")&amp;IF(AND($P57&lt;&gt;"",OR(NOT(ISNUMBER($P57)),$P57&lt;=DATE(1900,1,1))),"Eligibility Date must be a valid date; ","")&amp;IF(AND($R57="Terminated",$Q57=""),"Termination Date is required when Status is Terminated; ","")&amp;IF(AND($Q57&lt;&gt;"",OR(NOT(ISNUMBER($Q57)),$Q57&lt;=DATE(1900,1,1))),"Termination Date must be a valid date; ","")&amp;IF(AND(ISNUMBER($P57),ISNUMBER($Q57),$Q57&lt;$P57),"Termination Date cannot be before Eligibility Date; ","")&amp;IF($R57="","Status is required; ","")&amp;IF(AND($R57&lt;&gt;"",$R57&lt;&gt;"Active",$R57&lt;&gt;"Terminated"),"Status must be Active or Terminated; ","")&amp;IF(AND('START HERE'!$C$8="Terminations Only",$R57&lt;&gt;"Terminated"),"Terminations Only files must contain terminated records; ",""))</f>
        <v/>
      </c>
      <c r="AC57">
        <f>IF(COUNTA($A57:$U57)=0,"",IF($S57="","Plan Name is required; ","")&amp;IF($T57="","Benefit Coverage Level is required; ","")&amp;IF(AND($U57&lt;&gt;"",OR(NOT(ISNUMBER($U57)),$U57&lt;0)),"Plan Funding Amount must be a nonnegative number; ","")&amp;IF(AND($A57&lt;&gt;"",$S57&lt;&gt;"",COUNTIFS($A$2:$A$501,$A57,$B$2:$B$501,$B57,$S$2:$S$501,$S57)&gt;1),"Duplicate participant and plan row; ",""))</f>
        <v/>
      </c>
      <c r="AD57">
        <f>IF(COUNTA($A57:$U57)=0,"",IF(AND($X57="Employee",$M57="",$N57=""),"No employee phone or email provided; ","")&amp;IF(AND($R57="Active",$Q57&lt;&gt;""),"Active record includes a Termination Date; confirm this is intentional; ","")&amp;IF(AND($B57&lt;&gt;"",$B57&amp;""&lt;&gt;$A57&amp;"",COUNTIF($A$2:$A$501,$B57)&gt;0),"Dependent SSN also appears as an Employee SSN elsewhere; confirm dual-employee coverage is intentional; ","")&amp;IF(AND($B57&lt;&gt;"",COUNTIF($B$2:$B$501,$B57)&gt;COUNTIFS($A$2:$A$501,$A57,$B$2:$B$501,$B57)),"Dependent SSN appears under more than one employee; confirm duplicate family coverage is intentional; ","")&amp;IF(AND(ROW()&gt;2,$A57&lt;&gt;"",$A57&lt;&gt;$A56,COUNTIF($A$2:$A56,$A57)&gt;0),"This household appears in more than one section of the census; keep the family together; ","")&amp;IF(OR(AND($C57&lt;&gt;"",LEN($C57&amp;"")&lt;&gt;LEN(TRIM($C57&amp;""))),AND($D57&lt;&gt;"",LEN($D57&amp;"")&lt;&gt;LEN(TRIM($D57&amp;""))),AND($E57&lt;&gt;"",LEN($E57&amp;"")&lt;&gt;LEN(TRIM($E57&amp;""))),AND($F57&lt;&gt;"",LEN($F57&amp;"")&lt;&gt;LEN(TRIM($F57&amp;""))),AND($G57&lt;&gt;"",LEN($G57&amp;"")&lt;&gt;LEN(TRIM($G57&amp;""))),AND($H57&lt;&gt;"",LEN($H57&amp;"")&lt;&gt;LEN(TRIM($H57&amp;""))),AND($I57&lt;&gt;"",LEN($I57&amp;"")&lt;&gt;LEN(TRIM($I57&amp;""))),AND($J57&lt;&gt;"",LEN($J57&amp;"")&lt;&gt;LEN(TRIM($J57&amp;""))),AND($K57&lt;&gt;"",LEN($K57&amp;"")&lt;&gt;LEN(TRIM($K57&amp;""))),AND($M57&lt;&gt;"",LEN($M57&amp;"")&lt;&gt;LEN(TRIM($M57&amp;""))),AND($N57&lt;&gt;"",LEN($N57&amp;"")&lt;&gt;LEN(TRIM($N57&amp;""))),AND($O57&lt;&gt;"",LEN($O57&amp;"")&lt;&gt;LEN(TRIM($O57&amp;""))),AND($R57&lt;&gt;"",LEN($R57&amp;"")&lt;&gt;LEN(TRIM($R57&amp;""))),AND($S57&lt;&gt;"",LEN($S57&amp;"")&lt;&gt;LEN(TRIM($S57&amp;""))),AND($T57&lt;&gt;"",LEN($T57&amp;"")&lt;&gt;LEN(TRIM($T57&amp;"")))),"Remove leading or trailing spaces from text fields; ","")&amp;IF(OR(AND(LEN($C57)&gt;1,OR(EXACT($C57,UPPER($C57)),EXACT($C57,LOWER($C57)))),AND(LEN($D57)&gt;1,OR(EXACT($D57,UPPER($D57)),EXACT($D57,LOWER($D57)))),AND(LEN($H57)&gt;1,OR(EXACT($H57,UPPER($H57)),EXACT($H57,LOWER($H57))))),"Review capitalization in First Name, Last Name, or City; ","")&amp;IF(AND($N57&lt;&gt;"",NOT(EXACT($N57,LOWER($N57)))),"Email will be standardized to lowercase in the clean output; ","")&amp;IF(AND(OR('START HERE'!$C$8="Initial Enrollment",'START HERE'!$C$8="Open Enrollment"),$R57="Terminated"),"A terminated row is included in an initial or open enrollment file; confirm this is intentional; ",""))</f>
        <v/>
      </c>
      <c r="AE57">
        <f>IF(COUNTA($A57:$U57)=0,"",IF(OR($A57="",AND($A57&lt;&gt;"",NOT(IFERROR(AND(LEN($A57&amp;"")=9,ISNUMBER(--($A57&amp;""))),FALSE))),AND($A57&lt;&gt;"",OR($A57="123456789",$A57="987654321",$A57="012345678",$A57=REPT(LEFT($A57&amp;"",1),9)))),"Employee SSN, ","")&amp;IF(OR(AND($O57&lt;&gt;"",$B57=""),AND($B57&lt;&gt;"",OR(NOT(IFERROR(AND(LEN($B57&amp;"")=9,ISNUMBER(--($B57&amp;""))),FALSE)),$B57=$A57,$B57="123456789",$B57="987654321",$B57="012345678",$B57=REPT(LEFT($B57&amp;"",1),9)))),"Dependent SSN, ","")&amp;IF(OR($C57="",LEN($C57)&gt;19,AND($C57&lt;&gt;"",SUMPRODUCT(--(ROW($1:$19)&lt;=LEN($C57&amp;"")),--ISERROR(FIND(MID($C57&amp;"",ROW($1:$19),1),"ABCDEFGHIJKLMNOPQRSTUVWXYZabcdefghijklmnopqrstuvwxyz .,")))&gt;0)),"First Name, ","")&amp;IF(OR($D57="",LEN($D57)&gt;26,AND($D57&lt;&gt;"",SUMPRODUCT(--(ROW($1:$26)&lt;=LEN($D57&amp;"")),--ISERROR(FIND(MID($D57&amp;"",ROW($1:$26),1),"ABCDEFGHIJKLMNOPQRSTUVWXYZabcdefghijklmnopqrstuvwxyz .,")))&gt;0)),"Last Name, ","")&amp;IF(OR(LEN($E57)&gt;1,AND($E57&lt;&gt;"",SUMPRODUCT(--(ROW($1:$1)&lt;=LEN($E57&amp;"")),--ISERROR(FIND(MID($E57&amp;"",ROW($1:$1),1),"ABCDEFGHIJKLMNOPQRSTUVWXYZabcdefghijklmnopqrstuvwxyz .,")))&gt;0)),"Middle Initial, ","")&amp;IF(OR($F57="",LEN($F57)&gt;75),"Address, ","")&amp;IF(OR($H57="",LEN($H57)&gt;30),"City, ","")&amp;IF(AND($K57="US",OR($I57="",LEN($I57)&lt;&gt;2)),"State, ","")&amp;IF($J57="","ZIP, ","")&amp;IF(OR($K57="",AND($K57&lt;&gt;"US",$K57&lt;&gt;"CA")),"Country, ","")&amp;IF(OR($L57="",AND($L57&lt;&gt;"",OR(NOT(ISNUMBER($L57)),$L57&lt;=DATE(1900,1,1),$L57&gt;TODAY()))),"Birthdate, ","")&amp;IF(AND($N57&lt;&gt;"",NOT(IFERROR(AND(ISNUMBER(SEARCH("@",$N57)),ISNUMBER(SEARCH(".",$N57,SEARCH("@",$N57)+2))),FALSE))),"Email, ","")&amp;IF(OR(AND($B57&lt;&gt;"",$O57=""),AND($O57&lt;&gt;"",$O57&lt;&gt;"Spouse or Common Law Spouse",$O57&lt;&gt;"Domestic Partner",$O57&lt;&gt;"Child",$O57&lt;&gt;"Other",$O57&lt;&gt;"Estate",$O57&lt;&gt;"Unknown")),"Dependent Relationship, ","")&amp;IF($AA57&lt;&gt;"","Household, ","")&amp;IF(OR($P57="",AND($P57&lt;&gt;"",OR(NOT(ISNUMBER($P57)),$P57&lt;=DATE(1900,1,1)))),"Eligibility Date, ","")&amp;IF(OR(AND($R57="Terminated",$Q57=""),AND($Q57&lt;&gt;"",OR(NOT(ISNUMBER($Q57)),$Q57&lt;=DATE(1900,1,1))),AND(ISNUMBER($P57),ISNUMBER($Q57),$Q57&lt;$P57)),"Termination Date, ","")&amp;IF(OR($R57="",AND($R57&lt;&gt;"Active",$R57&lt;&gt;"Terminated"),AND('START HERE'!$C$8="Terminations Only",$R57&lt;&gt;"Terminated")),"Status, ","")&amp;IF($S57="","Plan Name, ","")&amp;IF($T57="","Coverage Level, ","")&amp;IF(AND($U57&lt;&gt;"",OR(NOT(ISNUMBER($U57)),$U57&lt;0)),"Funding, ","")&amp;IF(AND($A57&lt;&gt;"",$S57&lt;&gt;"",COUNTIFS($A$2:$A$501,$A57,$B$2:$B$501,$B57,$S$2:$S$501,$S57)&gt;1),"Duplicate Row, ",""))</f>
        <v/>
      </c>
      <c r="AF57">
        <f>IF(COUNTA($A57:$U57)=0,"",$Y57&amp;$Z57&amp;$AA57&amp;$AB57&amp;$AC57)</f>
        <v/>
      </c>
      <c r="AG57">
        <f>IF($N57="","",LOWER(TRIM($N57)))</f>
        <v/>
      </c>
      <c r="AH57">
        <f>IF($A57="","",COUNTIFS($A$2:$A$501,$A57,$AI$2:$AI$501,1))</f>
        <v/>
      </c>
      <c r="AI57">
        <f>IF(COUNTA($A57:$U57)=0,"",--($AF57&lt;&gt;""))</f>
        <v/>
      </c>
      <c r="AJ57">
        <f>IF(COUNTA($A57:$U57)=0,"",--($AD57&lt;&gt;""))</f>
        <v/>
      </c>
    </row>
    <row r="58" ht="20" customHeight="1">
      <c r="A58" s="80" t="n"/>
      <c r="B58" s="80" t="n"/>
      <c r="C58" s="81" t="n"/>
      <c r="D58" s="81" t="n"/>
      <c r="E58" s="80" t="n"/>
      <c r="F58" s="81" t="n"/>
      <c r="G58" s="81" t="n"/>
      <c r="H58" s="81" t="n"/>
      <c r="I58" s="80" t="n"/>
      <c r="J58" s="80" t="n"/>
      <c r="K58" s="80" t="n"/>
      <c r="L58" s="82" t="n"/>
      <c r="M58" s="80" t="n"/>
      <c r="N58" s="80" t="n"/>
      <c r="O58" s="80" t="n"/>
      <c r="P58" s="82" t="n"/>
      <c r="Q58" s="82" t="n"/>
      <c r="R58" s="80" t="n"/>
      <c r="S58" s="80" t="n"/>
      <c r="T58" s="80" t="n"/>
      <c r="U58" s="83" t="n"/>
      <c r="V58">
        <f>IF($A58="","",IF($A58=$A57,$V57,IF($V57="",0,1-$V57)))</f>
        <v/>
      </c>
      <c r="W58">
        <f>IF($B58&lt;&gt;"",$B58,$A58)</f>
        <v/>
      </c>
      <c r="X58">
        <f>IF(COUNTA($A58:$U58)=0,"",IF(OR($B58&lt;&gt;"",$O58&lt;&gt;""),"Dependent","Employee"))</f>
        <v/>
      </c>
      <c r="Y58">
        <f>IF(COUNTA($A58:$U58)=0,"",IF($A58="","Employee SSN is required; ","")&amp;IF($C58="","First Name is required; ","")&amp;IF(LEN($C58&amp;"")&gt;19,"First Name exceeds 19 characters; ","")&amp;IF(AND($C58&lt;&gt;"",SUMPRODUCT(--(ROW($1:$19)&lt;=LEN($C58&amp;"")),--ISERROR(FIND(MID($C58&amp;"",ROW($1:$19),1),"ABCDEFGHIJKLMNOPQRSTUVWXYZabcdefghijklmnopqrstuvwxyz .,")))&gt;0),"First Name contains unsupported or encoded characters; use plain A-Z letters only; ","")&amp;IF($D58="","Last Name is required; ","")&amp;IF(LEN($D58&amp;"")&gt;26,"Last Name exceeds 26 characters; ","")&amp;IF(AND($D58&lt;&gt;"",SUMPRODUCT(--(ROW($1:$26)&lt;=LEN($D58&amp;"")),--ISERROR(FIND(MID($D58&amp;"",ROW($1:$26),1),"ABCDEFGHIJKLMNOPQRSTUVWXYZabcdefghijklmnopqrstuvwxyz .,")))&gt;0),"Last Name contains unsupported or encoded characters; use plain A-Z letters only; ","")&amp;IF(LEN($E58&amp;"")&gt;1,"Middle Initial may contain only one character; ","")&amp;IF(AND($E58&lt;&gt;"",SUMPRODUCT(--(ROW($1:$1)&lt;=LEN($E58&amp;"")),--ISERROR(FIND(MID($E58&amp;"",ROW($1:$1),1),"ABCDEFGHIJKLMNOPQRSTUVWXYZabcdefghijklmnopqrstuvwxyz .,")))&gt;0),"Middle Initial must be a plain A-Z letter; ","")&amp;IF($F58="","Address is required; ","")&amp;IF(LEN($F58&amp;"")&gt;75,"Address exceeds 75 characters; ","")&amp;IF(LEN($G58&amp;"")&gt;75,"Address 2 exceeds 75 characters; ","")&amp;IF($H58="","City is required; ","")&amp;IF(LEN($H58&amp;"")&gt;30,"City exceeds 30 characters; ","")&amp;IF($K58="","Country is required; ","")&amp;IF(AND($K58&lt;&gt;"",$K58&lt;&gt;"US",$K58&lt;&gt;"CA"),"Country must be US or CA; ","")&amp;IF(AND($K58="US",OR($I58="",LEN($I58&amp;"")&lt;&gt;2)),"Use a 2-letter state code; ","")&amp;IF($J58="","ZIP or postal code is required; ","")&amp;IF(AND($K58="US",$J58&lt;&gt;"",NOT(IFERROR(OR(AND(LEN($J58&amp;"")=5,ISNUMBER(--($J58&amp;""))),AND(LEN($J58&amp;"")=9,ISNUMBER(--($J58&amp;""))),AND(LEN($J58&amp;"")=10,MID($J58&amp;"",6,1)="-",ISNUMBER(--SUBSTITUTE($J58&amp;"","-","")))),FALSE))),"US ZIP must be 5 or 9 digits, with an optional ZIP+4 hyphen; ","")&amp;IF(AND($N58&lt;&gt;"",NOT(IFERROR(AND(ISNUMBER(SEARCH("@",$N58)),ISNUMBER(SEARCH(".",$N58,SEARCH("@",$N58)+2))),FALSE))),"Email format appears invalid; ","")&amp;IF(AND($O58&lt;&gt;"",$B58=""),"Dependent SSN is required for every dependent; ","")&amp;IF(AND($B58&lt;&gt;"",$O58=""),"Dependent Relationship is required when Dependent SSN is entered; ","")&amp;IF(AND($O58&lt;&gt;"",$O58&lt;&gt;"Spouse or Common Law Spouse",$O58&lt;&gt;"Domestic Partner",$O58&lt;&gt;"Child",$O58&lt;&gt;"Other",$O58&lt;&gt;"Estate",$O58&lt;&gt;"Unknown"),"Dependent Relationship must use one of the approved options; ",""))</f>
        <v/>
      </c>
      <c r="Z58">
        <f>IF(COUNTA($A58:$U58)=0,"",IF(AND($A58&lt;&gt;"",NOT(IFERROR(AND(LEN($A58&amp;"")=9,ISNUMBER(--($A58&amp;""))),FALSE))),"Employee SSN must contain exactly 9 digits; ","")&amp;IF(AND($A58&lt;&gt;"",OR($A58="123456789",$A58="987654321",$A58="012345678",$A58=REPT(LEFT($A58&amp;"",1),9))),"Employee SSN appears to be a placeholder; ","")&amp;IF(AND($B58&lt;&gt;"",NOT(IFERROR(AND(LEN($B58&amp;"")=9,ISNUMBER(--($B58&amp;""))),FALSE))),"Dependent SSN must contain exactly 9 digits; ","")&amp;IF(AND($B58&lt;&gt;"",OR($B58="123456789",$B58="987654321",$B58="012345678",$B58=REPT(LEFT($B58&amp;"",1),9))),"Dependent SSN appears to be a placeholder; ","")&amp;IF(AND($A58&lt;&gt;"",$B58&lt;&gt;"",$A58&amp;""=$B58&amp;""),"Dependent SSN cannot match Employee SSN; ","")&amp;IF(AND($W58&lt;&gt;"",OR(COUNTIFS($W$2:$W$501,$W58,$C$2:$C$501,"&lt;&gt;"&amp;$C58)&gt;0,COUNTIFS($W$2:$W$501,$W58,$D$2:$D$501,"&lt;&gt;"&amp;$D58)&gt;0,COUNTIFS($W$2:$W$501,$W58,$L$2:$L$501,"&lt;&gt;"&amp;$L58)&gt;0)),"The same SSN is associated with a different name or birthdate; ",""))</f>
        <v/>
      </c>
      <c r="AA58">
        <f>IF(COUNTA($A58:$U58)=0,"",IF(AND($A58&lt;&gt;"",$S58&lt;&gt;"",COUNTIFS($A$2:$A$501,$A58,$S$2:$S$501,$S58,$B$2:$B$501,"",$O$2:$O$501,"")=0),"Add an employee row for this household and plan; ","")&amp;IF(AND($X58="Dependent",COUNTIFS($A$2:$A58,$A58,$S$2:$S58,$S58,$B$2:$B58,"",$O$2:$O58,"")=0),"Place the employee row before dependent rows for this plan; ","")&amp;IF(AND($X58="Dependent",COUNTIFS($A$2:$A$501,$A58,$S$2:$S$501,$S58,$B$2:$B$501,"",$O$2:$O$501,"")&gt;0,IFERROR(OR($P58&lt;&gt;LOOKUP(2,1/(($A$2:$A$501=$A58)*($S$2:$S$501=$S58)*($B$2:$B$501="")*($O$2:$O$501="")),$P$2:$P$501),$Q58&lt;&gt;LOOKUP(2,1/(($A$2:$A$501=$A58)*($S$2:$S$501=$S58)*($B$2:$B$501="")*($O$2:$O$501="")),$Q$2:$Q$501),$R58&lt;&gt;LOOKUP(2,1/(($A$2:$A$501=$A58)*($S$2:$S$501=$S58)*($B$2:$B$501="")*($O$2:$O$501="")),$R$2:$R$501),$T58&lt;&gt;LOOKUP(2,1/(($A$2:$A$501=$A58)*($S$2:$S$501=$S58)*($B$2:$B$501="")*($O$2:$O$501="")),$T$2:$T$501),$U58&lt;&gt;LOOKUP(2,1/(($A$2:$A$501=$A58)*($S$2:$S$501=$S58)*($B$2:$B$501="")*($O$2:$O$501="")),$U$2:$U$501)),FALSE)),"Dependent row does not match the employee row for eligibility, status, coverage level, or funding; ",""))</f>
        <v/>
      </c>
      <c r="AB58">
        <f>IF(COUNTA($A58:$U58)=0,"",IF($L58="","Birthdate is required; ","")&amp;IF(AND($L58&lt;&gt;"",OR(NOT(ISNUMBER($L58)),$L58&lt;=DATE(1900,1,1),$L58&gt;TODAY())),"Birthdate must be an exact valid past date; ","")&amp;IF($P58="","Eligibility Date is required; ","")&amp;IF(AND($P58&lt;&gt;"",OR(NOT(ISNUMBER($P58)),$P58&lt;=DATE(1900,1,1))),"Eligibility Date must be a valid date; ","")&amp;IF(AND($R58="Terminated",$Q58=""),"Termination Date is required when Status is Terminated; ","")&amp;IF(AND($Q58&lt;&gt;"",OR(NOT(ISNUMBER($Q58)),$Q58&lt;=DATE(1900,1,1))),"Termination Date must be a valid date; ","")&amp;IF(AND(ISNUMBER($P58),ISNUMBER($Q58),$Q58&lt;$P58),"Termination Date cannot be before Eligibility Date; ","")&amp;IF($R58="","Status is required; ","")&amp;IF(AND($R58&lt;&gt;"",$R58&lt;&gt;"Active",$R58&lt;&gt;"Terminated"),"Status must be Active or Terminated; ","")&amp;IF(AND('START HERE'!$C$8="Terminations Only",$R58&lt;&gt;"Terminated"),"Terminations Only files must contain terminated records; ",""))</f>
        <v/>
      </c>
      <c r="AC58">
        <f>IF(COUNTA($A58:$U58)=0,"",IF($S58="","Plan Name is required; ","")&amp;IF($T58="","Benefit Coverage Level is required; ","")&amp;IF(AND($U58&lt;&gt;"",OR(NOT(ISNUMBER($U58)),$U58&lt;0)),"Plan Funding Amount must be a nonnegative number; ","")&amp;IF(AND($A58&lt;&gt;"",$S58&lt;&gt;"",COUNTIFS($A$2:$A$501,$A58,$B$2:$B$501,$B58,$S$2:$S$501,$S58)&gt;1),"Duplicate participant and plan row; ",""))</f>
        <v/>
      </c>
      <c r="AD58">
        <f>IF(COUNTA($A58:$U58)=0,"",IF(AND($X58="Employee",$M58="",$N58=""),"No employee phone or email provided; ","")&amp;IF(AND($R58="Active",$Q58&lt;&gt;""),"Active record includes a Termination Date; confirm this is intentional; ","")&amp;IF(AND($B58&lt;&gt;"",$B58&amp;""&lt;&gt;$A58&amp;"",COUNTIF($A$2:$A$501,$B58)&gt;0),"Dependent SSN also appears as an Employee SSN elsewhere; confirm dual-employee coverage is intentional; ","")&amp;IF(AND($B58&lt;&gt;"",COUNTIF($B$2:$B$501,$B58)&gt;COUNTIFS($A$2:$A$501,$A58,$B$2:$B$501,$B58)),"Dependent SSN appears under more than one employee; confirm duplicate family coverage is intentional; ","")&amp;IF(AND(ROW()&gt;2,$A58&lt;&gt;"",$A58&lt;&gt;$A57,COUNTIF($A$2:$A57,$A58)&gt;0),"This household appears in more than one section of the census; keep the family together; ","")&amp;IF(OR(AND($C58&lt;&gt;"",LEN($C58&amp;"")&lt;&gt;LEN(TRIM($C58&amp;""))),AND($D58&lt;&gt;"",LEN($D58&amp;"")&lt;&gt;LEN(TRIM($D58&amp;""))),AND($E58&lt;&gt;"",LEN($E58&amp;"")&lt;&gt;LEN(TRIM($E58&amp;""))),AND($F58&lt;&gt;"",LEN($F58&amp;"")&lt;&gt;LEN(TRIM($F58&amp;""))),AND($G58&lt;&gt;"",LEN($G58&amp;"")&lt;&gt;LEN(TRIM($G58&amp;""))),AND($H58&lt;&gt;"",LEN($H58&amp;"")&lt;&gt;LEN(TRIM($H58&amp;""))),AND($I58&lt;&gt;"",LEN($I58&amp;"")&lt;&gt;LEN(TRIM($I58&amp;""))),AND($J58&lt;&gt;"",LEN($J58&amp;"")&lt;&gt;LEN(TRIM($J58&amp;""))),AND($K58&lt;&gt;"",LEN($K58&amp;"")&lt;&gt;LEN(TRIM($K58&amp;""))),AND($M58&lt;&gt;"",LEN($M58&amp;"")&lt;&gt;LEN(TRIM($M58&amp;""))),AND($N58&lt;&gt;"",LEN($N58&amp;"")&lt;&gt;LEN(TRIM($N58&amp;""))),AND($O58&lt;&gt;"",LEN($O58&amp;"")&lt;&gt;LEN(TRIM($O58&amp;""))),AND($R58&lt;&gt;"",LEN($R58&amp;"")&lt;&gt;LEN(TRIM($R58&amp;""))),AND($S58&lt;&gt;"",LEN($S58&amp;"")&lt;&gt;LEN(TRIM($S58&amp;""))),AND($T58&lt;&gt;"",LEN($T58&amp;"")&lt;&gt;LEN(TRIM($T58&amp;"")))),"Remove leading or trailing spaces from text fields; ","")&amp;IF(OR(AND(LEN($C58)&gt;1,OR(EXACT($C58,UPPER($C58)),EXACT($C58,LOWER($C58)))),AND(LEN($D58)&gt;1,OR(EXACT($D58,UPPER($D58)),EXACT($D58,LOWER($D58)))),AND(LEN($H58)&gt;1,OR(EXACT($H58,UPPER($H58)),EXACT($H58,LOWER($H58))))),"Review capitalization in First Name, Last Name, or City; ","")&amp;IF(AND($N58&lt;&gt;"",NOT(EXACT($N58,LOWER($N58)))),"Email will be standardized to lowercase in the clean output; ","")&amp;IF(AND(OR('START HERE'!$C$8="Initial Enrollment",'START HERE'!$C$8="Open Enrollment"),$R58="Terminated"),"A terminated row is included in an initial or open enrollment file; confirm this is intentional; ",""))</f>
        <v/>
      </c>
      <c r="AE58">
        <f>IF(COUNTA($A58:$U58)=0,"",IF(OR($A58="",AND($A58&lt;&gt;"",NOT(IFERROR(AND(LEN($A58&amp;"")=9,ISNUMBER(--($A58&amp;""))),FALSE))),AND($A58&lt;&gt;"",OR($A58="123456789",$A58="987654321",$A58="012345678",$A58=REPT(LEFT($A58&amp;"",1),9)))),"Employee SSN, ","")&amp;IF(OR(AND($O58&lt;&gt;"",$B58=""),AND($B58&lt;&gt;"",OR(NOT(IFERROR(AND(LEN($B58&amp;"")=9,ISNUMBER(--($B58&amp;""))),FALSE)),$B58=$A58,$B58="123456789",$B58="987654321",$B58="012345678",$B58=REPT(LEFT($B58&amp;"",1),9)))),"Dependent SSN, ","")&amp;IF(OR($C58="",LEN($C58)&gt;19,AND($C58&lt;&gt;"",SUMPRODUCT(--(ROW($1:$19)&lt;=LEN($C58&amp;"")),--ISERROR(FIND(MID($C58&amp;"",ROW($1:$19),1),"ABCDEFGHIJKLMNOPQRSTUVWXYZabcdefghijklmnopqrstuvwxyz .,")))&gt;0)),"First Name, ","")&amp;IF(OR($D58="",LEN($D58)&gt;26,AND($D58&lt;&gt;"",SUMPRODUCT(--(ROW($1:$26)&lt;=LEN($D58&amp;"")),--ISERROR(FIND(MID($D58&amp;"",ROW($1:$26),1),"ABCDEFGHIJKLMNOPQRSTUVWXYZabcdefghijklmnopqrstuvwxyz .,")))&gt;0)),"Last Name, ","")&amp;IF(OR(LEN($E58)&gt;1,AND($E58&lt;&gt;"",SUMPRODUCT(--(ROW($1:$1)&lt;=LEN($E58&amp;"")),--ISERROR(FIND(MID($E58&amp;"",ROW($1:$1),1),"ABCDEFGHIJKLMNOPQRSTUVWXYZabcdefghijklmnopqrstuvwxyz .,")))&gt;0)),"Middle Initial, ","")&amp;IF(OR($F58="",LEN($F58)&gt;75),"Address, ","")&amp;IF(OR($H58="",LEN($H58)&gt;30),"City, ","")&amp;IF(AND($K58="US",OR($I58="",LEN($I58)&lt;&gt;2)),"State, ","")&amp;IF($J58="","ZIP, ","")&amp;IF(OR($K58="",AND($K58&lt;&gt;"US",$K58&lt;&gt;"CA")),"Country, ","")&amp;IF(OR($L58="",AND($L58&lt;&gt;"",OR(NOT(ISNUMBER($L58)),$L58&lt;=DATE(1900,1,1),$L58&gt;TODAY()))),"Birthdate, ","")&amp;IF(AND($N58&lt;&gt;"",NOT(IFERROR(AND(ISNUMBER(SEARCH("@",$N58)),ISNUMBER(SEARCH(".",$N58,SEARCH("@",$N58)+2))),FALSE))),"Email, ","")&amp;IF(OR(AND($B58&lt;&gt;"",$O58=""),AND($O58&lt;&gt;"",$O58&lt;&gt;"Spouse or Common Law Spouse",$O58&lt;&gt;"Domestic Partner",$O58&lt;&gt;"Child",$O58&lt;&gt;"Other",$O58&lt;&gt;"Estate",$O58&lt;&gt;"Unknown")),"Dependent Relationship, ","")&amp;IF($AA58&lt;&gt;"","Household, ","")&amp;IF(OR($P58="",AND($P58&lt;&gt;"",OR(NOT(ISNUMBER($P58)),$P58&lt;=DATE(1900,1,1)))),"Eligibility Date, ","")&amp;IF(OR(AND($R58="Terminated",$Q58=""),AND($Q58&lt;&gt;"",OR(NOT(ISNUMBER($Q58)),$Q58&lt;=DATE(1900,1,1))),AND(ISNUMBER($P58),ISNUMBER($Q58),$Q58&lt;$P58)),"Termination Date, ","")&amp;IF(OR($R58="",AND($R58&lt;&gt;"Active",$R58&lt;&gt;"Terminated"),AND('START HERE'!$C$8="Terminations Only",$R58&lt;&gt;"Terminated")),"Status, ","")&amp;IF($S58="","Plan Name, ","")&amp;IF($T58="","Coverage Level, ","")&amp;IF(AND($U58&lt;&gt;"",OR(NOT(ISNUMBER($U58)),$U58&lt;0)),"Funding, ","")&amp;IF(AND($A58&lt;&gt;"",$S58&lt;&gt;"",COUNTIFS($A$2:$A$501,$A58,$B$2:$B$501,$B58,$S$2:$S$501,$S58)&gt;1),"Duplicate Row, ",""))</f>
        <v/>
      </c>
      <c r="AF58">
        <f>IF(COUNTA($A58:$U58)=0,"",$Y58&amp;$Z58&amp;$AA58&amp;$AB58&amp;$AC58)</f>
        <v/>
      </c>
      <c r="AG58">
        <f>IF($N58="","",LOWER(TRIM($N58)))</f>
        <v/>
      </c>
      <c r="AH58">
        <f>IF($A58="","",COUNTIFS($A$2:$A$501,$A58,$AI$2:$AI$501,1))</f>
        <v/>
      </c>
      <c r="AI58">
        <f>IF(COUNTA($A58:$U58)=0,"",--($AF58&lt;&gt;""))</f>
        <v/>
      </c>
      <c r="AJ58">
        <f>IF(COUNTA($A58:$U58)=0,"",--($AD58&lt;&gt;""))</f>
        <v/>
      </c>
    </row>
    <row r="59" ht="20" customHeight="1">
      <c r="A59" s="80" t="n"/>
      <c r="B59" s="80" t="n"/>
      <c r="C59" s="81" t="n"/>
      <c r="D59" s="81" t="n"/>
      <c r="E59" s="80" t="n"/>
      <c r="F59" s="81" t="n"/>
      <c r="G59" s="81" t="n"/>
      <c r="H59" s="81" t="n"/>
      <c r="I59" s="80" t="n"/>
      <c r="J59" s="80" t="n"/>
      <c r="K59" s="80" t="n"/>
      <c r="L59" s="82" t="n"/>
      <c r="M59" s="80" t="n"/>
      <c r="N59" s="80" t="n"/>
      <c r="O59" s="80" t="n"/>
      <c r="P59" s="82" t="n"/>
      <c r="Q59" s="82" t="n"/>
      <c r="R59" s="80" t="n"/>
      <c r="S59" s="80" t="n"/>
      <c r="T59" s="80" t="n"/>
      <c r="U59" s="83" t="n"/>
      <c r="V59">
        <f>IF($A59="","",IF($A59=$A58,$V58,IF($V58="",0,1-$V58)))</f>
        <v/>
      </c>
      <c r="W59">
        <f>IF($B59&lt;&gt;"",$B59,$A59)</f>
        <v/>
      </c>
      <c r="X59">
        <f>IF(COUNTA($A59:$U59)=0,"",IF(OR($B59&lt;&gt;"",$O59&lt;&gt;""),"Dependent","Employee"))</f>
        <v/>
      </c>
      <c r="Y59">
        <f>IF(COUNTA($A59:$U59)=0,"",IF($A59="","Employee SSN is required; ","")&amp;IF($C59="","First Name is required; ","")&amp;IF(LEN($C59&amp;"")&gt;19,"First Name exceeds 19 characters; ","")&amp;IF(AND($C59&lt;&gt;"",SUMPRODUCT(--(ROW($1:$19)&lt;=LEN($C59&amp;"")),--ISERROR(FIND(MID($C59&amp;"",ROW($1:$19),1),"ABCDEFGHIJKLMNOPQRSTUVWXYZabcdefghijklmnopqrstuvwxyz .,")))&gt;0),"First Name contains unsupported or encoded characters; use plain A-Z letters only; ","")&amp;IF($D59="","Last Name is required; ","")&amp;IF(LEN($D59&amp;"")&gt;26,"Last Name exceeds 26 characters; ","")&amp;IF(AND($D59&lt;&gt;"",SUMPRODUCT(--(ROW($1:$26)&lt;=LEN($D59&amp;"")),--ISERROR(FIND(MID($D59&amp;"",ROW($1:$26),1),"ABCDEFGHIJKLMNOPQRSTUVWXYZabcdefghijklmnopqrstuvwxyz .,")))&gt;0),"Last Name contains unsupported or encoded characters; use plain A-Z letters only; ","")&amp;IF(LEN($E59&amp;"")&gt;1,"Middle Initial may contain only one character; ","")&amp;IF(AND($E59&lt;&gt;"",SUMPRODUCT(--(ROW($1:$1)&lt;=LEN($E59&amp;"")),--ISERROR(FIND(MID($E59&amp;"",ROW($1:$1),1),"ABCDEFGHIJKLMNOPQRSTUVWXYZabcdefghijklmnopqrstuvwxyz .,")))&gt;0),"Middle Initial must be a plain A-Z letter; ","")&amp;IF($F59="","Address is required; ","")&amp;IF(LEN($F59&amp;"")&gt;75,"Address exceeds 75 characters; ","")&amp;IF(LEN($G59&amp;"")&gt;75,"Address 2 exceeds 75 characters; ","")&amp;IF($H59="","City is required; ","")&amp;IF(LEN($H59&amp;"")&gt;30,"City exceeds 30 characters; ","")&amp;IF($K59="","Country is required; ","")&amp;IF(AND($K59&lt;&gt;"",$K59&lt;&gt;"US",$K59&lt;&gt;"CA"),"Country must be US or CA; ","")&amp;IF(AND($K59="US",OR($I59="",LEN($I59&amp;"")&lt;&gt;2)),"Use a 2-letter state code; ","")&amp;IF($J59="","ZIP or postal code is required; ","")&amp;IF(AND($K59="US",$J59&lt;&gt;"",NOT(IFERROR(OR(AND(LEN($J59&amp;"")=5,ISNUMBER(--($J59&amp;""))),AND(LEN($J59&amp;"")=9,ISNUMBER(--($J59&amp;""))),AND(LEN($J59&amp;"")=10,MID($J59&amp;"",6,1)="-",ISNUMBER(--SUBSTITUTE($J59&amp;"","-","")))),FALSE))),"US ZIP must be 5 or 9 digits, with an optional ZIP+4 hyphen; ","")&amp;IF(AND($N59&lt;&gt;"",NOT(IFERROR(AND(ISNUMBER(SEARCH("@",$N59)),ISNUMBER(SEARCH(".",$N59,SEARCH("@",$N59)+2))),FALSE))),"Email format appears invalid; ","")&amp;IF(AND($O59&lt;&gt;"",$B59=""),"Dependent SSN is required for every dependent; ","")&amp;IF(AND($B59&lt;&gt;"",$O59=""),"Dependent Relationship is required when Dependent SSN is entered; ","")&amp;IF(AND($O59&lt;&gt;"",$O59&lt;&gt;"Spouse or Common Law Spouse",$O59&lt;&gt;"Domestic Partner",$O59&lt;&gt;"Child",$O59&lt;&gt;"Other",$O59&lt;&gt;"Estate",$O59&lt;&gt;"Unknown"),"Dependent Relationship must use one of the approved options; ",""))</f>
        <v/>
      </c>
      <c r="Z59">
        <f>IF(COUNTA($A59:$U59)=0,"",IF(AND($A59&lt;&gt;"",NOT(IFERROR(AND(LEN($A59&amp;"")=9,ISNUMBER(--($A59&amp;""))),FALSE))),"Employee SSN must contain exactly 9 digits; ","")&amp;IF(AND($A59&lt;&gt;"",OR($A59="123456789",$A59="987654321",$A59="012345678",$A59=REPT(LEFT($A59&amp;"",1),9))),"Employee SSN appears to be a placeholder; ","")&amp;IF(AND($B59&lt;&gt;"",NOT(IFERROR(AND(LEN($B59&amp;"")=9,ISNUMBER(--($B59&amp;""))),FALSE))),"Dependent SSN must contain exactly 9 digits; ","")&amp;IF(AND($B59&lt;&gt;"",OR($B59="123456789",$B59="987654321",$B59="012345678",$B59=REPT(LEFT($B59&amp;"",1),9))),"Dependent SSN appears to be a placeholder; ","")&amp;IF(AND($A59&lt;&gt;"",$B59&lt;&gt;"",$A59&amp;""=$B59&amp;""),"Dependent SSN cannot match Employee SSN; ","")&amp;IF(AND($W59&lt;&gt;"",OR(COUNTIFS($W$2:$W$501,$W59,$C$2:$C$501,"&lt;&gt;"&amp;$C59)&gt;0,COUNTIFS($W$2:$W$501,$W59,$D$2:$D$501,"&lt;&gt;"&amp;$D59)&gt;0,COUNTIFS($W$2:$W$501,$W59,$L$2:$L$501,"&lt;&gt;"&amp;$L59)&gt;0)),"The same SSN is associated with a different name or birthdate; ",""))</f>
        <v/>
      </c>
      <c r="AA59">
        <f>IF(COUNTA($A59:$U59)=0,"",IF(AND($A59&lt;&gt;"",$S59&lt;&gt;"",COUNTIFS($A$2:$A$501,$A59,$S$2:$S$501,$S59,$B$2:$B$501,"",$O$2:$O$501,"")=0),"Add an employee row for this household and plan; ","")&amp;IF(AND($X59="Dependent",COUNTIFS($A$2:$A59,$A59,$S$2:$S59,$S59,$B$2:$B59,"",$O$2:$O59,"")=0),"Place the employee row before dependent rows for this plan; ","")&amp;IF(AND($X59="Dependent",COUNTIFS($A$2:$A$501,$A59,$S$2:$S$501,$S59,$B$2:$B$501,"",$O$2:$O$501,"")&gt;0,IFERROR(OR($P59&lt;&gt;LOOKUP(2,1/(($A$2:$A$501=$A59)*($S$2:$S$501=$S59)*($B$2:$B$501="")*($O$2:$O$501="")),$P$2:$P$501),$Q59&lt;&gt;LOOKUP(2,1/(($A$2:$A$501=$A59)*($S$2:$S$501=$S59)*($B$2:$B$501="")*($O$2:$O$501="")),$Q$2:$Q$501),$R59&lt;&gt;LOOKUP(2,1/(($A$2:$A$501=$A59)*($S$2:$S$501=$S59)*($B$2:$B$501="")*($O$2:$O$501="")),$R$2:$R$501),$T59&lt;&gt;LOOKUP(2,1/(($A$2:$A$501=$A59)*($S$2:$S$501=$S59)*($B$2:$B$501="")*($O$2:$O$501="")),$T$2:$T$501),$U59&lt;&gt;LOOKUP(2,1/(($A$2:$A$501=$A59)*($S$2:$S$501=$S59)*($B$2:$B$501="")*($O$2:$O$501="")),$U$2:$U$501)),FALSE)),"Dependent row does not match the employee row for eligibility, status, coverage level, or funding; ",""))</f>
        <v/>
      </c>
      <c r="AB59">
        <f>IF(COUNTA($A59:$U59)=0,"",IF($L59="","Birthdate is required; ","")&amp;IF(AND($L59&lt;&gt;"",OR(NOT(ISNUMBER($L59)),$L59&lt;=DATE(1900,1,1),$L59&gt;TODAY())),"Birthdate must be an exact valid past date; ","")&amp;IF($P59="","Eligibility Date is required; ","")&amp;IF(AND($P59&lt;&gt;"",OR(NOT(ISNUMBER($P59)),$P59&lt;=DATE(1900,1,1))),"Eligibility Date must be a valid date; ","")&amp;IF(AND($R59="Terminated",$Q59=""),"Termination Date is required when Status is Terminated; ","")&amp;IF(AND($Q59&lt;&gt;"",OR(NOT(ISNUMBER($Q59)),$Q59&lt;=DATE(1900,1,1))),"Termination Date must be a valid date; ","")&amp;IF(AND(ISNUMBER($P59),ISNUMBER($Q59),$Q59&lt;$P59),"Termination Date cannot be before Eligibility Date; ","")&amp;IF($R59="","Status is required; ","")&amp;IF(AND($R59&lt;&gt;"",$R59&lt;&gt;"Active",$R59&lt;&gt;"Terminated"),"Status must be Active or Terminated; ","")&amp;IF(AND('START HERE'!$C$8="Terminations Only",$R59&lt;&gt;"Terminated"),"Terminations Only files must contain terminated records; ",""))</f>
        <v/>
      </c>
      <c r="AC59">
        <f>IF(COUNTA($A59:$U59)=0,"",IF($S59="","Plan Name is required; ","")&amp;IF($T59="","Benefit Coverage Level is required; ","")&amp;IF(AND($U59&lt;&gt;"",OR(NOT(ISNUMBER($U59)),$U59&lt;0)),"Plan Funding Amount must be a nonnegative number; ","")&amp;IF(AND($A59&lt;&gt;"",$S59&lt;&gt;"",COUNTIFS($A$2:$A$501,$A59,$B$2:$B$501,$B59,$S$2:$S$501,$S59)&gt;1),"Duplicate participant and plan row; ",""))</f>
        <v/>
      </c>
      <c r="AD59">
        <f>IF(COUNTA($A59:$U59)=0,"",IF(AND($X59="Employee",$M59="",$N59=""),"No employee phone or email provided; ","")&amp;IF(AND($R59="Active",$Q59&lt;&gt;""),"Active record includes a Termination Date; confirm this is intentional; ","")&amp;IF(AND($B59&lt;&gt;"",$B59&amp;""&lt;&gt;$A59&amp;"",COUNTIF($A$2:$A$501,$B59)&gt;0),"Dependent SSN also appears as an Employee SSN elsewhere; confirm dual-employee coverage is intentional; ","")&amp;IF(AND($B59&lt;&gt;"",COUNTIF($B$2:$B$501,$B59)&gt;COUNTIFS($A$2:$A$501,$A59,$B$2:$B$501,$B59)),"Dependent SSN appears under more than one employee; confirm duplicate family coverage is intentional; ","")&amp;IF(AND(ROW()&gt;2,$A59&lt;&gt;"",$A59&lt;&gt;$A58,COUNTIF($A$2:$A58,$A59)&gt;0),"This household appears in more than one section of the census; keep the family together; ","")&amp;IF(OR(AND($C59&lt;&gt;"",LEN($C59&amp;"")&lt;&gt;LEN(TRIM($C59&amp;""))),AND($D59&lt;&gt;"",LEN($D59&amp;"")&lt;&gt;LEN(TRIM($D59&amp;""))),AND($E59&lt;&gt;"",LEN($E59&amp;"")&lt;&gt;LEN(TRIM($E59&amp;""))),AND($F59&lt;&gt;"",LEN($F59&amp;"")&lt;&gt;LEN(TRIM($F59&amp;""))),AND($G59&lt;&gt;"",LEN($G59&amp;"")&lt;&gt;LEN(TRIM($G59&amp;""))),AND($H59&lt;&gt;"",LEN($H59&amp;"")&lt;&gt;LEN(TRIM($H59&amp;""))),AND($I59&lt;&gt;"",LEN($I59&amp;"")&lt;&gt;LEN(TRIM($I59&amp;""))),AND($J59&lt;&gt;"",LEN($J59&amp;"")&lt;&gt;LEN(TRIM($J59&amp;""))),AND($K59&lt;&gt;"",LEN($K59&amp;"")&lt;&gt;LEN(TRIM($K59&amp;""))),AND($M59&lt;&gt;"",LEN($M59&amp;"")&lt;&gt;LEN(TRIM($M59&amp;""))),AND($N59&lt;&gt;"",LEN($N59&amp;"")&lt;&gt;LEN(TRIM($N59&amp;""))),AND($O59&lt;&gt;"",LEN($O59&amp;"")&lt;&gt;LEN(TRIM($O59&amp;""))),AND($R59&lt;&gt;"",LEN($R59&amp;"")&lt;&gt;LEN(TRIM($R59&amp;""))),AND($S59&lt;&gt;"",LEN($S59&amp;"")&lt;&gt;LEN(TRIM($S59&amp;""))),AND($T59&lt;&gt;"",LEN($T59&amp;"")&lt;&gt;LEN(TRIM($T59&amp;"")))),"Remove leading or trailing spaces from text fields; ","")&amp;IF(OR(AND(LEN($C59)&gt;1,OR(EXACT($C59,UPPER($C59)),EXACT($C59,LOWER($C59)))),AND(LEN($D59)&gt;1,OR(EXACT($D59,UPPER($D59)),EXACT($D59,LOWER($D59)))),AND(LEN($H59)&gt;1,OR(EXACT($H59,UPPER($H59)),EXACT($H59,LOWER($H59))))),"Review capitalization in First Name, Last Name, or City; ","")&amp;IF(AND($N59&lt;&gt;"",NOT(EXACT($N59,LOWER($N59)))),"Email will be standardized to lowercase in the clean output; ","")&amp;IF(AND(OR('START HERE'!$C$8="Initial Enrollment",'START HERE'!$C$8="Open Enrollment"),$R59="Terminated"),"A terminated row is included in an initial or open enrollment file; confirm this is intentional; ",""))</f>
        <v/>
      </c>
      <c r="AE59">
        <f>IF(COUNTA($A59:$U59)=0,"",IF(OR($A59="",AND($A59&lt;&gt;"",NOT(IFERROR(AND(LEN($A59&amp;"")=9,ISNUMBER(--($A59&amp;""))),FALSE))),AND($A59&lt;&gt;"",OR($A59="123456789",$A59="987654321",$A59="012345678",$A59=REPT(LEFT($A59&amp;"",1),9)))),"Employee SSN, ","")&amp;IF(OR(AND($O59&lt;&gt;"",$B59=""),AND($B59&lt;&gt;"",OR(NOT(IFERROR(AND(LEN($B59&amp;"")=9,ISNUMBER(--($B59&amp;""))),FALSE)),$B59=$A59,$B59="123456789",$B59="987654321",$B59="012345678",$B59=REPT(LEFT($B59&amp;"",1),9)))),"Dependent SSN, ","")&amp;IF(OR($C59="",LEN($C59)&gt;19,AND($C59&lt;&gt;"",SUMPRODUCT(--(ROW($1:$19)&lt;=LEN($C59&amp;"")),--ISERROR(FIND(MID($C59&amp;"",ROW($1:$19),1),"ABCDEFGHIJKLMNOPQRSTUVWXYZabcdefghijklmnopqrstuvwxyz .,")))&gt;0)),"First Name, ","")&amp;IF(OR($D59="",LEN($D59)&gt;26,AND($D59&lt;&gt;"",SUMPRODUCT(--(ROW($1:$26)&lt;=LEN($D59&amp;"")),--ISERROR(FIND(MID($D59&amp;"",ROW($1:$26),1),"ABCDEFGHIJKLMNOPQRSTUVWXYZabcdefghijklmnopqrstuvwxyz .,")))&gt;0)),"Last Name, ","")&amp;IF(OR(LEN($E59)&gt;1,AND($E59&lt;&gt;"",SUMPRODUCT(--(ROW($1:$1)&lt;=LEN($E59&amp;"")),--ISERROR(FIND(MID($E59&amp;"",ROW($1:$1),1),"ABCDEFGHIJKLMNOPQRSTUVWXYZabcdefghijklmnopqrstuvwxyz .,")))&gt;0)),"Middle Initial, ","")&amp;IF(OR($F59="",LEN($F59)&gt;75),"Address, ","")&amp;IF(OR($H59="",LEN($H59)&gt;30),"City, ","")&amp;IF(AND($K59="US",OR($I59="",LEN($I59)&lt;&gt;2)),"State, ","")&amp;IF($J59="","ZIP, ","")&amp;IF(OR($K59="",AND($K59&lt;&gt;"US",$K59&lt;&gt;"CA")),"Country, ","")&amp;IF(OR($L59="",AND($L59&lt;&gt;"",OR(NOT(ISNUMBER($L59)),$L59&lt;=DATE(1900,1,1),$L59&gt;TODAY()))),"Birthdate, ","")&amp;IF(AND($N59&lt;&gt;"",NOT(IFERROR(AND(ISNUMBER(SEARCH("@",$N59)),ISNUMBER(SEARCH(".",$N59,SEARCH("@",$N59)+2))),FALSE))),"Email, ","")&amp;IF(OR(AND($B59&lt;&gt;"",$O59=""),AND($O59&lt;&gt;"",$O59&lt;&gt;"Spouse or Common Law Spouse",$O59&lt;&gt;"Domestic Partner",$O59&lt;&gt;"Child",$O59&lt;&gt;"Other",$O59&lt;&gt;"Estate",$O59&lt;&gt;"Unknown")),"Dependent Relationship, ","")&amp;IF($AA59&lt;&gt;"","Household, ","")&amp;IF(OR($P59="",AND($P59&lt;&gt;"",OR(NOT(ISNUMBER($P59)),$P59&lt;=DATE(1900,1,1)))),"Eligibility Date, ","")&amp;IF(OR(AND($R59="Terminated",$Q59=""),AND($Q59&lt;&gt;"",OR(NOT(ISNUMBER($Q59)),$Q59&lt;=DATE(1900,1,1))),AND(ISNUMBER($P59),ISNUMBER($Q59),$Q59&lt;$P59)),"Termination Date, ","")&amp;IF(OR($R59="",AND($R59&lt;&gt;"Active",$R59&lt;&gt;"Terminated"),AND('START HERE'!$C$8="Terminations Only",$R59&lt;&gt;"Terminated")),"Status, ","")&amp;IF($S59="","Plan Name, ","")&amp;IF($T59="","Coverage Level, ","")&amp;IF(AND($U59&lt;&gt;"",OR(NOT(ISNUMBER($U59)),$U59&lt;0)),"Funding, ","")&amp;IF(AND($A59&lt;&gt;"",$S59&lt;&gt;"",COUNTIFS($A$2:$A$501,$A59,$B$2:$B$501,$B59,$S$2:$S$501,$S59)&gt;1),"Duplicate Row, ",""))</f>
        <v/>
      </c>
      <c r="AF59">
        <f>IF(COUNTA($A59:$U59)=0,"",$Y59&amp;$Z59&amp;$AA59&amp;$AB59&amp;$AC59)</f>
        <v/>
      </c>
      <c r="AG59">
        <f>IF($N59="","",LOWER(TRIM($N59)))</f>
        <v/>
      </c>
      <c r="AH59">
        <f>IF($A59="","",COUNTIFS($A$2:$A$501,$A59,$AI$2:$AI$501,1))</f>
        <v/>
      </c>
      <c r="AI59">
        <f>IF(COUNTA($A59:$U59)=0,"",--($AF59&lt;&gt;""))</f>
        <v/>
      </c>
      <c r="AJ59">
        <f>IF(COUNTA($A59:$U59)=0,"",--($AD59&lt;&gt;""))</f>
        <v/>
      </c>
    </row>
    <row r="60" ht="20" customHeight="1">
      <c r="A60" s="80" t="n"/>
      <c r="B60" s="80" t="n"/>
      <c r="C60" s="81" t="n"/>
      <c r="D60" s="81" t="n"/>
      <c r="E60" s="80" t="n"/>
      <c r="F60" s="81" t="n"/>
      <c r="G60" s="81" t="n"/>
      <c r="H60" s="81" t="n"/>
      <c r="I60" s="80" t="n"/>
      <c r="J60" s="80" t="n"/>
      <c r="K60" s="80" t="n"/>
      <c r="L60" s="82" t="n"/>
      <c r="M60" s="80" t="n"/>
      <c r="N60" s="80" t="n"/>
      <c r="O60" s="80" t="n"/>
      <c r="P60" s="82" t="n"/>
      <c r="Q60" s="82" t="n"/>
      <c r="R60" s="80" t="n"/>
      <c r="S60" s="80" t="n"/>
      <c r="T60" s="80" t="n"/>
      <c r="U60" s="83" t="n"/>
      <c r="V60">
        <f>IF($A60="","",IF($A60=$A59,$V59,IF($V59="",0,1-$V59)))</f>
        <v/>
      </c>
      <c r="W60">
        <f>IF($B60&lt;&gt;"",$B60,$A60)</f>
        <v/>
      </c>
      <c r="X60">
        <f>IF(COUNTA($A60:$U60)=0,"",IF(OR($B60&lt;&gt;"",$O60&lt;&gt;""),"Dependent","Employee"))</f>
        <v/>
      </c>
      <c r="Y60">
        <f>IF(COUNTA($A60:$U60)=0,"",IF($A60="","Employee SSN is required; ","")&amp;IF($C60="","First Name is required; ","")&amp;IF(LEN($C60&amp;"")&gt;19,"First Name exceeds 19 characters; ","")&amp;IF(AND($C60&lt;&gt;"",SUMPRODUCT(--(ROW($1:$19)&lt;=LEN($C60&amp;"")),--ISERROR(FIND(MID($C60&amp;"",ROW($1:$19),1),"ABCDEFGHIJKLMNOPQRSTUVWXYZabcdefghijklmnopqrstuvwxyz .,")))&gt;0),"First Name contains unsupported or encoded characters; use plain A-Z letters only; ","")&amp;IF($D60="","Last Name is required; ","")&amp;IF(LEN($D60&amp;"")&gt;26,"Last Name exceeds 26 characters; ","")&amp;IF(AND($D60&lt;&gt;"",SUMPRODUCT(--(ROW($1:$26)&lt;=LEN($D60&amp;"")),--ISERROR(FIND(MID($D60&amp;"",ROW($1:$26),1),"ABCDEFGHIJKLMNOPQRSTUVWXYZabcdefghijklmnopqrstuvwxyz .,")))&gt;0),"Last Name contains unsupported or encoded characters; use plain A-Z letters only; ","")&amp;IF(LEN($E60&amp;"")&gt;1,"Middle Initial may contain only one character; ","")&amp;IF(AND($E60&lt;&gt;"",SUMPRODUCT(--(ROW($1:$1)&lt;=LEN($E60&amp;"")),--ISERROR(FIND(MID($E60&amp;"",ROW($1:$1),1),"ABCDEFGHIJKLMNOPQRSTUVWXYZabcdefghijklmnopqrstuvwxyz .,")))&gt;0),"Middle Initial must be a plain A-Z letter; ","")&amp;IF($F60="","Address is required; ","")&amp;IF(LEN($F60&amp;"")&gt;75,"Address exceeds 75 characters; ","")&amp;IF(LEN($G60&amp;"")&gt;75,"Address 2 exceeds 75 characters; ","")&amp;IF($H60="","City is required; ","")&amp;IF(LEN($H60&amp;"")&gt;30,"City exceeds 30 characters; ","")&amp;IF($K60="","Country is required; ","")&amp;IF(AND($K60&lt;&gt;"",$K60&lt;&gt;"US",$K60&lt;&gt;"CA"),"Country must be US or CA; ","")&amp;IF(AND($K60="US",OR($I60="",LEN($I60&amp;"")&lt;&gt;2)),"Use a 2-letter state code; ","")&amp;IF($J60="","ZIP or postal code is required; ","")&amp;IF(AND($K60="US",$J60&lt;&gt;"",NOT(IFERROR(OR(AND(LEN($J60&amp;"")=5,ISNUMBER(--($J60&amp;""))),AND(LEN($J60&amp;"")=9,ISNUMBER(--($J60&amp;""))),AND(LEN($J60&amp;"")=10,MID($J60&amp;"",6,1)="-",ISNUMBER(--SUBSTITUTE($J60&amp;"","-","")))),FALSE))),"US ZIP must be 5 or 9 digits, with an optional ZIP+4 hyphen; ","")&amp;IF(AND($N60&lt;&gt;"",NOT(IFERROR(AND(ISNUMBER(SEARCH("@",$N60)),ISNUMBER(SEARCH(".",$N60,SEARCH("@",$N60)+2))),FALSE))),"Email format appears invalid; ","")&amp;IF(AND($O60&lt;&gt;"",$B60=""),"Dependent SSN is required for every dependent; ","")&amp;IF(AND($B60&lt;&gt;"",$O60=""),"Dependent Relationship is required when Dependent SSN is entered; ","")&amp;IF(AND($O60&lt;&gt;"",$O60&lt;&gt;"Spouse or Common Law Spouse",$O60&lt;&gt;"Domestic Partner",$O60&lt;&gt;"Child",$O60&lt;&gt;"Other",$O60&lt;&gt;"Estate",$O60&lt;&gt;"Unknown"),"Dependent Relationship must use one of the approved options; ",""))</f>
        <v/>
      </c>
      <c r="Z60">
        <f>IF(COUNTA($A60:$U60)=0,"",IF(AND($A60&lt;&gt;"",NOT(IFERROR(AND(LEN($A60&amp;"")=9,ISNUMBER(--($A60&amp;""))),FALSE))),"Employee SSN must contain exactly 9 digits; ","")&amp;IF(AND($A60&lt;&gt;"",OR($A60="123456789",$A60="987654321",$A60="012345678",$A60=REPT(LEFT($A60&amp;"",1),9))),"Employee SSN appears to be a placeholder; ","")&amp;IF(AND($B60&lt;&gt;"",NOT(IFERROR(AND(LEN($B60&amp;"")=9,ISNUMBER(--($B60&amp;""))),FALSE))),"Dependent SSN must contain exactly 9 digits; ","")&amp;IF(AND($B60&lt;&gt;"",OR($B60="123456789",$B60="987654321",$B60="012345678",$B60=REPT(LEFT($B60&amp;"",1),9))),"Dependent SSN appears to be a placeholder; ","")&amp;IF(AND($A60&lt;&gt;"",$B60&lt;&gt;"",$A60&amp;""=$B60&amp;""),"Dependent SSN cannot match Employee SSN; ","")&amp;IF(AND($W60&lt;&gt;"",OR(COUNTIFS($W$2:$W$501,$W60,$C$2:$C$501,"&lt;&gt;"&amp;$C60)&gt;0,COUNTIFS($W$2:$W$501,$W60,$D$2:$D$501,"&lt;&gt;"&amp;$D60)&gt;0,COUNTIFS($W$2:$W$501,$W60,$L$2:$L$501,"&lt;&gt;"&amp;$L60)&gt;0)),"The same SSN is associated with a different name or birthdate; ",""))</f>
        <v/>
      </c>
      <c r="AA60">
        <f>IF(COUNTA($A60:$U60)=0,"",IF(AND($A60&lt;&gt;"",$S60&lt;&gt;"",COUNTIFS($A$2:$A$501,$A60,$S$2:$S$501,$S60,$B$2:$B$501,"",$O$2:$O$501,"")=0),"Add an employee row for this household and plan; ","")&amp;IF(AND($X60="Dependent",COUNTIFS($A$2:$A60,$A60,$S$2:$S60,$S60,$B$2:$B60,"",$O$2:$O60,"")=0),"Place the employee row before dependent rows for this plan; ","")&amp;IF(AND($X60="Dependent",COUNTIFS($A$2:$A$501,$A60,$S$2:$S$501,$S60,$B$2:$B$501,"",$O$2:$O$501,"")&gt;0,IFERROR(OR($P60&lt;&gt;LOOKUP(2,1/(($A$2:$A$501=$A60)*($S$2:$S$501=$S60)*($B$2:$B$501="")*($O$2:$O$501="")),$P$2:$P$501),$Q60&lt;&gt;LOOKUP(2,1/(($A$2:$A$501=$A60)*($S$2:$S$501=$S60)*($B$2:$B$501="")*($O$2:$O$501="")),$Q$2:$Q$501),$R60&lt;&gt;LOOKUP(2,1/(($A$2:$A$501=$A60)*($S$2:$S$501=$S60)*($B$2:$B$501="")*($O$2:$O$501="")),$R$2:$R$501),$T60&lt;&gt;LOOKUP(2,1/(($A$2:$A$501=$A60)*($S$2:$S$501=$S60)*($B$2:$B$501="")*($O$2:$O$501="")),$T$2:$T$501),$U60&lt;&gt;LOOKUP(2,1/(($A$2:$A$501=$A60)*($S$2:$S$501=$S60)*($B$2:$B$501="")*($O$2:$O$501="")),$U$2:$U$501)),FALSE)),"Dependent row does not match the employee row for eligibility, status, coverage level, or funding; ",""))</f>
        <v/>
      </c>
      <c r="AB60">
        <f>IF(COUNTA($A60:$U60)=0,"",IF($L60="","Birthdate is required; ","")&amp;IF(AND($L60&lt;&gt;"",OR(NOT(ISNUMBER($L60)),$L60&lt;=DATE(1900,1,1),$L60&gt;TODAY())),"Birthdate must be an exact valid past date; ","")&amp;IF($P60="","Eligibility Date is required; ","")&amp;IF(AND($P60&lt;&gt;"",OR(NOT(ISNUMBER($P60)),$P60&lt;=DATE(1900,1,1))),"Eligibility Date must be a valid date; ","")&amp;IF(AND($R60="Terminated",$Q60=""),"Termination Date is required when Status is Terminated; ","")&amp;IF(AND($Q60&lt;&gt;"",OR(NOT(ISNUMBER($Q60)),$Q60&lt;=DATE(1900,1,1))),"Termination Date must be a valid date; ","")&amp;IF(AND(ISNUMBER($P60),ISNUMBER($Q60),$Q60&lt;$P60),"Termination Date cannot be before Eligibility Date; ","")&amp;IF($R60="","Status is required; ","")&amp;IF(AND($R60&lt;&gt;"",$R60&lt;&gt;"Active",$R60&lt;&gt;"Terminated"),"Status must be Active or Terminated; ","")&amp;IF(AND('START HERE'!$C$8="Terminations Only",$R60&lt;&gt;"Terminated"),"Terminations Only files must contain terminated records; ",""))</f>
        <v/>
      </c>
      <c r="AC60">
        <f>IF(COUNTA($A60:$U60)=0,"",IF($S60="","Plan Name is required; ","")&amp;IF($T60="","Benefit Coverage Level is required; ","")&amp;IF(AND($U60&lt;&gt;"",OR(NOT(ISNUMBER($U60)),$U60&lt;0)),"Plan Funding Amount must be a nonnegative number; ","")&amp;IF(AND($A60&lt;&gt;"",$S60&lt;&gt;"",COUNTIFS($A$2:$A$501,$A60,$B$2:$B$501,$B60,$S$2:$S$501,$S60)&gt;1),"Duplicate participant and plan row; ",""))</f>
        <v/>
      </c>
      <c r="AD60">
        <f>IF(COUNTA($A60:$U60)=0,"",IF(AND($X60="Employee",$M60="",$N60=""),"No employee phone or email provided; ","")&amp;IF(AND($R60="Active",$Q60&lt;&gt;""),"Active record includes a Termination Date; confirm this is intentional; ","")&amp;IF(AND($B60&lt;&gt;"",$B60&amp;""&lt;&gt;$A60&amp;"",COUNTIF($A$2:$A$501,$B60)&gt;0),"Dependent SSN also appears as an Employee SSN elsewhere; confirm dual-employee coverage is intentional; ","")&amp;IF(AND($B60&lt;&gt;"",COUNTIF($B$2:$B$501,$B60)&gt;COUNTIFS($A$2:$A$501,$A60,$B$2:$B$501,$B60)),"Dependent SSN appears under more than one employee; confirm duplicate family coverage is intentional; ","")&amp;IF(AND(ROW()&gt;2,$A60&lt;&gt;"",$A60&lt;&gt;$A59,COUNTIF($A$2:$A59,$A60)&gt;0),"This household appears in more than one section of the census; keep the family together; ","")&amp;IF(OR(AND($C60&lt;&gt;"",LEN($C60&amp;"")&lt;&gt;LEN(TRIM($C60&amp;""))),AND($D60&lt;&gt;"",LEN($D60&amp;"")&lt;&gt;LEN(TRIM($D60&amp;""))),AND($E60&lt;&gt;"",LEN($E60&amp;"")&lt;&gt;LEN(TRIM($E60&amp;""))),AND($F60&lt;&gt;"",LEN($F60&amp;"")&lt;&gt;LEN(TRIM($F60&amp;""))),AND($G60&lt;&gt;"",LEN($G60&amp;"")&lt;&gt;LEN(TRIM($G60&amp;""))),AND($H60&lt;&gt;"",LEN($H60&amp;"")&lt;&gt;LEN(TRIM($H60&amp;""))),AND($I60&lt;&gt;"",LEN($I60&amp;"")&lt;&gt;LEN(TRIM($I60&amp;""))),AND($J60&lt;&gt;"",LEN($J60&amp;"")&lt;&gt;LEN(TRIM($J60&amp;""))),AND($K60&lt;&gt;"",LEN($K60&amp;"")&lt;&gt;LEN(TRIM($K60&amp;""))),AND($M60&lt;&gt;"",LEN($M60&amp;"")&lt;&gt;LEN(TRIM($M60&amp;""))),AND($N60&lt;&gt;"",LEN($N60&amp;"")&lt;&gt;LEN(TRIM($N60&amp;""))),AND($O60&lt;&gt;"",LEN($O60&amp;"")&lt;&gt;LEN(TRIM($O60&amp;""))),AND($R60&lt;&gt;"",LEN($R60&amp;"")&lt;&gt;LEN(TRIM($R60&amp;""))),AND($S60&lt;&gt;"",LEN($S60&amp;"")&lt;&gt;LEN(TRIM($S60&amp;""))),AND($T60&lt;&gt;"",LEN($T60&amp;"")&lt;&gt;LEN(TRIM($T60&amp;"")))),"Remove leading or trailing spaces from text fields; ","")&amp;IF(OR(AND(LEN($C60)&gt;1,OR(EXACT($C60,UPPER($C60)),EXACT($C60,LOWER($C60)))),AND(LEN($D60)&gt;1,OR(EXACT($D60,UPPER($D60)),EXACT($D60,LOWER($D60)))),AND(LEN($H60)&gt;1,OR(EXACT($H60,UPPER($H60)),EXACT($H60,LOWER($H60))))),"Review capitalization in First Name, Last Name, or City; ","")&amp;IF(AND($N60&lt;&gt;"",NOT(EXACT($N60,LOWER($N60)))),"Email will be standardized to lowercase in the clean output; ","")&amp;IF(AND(OR('START HERE'!$C$8="Initial Enrollment",'START HERE'!$C$8="Open Enrollment"),$R60="Terminated"),"A terminated row is included in an initial or open enrollment file; confirm this is intentional; ",""))</f>
        <v/>
      </c>
      <c r="AE60">
        <f>IF(COUNTA($A60:$U60)=0,"",IF(OR($A60="",AND($A60&lt;&gt;"",NOT(IFERROR(AND(LEN($A60&amp;"")=9,ISNUMBER(--($A60&amp;""))),FALSE))),AND($A60&lt;&gt;"",OR($A60="123456789",$A60="987654321",$A60="012345678",$A60=REPT(LEFT($A60&amp;"",1),9)))),"Employee SSN, ","")&amp;IF(OR(AND($O60&lt;&gt;"",$B60=""),AND($B60&lt;&gt;"",OR(NOT(IFERROR(AND(LEN($B60&amp;"")=9,ISNUMBER(--($B60&amp;""))),FALSE)),$B60=$A60,$B60="123456789",$B60="987654321",$B60="012345678",$B60=REPT(LEFT($B60&amp;"",1),9)))),"Dependent SSN, ","")&amp;IF(OR($C60="",LEN($C60)&gt;19,AND($C60&lt;&gt;"",SUMPRODUCT(--(ROW($1:$19)&lt;=LEN($C60&amp;"")),--ISERROR(FIND(MID($C60&amp;"",ROW($1:$19),1),"ABCDEFGHIJKLMNOPQRSTUVWXYZabcdefghijklmnopqrstuvwxyz .,")))&gt;0)),"First Name, ","")&amp;IF(OR($D60="",LEN($D60)&gt;26,AND($D60&lt;&gt;"",SUMPRODUCT(--(ROW($1:$26)&lt;=LEN($D60&amp;"")),--ISERROR(FIND(MID($D60&amp;"",ROW($1:$26),1),"ABCDEFGHIJKLMNOPQRSTUVWXYZabcdefghijklmnopqrstuvwxyz .,")))&gt;0)),"Last Name, ","")&amp;IF(OR(LEN($E60)&gt;1,AND($E60&lt;&gt;"",SUMPRODUCT(--(ROW($1:$1)&lt;=LEN($E60&amp;"")),--ISERROR(FIND(MID($E60&amp;"",ROW($1:$1),1),"ABCDEFGHIJKLMNOPQRSTUVWXYZabcdefghijklmnopqrstuvwxyz .,")))&gt;0)),"Middle Initial, ","")&amp;IF(OR($F60="",LEN($F60)&gt;75),"Address, ","")&amp;IF(OR($H60="",LEN($H60)&gt;30),"City, ","")&amp;IF(AND($K60="US",OR($I60="",LEN($I60)&lt;&gt;2)),"State, ","")&amp;IF($J60="","ZIP, ","")&amp;IF(OR($K60="",AND($K60&lt;&gt;"US",$K60&lt;&gt;"CA")),"Country, ","")&amp;IF(OR($L60="",AND($L60&lt;&gt;"",OR(NOT(ISNUMBER($L60)),$L60&lt;=DATE(1900,1,1),$L60&gt;TODAY()))),"Birthdate, ","")&amp;IF(AND($N60&lt;&gt;"",NOT(IFERROR(AND(ISNUMBER(SEARCH("@",$N60)),ISNUMBER(SEARCH(".",$N60,SEARCH("@",$N60)+2))),FALSE))),"Email, ","")&amp;IF(OR(AND($B60&lt;&gt;"",$O60=""),AND($O60&lt;&gt;"",$O60&lt;&gt;"Spouse or Common Law Spouse",$O60&lt;&gt;"Domestic Partner",$O60&lt;&gt;"Child",$O60&lt;&gt;"Other",$O60&lt;&gt;"Estate",$O60&lt;&gt;"Unknown")),"Dependent Relationship, ","")&amp;IF($AA60&lt;&gt;"","Household, ","")&amp;IF(OR($P60="",AND($P60&lt;&gt;"",OR(NOT(ISNUMBER($P60)),$P60&lt;=DATE(1900,1,1)))),"Eligibility Date, ","")&amp;IF(OR(AND($R60="Terminated",$Q60=""),AND($Q60&lt;&gt;"",OR(NOT(ISNUMBER($Q60)),$Q60&lt;=DATE(1900,1,1))),AND(ISNUMBER($P60),ISNUMBER($Q60),$Q60&lt;$P60)),"Termination Date, ","")&amp;IF(OR($R60="",AND($R60&lt;&gt;"Active",$R60&lt;&gt;"Terminated"),AND('START HERE'!$C$8="Terminations Only",$R60&lt;&gt;"Terminated")),"Status, ","")&amp;IF($S60="","Plan Name, ","")&amp;IF($T60="","Coverage Level, ","")&amp;IF(AND($U60&lt;&gt;"",OR(NOT(ISNUMBER($U60)),$U60&lt;0)),"Funding, ","")&amp;IF(AND($A60&lt;&gt;"",$S60&lt;&gt;"",COUNTIFS($A$2:$A$501,$A60,$B$2:$B$501,$B60,$S$2:$S$501,$S60)&gt;1),"Duplicate Row, ",""))</f>
        <v/>
      </c>
      <c r="AF60">
        <f>IF(COUNTA($A60:$U60)=0,"",$Y60&amp;$Z60&amp;$AA60&amp;$AB60&amp;$AC60)</f>
        <v/>
      </c>
      <c r="AG60">
        <f>IF($N60="","",LOWER(TRIM($N60)))</f>
        <v/>
      </c>
      <c r="AH60">
        <f>IF($A60="","",COUNTIFS($A$2:$A$501,$A60,$AI$2:$AI$501,1))</f>
        <v/>
      </c>
      <c r="AI60">
        <f>IF(COUNTA($A60:$U60)=0,"",--($AF60&lt;&gt;""))</f>
        <v/>
      </c>
      <c r="AJ60">
        <f>IF(COUNTA($A60:$U60)=0,"",--($AD60&lt;&gt;""))</f>
        <v/>
      </c>
    </row>
    <row r="61" ht="20" customHeight="1">
      <c r="A61" s="80" t="n"/>
      <c r="B61" s="80" t="n"/>
      <c r="C61" s="81" t="n"/>
      <c r="D61" s="81" t="n"/>
      <c r="E61" s="80" t="n"/>
      <c r="F61" s="81" t="n"/>
      <c r="G61" s="81" t="n"/>
      <c r="H61" s="81" t="n"/>
      <c r="I61" s="80" t="n"/>
      <c r="J61" s="80" t="n"/>
      <c r="K61" s="80" t="n"/>
      <c r="L61" s="82" t="n"/>
      <c r="M61" s="80" t="n"/>
      <c r="N61" s="80" t="n"/>
      <c r="O61" s="80" t="n"/>
      <c r="P61" s="82" t="n"/>
      <c r="Q61" s="82" t="n"/>
      <c r="R61" s="80" t="n"/>
      <c r="S61" s="80" t="n"/>
      <c r="T61" s="80" t="n"/>
      <c r="U61" s="83" t="n"/>
      <c r="V61">
        <f>IF($A61="","",IF($A61=$A60,$V60,IF($V60="",0,1-$V60)))</f>
        <v/>
      </c>
      <c r="W61">
        <f>IF($B61&lt;&gt;"",$B61,$A61)</f>
        <v/>
      </c>
      <c r="X61">
        <f>IF(COUNTA($A61:$U61)=0,"",IF(OR($B61&lt;&gt;"",$O61&lt;&gt;""),"Dependent","Employee"))</f>
        <v/>
      </c>
      <c r="Y61">
        <f>IF(COUNTA($A61:$U61)=0,"",IF($A61="","Employee SSN is required; ","")&amp;IF($C61="","First Name is required; ","")&amp;IF(LEN($C61&amp;"")&gt;19,"First Name exceeds 19 characters; ","")&amp;IF(AND($C61&lt;&gt;"",SUMPRODUCT(--(ROW($1:$19)&lt;=LEN($C61&amp;"")),--ISERROR(FIND(MID($C61&amp;"",ROW($1:$19),1),"ABCDEFGHIJKLMNOPQRSTUVWXYZabcdefghijklmnopqrstuvwxyz .,")))&gt;0),"First Name contains unsupported or encoded characters; use plain A-Z letters only; ","")&amp;IF($D61="","Last Name is required; ","")&amp;IF(LEN($D61&amp;"")&gt;26,"Last Name exceeds 26 characters; ","")&amp;IF(AND($D61&lt;&gt;"",SUMPRODUCT(--(ROW($1:$26)&lt;=LEN($D61&amp;"")),--ISERROR(FIND(MID($D61&amp;"",ROW($1:$26),1),"ABCDEFGHIJKLMNOPQRSTUVWXYZabcdefghijklmnopqrstuvwxyz .,")))&gt;0),"Last Name contains unsupported or encoded characters; use plain A-Z letters only; ","")&amp;IF(LEN($E61&amp;"")&gt;1,"Middle Initial may contain only one character; ","")&amp;IF(AND($E61&lt;&gt;"",SUMPRODUCT(--(ROW($1:$1)&lt;=LEN($E61&amp;"")),--ISERROR(FIND(MID($E61&amp;"",ROW($1:$1),1),"ABCDEFGHIJKLMNOPQRSTUVWXYZabcdefghijklmnopqrstuvwxyz .,")))&gt;0),"Middle Initial must be a plain A-Z letter; ","")&amp;IF($F61="","Address is required; ","")&amp;IF(LEN($F61&amp;"")&gt;75,"Address exceeds 75 characters; ","")&amp;IF(LEN($G61&amp;"")&gt;75,"Address 2 exceeds 75 characters; ","")&amp;IF($H61="","City is required; ","")&amp;IF(LEN($H61&amp;"")&gt;30,"City exceeds 30 characters; ","")&amp;IF($K61="","Country is required; ","")&amp;IF(AND($K61&lt;&gt;"",$K61&lt;&gt;"US",$K61&lt;&gt;"CA"),"Country must be US or CA; ","")&amp;IF(AND($K61="US",OR($I61="",LEN($I61&amp;"")&lt;&gt;2)),"Use a 2-letter state code; ","")&amp;IF($J61="","ZIP or postal code is required; ","")&amp;IF(AND($K61="US",$J61&lt;&gt;"",NOT(IFERROR(OR(AND(LEN($J61&amp;"")=5,ISNUMBER(--($J61&amp;""))),AND(LEN($J61&amp;"")=9,ISNUMBER(--($J61&amp;""))),AND(LEN($J61&amp;"")=10,MID($J61&amp;"",6,1)="-",ISNUMBER(--SUBSTITUTE($J61&amp;"","-","")))),FALSE))),"US ZIP must be 5 or 9 digits, with an optional ZIP+4 hyphen; ","")&amp;IF(AND($N61&lt;&gt;"",NOT(IFERROR(AND(ISNUMBER(SEARCH("@",$N61)),ISNUMBER(SEARCH(".",$N61,SEARCH("@",$N61)+2))),FALSE))),"Email format appears invalid; ","")&amp;IF(AND($O61&lt;&gt;"",$B61=""),"Dependent SSN is required for every dependent; ","")&amp;IF(AND($B61&lt;&gt;"",$O61=""),"Dependent Relationship is required when Dependent SSN is entered; ","")&amp;IF(AND($O61&lt;&gt;"",$O61&lt;&gt;"Spouse or Common Law Spouse",$O61&lt;&gt;"Domestic Partner",$O61&lt;&gt;"Child",$O61&lt;&gt;"Other",$O61&lt;&gt;"Estate",$O61&lt;&gt;"Unknown"),"Dependent Relationship must use one of the approved options; ",""))</f>
        <v/>
      </c>
      <c r="Z61">
        <f>IF(COUNTA($A61:$U61)=0,"",IF(AND($A61&lt;&gt;"",NOT(IFERROR(AND(LEN($A61&amp;"")=9,ISNUMBER(--($A61&amp;""))),FALSE))),"Employee SSN must contain exactly 9 digits; ","")&amp;IF(AND($A61&lt;&gt;"",OR($A61="123456789",$A61="987654321",$A61="012345678",$A61=REPT(LEFT($A61&amp;"",1),9))),"Employee SSN appears to be a placeholder; ","")&amp;IF(AND($B61&lt;&gt;"",NOT(IFERROR(AND(LEN($B61&amp;"")=9,ISNUMBER(--($B61&amp;""))),FALSE))),"Dependent SSN must contain exactly 9 digits; ","")&amp;IF(AND($B61&lt;&gt;"",OR($B61="123456789",$B61="987654321",$B61="012345678",$B61=REPT(LEFT($B61&amp;"",1),9))),"Dependent SSN appears to be a placeholder; ","")&amp;IF(AND($A61&lt;&gt;"",$B61&lt;&gt;"",$A61&amp;""=$B61&amp;""),"Dependent SSN cannot match Employee SSN; ","")&amp;IF(AND($W61&lt;&gt;"",OR(COUNTIFS($W$2:$W$501,$W61,$C$2:$C$501,"&lt;&gt;"&amp;$C61)&gt;0,COUNTIFS($W$2:$W$501,$W61,$D$2:$D$501,"&lt;&gt;"&amp;$D61)&gt;0,COUNTIFS($W$2:$W$501,$W61,$L$2:$L$501,"&lt;&gt;"&amp;$L61)&gt;0)),"The same SSN is associated with a different name or birthdate; ",""))</f>
        <v/>
      </c>
      <c r="AA61">
        <f>IF(COUNTA($A61:$U61)=0,"",IF(AND($A61&lt;&gt;"",$S61&lt;&gt;"",COUNTIFS($A$2:$A$501,$A61,$S$2:$S$501,$S61,$B$2:$B$501,"",$O$2:$O$501,"")=0),"Add an employee row for this household and plan; ","")&amp;IF(AND($X61="Dependent",COUNTIFS($A$2:$A61,$A61,$S$2:$S61,$S61,$B$2:$B61,"",$O$2:$O61,"")=0),"Place the employee row before dependent rows for this plan; ","")&amp;IF(AND($X61="Dependent",COUNTIFS($A$2:$A$501,$A61,$S$2:$S$501,$S61,$B$2:$B$501,"",$O$2:$O$501,"")&gt;0,IFERROR(OR($P61&lt;&gt;LOOKUP(2,1/(($A$2:$A$501=$A61)*($S$2:$S$501=$S61)*($B$2:$B$501="")*($O$2:$O$501="")),$P$2:$P$501),$Q61&lt;&gt;LOOKUP(2,1/(($A$2:$A$501=$A61)*($S$2:$S$501=$S61)*($B$2:$B$501="")*($O$2:$O$501="")),$Q$2:$Q$501),$R61&lt;&gt;LOOKUP(2,1/(($A$2:$A$501=$A61)*($S$2:$S$501=$S61)*($B$2:$B$501="")*($O$2:$O$501="")),$R$2:$R$501),$T61&lt;&gt;LOOKUP(2,1/(($A$2:$A$501=$A61)*($S$2:$S$501=$S61)*($B$2:$B$501="")*($O$2:$O$501="")),$T$2:$T$501),$U61&lt;&gt;LOOKUP(2,1/(($A$2:$A$501=$A61)*($S$2:$S$501=$S61)*($B$2:$B$501="")*($O$2:$O$501="")),$U$2:$U$501)),FALSE)),"Dependent row does not match the employee row for eligibility, status, coverage level, or funding; ",""))</f>
        <v/>
      </c>
      <c r="AB61">
        <f>IF(COUNTA($A61:$U61)=0,"",IF($L61="","Birthdate is required; ","")&amp;IF(AND($L61&lt;&gt;"",OR(NOT(ISNUMBER($L61)),$L61&lt;=DATE(1900,1,1),$L61&gt;TODAY())),"Birthdate must be an exact valid past date; ","")&amp;IF($P61="","Eligibility Date is required; ","")&amp;IF(AND($P61&lt;&gt;"",OR(NOT(ISNUMBER($P61)),$P61&lt;=DATE(1900,1,1))),"Eligibility Date must be a valid date; ","")&amp;IF(AND($R61="Terminated",$Q61=""),"Termination Date is required when Status is Terminated; ","")&amp;IF(AND($Q61&lt;&gt;"",OR(NOT(ISNUMBER($Q61)),$Q61&lt;=DATE(1900,1,1))),"Termination Date must be a valid date; ","")&amp;IF(AND(ISNUMBER($P61),ISNUMBER($Q61),$Q61&lt;$P61),"Termination Date cannot be before Eligibility Date; ","")&amp;IF($R61="","Status is required; ","")&amp;IF(AND($R61&lt;&gt;"",$R61&lt;&gt;"Active",$R61&lt;&gt;"Terminated"),"Status must be Active or Terminated; ","")&amp;IF(AND('START HERE'!$C$8="Terminations Only",$R61&lt;&gt;"Terminated"),"Terminations Only files must contain terminated records; ",""))</f>
        <v/>
      </c>
      <c r="AC61">
        <f>IF(COUNTA($A61:$U61)=0,"",IF($S61="","Plan Name is required; ","")&amp;IF($T61="","Benefit Coverage Level is required; ","")&amp;IF(AND($U61&lt;&gt;"",OR(NOT(ISNUMBER($U61)),$U61&lt;0)),"Plan Funding Amount must be a nonnegative number; ","")&amp;IF(AND($A61&lt;&gt;"",$S61&lt;&gt;"",COUNTIFS($A$2:$A$501,$A61,$B$2:$B$501,$B61,$S$2:$S$501,$S61)&gt;1),"Duplicate participant and plan row; ",""))</f>
        <v/>
      </c>
      <c r="AD61">
        <f>IF(COUNTA($A61:$U61)=0,"",IF(AND($X61="Employee",$M61="",$N61=""),"No employee phone or email provided; ","")&amp;IF(AND($R61="Active",$Q61&lt;&gt;""),"Active record includes a Termination Date; confirm this is intentional; ","")&amp;IF(AND($B61&lt;&gt;"",$B61&amp;""&lt;&gt;$A61&amp;"",COUNTIF($A$2:$A$501,$B61)&gt;0),"Dependent SSN also appears as an Employee SSN elsewhere; confirm dual-employee coverage is intentional; ","")&amp;IF(AND($B61&lt;&gt;"",COUNTIF($B$2:$B$501,$B61)&gt;COUNTIFS($A$2:$A$501,$A61,$B$2:$B$501,$B61)),"Dependent SSN appears under more than one employee; confirm duplicate family coverage is intentional; ","")&amp;IF(AND(ROW()&gt;2,$A61&lt;&gt;"",$A61&lt;&gt;$A60,COUNTIF($A$2:$A60,$A61)&gt;0),"This household appears in more than one section of the census; keep the family together; ","")&amp;IF(OR(AND($C61&lt;&gt;"",LEN($C61&amp;"")&lt;&gt;LEN(TRIM($C61&amp;""))),AND($D61&lt;&gt;"",LEN($D61&amp;"")&lt;&gt;LEN(TRIM($D61&amp;""))),AND($E61&lt;&gt;"",LEN($E61&amp;"")&lt;&gt;LEN(TRIM($E61&amp;""))),AND($F61&lt;&gt;"",LEN($F61&amp;"")&lt;&gt;LEN(TRIM($F61&amp;""))),AND($G61&lt;&gt;"",LEN($G61&amp;"")&lt;&gt;LEN(TRIM($G61&amp;""))),AND($H61&lt;&gt;"",LEN($H61&amp;"")&lt;&gt;LEN(TRIM($H61&amp;""))),AND($I61&lt;&gt;"",LEN($I61&amp;"")&lt;&gt;LEN(TRIM($I61&amp;""))),AND($J61&lt;&gt;"",LEN($J61&amp;"")&lt;&gt;LEN(TRIM($J61&amp;""))),AND($K61&lt;&gt;"",LEN($K61&amp;"")&lt;&gt;LEN(TRIM($K61&amp;""))),AND($M61&lt;&gt;"",LEN($M61&amp;"")&lt;&gt;LEN(TRIM($M61&amp;""))),AND($N61&lt;&gt;"",LEN($N61&amp;"")&lt;&gt;LEN(TRIM($N61&amp;""))),AND($O61&lt;&gt;"",LEN($O61&amp;"")&lt;&gt;LEN(TRIM($O61&amp;""))),AND($R61&lt;&gt;"",LEN($R61&amp;"")&lt;&gt;LEN(TRIM($R61&amp;""))),AND($S61&lt;&gt;"",LEN($S61&amp;"")&lt;&gt;LEN(TRIM($S61&amp;""))),AND($T61&lt;&gt;"",LEN($T61&amp;"")&lt;&gt;LEN(TRIM($T61&amp;"")))),"Remove leading or trailing spaces from text fields; ","")&amp;IF(OR(AND(LEN($C61)&gt;1,OR(EXACT($C61,UPPER($C61)),EXACT($C61,LOWER($C61)))),AND(LEN($D61)&gt;1,OR(EXACT($D61,UPPER($D61)),EXACT($D61,LOWER($D61)))),AND(LEN($H61)&gt;1,OR(EXACT($H61,UPPER($H61)),EXACT($H61,LOWER($H61))))),"Review capitalization in First Name, Last Name, or City; ","")&amp;IF(AND($N61&lt;&gt;"",NOT(EXACT($N61,LOWER($N61)))),"Email will be standardized to lowercase in the clean output; ","")&amp;IF(AND(OR('START HERE'!$C$8="Initial Enrollment",'START HERE'!$C$8="Open Enrollment"),$R61="Terminated"),"A terminated row is included in an initial or open enrollment file; confirm this is intentional; ",""))</f>
        <v/>
      </c>
      <c r="AE61">
        <f>IF(COUNTA($A61:$U61)=0,"",IF(OR($A61="",AND($A61&lt;&gt;"",NOT(IFERROR(AND(LEN($A61&amp;"")=9,ISNUMBER(--($A61&amp;""))),FALSE))),AND($A61&lt;&gt;"",OR($A61="123456789",$A61="987654321",$A61="012345678",$A61=REPT(LEFT($A61&amp;"",1),9)))),"Employee SSN, ","")&amp;IF(OR(AND($O61&lt;&gt;"",$B61=""),AND($B61&lt;&gt;"",OR(NOT(IFERROR(AND(LEN($B61&amp;"")=9,ISNUMBER(--($B61&amp;""))),FALSE)),$B61=$A61,$B61="123456789",$B61="987654321",$B61="012345678",$B61=REPT(LEFT($B61&amp;"",1),9)))),"Dependent SSN, ","")&amp;IF(OR($C61="",LEN($C61)&gt;19,AND($C61&lt;&gt;"",SUMPRODUCT(--(ROW($1:$19)&lt;=LEN($C61&amp;"")),--ISERROR(FIND(MID($C61&amp;"",ROW($1:$19),1),"ABCDEFGHIJKLMNOPQRSTUVWXYZabcdefghijklmnopqrstuvwxyz .,")))&gt;0)),"First Name, ","")&amp;IF(OR($D61="",LEN($D61)&gt;26,AND($D61&lt;&gt;"",SUMPRODUCT(--(ROW($1:$26)&lt;=LEN($D61&amp;"")),--ISERROR(FIND(MID($D61&amp;"",ROW($1:$26),1),"ABCDEFGHIJKLMNOPQRSTUVWXYZabcdefghijklmnopqrstuvwxyz .,")))&gt;0)),"Last Name, ","")&amp;IF(OR(LEN($E61)&gt;1,AND($E61&lt;&gt;"",SUMPRODUCT(--(ROW($1:$1)&lt;=LEN($E61&amp;"")),--ISERROR(FIND(MID($E61&amp;"",ROW($1:$1),1),"ABCDEFGHIJKLMNOPQRSTUVWXYZabcdefghijklmnopqrstuvwxyz .,")))&gt;0)),"Middle Initial, ","")&amp;IF(OR($F61="",LEN($F61)&gt;75),"Address, ","")&amp;IF(OR($H61="",LEN($H61)&gt;30),"City, ","")&amp;IF(AND($K61="US",OR($I61="",LEN($I61)&lt;&gt;2)),"State, ","")&amp;IF($J61="","ZIP, ","")&amp;IF(OR($K61="",AND($K61&lt;&gt;"US",$K61&lt;&gt;"CA")),"Country, ","")&amp;IF(OR($L61="",AND($L61&lt;&gt;"",OR(NOT(ISNUMBER($L61)),$L61&lt;=DATE(1900,1,1),$L61&gt;TODAY()))),"Birthdate, ","")&amp;IF(AND($N61&lt;&gt;"",NOT(IFERROR(AND(ISNUMBER(SEARCH("@",$N61)),ISNUMBER(SEARCH(".",$N61,SEARCH("@",$N61)+2))),FALSE))),"Email, ","")&amp;IF(OR(AND($B61&lt;&gt;"",$O61=""),AND($O61&lt;&gt;"",$O61&lt;&gt;"Spouse or Common Law Spouse",$O61&lt;&gt;"Domestic Partner",$O61&lt;&gt;"Child",$O61&lt;&gt;"Other",$O61&lt;&gt;"Estate",$O61&lt;&gt;"Unknown")),"Dependent Relationship, ","")&amp;IF($AA61&lt;&gt;"","Household, ","")&amp;IF(OR($P61="",AND($P61&lt;&gt;"",OR(NOT(ISNUMBER($P61)),$P61&lt;=DATE(1900,1,1)))),"Eligibility Date, ","")&amp;IF(OR(AND($R61="Terminated",$Q61=""),AND($Q61&lt;&gt;"",OR(NOT(ISNUMBER($Q61)),$Q61&lt;=DATE(1900,1,1))),AND(ISNUMBER($P61),ISNUMBER($Q61),$Q61&lt;$P61)),"Termination Date, ","")&amp;IF(OR($R61="",AND($R61&lt;&gt;"Active",$R61&lt;&gt;"Terminated"),AND('START HERE'!$C$8="Terminations Only",$R61&lt;&gt;"Terminated")),"Status, ","")&amp;IF($S61="","Plan Name, ","")&amp;IF($T61="","Coverage Level, ","")&amp;IF(AND($U61&lt;&gt;"",OR(NOT(ISNUMBER($U61)),$U61&lt;0)),"Funding, ","")&amp;IF(AND($A61&lt;&gt;"",$S61&lt;&gt;"",COUNTIFS($A$2:$A$501,$A61,$B$2:$B$501,$B61,$S$2:$S$501,$S61)&gt;1),"Duplicate Row, ",""))</f>
        <v/>
      </c>
      <c r="AF61">
        <f>IF(COUNTA($A61:$U61)=0,"",$Y61&amp;$Z61&amp;$AA61&amp;$AB61&amp;$AC61)</f>
        <v/>
      </c>
      <c r="AG61">
        <f>IF($N61="","",LOWER(TRIM($N61)))</f>
        <v/>
      </c>
      <c r="AH61">
        <f>IF($A61="","",COUNTIFS($A$2:$A$501,$A61,$AI$2:$AI$501,1))</f>
        <v/>
      </c>
      <c r="AI61">
        <f>IF(COUNTA($A61:$U61)=0,"",--($AF61&lt;&gt;""))</f>
        <v/>
      </c>
      <c r="AJ61">
        <f>IF(COUNTA($A61:$U61)=0,"",--($AD61&lt;&gt;""))</f>
        <v/>
      </c>
    </row>
    <row r="62" ht="20" customHeight="1">
      <c r="A62" s="80" t="n"/>
      <c r="B62" s="80" t="n"/>
      <c r="C62" s="81" t="n"/>
      <c r="D62" s="81" t="n"/>
      <c r="E62" s="80" t="n"/>
      <c r="F62" s="81" t="n"/>
      <c r="G62" s="81" t="n"/>
      <c r="H62" s="81" t="n"/>
      <c r="I62" s="80" t="n"/>
      <c r="J62" s="80" t="n"/>
      <c r="K62" s="80" t="n"/>
      <c r="L62" s="82" t="n"/>
      <c r="M62" s="80" t="n"/>
      <c r="N62" s="80" t="n"/>
      <c r="O62" s="80" t="n"/>
      <c r="P62" s="82" t="n"/>
      <c r="Q62" s="82" t="n"/>
      <c r="R62" s="80" t="n"/>
      <c r="S62" s="80" t="n"/>
      <c r="T62" s="80" t="n"/>
      <c r="U62" s="83" t="n"/>
      <c r="V62">
        <f>IF($A62="","",IF($A62=$A61,$V61,IF($V61="",0,1-$V61)))</f>
        <v/>
      </c>
      <c r="W62">
        <f>IF($B62&lt;&gt;"",$B62,$A62)</f>
        <v/>
      </c>
      <c r="X62">
        <f>IF(COUNTA($A62:$U62)=0,"",IF(OR($B62&lt;&gt;"",$O62&lt;&gt;""),"Dependent","Employee"))</f>
        <v/>
      </c>
      <c r="Y62">
        <f>IF(COUNTA($A62:$U62)=0,"",IF($A62="","Employee SSN is required; ","")&amp;IF($C62="","First Name is required; ","")&amp;IF(LEN($C62&amp;"")&gt;19,"First Name exceeds 19 characters; ","")&amp;IF(AND($C62&lt;&gt;"",SUMPRODUCT(--(ROW($1:$19)&lt;=LEN($C62&amp;"")),--ISERROR(FIND(MID($C62&amp;"",ROW($1:$19),1),"ABCDEFGHIJKLMNOPQRSTUVWXYZabcdefghijklmnopqrstuvwxyz .,")))&gt;0),"First Name contains unsupported or encoded characters; use plain A-Z letters only; ","")&amp;IF($D62="","Last Name is required; ","")&amp;IF(LEN($D62&amp;"")&gt;26,"Last Name exceeds 26 characters; ","")&amp;IF(AND($D62&lt;&gt;"",SUMPRODUCT(--(ROW($1:$26)&lt;=LEN($D62&amp;"")),--ISERROR(FIND(MID($D62&amp;"",ROW($1:$26),1),"ABCDEFGHIJKLMNOPQRSTUVWXYZabcdefghijklmnopqrstuvwxyz .,")))&gt;0),"Last Name contains unsupported or encoded characters; use plain A-Z letters only; ","")&amp;IF(LEN($E62&amp;"")&gt;1,"Middle Initial may contain only one character; ","")&amp;IF(AND($E62&lt;&gt;"",SUMPRODUCT(--(ROW($1:$1)&lt;=LEN($E62&amp;"")),--ISERROR(FIND(MID($E62&amp;"",ROW($1:$1),1),"ABCDEFGHIJKLMNOPQRSTUVWXYZabcdefghijklmnopqrstuvwxyz .,")))&gt;0),"Middle Initial must be a plain A-Z letter; ","")&amp;IF($F62="","Address is required; ","")&amp;IF(LEN($F62&amp;"")&gt;75,"Address exceeds 75 characters; ","")&amp;IF(LEN($G62&amp;"")&gt;75,"Address 2 exceeds 75 characters; ","")&amp;IF($H62="","City is required; ","")&amp;IF(LEN($H62&amp;"")&gt;30,"City exceeds 30 characters; ","")&amp;IF($K62="","Country is required; ","")&amp;IF(AND($K62&lt;&gt;"",$K62&lt;&gt;"US",$K62&lt;&gt;"CA"),"Country must be US or CA; ","")&amp;IF(AND($K62="US",OR($I62="",LEN($I62&amp;"")&lt;&gt;2)),"Use a 2-letter state code; ","")&amp;IF($J62="","ZIP or postal code is required; ","")&amp;IF(AND($K62="US",$J62&lt;&gt;"",NOT(IFERROR(OR(AND(LEN($J62&amp;"")=5,ISNUMBER(--($J62&amp;""))),AND(LEN($J62&amp;"")=9,ISNUMBER(--($J62&amp;""))),AND(LEN($J62&amp;"")=10,MID($J62&amp;"",6,1)="-",ISNUMBER(--SUBSTITUTE($J62&amp;"","-","")))),FALSE))),"US ZIP must be 5 or 9 digits, with an optional ZIP+4 hyphen; ","")&amp;IF(AND($N62&lt;&gt;"",NOT(IFERROR(AND(ISNUMBER(SEARCH("@",$N62)),ISNUMBER(SEARCH(".",$N62,SEARCH("@",$N62)+2))),FALSE))),"Email format appears invalid; ","")&amp;IF(AND($O62&lt;&gt;"",$B62=""),"Dependent SSN is required for every dependent; ","")&amp;IF(AND($B62&lt;&gt;"",$O62=""),"Dependent Relationship is required when Dependent SSN is entered; ","")&amp;IF(AND($O62&lt;&gt;"",$O62&lt;&gt;"Spouse or Common Law Spouse",$O62&lt;&gt;"Domestic Partner",$O62&lt;&gt;"Child",$O62&lt;&gt;"Other",$O62&lt;&gt;"Estate",$O62&lt;&gt;"Unknown"),"Dependent Relationship must use one of the approved options; ",""))</f>
        <v/>
      </c>
      <c r="Z62">
        <f>IF(COUNTA($A62:$U62)=0,"",IF(AND($A62&lt;&gt;"",NOT(IFERROR(AND(LEN($A62&amp;"")=9,ISNUMBER(--($A62&amp;""))),FALSE))),"Employee SSN must contain exactly 9 digits; ","")&amp;IF(AND($A62&lt;&gt;"",OR($A62="123456789",$A62="987654321",$A62="012345678",$A62=REPT(LEFT($A62&amp;"",1),9))),"Employee SSN appears to be a placeholder; ","")&amp;IF(AND($B62&lt;&gt;"",NOT(IFERROR(AND(LEN($B62&amp;"")=9,ISNUMBER(--($B62&amp;""))),FALSE))),"Dependent SSN must contain exactly 9 digits; ","")&amp;IF(AND($B62&lt;&gt;"",OR($B62="123456789",$B62="987654321",$B62="012345678",$B62=REPT(LEFT($B62&amp;"",1),9))),"Dependent SSN appears to be a placeholder; ","")&amp;IF(AND($A62&lt;&gt;"",$B62&lt;&gt;"",$A62&amp;""=$B62&amp;""),"Dependent SSN cannot match Employee SSN; ","")&amp;IF(AND($W62&lt;&gt;"",OR(COUNTIFS($W$2:$W$501,$W62,$C$2:$C$501,"&lt;&gt;"&amp;$C62)&gt;0,COUNTIFS($W$2:$W$501,$W62,$D$2:$D$501,"&lt;&gt;"&amp;$D62)&gt;0,COUNTIFS($W$2:$W$501,$W62,$L$2:$L$501,"&lt;&gt;"&amp;$L62)&gt;0)),"The same SSN is associated with a different name or birthdate; ",""))</f>
        <v/>
      </c>
      <c r="AA62">
        <f>IF(COUNTA($A62:$U62)=0,"",IF(AND($A62&lt;&gt;"",$S62&lt;&gt;"",COUNTIFS($A$2:$A$501,$A62,$S$2:$S$501,$S62,$B$2:$B$501,"",$O$2:$O$501,"")=0),"Add an employee row for this household and plan; ","")&amp;IF(AND($X62="Dependent",COUNTIFS($A$2:$A62,$A62,$S$2:$S62,$S62,$B$2:$B62,"",$O$2:$O62,"")=0),"Place the employee row before dependent rows for this plan; ","")&amp;IF(AND($X62="Dependent",COUNTIFS($A$2:$A$501,$A62,$S$2:$S$501,$S62,$B$2:$B$501,"",$O$2:$O$501,"")&gt;0,IFERROR(OR($P62&lt;&gt;LOOKUP(2,1/(($A$2:$A$501=$A62)*($S$2:$S$501=$S62)*($B$2:$B$501="")*($O$2:$O$501="")),$P$2:$P$501),$Q62&lt;&gt;LOOKUP(2,1/(($A$2:$A$501=$A62)*($S$2:$S$501=$S62)*($B$2:$B$501="")*($O$2:$O$501="")),$Q$2:$Q$501),$R62&lt;&gt;LOOKUP(2,1/(($A$2:$A$501=$A62)*($S$2:$S$501=$S62)*($B$2:$B$501="")*($O$2:$O$501="")),$R$2:$R$501),$T62&lt;&gt;LOOKUP(2,1/(($A$2:$A$501=$A62)*($S$2:$S$501=$S62)*($B$2:$B$501="")*($O$2:$O$501="")),$T$2:$T$501),$U62&lt;&gt;LOOKUP(2,1/(($A$2:$A$501=$A62)*($S$2:$S$501=$S62)*($B$2:$B$501="")*($O$2:$O$501="")),$U$2:$U$501)),FALSE)),"Dependent row does not match the employee row for eligibility, status, coverage level, or funding; ",""))</f>
        <v/>
      </c>
      <c r="AB62">
        <f>IF(COUNTA($A62:$U62)=0,"",IF($L62="","Birthdate is required; ","")&amp;IF(AND($L62&lt;&gt;"",OR(NOT(ISNUMBER($L62)),$L62&lt;=DATE(1900,1,1),$L62&gt;TODAY())),"Birthdate must be an exact valid past date; ","")&amp;IF($P62="","Eligibility Date is required; ","")&amp;IF(AND($P62&lt;&gt;"",OR(NOT(ISNUMBER($P62)),$P62&lt;=DATE(1900,1,1))),"Eligibility Date must be a valid date; ","")&amp;IF(AND($R62="Terminated",$Q62=""),"Termination Date is required when Status is Terminated; ","")&amp;IF(AND($Q62&lt;&gt;"",OR(NOT(ISNUMBER($Q62)),$Q62&lt;=DATE(1900,1,1))),"Termination Date must be a valid date; ","")&amp;IF(AND(ISNUMBER($P62),ISNUMBER($Q62),$Q62&lt;$P62),"Termination Date cannot be before Eligibility Date; ","")&amp;IF($R62="","Status is required; ","")&amp;IF(AND($R62&lt;&gt;"",$R62&lt;&gt;"Active",$R62&lt;&gt;"Terminated"),"Status must be Active or Terminated; ","")&amp;IF(AND('START HERE'!$C$8="Terminations Only",$R62&lt;&gt;"Terminated"),"Terminations Only files must contain terminated records; ",""))</f>
        <v/>
      </c>
      <c r="AC62">
        <f>IF(COUNTA($A62:$U62)=0,"",IF($S62="","Plan Name is required; ","")&amp;IF($T62="","Benefit Coverage Level is required; ","")&amp;IF(AND($U62&lt;&gt;"",OR(NOT(ISNUMBER($U62)),$U62&lt;0)),"Plan Funding Amount must be a nonnegative number; ","")&amp;IF(AND($A62&lt;&gt;"",$S62&lt;&gt;"",COUNTIFS($A$2:$A$501,$A62,$B$2:$B$501,$B62,$S$2:$S$501,$S62)&gt;1),"Duplicate participant and plan row; ",""))</f>
        <v/>
      </c>
      <c r="AD62">
        <f>IF(COUNTA($A62:$U62)=0,"",IF(AND($X62="Employee",$M62="",$N62=""),"No employee phone or email provided; ","")&amp;IF(AND($R62="Active",$Q62&lt;&gt;""),"Active record includes a Termination Date; confirm this is intentional; ","")&amp;IF(AND($B62&lt;&gt;"",$B62&amp;""&lt;&gt;$A62&amp;"",COUNTIF($A$2:$A$501,$B62)&gt;0),"Dependent SSN also appears as an Employee SSN elsewhere; confirm dual-employee coverage is intentional; ","")&amp;IF(AND($B62&lt;&gt;"",COUNTIF($B$2:$B$501,$B62)&gt;COUNTIFS($A$2:$A$501,$A62,$B$2:$B$501,$B62)),"Dependent SSN appears under more than one employee; confirm duplicate family coverage is intentional; ","")&amp;IF(AND(ROW()&gt;2,$A62&lt;&gt;"",$A62&lt;&gt;$A61,COUNTIF($A$2:$A61,$A62)&gt;0),"This household appears in more than one section of the census; keep the family together; ","")&amp;IF(OR(AND($C62&lt;&gt;"",LEN($C62&amp;"")&lt;&gt;LEN(TRIM($C62&amp;""))),AND($D62&lt;&gt;"",LEN($D62&amp;"")&lt;&gt;LEN(TRIM($D62&amp;""))),AND($E62&lt;&gt;"",LEN($E62&amp;"")&lt;&gt;LEN(TRIM($E62&amp;""))),AND($F62&lt;&gt;"",LEN($F62&amp;"")&lt;&gt;LEN(TRIM($F62&amp;""))),AND($G62&lt;&gt;"",LEN($G62&amp;"")&lt;&gt;LEN(TRIM($G62&amp;""))),AND($H62&lt;&gt;"",LEN($H62&amp;"")&lt;&gt;LEN(TRIM($H62&amp;""))),AND($I62&lt;&gt;"",LEN($I62&amp;"")&lt;&gt;LEN(TRIM($I62&amp;""))),AND($J62&lt;&gt;"",LEN($J62&amp;"")&lt;&gt;LEN(TRIM($J62&amp;""))),AND($K62&lt;&gt;"",LEN($K62&amp;"")&lt;&gt;LEN(TRIM($K62&amp;""))),AND($M62&lt;&gt;"",LEN($M62&amp;"")&lt;&gt;LEN(TRIM($M62&amp;""))),AND($N62&lt;&gt;"",LEN($N62&amp;"")&lt;&gt;LEN(TRIM($N62&amp;""))),AND($O62&lt;&gt;"",LEN($O62&amp;"")&lt;&gt;LEN(TRIM($O62&amp;""))),AND($R62&lt;&gt;"",LEN($R62&amp;"")&lt;&gt;LEN(TRIM($R62&amp;""))),AND($S62&lt;&gt;"",LEN($S62&amp;"")&lt;&gt;LEN(TRIM($S62&amp;""))),AND($T62&lt;&gt;"",LEN($T62&amp;"")&lt;&gt;LEN(TRIM($T62&amp;"")))),"Remove leading or trailing spaces from text fields; ","")&amp;IF(OR(AND(LEN($C62)&gt;1,OR(EXACT($C62,UPPER($C62)),EXACT($C62,LOWER($C62)))),AND(LEN($D62)&gt;1,OR(EXACT($D62,UPPER($D62)),EXACT($D62,LOWER($D62)))),AND(LEN($H62)&gt;1,OR(EXACT($H62,UPPER($H62)),EXACT($H62,LOWER($H62))))),"Review capitalization in First Name, Last Name, or City; ","")&amp;IF(AND($N62&lt;&gt;"",NOT(EXACT($N62,LOWER($N62)))),"Email will be standardized to lowercase in the clean output; ","")&amp;IF(AND(OR('START HERE'!$C$8="Initial Enrollment",'START HERE'!$C$8="Open Enrollment"),$R62="Terminated"),"A terminated row is included in an initial or open enrollment file; confirm this is intentional; ",""))</f>
        <v/>
      </c>
      <c r="AE62">
        <f>IF(COUNTA($A62:$U62)=0,"",IF(OR($A62="",AND($A62&lt;&gt;"",NOT(IFERROR(AND(LEN($A62&amp;"")=9,ISNUMBER(--($A62&amp;""))),FALSE))),AND($A62&lt;&gt;"",OR($A62="123456789",$A62="987654321",$A62="012345678",$A62=REPT(LEFT($A62&amp;"",1),9)))),"Employee SSN, ","")&amp;IF(OR(AND($O62&lt;&gt;"",$B62=""),AND($B62&lt;&gt;"",OR(NOT(IFERROR(AND(LEN($B62&amp;"")=9,ISNUMBER(--($B62&amp;""))),FALSE)),$B62=$A62,$B62="123456789",$B62="987654321",$B62="012345678",$B62=REPT(LEFT($B62&amp;"",1),9)))),"Dependent SSN, ","")&amp;IF(OR($C62="",LEN($C62)&gt;19,AND($C62&lt;&gt;"",SUMPRODUCT(--(ROW($1:$19)&lt;=LEN($C62&amp;"")),--ISERROR(FIND(MID($C62&amp;"",ROW($1:$19),1),"ABCDEFGHIJKLMNOPQRSTUVWXYZabcdefghijklmnopqrstuvwxyz .,")))&gt;0)),"First Name, ","")&amp;IF(OR($D62="",LEN($D62)&gt;26,AND($D62&lt;&gt;"",SUMPRODUCT(--(ROW($1:$26)&lt;=LEN($D62&amp;"")),--ISERROR(FIND(MID($D62&amp;"",ROW($1:$26),1),"ABCDEFGHIJKLMNOPQRSTUVWXYZabcdefghijklmnopqrstuvwxyz .,")))&gt;0)),"Last Name, ","")&amp;IF(OR(LEN($E62)&gt;1,AND($E62&lt;&gt;"",SUMPRODUCT(--(ROW($1:$1)&lt;=LEN($E62&amp;"")),--ISERROR(FIND(MID($E62&amp;"",ROW($1:$1),1),"ABCDEFGHIJKLMNOPQRSTUVWXYZabcdefghijklmnopqrstuvwxyz .,")))&gt;0)),"Middle Initial, ","")&amp;IF(OR($F62="",LEN($F62)&gt;75),"Address, ","")&amp;IF(OR($H62="",LEN($H62)&gt;30),"City, ","")&amp;IF(AND($K62="US",OR($I62="",LEN($I62)&lt;&gt;2)),"State, ","")&amp;IF($J62="","ZIP, ","")&amp;IF(OR($K62="",AND($K62&lt;&gt;"US",$K62&lt;&gt;"CA")),"Country, ","")&amp;IF(OR($L62="",AND($L62&lt;&gt;"",OR(NOT(ISNUMBER($L62)),$L62&lt;=DATE(1900,1,1),$L62&gt;TODAY()))),"Birthdate, ","")&amp;IF(AND($N62&lt;&gt;"",NOT(IFERROR(AND(ISNUMBER(SEARCH("@",$N62)),ISNUMBER(SEARCH(".",$N62,SEARCH("@",$N62)+2))),FALSE))),"Email, ","")&amp;IF(OR(AND($B62&lt;&gt;"",$O62=""),AND($O62&lt;&gt;"",$O62&lt;&gt;"Spouse or Common Law Spouse",$O62&lt;&gt;"Domestic Partner",$O62&lt;&gt;"Child",$O62&lt;&gt;"Other",$O62&lt;&gt;"Estate",$O62&lt;&gt;"Unknown")),"Dependent Relationship, ","")&amp;IF($AA62&lt;&gt;"","Household, ","")&amp;IF(OR($P62="",AND($P62&lt;&gt;"",OR(NOT(ISNUMBER($P62)),$P62&lt;=DATE(1900,1,1)))),"Eligibility Date, ","")&amp;IF(OR(AND($R62="Terminated",$Q62=""),AND($Q62&lt;&gt;"",OR(NOT(ISNUMBER($Q62)),$Q62&lt;=DATE(1900,1,1))),AND(ISNUMBER($P62),ISNUMBER($Q62),$Q62&lt;$P62)),"Termination Date, ","")&amp;IF(OR($R62="",AND($R62&lt;&gt;"Active",$R62&lt;&gt;"Terminated"),AND('START HERE'!$C$8="Terminations Only",$R62&lt;&gt;"Terminated")),"Status, ","")&amp;IF($S62="","Plan Name, ","")&amp;IF($T62="","Coverage Level, ","")&amp;IF(AND($U62&lt;&gt;"",OR(NOT(ISNUMBER($U62)),$U62&lt;0)),"Funding, ","")&amp;IF(AND($A62&lt;&gt;"",$S62&lt;&gt;"",COUNTIFS($A$2:$A$501,$A62,$B$2:$B$501,$B62,$S$2:$S$501,$S62)&gt;1),"Duplicate Row, ",""))</f>
        <v/>
      </c>
      <c r="AF62">
        <f>IF(COUNTA($A62:$U62)=0,"",$Y62&amp;$Z62&amp;$AA62&amp;$AB62&amp;$AC62)</f>
        <v/>
      </c>
      <c r="AG62">
        <f>IF($N62="","",LOWER(TRIM($N62)))</f>
        <v/>
      </c>
      <c r="AH62">
        <f>IF($A62="","",COUNTIFS($A$2:$A$501,$A62,$AI$2:$AI$501,1))</f>
        <v/>
      </c>
      <c r="AI62">
        <f>IF(COUNTA($A62:$U62)=0,"",--($AF62&lt;&gt;""))</f>
        <v/>
      </c>
      <c r="AJ62">
        <f>IF(COUNTA($A62:$U62)=0,"",--($AD62&lt;&gt;""))</f>
        <v/>
      </c>
    </row>
    <row r="63" ht="20" customHeight="1">
      <c r="A63" s="80" t="n"/>
      <c r="B63" s="80" t="n"/>
      <c r="C63" s="81" t="n"/>
      <c r="D63" s="81" t="n"/>
      <c r="E63" s="80" t="n"/>
      <c r="F63" s="81" t="n"/>
      <c r="G63" s="81" t="n"/>
      <c r="H63" s="81" t="n"/>
      <c r="I63" s="80" t="n"/>
      <c r="J63" s="80" t="n"/>
      <c r="K63" s="80" t="n"/>
      <c r="L63" s="82" t="n"/>
      <c r="M63" s="80" t="n"/>
      <c r="N63" s="80" t="n"/>
      <c r="O63" s="80" t="n"/>
      <c r="P63" s="82" t="n"/>
      <c r="Q63" s="82" t="n"/>
      <c r="R63" s="80" t="n"/>
      <c r="S63" s="80" t="n"/>
      <c r="T63" s="80" t="n"/>
      <c r="U63" s="83" t="n"/>
      <c r="V63">
        <f>IF($A63="","",IF($A63=$A62,$V62,IF($V62="",0,1-$V62)))</f>
        <v/>
      </c>
      <c r="W63">
        <f>IF($B63&lt;&gt;"",$B63,$A63)</f>
        <v/>
      </c>
      <c r="X63">
        <f>IF(COUNTA($A63:$U63)=0,"",IF(OR($B63&lt;&gt;"",$O63&lt;&gt;""),"Dependent","Employee"))</f>
        <v/>
      </c>
      <c r="Y63">
        <f>IF(COUNTA($A63:$U63)=0,"",IF($A63="","Employee SSN is required; ","")&amp;IF($C63="","First Name is required; ","")&amp;IF(LEN($C63&amp;"")&gt;19,"First Name exceeds 19 characters; ","")&amp;IF(AND($C63&lt;&gt;"",SUMPRODUCT(--(ROW($1:$19)&lt;=LEN($C63&amp;"")),--ISERROR(FIND(MID($C63&amp;"",ROW($1:$19),1),"ABCDEFGHIJKLMNOPQRSTUVWXYZabcdefghijklmnopqrstuvwxyz .,")))&gt;0),"First Name contains unsupported or encoded characters; use plain A-Z letters only; ","")&amp;IF($D63="","Last Name is required; ","")&amp;IF(LEN($D63&amp;"")&gt;26,"Last Name exceeds 26 characters; ","")&amp;IF(AND($D63&lt;&gt;"",SUMPRODUCT(--(ROW($1:$26)&lt;=LEN($D63&amp;"")),--ISERROR(FIND(MID($D63&amp;"",ROW($1:$26),1),"ABCDEFGHIJKLMNOPQRSTUVWXYZabcdefghijklmnopqrstuvwxyz .,")))&gt;0),"Last Name contains unsupported or encoded characters; use plain A-Z letters only; ","")&amp;IF(LEN($E63&amp;"")&gt;1,"Middle Initial may contain only one character; ","")&amp;IF(AND($E63&lt;&gt;"",SUMPRODUCT(--(ROW($1:$1)&lt;=LEN($E63&amp;"")),--ISERROR(FIND(MID($E63&amp;"",ROW($1:$1),1),"ABCDEFGHIJKLMNOPQRSTUVWXYZabcdefghijklmnopqrstuvwxyz .,")))&gt;0),"Middle Initial must be a plain A-Z letter; ","")&amp;IF($F63="","Address is required; ","")&amp;IF(LEN($F63&amp;"")&gt;75,"Address exceeds 75 characters; ","")&amp;IF(LEN($G63&amp;"")&gt;75,"Address 2 exceeds 75 characters; ","")&amp;IF($H63="","City is required; ","")&amp;IF(LEN($H63&amp;"")&gt;30,"City exceeds 30 characters; ","")&amp;IF($K63="","Country is required; ","")&amp;IF(AND($K63&lt;&gt;"",$K63&lt;&gt;"US",$K63&lt;&gt;"CA"),"Country must be US or CA; ","")&amp;IF(AND($K63="US",OR($I63="",LEN($I63&amp;"")&lt;&gt;2)),"Use a 2-letter state code; ","")&amp;IF($J63="","ZIP or postal code is required; ","")&amp;IF(AND($K63="US",$J63&lt;&gt;"",NOT(IFERROR(OR(AND(LEN($J63&amp;"")=5,ISNUMBER(--($J63&amp;""))),AND(LEN($J63&amp;"")=9,ISNUMBER(--($J63&amp;""))),AND(LEN($J63&amp;"")=10,MID($J63&amp;"",6,1)="-",ISNUMBER(--SUBSTITUTE($J63&amp;"","-","")))),FALSE))),"US ZIP must be 5 or 9 digits, with an optional ZIP+4 hyphen; ","")&amp;IF(AND($N63&lt;&gt;"",NOT(IFERROR(AND(ISNUMBER(SEARCH("@",$N63)),ISNUMBER(SEARCH(".",$N63,SEARCH("@",$N63)+2))),FALSE))),"Email format appears invalid; ","")&amp;IF(AND($O63&lt;&gt;"",$B63=""),"Dependent SSN is required for every dependent; ","")&amp;IF(AND($B63&lt;&gt;"",$O63=""),"Dependent Relationship is required when Dependent SSN is entered; ","")&amp;IF(AND($O63&lt;&gt;"",$O63&lt;&gt;"Spouse or Common Law Spouse",$O63&lt;&gt;"Domestic Partner",$O63&lt;&gt;"Child",$O63&lt;&gt;"Other",$O63&lt;&gt;"Estate",$O63&lt;&gt;"Unknown"),"Dependent Relationship must use one of the approved options; ",""))</f>
        <v/>
      </c>
      <c r="Z63">
        <f>IF(COUNTA($A63:$U63)=0,"",IF(AND($A63&lt;&gt;"",NOT(IFERROR(AND(LEN($A63&amp;"")=9,ISNUMBER(--($A63&amp;""))),FALSE))),"Employee SSN must contain exactly 9 digits; ","")&amp;IF(AND($A63&lt;&gt;"",OR($A63="123456789",$A63="987654321",$A63="012345678",$A63=REPT(LEFT($A63&amp;"",1),9))),"Employee SSN appears to be a placeholder; ","")&amp;IF(AND($B63&lt;&gt;"",NOT(IFERROR(AND(LEN($B63&amp;"")=9,ISNUMBER(--($B63&amp;""))),FALSE))),"Dependent SSN must contain exactly 9 digits; ","")&amp;IF(AND($B63&lt;&gt;"",OR($B63="123456789",$B63="987654321",$B63="012345678",$B63=REPT(LEFT($B63&amp;"",1),9))),"Dependent SSN appears to be a placeholder; ","")&amp;IF(AND($A63&lt;&gt;"",$B63&lt;&gt;"",$A63&amp;""=$B63&amp;""),"Dependent SSN cannot match Employee SSN; ","")&amp;IF(AND($W63&lt;&gt;"",OR(COUNTIFS($W$2:$W$501,$W63,$C$2:$C$501,"&lt;&gt;"&amp;$C63)&gt;0,COUNTIFS($W$2:$W$501,$W63,$D$2:$D$501,"&lt;&gt;"&amp;$D63)&gt;0,COUNTIFS($W$2:$W$501,$W63,$L$2:$L$501,"&lt;&gt;"&amp;$L63)&gt;0)),"The same SSN is associated with a different name or birthdate; ",""))</f>
        <v/>
      </c>
      <c r="AA63">
        <f>IF(COUNTA($A63:$U63)=0,"",IF(AND($A63&lt;&gt;"",$S63&lt;&gt;"",COUNTIFS($A$2:$A$501,$A63,$S$2:$S$501,$S63,$B$2:$B$501,"",$O$2:$O$501,"")=0),"Add an employee row for this household and plan; ","")&amp;IF(AND($X63="Dependent",COUNTIFS($A$2:$A63,$A63,$S$2:$S63,$S63,$B$2:$B63,"",$O$2:$O63,"")=0),"Place the employee row before dependent rows for this plan; ","")&amp;IF(AND($X63="Dependent",COUNTIFS($A$2:$A$501,$A63,$S$2:$S$501,$S63,$B$2:$B$501,"",$O$2:$O$501,"")&gt;0,IFERROR(OR($P63&lt;&gt;LOOKUP(2,1/(($A$2:$A$501=$A63)*($S$2:$S$501=$S63)*($B$2:$B$501="")*($O$2:$O$501="")),$P$2:$P$501),$Q63&lt;&gt;LOOKUP(2,1/(($A$2:$A$501=$A63)*($S$2:$S$501=$S63)*($B$2:$B$501="")*($O$2:$O$501="")),$Q$2:$Q$501),$R63&lt;&gt;LOOKUP(2,1/(($A$2:$A$501=$A63)*($S$2:$S$501=$S63)*($B$2:$B$501="")*($O$2:$O$501="")),$R$2:$R$501),$T63&lt;&gt;LOOKUP(2,1/(($A$2:$A$501=$A63)*($S$2:$S$501=$S63)*($B$2:$B$501="")*($O$2:$O$501="")),$T$2:$T$501),$U63&lt;&gt;LOOKUP(2,1/(($A$2:$A$501=$A63)*($S$2:$S$501=$S63)*($B$2:$B$501="")*($O$2:$O$501="")),$U$2:$U$501)),FALSE)),"Dependent row does not match the employee row for eligibility, status, coverage level, or funding; ",""))</f>
        <v/>
      </c>
      <c r="AB63">
        <f>IF(COUNTA($A63:$U63)=0,"",IF($L63="","Birthdate is required; ","")&amp;IF(AND($L63&lt;&gt;"",OR(NOT(ISNUMBER($L63)),$L63&lt;=DATE(1900,1,1),$L63&gt;TODAY())),"Birthdate must be an exact valid past date; ","")&amp;IF($P63="","Eligibility Date is required; ","")&amp;IF(AND($P63&lt;&gt;"",OR(NOT(ISNUMBER($P63)),$P63&lt;=DATE(1900,1,1))),"Eligibility Date must be a valid date; ","")&amp;IF(AND($R63="Terminated",$Q63=""),"Termination Date is required when Status is Terminated; ","")&amp;IF(AND($Q63&lt;&gt;"",OR(NOT(ISNUMBER($Q63)),$Q63&lt;=DATE(1900,1,1))),"Termination Date must be a valid date; ","")&amp;IF(AND(ISNUMBER($P63),ISNUMBER($Q63),$Q63&lt;$P63),"Termination Date cannot be before Eligibility Date; ","")&amp;IF($R63="","Status is required; ","")&amp;IF(AND($R63&lt;&gt;"",$R63&lt;&gt;"Active",$R63&lt;&gt;"Terminated"),"Status must be Active or Terminated; ","")&amp;IF(AND('START HERE'!$C$8="Terminations Only",$R63&lt;&gt;"Terminated"),"Terminations Only files must contain terminated records; ",""))</f>
        <v/>
      </c>
      <c r="AC63">
        <f>IF(COUNTA($A63:$U63)=0,"",IF($S63="","Plan Name is required; ","")&amp;IF($T63="","Benefit Coverage Level is required; ","")&amp;IF(AND($U63&lt;&gt;"",OR(NOT(ISNUMBER($U63)),$U63&lt;0)),"Plan Funding Amount must be a nonnegative number; ","")&amp;IF(AND($A63&lt;&gt;"",$S63&lt;&gt;"",COUNTIFS($A$2:$A$501,$A63,$B$2:$B$501,$B63,$S$2:$S$501,$S63)&gt;1),"Duplicate participant and plan row; ",""))</f>
        <v/>
      </c>
      <c r="AD63">
        <f>IF(COUNTA($A63:$U63)=0,"",IF(AND($X63="Employee",$M63="",$N63=""),"No employee phone or email provided; ","")&amp;IF(AND($R63="Active",$Q63&lt;&gt;""),"Active record includes a Termination Date; confirm this is intentional; ","")&amp;IF(AND($B63&lt;&gt;"",$B63&amp;""&lt;&gt;$A63&amp;"",COUNTIF($A$2:$A$501,$B63)&gt;0),"Dependent SSN also appears as an Employee SSN elsewhere; confirm dual-employee coverage is intentional; ","")&amp;IF(AND($B63&lt;&gt;"",COUNTIF($B$2:$B$501,$B63)&gt;COUNTIFS($A$2:$A$501,$A63,$B$2:$B$501,$B63)),"Dependent SSN appears under more than one employee; confirm duplicate family coverage is intentional; ","")&amp;IF(AND(ROW()&gt;2,$A63&lt;&gt;"",$A63&lt;&gt;$A62,COUNTIF($A$2:$A62,$A63)&gt;0),"This household appears in more than one section of the census; keep the family together; ","")&amp;IF(OR(AND($C63&lt;&gt;"",LEN($C63&amp;"")&lt;&gt;LEN(TRIM($C63&amp;""))),AND($D63&lt;&gt;"",LEN($D63&amp;"")&lt;&gt;LEN(TRIM($D63&amp;""))),AND($E63&lt;&gt;"",LEN($E63&amp;"")&lt;&gt;LEN(TRIM($E63&amp;""))),AND($F63&lt;&gt;"",LEN($F63&amp;"")&lt;&gt;LEN(TRIM($F63&amp;""))),AND($G63&lt;&gt;"",LEN($G63&amp;"")&lt;&gt;LEN(TRIM($G63&amp;""))),AND($H63&lt;&gt;"",LEN($H63&amp;"")&lt;&gt;LEN(TRIM($H63&amp;""))),AND($I63&lt;&gt;"",LEN($I63&amp;"")&lt;&gt;LEN(TRIM($I63&amp;""))),AND($J63&lt;&gt;"",LEN($J63&amp;"")&lt;&gt;LEN(TRIM($J63&amp;""))),AND($K63&lt;&gt;"",LEN($K63&amp;"")&lt;&gt;LEN(TRIM($K63&amp;""))),AND($M63&lt;&gt;"",LEN($M63&amp;"")&lt;&gt;LEN(TRIM($M63&amp;""))),AND($N63&lt;&gt;"",LEN($N63&amp;"")&lt;&gt;LEN(TRIM($N63&amp;""))),AND($O63&lt;&gt;"",LEN($O63&amp;"")&lt;&gt;LEN(TRIM($O63&amp;""))),AND($R63&lt;&gt;"",LEN($R63&amp;"")&lt;&gt;LEN(TRIM($R63&amp;""))),AND($S63&lt;&gt;"",LEN($S63&amp;"")&lt;&gt;LEN(TRIM($S63&amp;""))),AND($T63&lt;&gt;"",LEN($T63&amp;"")&lt;&gt;LEN(TRIM($T63&amp;"")))),"Remove leading or trailing spaces from text fields; ","")&amp;IF(OR(AND(LEN($C63)&gt;1,OR(EXACT($C63,UPPER($C63)),EXACT($C63,LOWER($C63)))),AND(LEN($D63)&gt;1,OR(EXACT($D63,UPPER($D63)),EXACT($D63,LOWER($D63)))),AND(LEN($H63)&gt;1,OR(EXACT($H63,UPPER($H63)),EXACT($H63,LOWER($H63))))),"Review capitalization in First Name, Last Name, or City; ","")&amp;IF(AND($N63&lt;&gt;"",NOT(EXACT($N63,LOWER($N63)))),"Email will be standardized to lowercase in the clean output; ","")&amp;IF(AND(OR('START HERE'!$C$8="Initial Enrollment",'START HERE'!$C$8="Open Enrollment"),$R63="Terminated"),"A terminated row is included in an initial or open enrollment file; confirm this is intentional; ",""))</f>
        <v/>
      </c>
      <c r="AE63">
        <f>IF(COUNTA($A63:$U63)=0,"",IF(OR($A63="",AND($A63&lt;&gt;"",NOT(IFERROR(AND(LEN($A63&amp;"")=9,ISNUMBER(--($A63&amp;""))),FALSE))),AND($A63&lt;&gt;"",OR($A63="123456789",$A63="987654321",$A63="012345678",$A63=REPT(LEFT($A63&amp;"",1),9)))),"Employee SSN, ","")&amp;IF(OR(AND($O63&lt;&gt;"",$B63=""),AND($B63&lt;&gt;"",OR(NOT(IFERROR(AND(LEN($B63&amp;"")=9,ISNUMBER(--($B63&amp;""))),FALSE)),$B63=$A63,$B63="123456789",$B63="987654321",$B63="012345678",$B63=REPT(LEFT($B63&amp;"",1),9)))),"Dependent SSN, ","")&amp;IF(OR($C63="",LEN($C63)&gt;19,AND($C63&lt;&gt;"",SUMPRODUCT(--(ROW($1:$19)&lt;=LEN($C63&amp;"")),--ISERROR(FIND(MID($C63&amp;"",ROW($1:$19),1),"ABCDEFGHIJKLMNOPQRSTUVWXYZabcdefghijklmnopqrstuvwxyz .,")))&gt;0)),"First Name, ","")&amp;IF(OR($D63="",LEN($D63)&gt;26,AND($D63&lt;&gt;"",SUMPRODUCT(--(ROW($1:$26)&lt;=LEN($D63&amp;"")),--ISERROR(FIND(MID($D63&amp;"",ROW($1:$26),1),"ABCDEFGHIJKLMNOPQRSTUVWXYZabcdefghijklmnopqrstuvwxyz .,")))&gt;0)),"Last Name, ","")&amp;IF(OR(LEN($E63)&gt;1,AND($E63&lt;&gt;"",SUMPRODUCT(--(ROW($1:$1)&lt;=LEN($E63&amp;"")),--ISERROR(FIND(MID($E63&amp;"",ROW($1:$1),1),"ABCDEFGHIJKLMNOPQRSTUVWXYZabcdefghijklmnopqrstuvwxyz .,")))&gt;0)),"Middle Initial, ","")&amp;IF(OR($F63="",LEN($F63)&gt;75),"Address, ","")&amp;IF(OR($H63="",LEN($H63)&gt;30),"City, ","")&amp;IF(AND($K63="US",OR($I63="",LEN($I63)&lt;&gt;2)),"State, ","")&amp;IF($J63="","ZIP, ","")&amp;IF(OR($K63="",AND($K63&lt;&gt;"US",$K63&lt;&gt;"CA")),"Country, ","")&amp;IF(OR($L63="",AND($L63&lt;&gt;"",OR(NOT(ISNUMBER($L63)),$L63&lt;=DATE(1900,1,1),$L63&gt;TODAY()))),"Birthdate, ","")&amp;IF(AND($N63&lt;&gt;"",NOT(IFERROR(AND(ISNUMBER(SEARCH("@",$N63)),ISNUMBER(SEARCH(".",$N63,SEARCH("@",$N63)+2))),FALSE))),"Email, ","")&amp;IF(OR(AND($B63&lt;&gt;"",$O63=""),AND($O63&lt;&gt;"",$O63&lt;&gt;"Spouse or Common Law Spouse",$O63&lt;&gt;"Domestic Partner",$O63&lt;&gt;"Child",$O63&lt;&gt;"Other",$O63&lt;&gt;"Estate",$O63&lt;&gt;"Unknown")),"Dependent Relationship, ","")&amp;IF($AA63&lt;&gt;"","Household, ","")&amp;IF(OR($P63="",AND($P63&lt;&gt;"",OR(NOT(ISNUMBER($P63)),$P63&lt;=DATE(1900,1,1)))),"Eligibility Date, ","")&amp;IF(OR(AND($R63="Terminated",$Q63=""),AND($Q63&lt;&gt;"",OR(NOT(ISNUMBER($Q63)),$Q63&lt;=DATE(1900,1,1))),AND(ISNUMBER($P63),ISNUMBER($Q63),$Q63&lt;$P63)),"Termination Date, ","")&amp;IF(OR($R63="",AND($R63&lt;&gt;"Active",$R63&lt;&gt;"Terminated"),AND('START HERE'!$C$8="Terminations Only",$R63&lt;&gt;"Terminated")),"Status, ","")&amp;IF($S63="","Plan Name, ","")&amp;IF($T63="","Coverage Level, ","")&amp;IF(AND($U63&lt;&gt;"",OR(NOT(ISNUMBER($U63)),$U63&lt;0)),"Funding, ","")&amp;IF(AND($A63&lt;&gt;"",$S63&lt;&gt;"",COUNTIFS($A$2:$A$501,$A63,$B$2:$B$501,$B63,$S$2:$S$501,$S63)&gt;1),"Duplicate Row, ",""))</f>
        <v/>
      </c>
      <c r="AF63">
        <f>IF(COUNTA($A63:$U63)=0,"",$Y63&amp;$Z63&amp;$AA63&amp;$AB63&amp;$AC63)</f>
        <v/>
      </c>
      <c r="AG63">
        <f>IF($N63="","",LOWER(TRIM($N63)))</f>
        <v/>
      </c>
      <c r="AH63">
        <f>IF($A63="","",COUNTIFS($A$2:$A$501,$A63,$AI$2:$AI$501,1))</f>
        <v/>
      </c>
      <c r="AI63">
        <f>IF(COUNTA($A63:$U63)=0,"",--($AF63&lt;&gt;""))</f>
        <v/>
      </c>
      <c r="AJ63">
        <f>IF(COUNTA($A63:$U63)=0,"",--($AD63&lt;&gt;""))</f>
        <v/>
      </c>
    </row>
    <row r="64" ht="20" customHeight="1">
      <c r="A64" s="80" t="n"/>
      <c r="B64" s="80" t="n"/>
      <c r="C64" s="81" t="n"/>
      <c r="D64" s="81" t="n"/>
      <c r="E64" s="80" t="n"/>
      <c r="F64" s="81" t="n"/>
      <c r="G64" s="81" t="n"/>
      <c r="H64" s="81" t="n"/>
      <c r="I64" s="80" t="n"/>
      <c r="J64" s="80" t="n"/>
      <c r="K64" s="80" t="n"/>
      <c r="L64" s="82" t="n"/>
      <c r="M64" s="80" t="n"/>
      <c r="N64" s="80" t="n"/>
      <c r="O64" s="80" t="n"/>
      <c r="P64" s="82" t="n"/>
      <c r="Q64" s="82" t="n"/>
      <c r="R64" s="80" t="n"/>
      <c r="S64" s="80" t="n"/>
      <c r="T64" s="80" t="n"/>
      <c r="U64" s="83" t="n"/>
      <c r="V64">
        <f>IF($A64="","",IF($A64=$A63,$V63,IF($V63="",0,1-$V63)))</f>
        <v/>
      </c>
      <c r="W64">
        <f>IF($B64&lt;&gt;"",$B64,$A64)</f>
        <v/>
      </c>
      <c r="X64">
        <f>IF(COUNTA($A64:$U64)=0,"",IF(OR($B64&lt;&gt;"",$O64&lt;&gt;""),"Dependent","Employee"))</f>
        <v/>
      </c>
      <c r="Y64">
        <f>IF(COUNTA($A64:$U64)=0,"",IF($A64="","Employee SSN is required; ","")&amp;IF($C64="","First Name is required; ","")&amp;IF(LEN($C64&amp;"")&gt;19,"First Name exceeds 19 characters; ","")&amp;IF(AND($C64&lt;&gt;"",SUMPRODUCT(--(ROW($1:$19)&lt;=LEN($C64&amp;"")),--ISERROR(FIND(MID($C64&amp;"",ROW($1:$19),1),"ABCDEFGHIJKLMNOPQRSTUVWXYZabcdefghijklmnopqrstuvwxyz .,")))&gt;0),"First Name contains unsupported or encoded characters; use plain A-Z letters only; ","")&amp;IF($D64="","Last Name is required; ","")&amp;IF(LEN($D64&amp;"")&gt;26,"Last Name exceeds 26 characters; ","")&amp;IF(AND($D64&lt;&gt;"",SUMPRODUCT(--(ROW($1:$26)&lt;=LEN($D64&amp;"")),--ISERROR(FIND(MID($D64&amp;"",ROW($1:$26),1),"ABCDEFGHIJKLMNOPQRSTUVWXYZabcdefghijklmnopqrstuvwxyz .,")))&gt;0),"Last Name contains unsupported or encoded characters; use plain A-Z letters only; ","")&amp;IF(LEN($E64&amp;"")&gt;1,"Middle Initial may contain only one character; ","")&amp;IF(AND($E64&lt;&gt;"",SUMPRODUCT(--(ROW($1:$1)&lt;=LEN($E64&amp;"")),--ISERROR(FIND(MID($E64&amp;"",ROW($1:$1),1),"ABCDEFGHIJKLMNOPQRSTUVWXYZabcdefghijklmnopqrstuvwxyz .,")))&gt;0),"Middle Initial must be a plain A-Z letter; ","")&amp;IF($F64="","Address is required; ","")&amp;IF(LEN($F64&amp;"")&gt;75,"Address exceeds 75 characters; ","")&amp;IF(LEN($G64&amp;"")&gt;75,"Address 2 exceeds 75 characters; ","")&amp;IF($H64="","City is required; ","")&amp;IF(LEN($H64&amp;"")&gt;30,"City exceeds 30 characters; ","")&amp;IF($K64="","Country is required; ","")&amp;IF(AND($K64&lt;&gt;"",$K64&lt;&gt;"US",$K64&lt;&gt;"CA"),"Country must be US or CA; ","")&amp;IF(AND($K64="US",OR($I64="",LEN($I64&amp;"")&lt;&gt;2)),"Use a 2-letter state code; ","")&amp;IF($J64="","ZIP or postal code is required; ","")&amp;IF(AND($K64="US",$J64&lt;&gt;"",NOT(IFERROR(OR(AND(LEN($J64&amp;"")=5,ISNUMBER(--($J64&amp;""))),AND(LEN($J64&amp;"")=9,ISNUMBER(--($J64&amp;""))),AND(LEN($J64&amp;"")=10,MID($J64&amp;"",6,1)="-",ISNUMBER(--SUBSTITUTE($J64&amp;"","-","")))),FALSE))),"US ZIP must be 5 or 9 digits, with an optional ZIP+4 hyphen; ","")&amp;IF(AND($N64&lt;&gt;"",NOT(IFERROR(AND(ISNUMBER(SEARCH("@",$N64)),ISNUMBER(SEARCH(".",$N64,SEARCH("@",$N64)+2))),FALSE))),"Email format appears invalid; ","")&amp;IF(AND($O64&lt;&gt;"",$B64=""),"Dependent SSN is required for every dependent; ","")&amp;IF(AND($B64&lt;&gt;"",$O64=""),"Dependent Relationship is required when Dependent SSN is entered; ","")&amp;IF(AND($O64&lt;&gt;"",$O64&lt;&gt;"Spouse or Common Law Spouse",$O64&lt;&gt;"Domestic Partner",$O64&lt;&gt;"Child",$O64&lt;&gt;"Other",$O64&lt;&gt;"Estate",$O64&lt;&gt;"Unknown"),"Dependent Relationship must use one of the approved options; ",""))</f>
        <v/>
      </c>
      <c r="Z64">
        <f>IF(COUNTA($A64:$U64)=0,"",IF(AND($A64&lt;&gt;"",NOT(IFERROR(AND(LEN($A64&amp;"")=9,ISNUMBER(--($A64&amp;""))),FALSE))),"Employee SSN must contain exactly 9 digits; ","")&amp;IF(AND($A64&lt;&gt;"",OR($A64="123456789",$A64="987654321",$A64="012345678",$A64=REPT(LEFT($A64&amp;"",1),9))),"Employee SSN appears to be a placeholder; ","")&amp;IF(AND($B64&lt;&gt;"",NOT(IFERROR(AND(LEN($B64&amp;"")=9,ISNUMBER(--($B64&amp;""))),FALSE))),"Dependent SSN must contain exactly 9 digits; ","")&amp;IF(AND($B64&lt;&gt;"",OR($B64="123456789",$B64="987654321",$B64="012345678",$B64=REPT(LEFT($B64&amp;"",1),9))),"Dependent SSN appears to be a placeholder; ","")&amp;IF(AND($A64&lt;&gt;"",$B64&lt;&gt;"",$A64&amp;""=$B64&amp;""),"Dependent SSN cannot match Employee SSN; ","")&amp;IF(AND($W64&lt;&gt;"",OR(COUNTIFS($W$2:$W$501,$W64,$C$2:$C$501,"&lt;&gt;"&amp;$C64)&gt;0,COUNTIFS($W$2:$W$501,$W64,$D$2:$D$501,"&lt;&gt;"&amp;$D64)&gt;0,COUNTIFS($W$2:$W$501,$W64,$L$2:$L$501,"&lt;&gt;"&amp;$L64)&gt;0)),"The same SSN is associated with a different name or birthdate; ",""))</f>
        <v/>
      </c>
      <c r="AA64">
        <f>IF(COUNTA($A64:$U64)=0,"",IF(AND($A64&lt;&gt;"",$S64&lt;&gt;"",COUNTIFS($A$2:$A$501,$A64,$S$2:$S$501,$S64,$B$2:$B$501,"",$O$2:$O$501,"")=0),"Add an employee row for this household and plan; ","")&amp;IF(AND($X64="Dependent",COUNTIFS($A$2:$A64,$A64,$S$2:$S64,$S64,$B$2:$B64,"",$O$2:$O64,"")=0),"Place the employee row before dependent rows for this plan; ","")&amp;IF(AND($X64="Dependent",COUNTIFS($A$2:$A$501,$A64,$S$2:$S$501,$S64,$B$2:$B$501,"",$O$2:$O$501,"")&gt;0,IFERROR(OR($P64&lt;&gt;LOOKUP(2,1/(($A$2:$A$501=$A64)*($S$2:$S$501=$S64)*($B$2:$B$501="")*($O$2:$O$501="")),$P$2:$P$501),$Q64&lt;&gt;LOOKUP(2,1/(($A$2:$A$501=$A64)*($S$2:$S$501=$S64)*($B$2:$B$501="")*($O$2:$O$501="")),$Q$2:$Q$501),$R64&lt;&gt;LOOKUP(2,1/(($A$2:$A$501=$A64)*($S$2:$S$501=$S64)*($B$2:$B$501="")*($O$2:$O$501="")),$R$2:$R$501),$T64&lt;&gt;LOOKUP(2,1/(($A$2:$A$501=$A64)*($S$2:$S$501=$S64)*($B$2:$B$501="")*($O$2:$O$501="")),$T$2:$T$501),$U64&lt;&gt;LOOKUP(2,1/(($A$2:$A$501=$A64)*($S$2:$S$501=$S64)*($B$2:$B$501="")*($O$2:$O$501="")),$U$2:$U$501)),FALSE)),"Dependent row does not match the employee row for eligibility, status, coverage level, or funding; ",""))</f>
        <v/>
      </c>
      <c r="AB64">
        <f>IF(COUNTA($A64:$U64)=0,"",IF($L64="","Birthdate is required; ","")&amp;IF(AND($L64&lt;&gt;"",OR(NOT(ISNUMBER($L64)),$L64&lt;=DATE(1900,1,1),$L64&gt;TODAY())),"Birthdate must be an exact valid past date; ","")&amp;IF($P64="","Eligibility Date is required; ","")&amp;IF(AND($P64&lt;&gt;"",OR(NOT(ISNUMBER($P64)),$P64&lt;=DATE(1900,1,1))),"Eligibility Date must be a valid date; ","")&amp;IF(AND($R64="Terminated",$Q64=""),"Termination Date is required when Status is Terminated; ","")&amp;IF(AND($Q64&lt;&gt;"",OR(NOT(ISNUMBER($Q64)),$Q64&lt;=DATE(1900,1,1))),"Termination Date must be a valid date; ","")&amp;IF(AND(ISNUMBER($P64),ISNUMBER($Q64),$Q64&lt;$P64),"Termination Date cannot be before Eligibility Date; ","")&amp;IF($R64="","Status is required; ","")&amp;IF(AND($R64&lt;&gt;"",$R64&lt;&gt;"Active",$R64&lt;&gt;"Terminated"),"Status must be Active or Terminated; ","")&amp;IF(AND('START HERE'!$C$8="Terminations Only",$R64&lt;&gt;"Terminated"),"Terminations Only files must contain terminated records; ",""))</f>
        <v/>
      </c>
      <c r="AC64">
        <f>IF(COUNTA($A64:$U64)=0,"",IF($S64="","Plan Name is required; ","")&amp;IF($T64="","Benefit Coverage Level is required; ","")&amp;IF(AND($U64&lt;&gt;"",OR(NOT(ISNUMBER($U64)),$U64&lt;0)),"Plan Funding Amount must be a nonnegative number; ","")&amp;IF(AND($A64&lt;&gt;"",$S64&lt;&gt;"",COUNTIFS($A$2:$A$501,$A64,$B$2:$B$501,$B64,$S$2:$S$501,$S64)&gt;1),"Duplicate participant and plan row; ",""))</f>
        <v/>
      </c>
      <c r="AD64">
        <f>IF(COUNTA($A64:$U64)=0,"",IF(AND($X64="Employee",$M64="",$N64=""),"No employee phone or email provided; ","")&amp;IF(AND($R64="Active",$Q64&lt;&gt;""),"Active record includes a Termination Date; confirm this is intentional; ","")&amp;IF(AND($B64&lt;&gt;"",$B64&amp;""&lt;&gt;$A64&amp;"",COUNTIF($A$2:$A$501,$B64)&gt;0),"Dependent SSN also appears as an Employee SSN elsewhere; confirm dual-employee coverage is intentional; ","")&amp;IF(AND($B64&lt;&gt;"",COUNTIF($B$2:$B$501,$B64)&gt;COUNTIFS($A$2:$A$501,$A64,$B$2:$B$501,$B64)),"Dependent SSN appears under more than one employee; confirm duplicate family coverage is intentional; ","")&amp;IF(AND(ROW()&gt;2,$A64&lt;&gt;"",$A64&lt;&gt;$A63,COUNTIF($A$2:$A63,$A64)&gt;0),"This household appears in more than one section of the census; keep the family together; ","")&amp;IF(OR(AND($C64&lt;&gt;"",LEN($C64&amp;"")&lt;&gt;LEN(TRIM($C64&amp;""))),AND($D64&lt;&gt;"",LEN($D64&amp;"")&lt;&gt;LEN(TRIM($D64&amp;""))),AND($E64&lt;&gt;"",LEN($E64&amp;"")&lt;&gt;LEN(TRIM($E64&amp;""))),AND($F64&lt;&gt;"",LEN($F64&amp;"")&lt;&gt;LEN(TRIM($F64&amp;""))),AND($G64&lt;&gt;"",LEN($G64&amp;"")&lt;&gt;LEN(TRIM($G64&amp;""))),AND($H64&lt;&gt;"",LEN($H64&amp;"")&lt;&gt;LEN(TRIM($H64&amp;""))),AND($I64&lt;&gt;"",LEN($I64&amp;"")&lt;&gt;LEN(TRIM($I64&amp;""))),AND($J64&lt;&gt;"",LEN($J64&amp;"")&lt;&gt;LEN(TRIM($J64&amp;""))),AND($K64&lt;&gt;"",LEN($K64&amp;"")&lt;&gt;LEN(TRIM($K64&amp;""))),AND($M64&lt;&gt;"",LEN($M64&amp;"")&lt;&gt;LEN(TRIM($M64&amp;""))),AND($N64&lt;&gt;"",LEN($N64&amp;"")&lt;&gt;LEN(TRIM($N64&amp;""))),AND($O64&lt;&gt;"",LEN($O64&amp;"")&lt;&gt;LEN(TRIM($O64&amp;""))),AND($R64&lt;&gt;"",LEN($R64&amp;"")&lt;&gt;LEN(TRIM($R64&amp;""))),AND($S64&lt;&gt;"",LEN($S64&amp;"")&lt;&gt;LEN(TRIM($S64&amp;""))),AND($T64&lt;&gt;"",LEN($T64&amp;"")&lt;&gt;LEN(TRIM($T64&amp;"")))),"Remove leading or trailing spaces from text fields; ","")&amp;IF(OR(AND(LEN($C64)&gt;1,OR(EXACT($C64,UPPER($C64)),EXACT($C64,LOWER($C64)))),AND(LEN($D64)&gt;1,OR(EXACT($D64,UPPER($D64)),EXACT($D64,LOWER($D64)))),AND(LEN($H64)&gt;1,OR(EXACT($H64,UPPER($H64)),EXACT($H64,LOWER($H64))))),"Review capitalization in First Name, Last Name, or City; ","")&amp;IF(AND($N64&lt;&gt;"",NOT(EXACT($N64,LOWER($N64)))),"Email will be standardized to lowercase in the clean output; ","")&amp;IF(AND(OR('START HERE'!$C$8="Initial Enrollment",'START HERE'!$C$8="Open Enrollment"),$R64="Terminated"),"A terminated row is included in an initial or open enrollment file; confirm this is intentional; ",""))</f>
        <v/>
      </c>
      <c r="AE64">
        <f>IF(COUNTA($A64:$U64)=0,"",IF(OR($A64="",AND($A64&lt;&gt;"",NOT(IFERROR(AND(LEN($A64&amp;"")=9,ISNUMBER(--($A64&amp;""))),FALSE))),AND($A64&lt;&gt;"",OR($A64="123456789",$A64="987654321",$A64="012345678",$A64=REPT(LEFT($A64&amp;"",1),9)))),"Employee SSN, ","")&amp;IF(OR(AND($O64&lt;&gt;"",$B64=""),AND($B64&lt;&gt;"",OR(NOT(IFERROR(AND(LEN($B64&amp;"")=9,ISNUMBER(--($B64&amp;""))),FALSE)),$B64=$A64,$B64="123456789",$B64="987654321",$B64="012345678",$B64=REPT(LEFT($B64&amp;"",1),9)))),"Dependent SSN, ","")&amp;IF(OR($C64="",LEN($C64)&gt;19,AND($C64&lt;&gt;"",SUMPRODUCT(--(ROW($1:$19)&lt;=LEN($C64&amp;"")),--ISERROR(FIND(MID($C64&amp;"",ROW($1:$19),1),"ABCDEFGHIJKLMNOPQRSTUVWXYZabcdefghijklmnopqrstuvwxyz .,")))&gt;0)),"First Name, ","")&amp;IF(OR($D64="",LEN($D64)&gt;26,AND($D64&lt;&gt;"",SUMPRODUCT(--(ROW($1:$26)&lt;=LEN($D64&amp;"")),--ISERROR(FIND(MID($D64&amp;"",ROW($1:$26),1),"ABCDEFGHIJKLMNOPQRSTUVWXYZabcdefghijklmnopqrstuvwxyz .,")))&gt;0)),"Last Name, ","")&amp;IF(OR(LEN($E64)&gt;1,AND($E64&lt;&gt;"",SUMPRODUCT(--(ROW($1:$1)&lt;=LEN($E64&amp;"")),--ISERROR(FIND(MID($E64&amp;"",ROW($1:$1),1),"ABCDEFGHIJKLMNOPQRSTUVWXYZabcdefghijklmnopqrstuvwxyz .,")))&gt;0)),"Middle Initial, ","")&amp;IF(OR($F64="",LEN($F64)&gt;75),"Address, ","")&amp;IF(OR($H64="",LEN($H64)&gt;30),"City, ","")&amp;IF(AND($K64="US",OR($I64="",LEN($I64)&lt;&gt;2)),"State, ","")&amp;IF($J64="","ZIP, ","")&amp;IF(OR($K64="",AND($K64&lt;&gt;"US",$K64&lt;&gt;"CA")),"Country, ","")&amp;IF(OR($L64="",AND($L64&lt;&gt;"",OR(NOT(ISNUMBER($L64)),$L64&lt;=DATE(1900,1,1),$L64&gt;TODAY()))),"Birthdate, ","")&amp;IF(AND($N64&lt;&gt;"",NOT(IFERROR(AND(ISNUMBER(SEARCH("@",$N64)),ISNUMBER(SEARCH(".",$N64,SEARCH("@",$N64)+2))),FALSE))),"Email, ","")&amp;IF(OR(AND($B64&lt;&gt;"",$O64=""),AND($O64&lt;&gt;"",$O64&lt;&gt;"Spouse or Common Law Spouse",$O64&lt;&gt;"Domestic Partner",$O64&lt;&gt;"Child",$O64&lt;&gt;"Other",$O64&lt;&gt;"Estate",$O64&lt;&gt;"Unknown")),"Dependent Relationship, ","")&amp;IF($AA64&lt;&gt;"","Household, ","")&amp;IF(OR($P64="",AND($P64&lt;&gt;"",OR(NOT(ISNUMBER($P64)),$P64&lt;=DATE(1900,1,1)))),"Eligibility Date, ","")&amp;IF(OR(AND($R64="Terminated",$Q64=""),AND($Q64&lt;&gt;"",OR(NOT(ISNUMBER($Q64)),$Q64&lt;=DATE(1900,1,1))),AND(ISNUMBER($P64),ISNUMBER($Q64),$Q64&lt;$P64)),"Termination Date, ","")&amp;IF(OR($R64="",AND($R64&lt;&gt;"Active",$R64&lt;&gt;"Terminated"),AND('START HERE'!$C$8="Terminations Only",$R64&lt;&gt;"Terminated")),"Status, ","")&amp;IF($S64="","Plan Name, ","")&amp;IF($T64="","Coverage Level, ","")&amp;IF(AND($U64&lt;&gt;"",OR(NOT(ISNUMBER($U64)),$U64&lt;0)),"Funding, ","")&amp;IF(AND($A64&lt;&gt;"",$S64&lt;&gt;"",COUNTIFS($A$2:$A$501,$A64,$B$2:$B$501,$B64,$S$2:$S$501,$S64)&gt;1),"Duplicate Row, ",""))</f>
        <v/>
      </c>
      <c r="AF64">
        <f>IF(COUNTA($A64:$U64)=0,"",$Y64&amp;$Z64&amp;$AA64&amp;$AB64&amp;$AC64)</f>
        <v/>
      </c>
      <c r="AG64">
        <f>IF($N64="","",LOWER(TRIM($N64)))</f>
        <v/>
      </c>
      <c r="AH64">
        <f>IF($A64="","",COUNTIFS($A$2:$A$501,$A64,$AI$2:$AI$501,1))</f>
        <v/>
      </c>
      <c r="AI64">
        <f>IF(COUNTA($A64:$U64)=0,"",--($AF64&lt;&gt;""))</f>
        <v/>
      </c>
      <c r="AJ64">
        <f>IF(COUNTA($A64:$U64)=0,"",--($AD64&lt;&gt;""))</f>
        <v/>
      </c>
    </row>
    <row r="65" ht="20" customHeight="1">
      <c r="A65" s="80" t="n"/>
      <c r="B65" s="80" t="n"/>
      <c r="C65" s="81" t="n"/>
      <c r="D65" s="81" t="n"/>
      <c r="E65" s="80" t="n"/>
      <c r="F65" s="81" t="n"/>
      <c r="G65" s="81" t="n"/>
      <c r="H65" s="81" t="n"/>
      <c r="I65" s="80" t="n"/>
      <c r="J65" s="80" t="n"/>
      <c r="K65" s="80" t="n"/>
      <c r="L65" s="82" t="n"/>
      <c r="M65" s="80" t="n"/>
      <c r="N65" s="80" t="n"/>
      <c r="O65" s="80" t="n"/>
      <c r="P65" s="82" t="n"/>
      <c r="Q65" s="82" t="n"/>
      <c r="R65" s="80" t="n"/>
      <c r="S65" s="80" t="n"/>
      <c r="T65" s="80" t="n"/>
      <c r="U65" s="83" t="n"/>
      <c r="V65">
        <f>IF($A65="","",IF($A65=$A64,$V64,IF($V64="",0,1-$V64)))</f>
        <v/>
      </c>
      <c r="W65">
        <f>IF($B65&lt;&gt;"",$B65,$A65)</f>
        <v/>
      </c>
      <c r="X65">
        <f>IF(COUNTA($A65:$U65)=0,"",IF(OR($B65&lt;&gt;"",$O65&lt;&gt;""),"Dependent","Employee"))</f>
        <v/>
      </c>
      <c r="Y65">
        <f>IF(COUNTA($A65:$U65)=0,"",IF($A65="","Employee SSN is required; ","")&amp;IF($C65="","First Name is required; ","")&amp;IF(LEN($C65&amp;"")&gt;19,"First Name exceeds 19 characters; ","")&amp;IF(AND($C65&lt;&gt;"",SUMPRODUCT(--(ROW($1:$19)&lt;=LEN($C65&amp;"")),--ISERROR(FIND(MID($C65&amp;"",ROW($1:$19),1),"ABCDEFGHIJKLMNOPQRSTUVWXYZabcdefghijklmnopqrstuvwxyz .,")))&gt;0),"First Name contains unsupported or encoded characters; use plain A-Z letters only; ","")&amp;IF($D65="","Last Name is required; ","")&amp;IF(LEN($D65&amp;"")&gt;26,"Last Name exceeds 26 characters; ","")&amp;IF(AND($D65&lt;&gt;"",SUMPRODUCT(--(ROW($1:$26)&lt;=LEN($D65&amp;"")),--ISERROR(FIND(MID($D65&amp;"",ROW($1:$26),1),"ABCDEFGHIJKLMNOPQRSTUVWXYZabcdefghijklmnopqrstuvwxyz .,")))&gt;0),"Last Name contains unsupported or encoded characters; use plain A-Z letters only; ","")&amp;IF(LEN($E65&amp;"")&gt;1,"Middle Initial may contain only one character; ","")&amp;IF(AND($E65&lt;&gt;"",SUMPRODUCT(--(ROW($1:$1)&lt;=LEN($E65&amp;"")),--ISERROR(FIND(MID($E65&amp;"",ROW($1:$1),1),"ABCDEFGHIJKLMNOPQRSTUVWXYZabcdefghijklmnopqrstuvwxyz .,")))&gt;0),"Middle Initial must be a plain A-Z letter; ","")&amp;IF($F65="","Address is required; ","")&amp;IF(LEN($F65&amp;"")&gt;75,"Address exceeds 75 characters; ","")&amp;IF(LEN($G65&amp;"")&gt;75,"Address 2 exceeds 75 characters; ","")&amp;IF($H65="","City is required; ","")&amp;IF(LEN($H65&amp;"")&gt;30,"City exceeds 30 characters; ","")&amp;IF($K65="","Country is required; ","")&amp;IF(AND($K65&lt;&gt;"",$K65&lt;&gt;"US",$K65&lt;&gt;"CA"),"Country must be US or CA; ","")&amp;IF(AND($K65="US",OR($I65="",LEN($I65&amp;"")&lt;&gt;2)),"Use a 2-letter state code; ","")&amp;IF($J65="","ZIP or postal code is required; ","")&amp;IF(AND($K65="US",$J65&lt;&gt;"",NOT(IFERROR(OR(AND(LEN($J65&amp;"")=5,ISNUMBER(--($J65&amp;""))),AND(LEN($J65&amp;"")=9,ISNUMBER(--($J65&amp;""))),AND(LEN($J65&amp;"")=10,MID($J65&amp;"",6,1)="-",ISNUMBER(--SUBSTITUTE($J65&amp;"","-","")))),FALSE))),"US ZIP must be 5 or 9 digits, with an optional ZIP+4 hyphen; ","")&amp;IF(AND($N65&lt;&gt;"",NOT(IFERROR(AND(ISNUMBER(SEARCH("@",$N65)),ISNUMBER(SEARCH(".",$N65,SEARCH("@",$N65)+2))),FALSE))),"Email format appears invalid; ","")&amp;IF(AND($O65&lt;&gt;"",$B65=""),"Dependent SSN is required for every dependent; ","")&amp;IF(AND($B65&lt;&gt;"",$O65=""),"Dependent Relationship is required when Dependent SSN is entered; ","")&amp;IF(AND($O65&lt;&gt;"",$O65&lt;&gt;"Spouse or Common Law Spouse",$O65&lt;&gt;"Domestic Partner",$O65&lt;&gt;"Child",$O65&lt;&gt;"Other",$O65&lt;&gt;"Estate",$O65&lt;&gt;"Unknown"),"Dependent Relationship must use one of the approved options; ",""))</f>
        <v/>
      </c>
      <c r="Z65">
        <f>IF(COUNTA($A65:$U65)=0,"",IF(AND($A65&lt;&gt;"",NOT(IFERROR(AND(LEN($A65&amp;"")=9,ISNUMBER(--($A65&amp;""))),FALSE))),"Employee SSN must contain exactly 9 digits; ","")&amp;IF(AND($A65&lt;&gt;"",OR($A65="123456789",$A65="987654321",$A65="012345678",$A65=REPT(LEFT($A65&amp;"",1),9))),"Employee SSN appears to be a placeholder; ","")&amp;IF(AND($B65&lt;&gt;"",NOT(IFERROR(AND(LEN($B65&amp;"")=9,ISNUMBER(--($B65&amp;""))),FALSE))),"Dependent SSN must contain exactly 9 digits; ","")&amp;IF(AND($B65&lt;&gt;"",OR($B65="123456789",$B65="987654321",$B65="012345678",$B65=REPT(LEFT($B65&amp;"",1),9))),"Dependent SSN appears to be a placeholder; ","")&amp;IF(AND($A65&lt;&gt;"",$B65&lt;&gt;"",$A65&amp;""=$B65&amp;""),"Dependent SSN cannot match Employee SSN; ","")&amp;IF(AND($W65&lt;&gt;"",OR(COUNTIFS($W$2:$W$501,$W65,$C$2:$C$501,"&lt;&gt;"&amp;$C65)&gt;0,COUNTIFS($W$2:$W$501,$W65,$D$2:$D$501,"&lt;&gt;"&amp;$D65)&gt;0,COUNTIFS($W$2:$W$501,$W65,$L$2:$L$501,"&lt;&gt;"&amp;$L65)&gt;0)),"The same SSN is associated with a different name or birthdate; ",""))</f>
        <v/>
      </c>
      <c r="AA65">
        <f>IF(COUNTA($A65:$U65)=0,"",IF(AND($A65&lt;&gt;"",$S65&lt;&gt;"",COUNTIFS($A$2:$A$501,$A65,$S$2:$S$501,$S65,$B$2:$B$501,"",$O$2:$O$501,"")=0),"Add an employee row for this household and plan; ","")&amp;IF(AND($X65="Dependent",COUNTIFS($A$2:$A65,$A65,$S$2:$S65,$S65,$B$2:$B65,"",$O$2:$O65,"")=0),"Place the employee row before dependent rows for this plan; ","")&amp;IF(AND($X65="Dependent",COUNTIFS($A$2:$A$501,$A65,$S$2:$S$501,$S65,$B$2:$B$501,"",$O$2:$O$501,"")&gt;0,IFERROR(OR($P65&lt;&gt;LOOKUP(2,1/(($A$2:$A$501=$A65)*($S$2:$S$501=$S65)*($B$2:$B$501="")*($O$2:$O$501="")),$P$2:$P$501),$Q65&lt;&gt;LOOKUP(2,1/(($A$2:$A$501=$A65)*($S$2:$S$501=$S65)*($B$2:$B$501="")*($O$2:$O$501="")),$Q$2:$Q$501),$R65&lt;&gt;LOOKUP(2,1/(($A$2:$A$501=$A65)*($S$2:$S$501=$S65)*($B$2:$B$501="")*($O$2:$O$501="")),$R$2:$R$501),$T65&lt;&gt;LOOKUP(2,1/(($A$2:$A$501=$A65)*($S$2:$S$501=$S65)*($B$2:$B$501="")*($O$2:$O$501="")),$T$2:$T$501),$U65&lt;&gt;LOOKUP(2,1/(($A$2:$A$501=$A65)*($S$2:$S$501=$S65)*($B$2:$B$501="")*($O$2:$O$501="")),$U$2:$U$501)),FALSE)),"Dependent row does not match the employee row for eligibility, status, coverage level, or funding; ",""))</f>
        <v/>
      </c>
      <c r="AB65">
        <f>IF(COUNTA($A65:$U65)=0,"",IF($L65="","Birthdate is required; ","")&amp;IF(AND($L65&lt;&gt;"",OR(NOT(ISNUMBER($L65)),$L65&lt;=DATE(1900,1,1),$L65&gt;TODAY())),"Birthdate must be an exact valid past date; ","")&amp;IF($P65="","Eligibility Date is required; ","")&amp;IF(AND($P65&lt;&gt;"",OR(NOT(ISNUMBER($P65)),$P65&lt;=DATE(1900,1,1))),"Eligibility Date must be a valid date; ","")&amp;IF(AND($R65="Terminated",$Q65=""),"Termination Date is required when Status is Terminated; ","")&amp;IF(AND($Q65&lt;&gt;"",OR(NOT(ISNUMBER($Q65)),$Q65&lt;=DATE(1900,1,1))),"Termination Date must be a valid date; ","")&amp;IF(AND(ISNUMBER($P65),ISNUMBER($Q65),$Q65&lt;$P65),"Termination Date cannot be before Eligibility Date; ","")&amp;IF($R65="","Status is required; ","")&amp;IF(AND($R65&lt;&gt;"",$R65&lt;&gt;"Active",$R65&lt;&gt;"Terminated"),"Status must be Active or Terminated; ","")&amp;IF(AND('START HERE'!$C$8="Terminations Only",$R65&lt;&gt;"Terminated"),"Terminations Only files must contain terminated records; ",""))</f>
        <v/>
      </c>
      <c r="AC65">
        <f>IF(COUNTA($A65:$U65)=0,"",IF($S65="","Plan Name is required; ","")&amp;IF($T65="","Benefit Coverage Level is required; ","")&amp;IF(AND($U65&lt;&gt;"",OR(NOT(ISNUMBER($U65)),$U65&lt;0)),"Plan Funding Amount must be a nonnegative number; ","")&amp;IF(AND($A65&lt;&gt;"",$S65&lt;&gt;"",COUNTIFS($A$2:$A$501,$A65,$B$2:$B$501,$B65,$S$2:$S$501,$S65)&gt;1),"Duplicate participant and plan row; ",""))</f>
        <v/>
      </c>
      <c r="AD65">
        <f>IF(COUNTA($A65:$U65)=0,"",IF(AND($X65="Employee",$M65="",$N65=""),"No employee phone or email provided; ","")&amp;IF(AND($R65="Active",$Q65&lt;&gt;""),"Active record includes a Termination Date; confirm this is intentional; ","")&amp;IF(AND($B65&lt;&gt;"",$B65&amp;""&lt;&gt;$A65&amp;"",COUNTIF($A$2:$A$501,$B65)&gt;0),"Dependent SSN also appears as an Employee SSN elsewhere; confirm dual-employee coverage is intentional; ","")&amp;IF(AND($B65&lt;&gt;"",COUNTIF($B$2:$B$501,$B65)&gt;COUNTIFS($A$2:$A$501,$A65,$B$2:$B$501,$B65)),"Dependent SSN appears under more than one employee; confirm duplicate family coverage is intentional; ","")&amp;IF(AND(ROW()&gt;2,$A65&lt;&gt;"",$A65&lt;&gt;$A64,COUNTIF($A$2:$A64,$A65)&gt;0),"This household appears in more than one section of the census; keep the family together; ","")&amp;IF(OR(AND($C65&lt;&gt;"",LEN($C65&amp;"")&lt;&gt;LEN(TRIM($C65&amp;""))),AND($D65&lt;&gt;"",LEN($D65&amp;"")&lt;&gt;LEN(TRIM($D65&amp;""))),AND($E65&lt;&gt;"",LEN($E65&amp;"")&lt;&gt;LEN(TRIM($E65&amp;""))),AND($F65&lt;&gt;"",LEN($F65&amp;"")&lt;&gt;LEN(TRIM($F65&amp;""))),AND($G65&lt;&gt;"",LEN($G65&amp;"")&lt;&gt;LEN(TRIM($G65&amp;""))),AND($H65&lt;&gt;"",LEN($H65&amp;"")&lt;&gt;LEN(TRIM($H65&amp;""))),AND($I65&lt;&gt;"",LEN($I65&amp;"")&lt;&gt;LEN(TRIM($I65&amp;""))),AND($J65&lt;&gt;"",LEN($J65&amp;"")&lt;&gt;LEN(TRIM($J65&amp;""))),AND($K65&lt;&gt;"",LEN($K65&amp;"")&lt;&gt;LEN(TRIM($K65&amp;""))),AND($M65&lt;&gt;"",LEN($M65&amp;"")&lt;&gt;LEN(TRIM($M65&amp;""))),AND($N65&lt;&gt;"",LEN($N65&amp;"")&lt;&gt;LEN(TRIM($N65&amp;""))),AND($O65&lt;&gt;"",LEN($O65&amp;"")&lt;&gt;LEN(TRIM($O65&amp;""))),AND($R65&lt;&gt;"",LEN($R65&amp;"")&lt;&gt;LEN(TRIM($R65&amp;""))),AND($S65&lt;&gt;"",LEN($S65&amp;"")&lt;&gt;LEN(TRIM($S65&amp;""))),AND($T65&lt;&gt;"",LEN($T65&amp;"")&lt;&gt;LEN(TRIM($T65&amp;"")))),"Remove leading or trailing spaces from text fields; ","")&amp;IF(OR(AND(LEN($C65)&gt;1,OR(EXACT($C65,UPPER($C65)),EXACT($C65,LOWER($C65)))),AND(LEN($D65)&gt;1,OR(EXACT($D65,UPPER($D65)),EXACT($D65,LOWER($D65)))),AND(LEN($H65)&gt;1,OR(EXACT($H65,UPPER($H65)),EXACT($H65,LOWER($H65))))),"Review capitalization in First Name, Last Name, or City; ","")&amp;IF(AND($N65&lt;&gt;"",NOT(EXACT($N65,LOWER($N65)))),"Email will be standardized to lowercase in the clean output; ","")&amp;IF(AND(OR('START HERE'!$C$8="Initial Enrollment",'START HERE'!$C$8="Open Enrollment"),$R65="Terminated"),"A terminated row is included in an initial or open enrollment file; confirm this is intentional; ",""))</f>
        <v/>
      </c>
      <c r="AE65">
        <f>IF(COUNTA($A65:$U65)=0,"",IF(OR($A65="",AND($A65&lt;&gt;"",NOT(IFERROR(AND(LEN($A65&amp;"")=9,ISNUMBER(--($A65&amp;""))),FALSE))),AND($A65&lt;&gt;"",OR($A65="123456789",$A65="987654321",$A65="012345678",$A65=REPT(LEFT($A65&amp;"",1),9)))),"Employee SSN, ","")&amp;IF(OR(AND($O65&lt;&gt;"",$B65=""),AND($B65&lt;&gt;"",OR(NOT(IFERROR(AND(LEN($B65&amp;"")=9,ISNUMBER(--($B65&amp;""))),FALSE)),$B65=$A65,$B65="123456789",$B65="987654321",$B65="012345678",$B65=REPT(LEFT($B65&amp;"",1),9)))),"Dependent SSN, ","")&amp;IF(OR($C65="",LEN($C65)&gt;19,AND($C65&lt;&gt;"",SUMPRODUCT(--(ROW($1:$19)&lt;=LEN($C65&amp;"")),--ISERROR(FIND(MID($C65&amp;"",ROW($1:$19),1),"ABCDEFGHIJKLMNOPQRSTUVWXYZabcdefghijklmnopqrstuvwxyz .,")))&gt;0)),"First Name, ","")&amp;IF(OR($D65="",LEN($D65)&gt;26,AND($D65&lt;&gt;"",SUMPRODUCT(--(ROW($1:$26)&lt;=LEN($D65&amp;"")),--ISERROR(FIND(MID($D65&amp;"",ROW($1:$26),1),"ABCDEFGHIJKLMNOPQRSTUVWXYZabcdefghijklmnopqrstuvwxyz .,")))&gt;0)),"Last Name, ","")&amp;IF(OR(LEN($E65)&gt;1,AND($E65&lt;&gt;"",SUMPRODUCT(--(ROW($1:$1)&lt;=LEN($E65&amp;"")),--ISERROR(FIND(MID($E65&amp;"",ROW($1:$1),1),"ABCDEFGHIJKLMNOPQRSTUVWXYZabcdefghijklmnopqrstuvwxyz .,")))&gt;0)),"Middle Initial, ","")&amp;IF(OR($F65="",LEN($F65)&gt;75),"Address, ","")&amp;IF(OR($H65="",LEN($H65)&gt;30),"City, ","")&amp;IF(AND($K65="US",OR($I65="",LEN($I65)&lt;&gt;2)),"State, ","")&amp;IF($J65="","ZIP, ","")&amp;IF(OR($K65="",AND($K65&lt;&gt;"US",$K65&lt;&gt;"CA")),"Country, ","")&amp;IF(OR($L65="",AND($L65&lt;&gt;"",OR(NOT(ISNUMBER($L65)),$L65&lt;=DATE(1900,1,1),$L65&gt;TODAY()))),"Birthdate, ","")&amp;IF(AND($N65&lt;&gt;"",NOT(IFERROR(AND(ISNUMBER(SEARCH("@",$N65)),ISNUMBER(SEARCH(".",$N65,SEARCH("@",$N65)+2))),FALSE))),"Email, ","")&amp;IF(OR(AND($B65&lt;&gt;"",$O65=""),AND($O65&lt;&gt;"",$O65&lt;&gt;"Spouse or Common Law Spouse",$O65&lt;&gt;"Domestic Partner",$O65&lt;&gt;"Child",$O65&lt;&gt;"Other",$O65&lt;&gt;"Estate",$O65&lt;&gt;"Unknown")),"Dependent Relationship, ","")&amp;IF($AA65&lt;&gt;"","Household, ","")&amp;IF(OR($P65="",AND($P65&lt;&gt;"",OR(NOT(ISNUMBER($P65)),$P65&lt;=DATE(1900,1,1)))),"Eligibility Date, ","")&amp;IF(OR(AND($R65="Terminated",$Q65=""),AND($Q65&lt;&gt;"",OR(NOT(ISNUMBER($Q65)),$Q65&lt;=DATE(1900,1,1))),AND(ISNUMBER($P65),ISNUMBER($Q65),$Q65&lt;$P65)),"Termination Date, ","")&amp;IF(OR($R65="",AND($R65&lt;&gt;"Active",$R65&lt;&gt;"Terminated"),AND('START HERE'!$C$8="Terminations Only",$R65&lt;&gt;"Terminated")),"Status, ","")&amp;IF($S65="","Plan Name, ","")&amp;IF($T65="","Coverage Level, ","")&amp;IF(AND($U65&lt;&gt;"",OR(NOT(ISNUMBER($U65)),$U65&lt;0)),"Funding, ","")&amp;IF(AND($A65&lt;&gt;"",$S65&lt;&gt;"",COUNTIFS($A$2:$A$501,$A65,$B$2:$B$501,$B65,$S$2:$S$501,$S65)&gt;1),"Duplicate Row, ",""))</f>
        <v/>
      </c>
      <c r="AF65">
        <f>IF(COUNTA($A65:$U65)=0,"",$Y65&amp;$Z65&amp;$AA65&amp;$AB65&amp;$AC65)</f>
        <v/>
      </c>
      <c r="AG65">
        <f>IF($N65="","",LOWER(TRIM($N65)))</f>
        <v/>
      </c>
      <c r="AH65">
        <f>IF($A65="","",COUNTIFS($A$2:$A$501,$A65,$AI$2:$AI$501,1))</f>
        <v/>
      </c>
      <c r="AI65">
        <f>IF(COUNTA($A65:$U65)=0,"",--($AF65&lt;&gt;""))</f>
        <v/>
      </c>
      <c r="AJ65">
        <f>IF(COUNTA($A65:$U65)=0,"",--($AD65&lt;&gt;""))</f>
        <v/>
      </c>
    </row>
    <row r="66" ht="20" customHeight="1">
      <c r="A66" s="80" t="n"/>
      <c r="B66" s="80" t="n"/>
      <c r="C66" s="81" t="n"/>
      <c r="D66" s="81" t="n"/>
      <c r="E66" s="80" t="n"/>
      <c r="F66" s="81" t="n"/>
      <c r="G66" s="81" t="n"/>
      <c r="H66" s="81" t="n"/>
      <c r="I66" s="80" t="n"/>
      <c r="J66" s="80" t="n"/>
      <c r="K66" s="80" t="n"/>
      <c r="L66" s="82" t="n"/>
      <c r="M66" s="80" t="n"/>
      <c r="N66" s="80" t="n"/>
      <c r="O66" s="80" t="n"/>
      <c r="P66" s="82" t="n"/>
      <c r="Q66" s="82" t="n"/>
      <c r="R66" s="80" t="n"/>
      <c r="S66" s="80" t="n"/>
      <c r="T66" s="80" t="n"/>
      <c r="U66" s="83" t="n"/>
      <c r="V66">
        <f>IF($A66="","",IF($A66=$A65,$V65,IF($V65="",0,1-$V65)))</f>
        <v/>
      </c>
      <c r="W66">
        <f>IF($B66&lt;&gt;"",$B66,$A66)</f>
        <v/>
      </c>
      <c r="X66">
        <f>IF(COUNTA($A66:$U66)=0,"",IF(OR($B66&lt;&gt;"",$O66&lt;&gt;""),"Dependent","Employee"))</f>
        <v/>
      </c>
      <c r="Y66">
        <f>IF(COUNTA($A66:$U66)=0,"",IF($A66="","Employee SSN is required; ","")&amp;IF($C66="","First Name is required; ","")&amp;IF(LEN($C66&amp;"")&gt;19,"First Name exceeds 19 characters; ","")&amp;IF(AND($C66&lt;&gt;"",SUMPRODUCT(--(ROW($1:$19)&lt;=LEN($C66&amp;"")),--ISERROR(FIND(MID($C66&amp;"",ROW($1:$19),1),"ABCDEFGHIJKLMNOPQRSTUVWXYZabcdefghijklmnopqrstuvwxyz .,")))&gt;0),"First Name contains unsupported or encoded characters; use plain A-Z letters only; ","")&amp;IF($D66="","Last Name is required; ","")&amp;IF(LEN($D66&amp;"")&gt;26,"Last Name exceeds 26 characters; ","")&amp;IF(AND($D66&lt;&gt;"",SUMPRODUCT(--(ROW($1:$26)&lt;=LEN($D66&amp;"")),--ISERROR(FIND(MID($D66&amp;"",ROW($1:$26),1),"ABCDEFGHIJKLMNOPQRSTUVWXYZabcdefghijklmnopqrstuvwxyz .,")))&gt;0),"Last Name contains unsupported or encoded characters; use plain A-Z letters only; ","")&amp;IF(LEN($E66&amp;"")&gt;1,"Middle Initial may contain only one character; ","")&amp;IF(AND($E66&lt;&gt;"",SUMPRODUCT(--(ROW($1:$1)&lt;=LEN($E66&amp;"")),--ISERROR(FIND(MID($E66&amp;"",ROW($1:$1),1),"ABCDEFGHIJKLMNOPQRSTUVWXYZabcdefghijklmnopqrstuvwxyz .,")))&gt;0),"Middle Initial must be a plain A-Z letter; ","")&amp;IF($F66="","Address is required; ","")&amp;IF(LEN($F66&amp;"")&gt;75,"Address exceeds 75 characters; ","")&amp;IF(LEN($G66&amp;"")&gt;75,"Address 2 exceeds 75 characters; ","")&amp;IF($H66="","City is required; ","")&amp;IF(LEN($H66&amp;"")&gt;30,"City exceeds 30 characters; ","")&amp;IF($K66="","Country is required; ","")&amp;IF(AND($K66&lt;&gt;"",$K66&lt;&gt;"US",$K66&lt;&gt;"CA"),"Country must be US or CA; ","")&amp;IF(AND($K66="US",OR($I66="",LEN($I66&amp;"")&lt;&gt;2)),"Use a 2-letter state code; ","")&amp;IF($J66="","ZIP or postal code is required; ","")&amp;IF(AND($K66="US",$J66&lt;&gt;"",NOT(IFERROR(OR(AND(LEN($J66&amp;"")=5,ISNUMBER(--($J66&amp;""))),AND(LEN($J66&amp;"")=9,ISNUMBER(--($J66&amp;""))),AND(LEN($J66&amp;"")=10,MID($J66&amp;"",6,1)="-",ISNUMBER(--SUBSTITUTE($J66&amp;"","-","")))),FALSE))),"US ZIP must be 5 or 9 digits, with an optional ZIP+4 hyphen; ","")&amp;IF(AND($N66&lt;&gt;"",NOT(IFERROR(AND(ISNUMBER(SEARCH("@",$N66)),ISNUMBER(SEARCH(".",$N66,SEARCH("@",$N66)+2))),FALSE))),"Email format appears invalid; ","")&amp;IF(AND($O66&lt;&gt;"",$B66=""),"Dependent SSN is required for every dependent; ","")&amp;IF(AND($B66&lt;&gt;"",$O66=""),"Dependent Relationship is required when Dependent SSN is entered; ","")&amp;IF(AND($O66&lt;&gt;"",$O66&lt;&gt;"Spouse or Common Law Spouse",$O66&lt;&gt;"Domestic Partner",$O66&lt;&gt;"Child",$O66&lt;&gt;"Other",$O66&lt;&gt;"Estate",$O66&lt;&gt;"Unknown"),"Dependent Relationship must use one of the approved options; ",""))</f>
        <v/>
      </c>
      <c r="Z66">
        <f>IF(COUNTA($A66:$U66)=0,"",IF(AND($A66&lt;&gt;"",NOT(IFERROR(AND(LEN($A66&amp;"")=9,ISNUMBER(--($A66&amp;""))),FALSE))),"Employee SSN must contain exactly 9 digits; ","")&amp;IF(AND($A66&lt;&gt;"",OR($A66="123456789",$A66="987654321",$A66="012345678",$A66=REPT(LEFT($A66&amp;"",1),9))),"Employee SSN appears to be a placeholder; ","")&amp;IF(AND($B66&lt;&gt;"",NOT(IFERROR(AND(LEN($B66&amp;"")=9,ISNUMBER(--($B66&amp;""))),FALSE))),"Dependent SSN must contain exactly 9 digits; ","")&amp;IF(AND($B66&lt;&gt;"",OR($B66="123456789",$B66="987654321",$B66="012345678",$B66=REPT(LEFT($B66&amp;"",1),9))),"Dependent SSN appears to be a placeholder; ","")&amp;IF(AND($A66&lt;&gt;"",$B66&lt;&gt;"",$A66&amp;""=$B66&amp;""),"Dependent SSN cannot match Employee SSN; ","")&amp;IF(AND($W66&lt;&gt;"",OR(COUNTIFS($W$2:$W$501,$W66,$C$2:$C$501,"&lt;&gt;"&amp;$C66)&gt;0,COUNTIFS($W$2:$W$501,$W66,$D$2:$D$501,"&lt;&gt;"&amp;$D66)&gt;0,COUNTIFS($W$2:$W$501,$W66,$L$2:$L$501,"&lt;&gt;"&amp;$L66)&gt;0)),"The same SSN is associated with a different name or birthdate; ",""))</f>
        <v/>
      </c>
      <c r="AA66">
        <f>IF(COUNTA($A66:$U66)=0,"",IF(AND($A66&lt;&gt;"",$S66&lt;&gt;"",COUNTIFS($A$2:$A$501,$A66,$S$2:$S$501,$S66,$B$2:$B$501,"",$O$2:$O$501,"")=0),"Add an employee row for this household and plan; ","")&amp;IF(AND($X66="Dependent",COUNTIFS($A$2:$A66,$A66,$S$2:$S66,$S66,$B$2:$B66,"",$O$2:$O66,"")=0),"Place the employee row before dependent rows for this plan; ","")&amp;IF(AND($X66="Dependent",COUNTIFS($A$2:$A$501,$A66,$S$2:$S$501,$S66,$B$2:$B$501,"",$O$2:$O$501,"")&gt;0,IFERROR(OR($P66&lt;&gt;LOOKUP(2,1/(($A$2:$A$501=$A66)*($S$2:$S$501=$S66)*($B$2:$B$501="")*($O$2:$O$501="")),$P$2:$P$501),$Q66&lt;&gt;LOOKUP(2,1/(($A$2:$A$501=$A66)*($S$2:$S$501=$S66)*($B$2:$B$501="")*($O$2:$O$501="")),$Q$2:$Q$501),$R66&lt;&gt;LOOKUP(2,1/(($A$2:$A$501=$A66)*($S$2:$S$501=$S66)*($B$2:$B$501="")*($O$2:$O$501="")),$R$2:$R$501),$T66&lt;&gt;LOOKUP(2,1/(($A$2:$A$501=$A66)*($S$2:$S$501=$S66)*($B$2:$B$501="")*($O$2:$O$501="")),$T$2:$T$501),$U66&lt;&gt;LOOKUP(2,1/(($A$2:$A$501=$A66)*($S$2:$S$501=$S66)*($B$2:$B$501="")*($O$2:$O$501="")),$U$2:$U$501)),FALSE)),"Dependent row does not match the employee row for eligibility, status, coverage level, or funding; ",""))</f>
        <v/>
      </c>
      <c r="AB66">
        <f>IF(COUNTA($A66:$U66)=0,"",IF($L66="","Birthdate is required; ","")&amp;IF(AND($L66&lt;&gt;"",OR(NOT(ISNUMBER($L66)),$L66&lt;=DATE(1900,1,1),$L66&gt;TODAY())),"Birthdate must be an exact valid past date; ","")&amp;IF($P66="","Eligibility Date is required; ","")&amp;IF(AND($P66&lt;&gt;"",OR(NOT(ISNUMBER($P66)),$P66&lt;=DATE(1900,1,1))),"Eligibility Date must be a valid date; ","")&amp;IF(AND($R66="Terminated",$Q66=""),"Termination Date is required when Status is Terminated; ","")&amp;IF(AND($Q66&lt;&gt;"",OR(NOT(ISNUMBER($Q66)),$Q66&lt;=DATE(1900,1,1))),"Termination Date must be a valid date; ","")&amp;IF(AND(ISNUMBER($P66),ISNUMBER($Q66),$Q66&lt;$P66),"Termination Date cannot be before Eligibility Date; ","")&amp;IF($R66="","Status is required; ","")&amp;IF(AND($R66&lt;&gt;"",$R66&lt;&gt;"Active",$R66&lt;&gt;"Terminated"),"Status must be Active or Terminated; ","")&amp;IF(AND('START HERE'!$C$8="Terminations Only",$R66&lt;&gt;"Terminated"),"Terminations Only files must contain terminated records; ",""))</f>
        <v/>
      </c>
      <c r="AC66">
        <f>IF(COUNTA($A66:$U66)=0,"",IF($S66="","Plan Name is required; ","")&amp;IF($T66="","Benefit Coverage Level is required; ","")&amp;IF(AND($U66&lt;&gt;"",OR(NOT(ISNUMBER($U66)),$U66&lt;0)),"Plan Funding Amount must be a nonnegative number; ","")&amp;IF(AND($A66&lt;&gt;"",$S66&lt;&gt;"",COUNTIFS($A$2:$A$501,$A66,$B$2:$B$501,$B66,$S$2:$S$501,$S66)&gt;1),"Duplicate participant and plan row; ",""))</f>
        <v/>
      </c>
      <c r="AD66">
        <f>IF(COUNTA($A66:$U66)=0,"",IF(AND($X66="Employee",$M66="",$N66=""),"No employee phone or email provided; ","")&amp;IF(AND($R66="Active",$Q66&lt;&gt;""),"Active record includes a Termination Date; confirm this is intentional; ","")&amp;IF(AND($B66&lt;&gt;"",$B66&amp;""&lt;&gt;$A66&amp;"",COUNTIF($A$2:$A$501,$B66)&gt;0),"Dependent SSN also appears as an Employee SSN elsewhere; confirm dual-employee coverage is intentional; ","")&amp;IF(AND($B66&lt;&gt;"",COUNTIF($B$2:$B$501,$B66)&gt;COUNTIFS($A$2:$A$501,$A66,$B$2:$B$501,$B66)),"Dependent SSN appears under more than one employee; confirm duplicate family coverage is intentional; ","")&amp;IF(AND(ROW()&gt;2,$A66&lt;&gt;"",$A66&lt;&gt;$A65,COUNTIF($A$2:$A65,$A66)&gt;0),"This household appears in more than one section of the census; keep the family together; ","")&amp;IF(OR(AND($C66&lt;&gt;"",LEN($C66&amp;"")&lt;&gt;LEN(TRIM($C66&amp;""))),AND($D66&lt;&gt;"",LEN($D66&amp;"")&lt;&gt;LEN(TRIM($D66&amp;""))),AND($E66&lt;&gt;"",LEN($E66&amp;"")&lt;&gt;LEN(TRIM($E66&amp;""))),AND($F66&lt;&gt;"",LEN($F66&amp;"")&lt;&gt;LEN(TRIM($F66&amp;""))),AND($G66&lt;&gt;"",LEN($G66&amp;"")&lt;&gt;LEN(TRIM($G66&amp;""))),AND($H66&lt;&gt;"",LEN($H66&amp;"")&lt;&gt;LEN(TRIM($H66&amp;""))),AND($I66&lt;&gt;"",LEN($I66&amp;"")&lt;&gt;LEN(TRIM($I66&amp;""))),AND($J66&lt;&gt;"",LEN($J66&amp;"")&lt;&gt;LEN(TRIM($J66&amp;""))),AND($K66&lt;&gt;"",LEN($K66&amp;"")&lt;&gt;LEN(TRIM($K66&amp;""))),AND($M66&lt;&gt;"",LEN($M66&amp;"")&lt;&gt;LEN(TRIM($M66&amp;""))),AND($N66&lt;&gt;"",LEN($N66&amp;"")&lt;&gt;LEN(TRIM($N66&amp;""))),AND($O66&lt;&gt;"",LEN($O66&amp;"")&lt;&gt;LEN(TRIM($O66&amp;""))),AND($R66&lt;&gt;"",LEN($R66&amp;"")&lt;&gt;LEN(TRIM($R66&amp;""))),AND($S66&lt;&gt;"",LEN($S66&amp;"")&lt;&gt;LEN(TRIM($S66&amp;""))),AND($T66&lt;&gt;"",LEN($T66&amp;"")&lt;&gt;LEN(TRIM($T66&amp;"")))),"Remove leading or trailing spaces from text fields; ","")&amp;IF(OR(AND(LEN($C66)&gt;1,OR(EXACT($C66,UPPER($C66)),EXACT($C66,LOWER($C66)))),AND(LEN($D66)&gt;1,OR(EXACT($D66,UPPER($D66)),EXACT($D66,LOWER($D66)))),AND(LEN($H66)&gt;1,OR(EXACT($H66,UPPER($H66)),EXACT($H66,LOWER($H66))))),"Review capitalization in First Name, Last Name, or City; ","")&amp;IF(AND($N66&lt;&gt;"",NOT(EXACT($N66,LOWER($N66)))),"Email will be standardized to lowercase in the clean output; ","")&amp;IF(AND(OR('START HERE'!$C$8="Initial Enrollment",'START HERE'!$C$8="Open Enrollment"),$R66="Terminated"),"A terminated row is included in an initial or open enrollment file; confirm this is intentional; ",""))</f>
        <v/>
      </c>
      <c r="AE66">
        <f>IF(COUNTA($A66:$U66)=0,"",IF(OR($A66="",AND($A66&lt;&gt;"",NOT(IFERROR(AND(LEN($A66&amp;"")=9,ISNUMBER(--($A66&amp;""))),FALSE))),AND($A66&lt;&gt;"",OR($A66="123456789",$A66="987654321",$A66="012345678",$A66=REPT(LEFT($A66&amp;"",1),9)))),"Employee SSN, ","")&amp;IF(OR(AND($O66&lt;&gt;"",$B66=""),AND($B66&lt;&gt;"",OR(NOT(IFERROR(AND(LEN($B66&amp;"")=9,ISNUMBER(--($B66&amp;""))),FALSE)),$B66=$A66,$B66="123456789",$B66="987654321",$B66="012345678",$B66=REPT(LEFT($B66&amp;"",1),9)))),"Dependent SSN, ","")&amp;IF(OR($C66="",LEN($C66)&gt;19,AND($C66&lt;&gt;"",SUMPRODUCT(--(ROW($1:$19)&lt;=LEN($C66&amp;"")),--ISERROR(FIND(MID($C66&amp;"",ROW($1:$19),1),"ABCDEFGHIJKLMNOPQRSTUVWXYZabcdefghijklmnopqrstuvwxyz .,")))&gt;0)),"First Name, ","")&amp;IF(OR($D66="",LEN($D66)&gt;26,AND($D66&lt;&gt;"",SUMPRODUCT(--(ROW($1:$26)&lt;=LEN($D66&amp;"")),--ISERROR(FIND(MID($D66&amp;"",ROW($1:$26),1),"ABCDEFGHIJKLMNOPQRSTUVWXYZabcdefghijklmnopqrstuvwxyz .,")))&gt;0)),"Last Name, ","")&amp;IF(OR(LEN($E66)&gt;1,AND($E66&lt;&gt;"",SUMPRODUCT(--(ROW($1:$1)&lt;=LEN($E66&amp;"")),--ISERROR(FIND(MID($E66&amp;"",ROW($1:$1),1),"ABCDEFGHIJKLMNOPQRSTUVWXYZabcdefghijklmnopqrstuvwxyz .,")))&gt;0)),"Middle Initial, ","")&amp;IF(OR($F66="",LEN($F66)&gt;75),"Address, ","")&amp;IF(OR($H66="",LEN($H66)&gt;30),"City, ","")&amp;IF(AND($K66="US",OR($I66="",LEN($I66)&lt;&gt;2)),"State, ","")&amp;IF($J66="","ZIP, ","")&amp;IF(OR($K66="",AND($K66&lt;&gt;"US",$K66&lt;&gt;"CA")),"Country, ","")&amp;IF(OR($L66="",AND($L66&lt;&gt;"",OR(NOT(ISNUMBER($L66)),$L66&lt;=DATE(1900,1,1),$L66&gt;TODAY()))),"Birthdate, ","")&amp;IF(AND($N66&lt;&gt;"",NOT(IFERROR(AND(ISNUMBER(SEARCH("@",$N66)),ISNUMBER(SEARCH(".",$N66,SEARCH("@",$N66)+2))),FALSE))),"Email, ","")&amp;IF(OR(AND($B66&lt;&gt;"",$O66=""),AND($O66&lt;&gt;"",$O66&lt;&gt;"Spouse or Common Law Spouse",$O66&lt;&gt;"Domestic Partner",$O66&lt;&gt;"Child",$O66&lt;&gt;"Other",$O66&lt;&gt;"Estate",$O66&lt;&gt;"Unknown")),"Dependent Relationship, ","")&amp;IF($AA66&lt;&gt;"","Household, ","")&amp;IF(OR($P66="",AND($P66&lt;&gt;"",OR(NOT(ISNUMBER($P66)),$P66&lt;=DATE(1900,1,1)))),"Eligibility Date, ","")&amp;IF(OR(AND($R66="Terminated",$Q66=""),AND($Q66&lt;&gt;"",OR(NOT(ISNUMBER($Q66)),$Q66&lt;=DATE(1900,1,1))),AND(ISNUMBER($P66),ISNUMBER($Q66),$Q66&lt;$P66)),"Termination Date, ","")&amp;IF(OR($R66="",AND($R66&lt;&gt;"Active",$R66&lt;&gt;"Terminated"),AND('START HERE'!$C$8="Terminations Only",$R66&lt;&gt;"Terminated")),"Status, ","")&amp;IF($S66="","Plan Name, ","")&amp;IF($T66="","Coverage Level, ","")&amp;IF(AND($U66&lt;&gt;"",OR(NOT(ISNUMBER($U66)),$U66&lt;0)),"Funding, ","")&amp;IF(AND($A66&lt;&gt;"",$S66&lt;&gt;"",COUNTIFS($A$2:$A$501,$A66,$B$2:$B$501,$B66,$S$2:$S$501,$S66)&gt;1),"Duplicate Row, ",""))</f>
        <v/>
      </c>
      <c r="AF66">
        <f>IF(COUNTA($A66:$U66)=0,"",$Y66&amp;$Z66&amp;$AA66&amp;$AB66&amp;$AC66)</f>
        <v/>
      </c>
      <c r="AG66">
        <f>IF($N66="","",LOWER(TRIM($N66)))</f>
        <v/>
      </c>
      <c r="AH66">
        <f>IF($A66="","",COUNTIFS($A$2:$A$501,$A66,$AI$2:$AI$501,1))</f>
        <v/>
      </c>
      <c r="AI66">
        <f>IF(COUNTA($A66:$U66)=0,"",--($AF66&lt;&gt;""))</f>
        <v/>
      </c>
      <c r="AJ66">
        <f>IF(COUNTA($A66:$U66)=0,"",--($AD66&lt;&gt;""))</f>
        <v/>
      </c>
    </row>
    <row r="67" ht="20" customHeight="1">
      <c r="A67" s="80" t="n"/>
      <c r="B67" s="80" t="n"/>
      <c r="C67" s="81" t="n"/>
      <c r="D67" s="81" t="n"/>
      <c r="E67" s="80" t="n"/>
      <c r="F67" s="81" t="n"/>
      <c r="G67" s="81" t="n"/>
      <c r="H67" s="81" t="n"/>
      <c r="I67" s="80" t="n"/>
      <c r="J67" s="80" t="n"/>
      <c r="K67" s="80" t="n"/>
      <c r="L67" s="82" t="n"/>
      <c r="M67" s="80" t="n"/>
      <c r="N67" s="80" t="n"/>
      <c r="O67" s="80" t="n"/>
      <c r="P67" s="82" t="n"/>
      <c r="Q67" s="82" t="n"/>
      <c r="R67" s="80" t="n"/>
      <c r="S67" s="80" t="n"/>
      <c r="T67" s="80" t="n"/>
      <c r="U67" s="83" t="n"/>
      <c r="V67">
        <f>IF($A67="","",IF($A67=$A66,$V66,IF($V66="",0,1-$V66)))</f>
        <v/>
      </c>
      <c r="W67">
        <f>IF($B67&lt;&gt;"",$B67,$A67)</f>
        <v/>
      </c>
      <c r="X67">
        <f>IF(COUNTA($A67:$U67)=0,"",IF(OR($B67&lt;&gt;"",$O67&lt;&gt;""),"Dependent","Employee"))</f>
        <v/>
      </c>
      <c r="Y67">
        <f>IF(COUNTA($A67:$U67)=0,"",IF($A67="","Employee SSN is required; ","")&amp;IF($C67="","First Name is required; ","")&amp;IF(LEN($C67&amp;"")&gt;19,"First Name exceeds 19 characters; ","")&amp;IF(AND($C67&lt;&gt;"",SUMPRODUCT(--(ROW($1:$19)&lt;=LEN($C67&amp;"")),--ISERROR(FIND(MID($C67&amp;"",ROW($1:$19),1),"ABCDEFGHIJKLMNOPQRSTUVWXYZabcdefghijklmnopqrstuvwxyz .,")))&gt;0),"First Name contains unsupported or encoded characters; use plain A-Z letters only; ","")&amp;IF($D67="","Last Name is required; ","")&amp;IF(LEN($D67&amp;"")&gt;26,"Last Name exceeds 26 characters; ","")&amp;IF(AND($D67&lt;&gt;"",SUMPRODUCT(--(ROW($1:$26)&lt;=LEN($D67&amp;"")),--ISERROR(FIND(MID($D67&amp;"",ROW($1:$26),1),"ABCDEFGHIJKLMNOPQRSTUVWXYZabcdefghijklmnopqrstuvwxyz .,")))&gt;0),"Last Name contains unsupported or encoded characters; use plain A-Z letters only; ","")&amp;IF(LEN($E67&amp;"")&gt;1,"Middle Initial may contain only one character; ","")&amp;IF(AND($E67&lt;&gt;"",SUMPRODUCT(--(ROW($1:$1)&lt;=LEN($E67&amp;"")),--ISERROR(FIND(MID($E67&amp;"",ROW($1:$1),1),"ABCDEFGHIJKLMNOPQRSTUVWXYZabcdefghijklmnopqrstuvwxyz .,")))&gt;0),"Middle Initial must be a plain A-Z letter; ","")&amp;IF($F67="","Address is required; ","")&amp;IF(LEN($F67&amp;"")&gt;75,"Address exceeds 75 characters; ","")&amp;IF(LEN($G67&amp;"")&gt;75,"Address 2 exceeds 75 characters; ","")&amp;IF($H67="","City is required; ","")&amp;IF(LEN($H67&amp;"")&gt;30,"City exceeds 30 characters; ","")&amp;IF($K67="","Country is required; ","")&amp;IF(AND($K67&lt;&gt;"",$K67&lt;&gt;"US",$K67&lt;&gt;"CA"),"Country must be US or CA; ","")&amp;IF(AND($K67="US",OR($I67="",LEN($I67&amp;"")&lt;&gt;2)),"Use a 2-letter state code; ","")&amp;IF($J67="","ZIP or postal code is required; ","")&amp;IF(AND($K67="US",$J67&lt;&gt;"",NOT(IFERROR(OR(AND(LEN($J67&amp;"")=5,ISNUMBER(--($J67&amp;""))),AND(LEN($J67&amp;"")=9,ISNUMBER(--($J67&amp;""))),AND(LEN($J67&amp;"")=10,MID($J67&amp;"",6,1)="-",ISNUMBER(--SUBSTITUTE($J67&amp;"","-","")))),FALSE))),"US ZIP must be 5 or 9 digits, with an optional ZIP+4 hyphen; ","")&amp;IF(AND($N67&lt;&gt;"",NOT(IFERROR(AND(ISNUMBER(SEARCH("@",$N67)),ISNUMBER(SEARCH(".",$N67,SEARCH("@",$N67)+2))),FALSE))),"Email format appears invalid; ","")&amp;IF(AND($O67&lt;&gt;"",$B67=""),"Dependent SSN is required for every dependent; ","")&amp;IF(AND($B67&lt;&gt;"",$O67=""),"Dependent Relationship is required when Dependent SSN is entered; ","")&amp;IF(AND($O67&lt;&gt;"",$O67&lt;&gt;"Spouse or Common Law Spouse",$O67&lt;&gt;"Domestic Partner",$O67&lt;&gt;"Child",$O67&lt;&gt;"Other",$O67&lt;&gt;"Estate",$O67&lt;&gt;"Unknown"),"Dependent Relationship must use one of the approved options; ",""))</f>
        <v/>
      </c>
      <c r="Z67">
        <f>IF(COUNTA($A67:$U67)=0,"",IF(AND($A67&lt;&gt;"",NOT(IFERROR(AND(LEN($A67&amp;"")=9,ISNUMBER(--($A67&amp;""))),FALSE))),"Employee SSN must contain exactly 9 digits; ","")&amp;IF(AND($A67&lt;&gt;"",OR($A67="123456789",$A67="987654321",$A67="012345678",$A67=REPT(LEFT($A67&amp;"",1),9))),"Employee SSN appears to be a placeholder; ","")&amp;IF(AND($B67&lt;&gt;"",NOT(IFERROR(AND(LEN($B67&amp;"")=9,ISNUMBER(--($B67&amp;""))),FALSE))),"Dependent SSN must contain exactly 9 digits; ","")&amp;IF(AND($B67&lt;&gt;"",OR($B67="123456789",$B67="987654321",$B67="012345678",$B67=REPT(LEFT($B67&amp;"",1),9))),"Dependent SSN appears to be a placeholder; ","")&amp;IF(AND($A67&lt;&gt;"",$B67&lt;&gt;"",$A67&amp;""=$B67&amp;""),"Dependent SSN cannot match Employee SSN; ","")&amp;IF(AND($W67&lt;&gt;"",OR(COUNTIFS($W$2:$W$501,$W67,$C$2:$C$501,"&lt;&gt;"&amp;$C67)&gt;0,COUNTIFS($W$2:$W$501,$W67,$D$2:$D$501,"&lt;&gt;"&amp;$D67)&gt;0,COUNTIFS($W$2:$W$501,$W67,$L$2:$L$501,"&lt;&gt;"&amp;$L67)&gt;0)),"The same SSN is associated with a different name or birthdate; ",""))</f>
        <v/>
      </c>
      <c r="AA67">
        <f>IF(COUNTA($A67:$U67)=0,"",IF(AND($A67&lt;&gt;"",$S67&lt;&gt;"",COUNTIFS($A$2:$A$501,$A67,$S$2:$S$501,$S67,$B$2:$B$501,"",$O$2:$O$501,"")=0),"Add an employee row for this household and plan; ","")&amp;IF(AND($X67="Dependent",COUNTIFS($A$2:$A67,$A67,$S$2:$S67,$S67,$B$2:$B67,"",$O$2:$O67,"")=0),"Place the employee row before dependent rows for this plan; ","")&amp;IF(AND($X67="Dependent",COUNTIFS($A$2:$A$501,$A67,$S$2:$S$501,$S67,$B$2:$B$501,"",$O$2:$O$501,"")&gt;0,IFERROR(OR($P67&lt;&gt;LOOKUP(2,1/(($A$2:$A$501=$A67)*($S$2:$S$501=$S67)*($B$2:$B$501="")*($O$2:$O$501="")),$P$2:$P$501),$Q67&lt;&gt;LOOKUP(2,1/(($A$2:$A$501=$A67)*($S$2:$S$501=$S67)*($B$2:$B$501="")*($O$2:$O$501="")),$Q$2:$Q$501),$R67&lt;&gt;LOOKUP(2,1/(($A$2:$A$501=$A67)*($S$2:$S$501=$S67)*($B$2:$B$501="")*($O$2:$O$501="")),$R$2:$R$501),$T67&lt;&gt;LOOKUP(2,1/(($A$2:$A$501=$A67)*($S$2:$S$501=$S67)*($B$2:$B$501="")*($O$2:$O$501="")),$T$2:$T$501),$U67&lt;&gt;LOOKUP(2,1/(($A$2:$A$501=$A67)*($S$2:$S$501=$S67)*($B$2:$B$501="")*($O$2:$O$501="")),$U$2:$U$501)),FALSE)),"Dependent row does not match the employee row for eligibility, status, coverage level, or funding; ",""))</f>
        <v/>
      </c>
      <c r="AB67">
        <f>IF(COUNTA($A67:$U67)=0,"",IF($L67="","Birthdate is required; ","")&amp;IF(AND($L67&lt;&gt;"",OR(NOT(ISNUMBER($L67)),$L67&lt;=DATE(1900,1,1),$L67&gt;TODAY())),"Birthdate must be an exact valid past date; ","")&amp;IF($P67="","Eligibility Date is required; ","")&amp;IF(AND($P67&lt;&gt;"",OR(NOT(ISNUMBER($P67)),$P67&lt;=DATE(1900,1,1))),"Eligibility Date must be a valid date; ","")&amp;IF(AND($R67="Terminated",$Q67=""),"Termination Date is required when Status is Terminated; ","")&amp;IF(AND($Q67&lt;&gt;"",OR(NOT(ISNUMBER($Q67)),$Q67&lt;=DATE(1900,1,1))),"Termination Date must be a valid date; ","")&amp;IF(AND(ISNUMBER($P67),ISNUMBER($Q67),$Q67&lt;$P67),"Termination Date cannot be before Eligibility Date; ","")&amp;IF($R67="","Status is required; ","")&amp;IF(AND($R67&lt;&gt;"",$R67&lt;&gt;"Active",$R67&lt;&gt;"Terminated"),"Status must be Active or Terminated; ","")&amp;IF(AND('START HERE'!$C$8="Terminations Only",$R67&lt;&gt;"Terminated"),"Terminations Only files must contain terminated records; ",""))</f>
        <v/>
      </c>
      <c r="AC67">
        <f>IF(COUNTA($A67:$U67)=0,"",IF($S67="","Plan Name is required; ","")&amp;IF($T67="","Benefit Coverage Level is required; ","")&amp;IF(AND($U67&lt;&gt;"",OR(NOT(ISNUMBER($U67)),$U67&lt;0)),"Plan Funding Amount must be a nonnegative number; ","")&amp;IF(AND($A67&lt;&gt;"",$S67&lt;&gt;"",COUNTIFS($A$2:$A$501,$A67,$B$2:$B$501,$B67,$S$2:$S$501,$S67)&gt;1),"Duplicate participant and plan row; ",""))</f>
        <v/>
      </c>
      <c r="AD67">
        <f>IF(COUNTA($A67:$U67)=0,"",IF(AND($X67="Employee",$M67="",$N67=""),"No employee phone or email provided; ","")&amp;IF(AND($R67="Active",$Q67&lt;&gt;""),"Active record includes a Termination Date; confirm this is intentional; ","")&amp;IF(AND($B67&lt;&gt;"",$B67&amp;""&lt;&gt;$A67&amp;"",COUNTIF($A$2:$A$501,$B67)&gt;0),"Dependent SSN also appears as an Employee SSN elsewhere; confirm dual-employee coverage is intentional; ","")&amp;IF(AND($B67&lt;&gt;"",COUNTIF($B$2:$B$501,$B67)&gt;COUNTIFS($A$2:$A$501,$A67,$B$2:$B$501,$B67)),"Dependent SSN appears under more than one employee; confirm duplicate family coverage is intentional; ","")&amp;IF(AND(ROW()&gt;2,$A67&lt;&gt;"",$A67&lt;&gt;$A66,COUNTIF($A$2:$A66,$A67)&gt;0),"This household appears in more than one section of the census; keep the family together; ","")&amp;IF(OR(AND($C67&lt;&gt;"",LEN($C67&amp;"")&lt;&gt;LEN(TRIM($C67&amp;""))),AND($D67&lt;&gt;"",LEN($D67&amp;"")&lt;&gt;LEN(TRIM($D67&amp;""))),AND($E67&lt;&gt;"",LEN($E67&amp;"")&lt;&gt;LEN(TRIM($E67&amp;""))),AND($F67&lt;&gt;"",LEN($F67&amp;"")&lt;&gt;LEN(TRIM($F67&amp;""))),AND($G67&lt;&gt;"",LEN($G67&amp;"")&lt;&gt;LEN(TRIM($G67&amp;""))),AND($H67&lt;&gt;"",LEN($H67&amp;"")&lt;&gt;LEN(TRIM($H67&amp;""))),AND($I67&lt;&gt;"",LEN($I67&amp;"")&lt;&gt;LEN(TRIM($I67&amp;""))),AND($J67&lt;&gt;"",LEN($J67&amp;"")&lt;&gt;LEN(TRIM($J67&amp;""))),AND($K67&lt;&gt;"",LEN($K67&amp;"")&lt;&gt;LEN(TRIM($K67&amp;""))),AND($M67&lt;&gt;"",LEN($M67&amp;"")&lt;&gt;LEN(TRIM($M67&amp;""))),AND($N67&lt;&gt;"",LEN($N67&amp;"")&lt;&gt;LEN(TRIM($N67&amp;""))),AND($O67&lt;&gt;"",LEN($O67&amp;"")&lt;&gt;LEN(TRIM($O67&amp;""))),AND($R67&lt;&gt;"",LEN($R67&amp;"")&lt;&gt;LEN(TRIM($R67&amp;""))),AND($S67&lt;&gt;"",LEN($S67&amp;"")&lt;&gt;LEN(TRIM($S67&amp;""))),AND($T67&lt;&gt;"",LEN($T67&amp;"")&lt;&gt;LEN(TRIM($T67&amp;"")))),"Remove leading or trailing spaces from text fields; ","")&amp;IF(OR(AND(LEN($C67)&gt;1,OR(EXACT($C67,UPPER($C67)),EXACT($C67,LOWER($C67)))),AND(LEN($D67)&gt;1,OR(EXACT($D67,UPPER($D67)),EXACT($D67,LOWER($D67)))),AND(LEN($H67)&gt;1,OR(EXACT($H67,UPPER($H67)),EXACT($H67,LOWER($H67))))),"Review capitalization in First Name, Last Name, or City; ","")&amp;IF(AND($N67&lt;&gt;"",NOT(EXACT($N67,LOWER($N67)))),"Email will be standardized to lowercase in the clean output; ","")&amp;IF(AND(OR('START HERE'!$C$8="Initial Enrollment",'START HERE'!$C$8="Open Enrollment"),$R67="Terminated"),"A terminated row is included in an initial or open enrollment file; confirm this is intentional; ",""))</f>
        <v/>
      </c>
      <c r="AE67">
        <f>IF(COUNTA($A67:$U67)=0,"",IF(OR($A67="",AND($A67&lt;&gt;"",NOT(IFERROR(AND(LEN($A67&amp;"")=9,ISNUMBER(--($A67&amp;""))),FALSE))),AND($A67&lt;&gt;"",OR($A67="123456789",$A67="987654321",$A67="012345678",$A67=REPT(LEFT($A67&amp;"",1),9)))),"Employee SSN, ","")&amp;IF(OR(AND($O67&lt;&gt;"",$B67=""),AND($B67&lt;&gt;"",OR(NOT(IFERROR(AND(LEN($B67&amp;"")=9,ISNUMBER(--($B67&amp;""))),FALSE)),$B67=$A67,$B67="123456789",$B67="987654321",$B67="012345678",$B67=REPT(LEFT($B67&amp;"",1),9)))),"Dependent SSN, ","")&amp;IF(OR($C67="",LEN($C67)&gt;19,AND($C67&lt;&gt;"",SUMPRODUCT(--(ROW($1:$19)&lt;=LEN($C67&amp;"")),--ISERROR(FIND(MID($C67&amp;"",ROW($1:$19),1),"ABCDEFGHIJKLMNOPQRSTUVWXYZabcdefghijklmnopqrstuvwxyz .,")))&gt;0)),"First Name, ","")&amp;IF(OR($D67="",LEN($D67)&gt;26,AND($D67&lt;&gt;"",SUMPRODUCT(--(ROW($1:$26)&lt;=LEN($D67&amp;"")),--ISERROR(FIND(MID($D67&amp;"",ROW($1:$26),1),"ABCDEFGHIJKLMNOPQRSTUVWXYZabcdefghijklmnopqrstuvwxyz .,")))&gt;0)),"Last Name, ","")&amp;IF(OR(LEN($E67)&gt;1,AND($E67&lt;&gt;"",SUMPRODUCT(--(ROW($1:$1)&lt;=LEN($E67&amp;"")),--ISERROR(FIND(MID($E67&amp;"",ROW($1:$1),1),"ABCDEFGHIJKLMNOPQRSTUVWXYZabcdefghijklmnopqrstuvwxyz .,")))&gt;0)),"Middle Initial, ","")&amp;IF(OR($F67="",LEN($F67)&gt;75),"Address, ","")&amp;IF(OR($H67="",LEN($H67)&gt;30),"City, ","")&amp;IF(AND($K67="US",OR($I67="",LEN($I67)&lt;&gt;2)),"State, ","")&amp;IF($J67="","ZIP, ","")&amp;IF(OR($K67="",AND($K67&lt;&gt;"US",$K67&lt;&gt;"CA")),"Country, ","")&amp;IF(OR($L67="",AND($L67&lt;&gt;"",OR(NOT(ISNUMBER($L67)),$L67&lt;=DATE(1900,1,1),$L67&gt;TODAY()))),"Birthdate, ","")&amp;IF(AND($N67&lt;&gt;"",NOT(IFERROR(AND(ISNUMBER(SEARCH("@",$N67)),ISNUMBER(SEARCH(".",$N67,SEARCH("@",$N67)+2))),FALSE))),"Email, ","")&amp;IF(OR(AND($B67&lt;&gt;"",$O67=""),AND($O67&lt;&gt;"",$O67&lt;&gt;"Spouse or Common Law Spouse",$O67&lt;&gt;"Domestic Partner",$O67&lt;&gt;"Child",$O67&lt;&gt;"Other",$O67&lt;&gt;"Estate",$O67&lt;&gt;"Unknown")),"Dependent Relationship, ","")&amp;IF($AA67&lt;&gt;"","Household, ","")&amp;IF(OR($P67="",AND($P67&lt;&gt;"",OR(NOT(ISNUMBER($P67)),$P67&lt;=DATE(1900,1,1)))),"Eligibility Date, ","")&amp;IF(OR(AND($R67="Terminated",$Q67=""),AND($Q67&lt;&gt;"",OR(NOT(ISNUMBER($Q67)),$Q67&lt;=DATE(1900,1,1))),AND(ISNUMBER($P67),ISNUMBER($Q67),$Q67&lt;$P67)),"Termination Date, ","")&amp;IF(OR($R67="",AND($R67&lt;&gt;"Active",$R67&lt;&gt;"Terminated"),AND('START HERE'!$C$8="Terminations Only",$R67&lt;&gt;"Terminated")),"Status, ","")&amp;IF($S67="","Plan Name, ","")&amp;IF($T67="","Coverage Level, ","")&amp;IF(AND($U67&lt;&gt;"",OR(NOT(ISNUMBER($U67)),$U67&lt;0)),"Funding, ","")&amp;IF(AND($A67&lt;&gt;"",$S67&lt;&gt;"",COUNTIFS($A$2:$A$501,$A67,$B$2:$B$501,$B67,$S$2:$S$501,$S67)&gt;1),"Duplicate Row, ",""))</f>
        <v/>
      </c>
      <c r="AF67">
        <f>IF(COUNTA($A67:$U67)=0,"",$Y67&amp;$Z67&amp;$AA67&amp;$AB67&amp;$AC67)</f>
        <v/>
      </c>
      <c r="AG67">
        <f>IF($N67="","",LOWER(TRIM($N67)))</f>
        <v/>
      </c>
      <c r="AH67">
        <f>IF($A67="","",COUNTIFS($A$2:$A$501,$A67,$AI$2:$AI$501,1))</f>
        <v/>
      </c>
      <c r="AI67">
        <f>IF(COUNTA($A67:$U67)=0,"",--($AF67&lt;&gt;""))</f>
        <v/>
      </c>
      <c r="AJ67">
        <f>IF(COUNTA($A67:$U67)=0,"",--($AD67&lt;&gt;""))</f>
        <v/>
      </c>
    </row>
    <row r="68" ht="20" customHeight="1">
      <c r="A68" s="80" t="n"/>
      <c r="B68" s="80" t="n"/>
      <c r="C68" s="81" t="n"/>
      <c r="D68" s="81" t="n"/>
      <c r="E68" s="80" t="n"/>
      <c r="F68" s="81" t="n"/>
      <c r="G68" s="81" t="n"/>
      <c r="H68" s="81" t="n"/>
      <c r="I68" s="80" t="n"/>
      <c r="J68" s="80" t="n"/>
      <c r="K68" s="80" t="n"/>
      <c r="L68" s="82" t="n"/>
      <c r="M68" s="80" t="n"/>
      <c r="N68" s="80" t="n"/>
      <c r="O68" s="80" t="n"/>
      <c r="P68" s="82" t="n"/>
      <c r="Q68" s="82" t="n"/>
      <c r="R68" s="80" t="n"/>
      <c r="S68" s="80" t="n"/>
      <c r="T68" s="80" t="n"/>
      <c r="U68" s="83" t="n"/>
      <c r="V68">
        <f>IF($A68="","",IF($A68=$A67,$V67,IF($V67="",0,1-$V67)))</f>
        <v/>
      </c>
      <c r="W68">
        <f>IF($B68&lt;&gt;"",$B68,$A68)</f>
        <v/>
      </c>
      <c r="X68">
        <f>IF(COUNTA($A68:$U68)=0,"",IF(OR($B68&lt;&gt;"",$O68&lt;&gt;""),"Dependent","Employee"))</f>
        <v/>
      </c>
      <c r="Y68">
        <f>IF(COUNTA($A68:$U68)=0,"",IF($A68="","Employee SSN is required; ","")&amp;IF($C68="","First Name is required; ","")&amp;IF(LEN($C68&amp;"")&gt;19,"First Name exceeds 19 characters; ","")&amp;IF(AND($C68&lt;&gt;"",SUMPRODUCT(--(ROW($1:$19)&lt;=LEN($C68&amp;"")),--ISERROR(FIND(MID($C68&amp;"",ROW($1:$19),1),"ABCDEFGHIJKLMNOPQRSTUVWXYZabcdefghijklmnopqrstuvwxyz .,")))&gt;0),"First Name contains unsupported or encoded characters; use plain A-Z letters only; ","")&amp;IF($D68="","Last Name is required; ","")&amp;IF(LEN($D68&amp;"")&gt;26,"Last Name exceeds 26 characters; ","")&amp;IF(AND($D68&lt;&gt;"",SUMPRODUCT(--(ROW($1:$26)&lt;=LEN($D68&amp;"")),--ISERROR(FIND(MID($D68&amp;"",ROW($1:$26),1),"ABCDEFGHIJKLMNOPQRSTUVWXYZabcdefghijklmnopqrstuvwxyz .,")))&gt;0),"Last Name contains unsupported or encoded characters; use plain A-Z letters only; ","")&amp;IF(LEN($E68&amp;"")&gt;1,"Middle Initial may contain only one character; ","")&amp;IF(AND($E68&lt;&gt;"",SUMPRODUCT(--(ROW($1:$1)&lt;=LEN($E68&amp;"")),--ISERROR(FIND(MID($E68&amp;"",ROW($1:$1),1),"ABCDEFGHIJKLMNOPQRSTUVWXYZabcdefghijklmnopqrstuvwxyz .,")))&gt;0),"Middle Initial must be a plain A-Z letter; ","")&amp;IF($F68="","Address is required; ","")&amp;IF(LEN($F68&amp;"")&gt;75,"Address exceeds 75 characters; ","")&amp;IF(LEN($G68&amp;"")&gt;75,"Address 2 exceeds 75 characters; ","")&amp;IF($H68="","City is required; ","")&amp;IF(LEN($H68&amp;"")&gt;30,"City exceeds 30 characters; ","")&amp;IF($K68="","Country is required; ","")&amp;IF(AND($K68&lt;&gt;"",$K68&lt;&gt;"US",$K68&lt;&gt;"CA"),"Country must be US or CA; ","")&amp;IF(AND($K68="US",OR($I68="",LEN($I68&amp;"")&lt;&gt;2)),"Use a 2-letter state code; ","")&amp;IF($J68="","ZIP or postal code is required; ","")&amp;IF(AND($K68="US",$J68&lt;&gt;"",NOT(IFERROR(OR(AND(LEN($J68&amp;"")=5,ISNUMBER(--($J68&amp;""))),AND(LEN($J68&amp;"")=9,ISNUMBER(--($J68&amp;""))),AND(LEN($J68&amp;"")=10,MID($J68&amp;"",6,1)="-",ISNUMBER(--SUBSTITUTE($J68&amp;"","-","")))),FALSE))),"US ZIP must be 5 or 9 digits, with an optional ZIP+4 hyphen; ","")&amp;IF(AND($N68&lt;&gt;"",NOT(IFERROR(AND(ISNUMBER(SEARCH("@",$N68)),ISNUMBER(SEARCH(".",$N68,SEARCH("@",$N68)+2))),FALSE))),"Email format appears invalid; ","")&amp;IF(AND($O68&lt;&gt;"",$B68=""),"Dependent SSN is required for every dependent; ","")&amp;IF(AND($B68&lt;&gt;"",$O68=""),"Dependent Relationship is required when Dependent SSN is entered; ","")&amp;IF(AND($O68&lt;&gt;"",$O68&lt;&gt;"Spouse or Common Law Spouse",$O68&lt;&gt;"Domestic Partner",$O68&lt;&gt;"Child",$O68&lt;&gt;"Other",$O68&lt;&gt;"Estate",$O68&lt;&gt;"Unknown"),"Dependent Relationship must use one of the approved options; ",""))</f>
        <v/>
      </c>
      <c r="Z68">
        <f>IF(COUNTA($A68:$U68)=0,"",IF(AND($A68&lt;&gt;"",NOT(IFERROR(AND(LEN($A68&amp;"")=9,ISNUMBER(--($A68&amp;""))),FALSE))),"Employee SSN must contain exactly 9 digits; ","")&amp;IF(AND($A68&lt;&gt;"",OR($A68="123456789",$A68="987654321",$A68="012345678",$A68=REPT(LEFT($A68&amp;"",1),9))),"Employee SSN appears to be a placeholder; ","")&amp;IF(AND($B68&lt;&gt;"",NOT(IFERROR(AND(LEN($B68&amp;"")=9,ISNUMBER(--($B68&amp;""))),FALSE))),"Dependent SSN must contain exactly 9 digits; ","")&amp;IF(AND($B68&lt;&gt;"",OR($B68="123456789",$B68="987654321",$B68="012345678",$B68=REPT(LEFT($B68&amp;"",1),9))),"Dependent SSN appears to be a placeholder; ","")&amp;IF(AND($A68&lt;&gt;"",$B68&lt;&gt;"",$A68&amp;""=$B68&amp;""),"Dependent SSN cannot match Employee SSN; ","")&amp;IF(AND($W68&lt;&gt;"",OR(COUNTIFS($W$2:$W$501,$W68,$C$2:$C$501,"&lt;&gt;"&amp;$C68)&gt;0,COUNTIFS($W$2:$W$501,$W68,$D$2:$D$501,"&lt;&gt;"&amp;$D68)&gt;0,COUNTIFS($W$2:$W$501,$W68,$L$2:$L$501,"&lt;&gt;"&amp;$L68)&gt;0)),"The same SSN is associated with a different name or birthdate; ",""))</f>
        <v/>
      </c>
      <c r="AA68">
        <f>IF(COUNTA($A68:$U68)=0,"",IF(AND($A68&lt;&gt;"",$S68&lt;&gt;"",COUNTIFS($A$2:$A$501,$A68,$S$2:$S$501,$S68,$B$2:$B$501,"",$O$2:$O$501,"")=0),"Add an employee row for this household and plan; ","")&amp;IF(AND($X68="Dependent",COUNTIFS($A$2:$A68,$A68,$S$2:$S68,$S68,$B$2:$B68,"",$O$2:$O68,"")=0),"Place the employee row before dependent rows for this plan; ","")&amp;IF(AND($X68="Dependent",COUNTIFS($A$2:$A$501,$A68,$S$2:$S$501,$S68,$B$2:$B$501,"",$O$2:$O$501,"")&gt;0,IFERROR(OR($P68&lt;&gt;LOOKUP(2,1/(($A$2:$A$501=$A68)*($S$2:$S$501=$S68)*($B$2:$B$501="")*($O$2:$O$501="")),$P$2:$P$501),$Q68&lt;&gt;LOOKUP(2,1/(($A$2:$A$501=$A68)*($S$2:$S$501=$S68)*($B$2:$B$501="")*($O$2:$O$501="")),$Q$2:$Q$501),$R68&lt;&gt;LOOKUP(2,1/(($A$2:$A$501=$A68)*($S$2:$S$501=$S68)*($B$2:$B$501="")*($O$2:$O$501="")),$R$2:$R$501),$T68&lt;&gt;LOOKUP(2,1/(($A$2:$A$501=$A68)*($S$2:$S$501=$S68)*($B$2:$B$501="")*($O$2:$O$501="")),$T$2:$T$501),$U68&lt;&gt;LOOKUP(2,1/(($A$2:$A$501=$A68)*($S$2:$S$501=$S68)*($B$2:$B$501="")*($O$2:$O$501="")),$U$2:$U$501)),FALSE)),"Dependent row does not match the employee row for eligibility, status, coverage level, or funding; ",""))</f>
        <v/>
      </c>
      <c r="AB68">
        <f>IF(COUNTA($A68:$U68)=0,"",IF($L68="","Birthdate is required; ","")&amp;IF(AND($L68&lt;&gt;"",OR(NOT(ISNUMBER($L68)),$L68&lt;=DATE(1900,1,1),$L68&gt;TODAY())),"Birthdate must be an exact valid past date; ","")&amp;IF($P68="","Eligibility Date is required; ","")&amp;IF(AND($P68&lt;&gt;"",OR(NOT(ISNUMBER($P68)),$P68&lt;=DATE(1900,1,1))),"Eligibility Date must be a valid date; ","")&amp;IF(AND($R68="Terminated",$Q68=""),"Termination Date is required when Status is Terminated; ","")&amp;IF(AND($Q68&lt;&gt;"",OR(NOT(ISNUMBER($Q68)),$Q68&lt;=DATE(1900,1,1))),"Termination Date must be a valid date; ","")&amp;IF(AND(ISNUMBER($P68),ISNUMBER($Q68),$Q68&lt;$P68),"Termination Date cannot be before Eligibility Date; ","")&amp;IF($R68="","Status is required; ","")&amp;IF(AND($R68&lt;&gt;"",$R68&lt;&gt;"Active",$R68&lt;&gt;"Terminated"),"Status must be Active or Terminated; ","")&amp;IF(AND('START HERE'!$C$8="Terminations Only",$R68&lt;&gt;"Terminated"),"Terminations Only files must contain terminated records; ",""))</f>
        <v/>
      </c>
      <c r="AC68">
        <f>IF(COUNTA($A68:$U68)=0,"",IF($S68="","Plan Name is required; ","")&amp;IF($T68="","Benefit Coverage Level is required; ","")&amp;IF(AND($U68&lt;&gt;"",OR(NOT(ISNUMBER($U68)),$U68&lt;0)),"Plan Funding Amount must be a nonnegative number; ","")&amp;IF(AND($A68&lt;&gt;"",$S68&lt;&gt;"",COUNTIFS($A$2:$A$501,$A68,$B$2:$B$501,$B68,$S$2:$S$501,$S68)&gt;1),"Duplicate participant and plan row; ",""))</f>
        <v/>
      </c>
      <c r="AD68">
        <f>IF(COUNTA($A68:$U68)=0,"",IF(AND($X68="Employee",$M68="",$N68=""),"No employee phone or email provided; ","")&amp;IF(AND($R68="Active",$Q68&lt;&gt;""),"Active record includes a Termination Date; confirm this is intentional; ","")&amp;IF(AND($B68&lt;&gt;"",$B68&amp;""&lt;&gt;$A68&amp;"",COUNTIF($A$2:$A$501,$B68)&gt;0),"Dependent SSN also appears as an Employee SSN elsewhere; confirm dual-employee coverage is intentional; ","")&amp;IF(AND($B68&lt;&gt;"",COUNTIF($B$2:$B$501,$B68)&gt;COUNTIFS($A$2:$A$501,$A68,$B$2:$B$501,$B68)),"Dependent SSN appears under more than one employee; confirm duplicate family coverage is intentional; ","")&amp;IF(AND(ROW()&gt;2,$A68&lt;&gt;"",$A68&lt;&gt;$A67,COUNTIF($A$2:$A67,$A68)&gt;0),"This household appears in more than one section of the census; keep the family together; ","")&amp;IF(OR(AND($C68&lt;&gt;"",LEN($C68&amp;"")&lt;&gt;LEN(TRIM($C68&amp;""))),AND($D68&lt;&gt;"",LEN($D68&amp;"")&lt;&gt;LEN(TRIM($D68&amp;""))),AND($E68&lt;&gt;"",LEN($E68&amp;"")&lt;&gt;LEN(TRIM($E68&amp;""))),AND($F68&lt;&gt;"",LEN($F68&amp;"")&lt;&gt;LEN(TRIM($F68&amp;""))),AND($G68&lt;&gt;"",LEN($G68&amp;"")&lt;&gt;LEN(TRIM($G68&amp;""))),AND($H68&lt;&gt;"",LEN($H68&amp;"")&lt;&gt;LEN(TRIM($H68&amp;""))),AND($I68&lt;&gt;"",LEN($I68&amp;"")&lt;&gt;LEN(TRIM($I68&amp;""))),AND($J68&lt;&gt;"",LEN($J68&amp;"")&lt;&gt;LEN(TRIM($J68&amp;""))),AND($K68&lt;&gt;"",LEN($K68&amp;"")&lt;&gt;LEN(TRIM($K68&amp;""))),AND($M68&lt;&gt;"",LEN($M68&amp;"")&lt;&gt;LEN(TRIM($M68&amp;""))),AND($N68&lt;&gt;"",LEN($N68&amp;"")&lt;&gt;LEN(TRIM($N68&amp;""))),AND($O68&lt;&gt;"",LEN($O68&amp;"")&lt;&gt;LEN(TRIM($O68&amp;""))),AND($R68&lt;&gt;"",LEN($R68&amp;"")&lt;&gt;LEN(TRIM($R68&amp;""))),AND($S68&lt;&gt;"",LEN($S68&amp;"")&lt;&gt;LEN(TRIM($S68&amp;""))),AND($T68&lt;&gt;"",LEN($T68&amp;"")&lt;&gt;LEN(TRIM($T68&amp;"")))),"Remove leading or trailing spaces from text fields; ","")&amp;IF(OR(AND(LEN($C68)&gt;1,OR(EXACT($C68,UPPER($C68)),EXACT($C68,LOWER($C68)))),AND(LEN($D68)&gt;1,OR(EXACT($D68,UPPER($D68)),EXACT($D68,LOWER($D68)))),AND(LEN($H68)&gt;1,OR(EXACT($H68,UPPER($H68)),EXACT($H68,LOWER($H68))))),"Review capitalization in First Name, Last Name, or City; ","")&amp;IF(AND($N68&lt;&gt;"",NOT(EXACT($N68,LOWER($N68)))),"Email will be standardized to lowercase in the clean output; ","")&amp;IF(AND(OR('START HERE'!$C$8="Initial Enrollment",'START HERE'!$C$8="Open Enrollment"),$R68="Terminated"),"A terminated row is included in an initial or open enrollment file; confirm this is intentional; ",""))</f>
        <v/>
      </c>
      <c r="AE68">
        <f>IF(COUNTA($A68:$U68)=0,"",IF(OR($A68="",AND($A68&lt;&gt;"",NOT(IFERROR(AND(LEN($A68&amp;"")=9,ISNUMBER(--($A68&amp;""))),FALSE))),AND($A68&lt;&gt;"",OR($A68="123456789",$A68="987654321",$A68="012345678",$A68=REPT(LEFT($A68&amp;"",1),9)))),"Employee SSN, ","")&amp;IF(OR(AND($O68&lt;&gt;"",$B68=""),AND($B68&lt;&gt;"",OR(NOT(IFERROR(AND(LEN($B68&amp;"")=9,ISNUMBER(--($B68&amp;""))),FALSE)),$B68=$A68,$B68="123456789",$B68="987654321",$B68="012345678",$B68=REPT(LEFT($B68&amp;"",1),9)))),"Dependent SSN, ","")&amp;IF(OR($C68="",LEN($C68)&gt;19,AND($C68&lt;&gt;"",SUMPRODUCT(--(ROW($1:$19)&lt;=LEN($C68&amp;"")),--ISERROR(FIND(MID($C68&amp;"",ROW($1:$19),1),"ABCDEFGHIJKLMNOPQRSTUVWXYZabcdefghijklmnopqrstuvwxyz .,")))&gt;0)),"First Name, ","")&amp;IF(OR($D68="",LEN($D68)&gt;26,AND($D68&lt;&gt;"",SUMPRODUCT(--(ROW($1:$26)&lt;=LEN($D68&amp;"")),--ISERROR(FIND(MID($D68&amp;"",ROW($1:$26),1),"ABCDEFGHIJKLMNOPQRSTUVWXYZabcdefghijklmnopqrstuvwxyz .,")))&gt;0)),"Last Name, ","")&amp;IF(OR(LEN($E68)&gt;1,AND($E68&lt;&gt;"",SUMPRODUCT(--(ROW($1:$1)&lt;=LEN($E68&amp;"")),--ISERROR(FIND(MID($E68&amp;"",ROW($1:$1),1),"ABCDEFGHIJKLMNOPQRSTUVWXYZabcdefghijklmnopqrstuvwxyz .,")))&gt;0)),"Middle Initial, ","")&amp;IF(OR($F68="",LEN($F68)&gt;75),"Address, ","")&amp;IF(OR($H68="",LEN($H68)&gt;30),"City, ","")&amp;IF(AND($K68="US",OR($I68="",LEN($I68)&lt;&gt;2)),"State, ","")&amp;IF($J68="","ZIP, ","")&amp;IF(OR($K68="",AND($K68&lt;&gt;"US",$K68&lt;&gt;"CA")),"Country, ","")&amp;IF(OR($L68="",AND($L68&lt;&gt;"",OR(NOT(ISNUMBER($L68)),$L68&lt;=DATE(1900,1,1),$L68&gt;TODAY()))),"Birthdate, ","")&amp;IF(AND($N68&lt;&gt;"",NOT(IFERROR(AND(ISNUMBER(SEARCH("@",$N68)),ISNUMBER(SEARCH(".",$N68,SEARCH("@",$N68)+2))),FALSE))),"Email, ","")&amp;IF(OR(AND($B68&lt;&gt;"",$O68=""),AND($O68&lt;&gt;"",$O68&lt;&gt;"Spouse or Common Law Spouse",$O68&lt;&gt;"Domestic Partner",$O68&lt;&gt;"Child",$O68&lt;&gt;"Other",$O68&lt;&gt;"Estate",$O68&lt;&gt;"Unknown")),"Dependent Relationship, ","")&amp;IF($AA68&lt;&gt;"","Household, ","")&amp;IF(OR($P68="",AND($P68&lt;&gt;"",OR(NOT(ISNUMBER($P68)),$P68&lt;=DATE(1900,1,1)))),"Eligibility Date, ","")&amp;IF(OR(AND($R68="Terminated",$Q68=""),AND($Q68&lt;&gt;"",OR(NOT(ISNUMBER($Q68)),$Q68&lt;=DATE(1900,1,1))),AND(ISNUMBER($P68),ISNUMBER($Q68),$Q68&lt;$P68)),"Termination Date, ","")&amp;IF(OR($R68="",AND($R68&lt;&gt;"Active",$R68&lt;&gt;"Terminated"),AND('START HERE'!$C$8="Terminations Only",$R68&lt;&gt;"Terminated")),"Status, ","")&amp;IF($S68="","Plan Name, ","")&amp;IF($T68="","Coverage Level, ","")&amp;IF(AND($U68&lt;&gt;"",OR(NOT(ISNUMBER($U68)),$U68&lt;0)),"Funding, ","")&amp;IF(AND($A68&lt;&gt;"",$S68&lt;&gt;"",COUNTIFS($A$2:$A$501,$A68,$B$2:$B$501,$B68,$S$2:$S$501,$S68)&gt;1),"Duplicate Row, ",""))</f>
        <v/>
      </c>
      <c r="AF68">
        <f>IF(COUNTA($A68:$U68)=0,"",$Y68&amp;$Z68&amp;$AA68&amp;$AB68&amp;$AC68)</f>
        <v/>
      </c>
      <c r="AG68">
        <f>IF($N68="","",LOWER(TRIM($N68)))</f>
        <v/>
      </c>
      <c r="AH68">
        <f>IF($A68="","",COUNTIFS($A$2:$A$501,$A68,$AI$2:$AI$501,1))</f>
        <v/>
      </c>
      <c r="AI68">
        <f>IF(COUNTA($A68:$U68)=0,"",--($AF68&lt;&gt;""))</f>
        <v/>
      </c>
      <c r="AJ68">
        <f>IF(COUNTA($A68:$U68)=0,"",--($AD68&lt;&gt;""))</f>
        <v/>
      </c>
    </row>
    <row r="69" ht="20" customHeight="1">
      <c r="A69" s="80" t="n"/>
      <c r="B69" s="80" t="n"/>
      <c r="C69" s="81" t="n"/>
      <c r="D69" s="81" t="n"/>
      <c r="E69" s="80" t="n"/>
      <c r="F69" s="81" t="n"/>
      <c r="G69" s="81" t="n"/>
      <c r="H69" s="81" t="n"/>
      <c r="I69" s="80" t="n"/>
      <c r="J69" s="80" t="n"/>
      <c r="K69" s="80" t="n"/>
      <c r="L69" s="82" t="n"/>
      <c r="M69" s="80" t="n"/>
      <c r="N69" s="80" t="n"/>
      <c r="O69" s="80" t="n"/>
      <c r="P69" s="82" t="n"/>
      <c r="Q69" s="82" t="n"/>
      <c r="R69" s="80" t="n"/>
      <c r="S69" s="80" t="n"/>
      <c r="T69" s="80" t="n"/>
      <c r="U69" s="83" t="n"/>
      <c r="V69">
        <f>IF($A69="","",IF($A69=$A68,$V68,IF($V68="",0,1-$V68)))</f>
        <v/>
      </c>
      <c r="W69">
        <f>IF($B69&lt;&gt;"",$B69,$A69)</f>
        <v/>
      </c>
      <c r="X69">
        <f>IF(COUNTA($A69:$U69)=0,"",IF(OR($B69&lt;&gt;"",$O69&lt;&gt;""),"Dependent","Employee"))</f>
        <v/>
      </c>
      <c r="Y69">
        <f>IF(COUNTA($A69:$U69)=0,"",IF($A69="","Employee SSN is required; ","")&amp;IF($C69="","First Name is required; ","")&amp;IF(LEN($C69&amp;"")&gt;19,"First Name exceeds 19 characters; ","")&amp;IF(AND($C69&lt;&gt;"",SUMPRODUCT(--(ROW($1:$19)&lt;=LEN($C69&amp;"")),--ISERROR(FIND(MID($C69&amp;"",ROW($1:$19),1),"ABCDEFGHIJKLMNOPQRSTUVWXYZabcdefghijklmnopqrstuvwxyz .,")))&gt;0),"First Name contains unsupported or encoded characters; use plain A-Z letters only; ","")&amp;IF($D69="","Last Name is required; ","")&amp;IF(LEN($D69&amp;"")&gt;26,"Last Name exceeds 26 characters; ","")&amp;IF(AND($D69&lt;&gt;"",SUMPRODUCT(--(ROW($1:$26)&lt;=LEN($D69&amp;"")),--ISERROR(FIND(MID($D69&amp;"",ROW($1:$26),1),"ABCDEFGHIJKLMNOPQRSTUVWXYZabcdefghijklmnopqrstuvwxyz .,")))&gt;0),"Last Name contains unsupported or encoded characters; use plain A-Z letters only; ","")&amp;IF(LEN($E69&amp;"")&gt;1,"Middle Initial may contain only one character; ","")&amp;IF(AND($E69&lt;&gt;"",SUMPRODUCT(--(ROW($1:$1)&lt;=LEN($E69&amp;"")),--ISERROR(FIND(MID($E69&amp;"",ROW($1:$1),1),"ABCDEFGHIJKLMNOPQRSTUVWXYZabcdefghijklmnopqrstuvwxyz .,")))&gt;0),"Middle Initial must be a plain A-Z letter; ","")&amp;IF($F69="","Address is required; ","")&amp;IF(LEN($F69&amp;"")&gt;75,"Address exceeds 75 characters; ","")&amp;IF(LEN($G69&amp;"")&gt;75,"Address 2 exceeds 75 characters; ","")&amp;IF($H69="","City is required; ","")&amp;IF(LEN($H69&amp;"")&gt;30,"City exceeds 30 characters; ","")&amp;IF($K69="","Country is required; ","")&amp;IF(AND($K69&lt;&gt;"",$K69&lt;&gt;"US",$K69&lt;&gt;"CA"),"Country must be US or CA; ","")&amp;IF(AND($K69="US",OR($I69="",LEN($I69&amp;"")&lt;&gt;2)),"Use a 2-letter state code; ","")&amp;IF($J69="","ZIP or postal code is required; ","")&amp;IF(AND($K69="US",$J69&lt;&gt;"",NOT(IFERROR(OR(AND(LEN($J69&amp;"")=5,ISNUMBER(--($J69&amp;""))),AND(LEN($J69&amp;"")=9,ISNUMBER(--($J69&amp;""))),AND(LEN($J69&amp;"")=10,MID($J69&amp;"",6,1)="-",ISNUMBER(--SUBSTITUTE($J69&amp;"","-","")))),FALSE))),"US ZIP must be 5 or 9 digits, with an optional ZIP+4 hyphen; ","")&amp;IF(AND($N69&lt;&gt;"",NOT(IFERROR(AND(ISNUMBER(SEARCH("@",$N69)),ISNUMBER(SEARCH(".",$N69,SEARCH("@",$N69)+2))),FALSE))),"Email format appears invalid; ","")&amp;IF(AND($O69&lt;&gt;"",$B69=""),"Dependent SSN is required for every dependent; ","")&amp;IF(AND($B69&lt;&gt;"",$O69=""),"Dependent Relationship is required when Dependent SSN is entered; ","")&amp;IF(AND($O69&lt;&gt;"",$O69&lt;&gt;"Spouse or Common Law Spouse",$O69&lt;&gt;"Domestic Partner",$O69&lt;&gt;"Child",$O69&lt;&gt;"Other",$O69&lt;&gt;"Estate",$O69&lt;&gt;"Unknown"),"Dependent Relationship must use one of the approved options; ",""))</f>
        <v/>
      </c>
      <c r="Z69">
        <f>IF(COUNTA($A69:$U69)=0,"",IF(AND($A69&lt;&gt;"",NOT(IFERROR(AND(LEN($A69&amp;"")=9,ISNUMBER(--($A69&amp;""))),FALSE))),"Employee SSN must contain exactly 9 digits; ","")&amp;IF(AND($A69&lt;&gt;"",OR($A69="123456789",$A69="987654321",$A69="012345678",$A69=REPT(LEFT($A69&amp;"",1),9))),"Employee SSN appears to be a placeholder; ","")&amp;IF(AND($B69&lt;&gt;"",NOT(IFERROR(AND(LEN($B69&amp;"")=9,ISNUMBER(--($B69&amp;""))),FALSE))),"Dependent SSN must contain exactly 9 digits; ","")&amp;IF(AND($B69&lt;&gt;"",OR($B69="123456789",$B69="987654321",$B69="012345678",$B69=REPT(LEFT($B69&amp;"",1),9))),"Dependent SSN appears to be a placeholder; ","")&amp;IF(AND($A69&lt;&gt;"",$B69&lt;&gt;"",$A69&amp;""=$B69&amp;""),"Dependent SSN cannot match Employee SSN; ","")&amp;IF(AND($W69&lt;&gt;"",OR(COUNTIFS($W$2:$W$501,$W69,$C$2:$C$501,"&lt;&gt;"&amp;$C69)&gt;0,COUNTIFS($W$2:$W$501,$W69,$D$2:$D$501,"&lt;&gt;"&amp;$D69)&gt;0,COUNTIFS($W$2:$W$501,$W69,$L$2:$L$501,"&lt;&gt;"&amp;$L69)&gt;0)),"The same SSN is associated with a different name or birthdate; ",""))</f>
        <v/>
      </c>
      <c r="AA69">
        <f>IF(COUNTA($A69:$U69)=0,"",IF(AND($A69&lt;&gt;"",$S69&lt;&gt;"",COUNTIFS($A$2:$A$501,$A69,$S$2:$S$501,$S69,$B$2:$B$501,"",$O$2:$O$501,"")=0),"Add an employee row for this household and plan; ","")&amp;IF(AND($X69="Dependent",COUNTIFS($A$2:$A69,$A69,$S$2:$S69,$S69,$B$2:$B69,"",$O$2:$O69,"")=0),"Place the employee row before dependent rows for this plan; ","")&amp;IF(AND($X69="Dependent",COUNTIFS($A$2:$A$501,$A69,$S$2:$S$501,$S69,$B$2:$B$501,"",$O$2:$O$501,"")&gt;0,IFERROR(OR($P69&lt;&gt;LOOKUP(2,1/(($A$2:$A$501=$A69)*($S$2:$S$501=$S69)*($B$2:$B$501="")*($O$2:$O$501="")),$P$2:$P$501),$Q69&lt;&gt;LOOKUP(2,1/(($A$2:$A$501=$A69)*($S$2:$S$501=$S69)*($B$2:$B$501="")*($O$2:$O$501="")),$Q$2:$Q$501),$R69&lt;&gt;LOOKUP(2,1/(($A$2:$A$501=$A69)*($S$2:$S$501=$S69)*($B$2:$B$501="")*($O$2:$O$501="")),$R$2:$R$501),$T69&lt;&gt;LOOKUP(2,1/(($A$2:$A$501=$A69)*($S$2:$S$501=$S69)*($B$2:$B$501="")*($O$2:$O$501="")),$T$2:$T$501),$U69&lt;&gt;LOOKUP(2,1/(($A$2:$A$501=$A69)*($S$2:$S$501=$S69)*($B$2:$B$501="")*($O$2:$O$501="")),$U$2:$U$501)),FALSE)),"Dependent row does not match the employee row for eligibility, status, coverage level, or funding; ",""))</f>
        <v/>
      </c>
      <c r="AB69">
        <f>IF(COUNTA($A69:$U69)=0,"",IF($L69="","Birthdate is required; ","")&amp;IF(AND($L69&lt;&gt;"",OR(NOT(ISNUMBER($L69)),$L69&lt;=DATE(1900,1,1),$L69&gt;TODAY())),"Birthdate must be an exact valid past date; ","")&amp;IF($P69="","Eligibility Date is required; ","")&amp;IF(AND($P69&lt;&gt;"",OR(NOT(ISNUMBER($P69)),$P69&lt;=DATE(1900,1,1))),"Eligibility Date must be a valid date; ","")&amp;IF(AND($R69="Terminated",$Q69=""),"Termination Date is required when Status is Terminated; ","")&amp;IF(AND($Q69&lt;&gt;"",OR(NOT(ISNUMBER($Q69)),$Q69&lt;=DATE(1900,1,1))),"Termination Date must be a valid date; ","")&amp;IF(AND(ISNUMBER($P69),ISNUMBER($Q69),$Q69&lt;$P69),"Termination Date cannot be before Eligibility Date; ","")&amp;IF($R69="","Status is required; ","")&amp;IF(AND($R69&lt;&gt;"",$R69&lt;&gt;"Active",$R69&lt;&gt;"Terminated"),"Status must be Active or Terminated; ","")&amp;IF(AND('START HERE'!$C$8="Terminations Only",$R69&lt;&gt;"Terminated"),"Terminations Only files must contain terminated records; ",""))</f>
        <v/>
      </c>
      <c r="AC69">
        <f>IF(COUNTA($A69:$U69)=0,"",IF($S69="","Plan Name is required; ","")&amp;IF($T69="","Benefit Coverage Level is required; ","")&amp;IF(AND($U69&lt;&gt;"",OR(NOT(ISNUMBER($U69)),$U69&lt;0)),"Plan Funding Amount must be a nonnegative number; ","")&amp;IF(AND($A69&lt;&gt;"",$S69&lt;&gt;"",COUNTIFS($A$2:$A$501,$A69,$B$2:$B$501,$B69,$S$2:$S$501,$S69)&gt;1),"Duplicate participant and plan row; ",""))</f>
        <v/>
      </c>
      <c r="AD69">
        <f>IF(COUNTA($A69:$U69)=0,"",IF(AND($X69="Employee",$M69="",$N69=""),"No employee phone or email provided; ","")&amp;IF(AND($R69="Active",$Q69&lt;&gt;""),"Active record includes a Termination Date; confirm this is intentional; ","")&amp;IF(AND($B69&lt;&gt;"",$B69&amp;""&lt;&gt;$A69&amp;"",COUNTIF($A$2:$A$501,$B69)&gt;0),"Dependent SSN also appears as an Employee SSN elsewhere; confirm dual-employee coverage is intentional; ","")&amp;IF(AND($B69&lt;&gt;"",COUNTIF($B$2:$B$501,$B69)&gt;COUNTIFS($A$2:$A$501,$A69,$B$2:$B$501,$B69)),"Dependent SSN appears under more than one employee; confirm duplicate family coverage is intentional; ","")&amp;IF(AND(ROW()&gt;2,$A69&lt;&gt;"",$A69&lt;&gt;$A68,COUNTIF($A$2:$A68,$A69)&gt;0),"This household appears in more than one section of the census; keep the family together; ","")&amp;IF(OR(AND($C69&lt;&gt;"",LEN($C69&amp;"")&lt;&gt;LEN(TRIM($C69&amp;""))),AND($D69&lt;&gt;"",LEN($D69&amp;"")&lt;&gt;LEN(TRIM($D69&amp;""))),AND($E69&lt;&gt;"",LEN($E69&amp;"")&lt;&gt;LEN(TRIM($E69&amp;""))),AND($F69&lt;&gt;"",LEN($F69&amp;"")&lt;&gt;LEN(TRIM($F69&amp;""))),AND($G69&lt;&gt;"",LEN($G69&amp;"")&lt;&gt;LEN(TRIM($G69&amp;""))),AND($H69&lt;&gt;"",LEN($H69&amp;"")&lt;&gt;LEN(TRIM($H69&amp;""))),AND($I69&lt;&gt;"",LEN($I69&amp;"")&lt;&gt;LEN(TRIM($I69&amp;""))),AND($J69&lt;&gt;"",LEN($J69&amp;"")&lt;&gt;LEN(TRIM($J69&amp;""))),AND($K69&lt;&gt;"",LEN($K69&amp;"")&lt;&gt;LEN(TRIM($K69&amp;""))),AND($M69&lt;&gt;"",LEN($M69&amp;"")&lt;&gt;LEN(TRIM($M69&amp;""))),AND($N69&lt;&gt;"",LEN($N69&amp;"")&lt;&gt;LEN(TRIM($N69&amp;""))),AND($O69&lt;&gt;"",LEN($O69&amp;"")&lt;&gt;LEN(TRIM($O69&amp;""))),AND($R69&lt;&gt;"",LEN($R69&amp;"")&lt;&gt;LEN(TRIM($R69&amp;""))),AND($S69&lt;&gt;"",LEN($S69&amp;"")&lt;&gt;LEN(TRIM($S69&amp;""))),AND($T69&lt;&gt;"",LEN($T69&amp;"")&lt;&gt;LEN(TRIM($T69&amp;"")))),"Remove leading or trailing spaces from text fields; ","")&amp;IF(OR(AND(LEN($C69)&gt;1,OR(EXACT($C69,UPPER($C69)),EXACT($C69,LOWER($C69)))),AND(LEN($D69)&gt;1,OR(EXACT($D69,UPPER($D69)),EXACT($D69,LOWER($D69)))),AND(LEN($H69)&gt;1,OR(EXACT($H69,UPPER($H69)),EXACT($H69,LOWER($H69))))),"Review capitalization in First Name, Last Name, or City; ","")&amp;IF(AND($N69&lt;&gt;"",NOT(EXACT($N69,LOWER($N69)))),"Email will be standardized to lowercase in the clean output; ","")&amp;IF(AND(OR('START HERE'!$C$8="Initial Enrollment",'START HERE'!$C$8="Open Enrollment"),$R69="Terminated"),"A terminated row is included in an initial or open enrollment file; confirm this is intentional; ",""))</f>
        <v/>
      </c>
      <c r="AE69">
        <f>IF(COUNTA($A69:$U69)=0,"",IF(OR($A69="",AND($A69&lt;&gt;"",NOT(IFERROR(AND(LEN($A69&amp;"")=9,ISNUMBER(--($A69&amp;""))),FALSE))),AND($A69&lt;&gt;"",OR($A69="123456789",$A69="987654321",$A69="012345678",$A69=REPT(LEFT($A69&amp;"",1),9)))),"Employee SSN, ","")&amp;IF(OR(AND($O69&lt;&gt;"",$B69=""),AND($B69&lt;&gt;"",OR(NOT(IFERROR(AND(LEN($B69&amp;"")=9,ISNUMBER(--($B69&amp;""))),FALSE)),$B69=$A69,$B69="123456789",$B69="987654321",$B69="012345678",$B69=REPT(LEFT($B69&amp;"",1),9)))),"Dependent SSN, ","")&amp;IF(OR($C69="",LEN($C69)&gt;19,AND($C69&lt;&gt;"",SUMPRODUCT(--(ROW($1:$19)&lt;=LEN($C69&amp;"")),--ISERROR(FIND(MID($C69&amp;"",ROW($1:$19),1),"ABCDEFGHIJKLMNOPQRSTUVWXYZabcdefghijklmnopqrstuvwxyz .,")))&gt;0)),"First Name, ","")&amp;IF(OR($D69="",LEN($D69)&gt;26,AND($D69&lt;&gt;"",SUMPRODUCT(--(ROW($1:$26)&lt;=LEN($D69&amp;"")),--ISERROR(FIND(MID($D69&amp;"",ROW($1:$26),1),"ABCDEFGHIJKLMNOPQRSTUVWXYZabcdefghijklmnopqrstuvwxyz .,")))&gt;0)),"Last Name, ","")&amp;IF(OR(LEN($E69)&gt;1,AND($E69&lt;&gt;"",SUMPRODUCT(--(ROW($1:$1)&lt;=LEN($E69&amp;"")),--ISERROR(FIND(MID($E69&amp;"",ROW($1:$1),1),"ABCDEFGHIJKLMNOPQRSTUVWXYZabcdefghijklmnopqrstuvwxyz .,")))&gt;0)),"Middle Initial, ","")&amp;IF(OR($F69="",LEN($F69)&gt;75),"Address, ","")&amp;IF(OR($H69="",LEN($H69)&gt;30),"City, ","")&amp;IF(AND($K69="US",OR($I69="",LEN($I69)&lt;&gt;2)),"State, ","")&amp;IF($J69="","ZIP, ","")&amp;IF(OR($K69="",AND($K69&lt;&gt;"US",$K69&lt;&gt;"CA")),"Country, ","")&amp;IF(OR($L69="",AND($L69&lt;&gt;"",OR(NOT(ISNUMBER($L69)),$L69&lt;=DATE(1900,1,1),$L69&gt;TODAY()))),"Birthdate, ","")&amp;IF(AND($N69&lt;&gt;"",NOT(IFERROR(AND(ISNUMBER(SEARCH("@",$N69)),ISNUMBER(SEARCH(".",$N69,SEARCH("@",$N69)+2))),FALSE))),"Email, ","")&amp;IF(OR(AND($B69&lt;&gt;"",$O69=""),AND($O69&lt;&gt;"",$O69&lt;&gt;"Spouse or Common Law Spouse",$O69&lt;&gt;"Domestic Partner",$O69&lt;&gt;"Child",$O69&lt;&gt;"Other",$O69&lt;&gt;"Estate",$O69&lt;&gt;"Unknown")),"Dependent Relationship, ","")&amp;IF($AA69&lt;&gt;"","Household, ","")&amp;IF(OR($P69="",AND($P69&lt;&gt;"",OR(NOT(ISNUMBER($P69)),$P69&lt;=DATE(1900,1,1)))),"Eligibility Date, ","")&amp;IF(OR(AND($R69="Terminated",$Q69=""),AND($Q69&lt;&gt;"",OR(NOT(ISNUMBER($Q69)),$Q69&lt;=DATE(1900,1,1))),AND(ISNUMBER($P69),ISNUMBER($Q69),$Q69&lt;$P69)),"Termination Date, ","")&amp;IF(OR($R69="",AND($R69&lt;&gt;"Active",$R69&lt;&gt;"Terminated"),AND('START HERE'!$C$8="Terminations Only",$R69&lt;&gt;"Terminated")),"Status, ","")&amp;IF($S69="","Plan Name, ","")&amp;IF($T69="","Coverage Level, ","")&amp;IF(AND($U69&lt;&gt;"",OR(NOT(ISNUMBER($U69)),$U69&lt;0)),"Funding, ","")&amp;IF(AND($A69&lt;&gt;"",$S69&lt;&gt;"",COUNTIFS($A$2:$A$501,$A69,$B$2:$B$501,$B69,$S$2:$S$501,$S69)&gt;1),"Duplicate Row, ",""))</f>
        <v/>
      </c>
      <c r="AF69">
        <f>IF(COUNTA($A69:$U69)=0,"",$Y69&amp;$Z69&amp;$AA69&amp;$AB69&amp;$AC69)</f>
        <v/>
      </c>
      <c r="AG69">
        <f>IF($N69="","",LOWER(TRIM($N69)))</f>
        <v/>
      </c>
      <c r="AH69">
        <f>IF($A69="","",COUNTIFS($A$2:$A$501,$A69,$AI$2:$AI$501,1))</f>
        <v/>
      </c>
      <c r="AI69">
        <f>IF(COUNTA($A69:$U69)=0,"",--($AF69&lt;&gt;""))</f>
        <v/>
      </c>
      <c r="AJ69">
        <f>IF(COUNTA($A69:$U69)=0,"",--($AD69&lt;&gt;""))</f>
        <v/>
      </c>
    </row>
    <row r="70" ht="20" customHeight="1">
      <c r="A70" s="80" t="n"/>
      <c r="B70" s="80" t="n"/>
      <c r="C70" s="81" t="n"/>
      <c r="D70" s="81" t="n"/>
      <c r="E70" s="80" t="n"/>
      <c r="F70" s="81" t="n"/>
      <c r="G70" s="81" t="n"/>
      <c r="H70" s="81" t="n"/>
      <c r="I70" s="80" t="n"/>
      <c r="J70" s="80" t="n"/>
      <c r="K70" s="80" t="n"/>
      <c r="L70" s="82" t="n"/>
      <c r="M70" s="80" t="n"/>
      <c r="N70" s="80" t="n"/>
      <c r="O70" s="80" t="n"/>
      <c r="P70" s="82" t="n"/>
      <c r="Q70" s="82" t="n"/>
      <c r="R70" s="80" t="n"/>
      <c r="S70" s="80" t="n"/>
      <c r="T70" s="80" t="n"/>
      <c r="U70" s="83" t="n"/>
      <c r="V70">
        <f>IF($A70="","",IF($A70=$A69,$V69,IF($V69="",0,1-$V69)))</f>
        <v/>
      </c>
      <c r="W70">
        <f>IF($B70&lt;&gt;"",$B70,$A70)</f>
        <v/>
      </c>
      <c r="X70">
        <f>IF(COUNTA($A70:$U70)=0,"",IF(OR($B70&lt;&gt;"",$O70&lt;&gt;""),"Dependent","Employee"))</f>
        <v/>
      </c>
      <c r="Y70">
        <f>IF(COUNTA($A70:$U70)=0,"",IF($A70="","Employee SSN is required; ","")&amp;IF($C70="","First Name is required; ","")&amp;IF(LEN($C70&amp;"")&gt;19,"First Name exceeds 19 characters; ","")&amp;IF(AND($C70&lt;&gt;"",SUMPRODUCT(--(ROW($1:$19)&lt;=LEN($C70&amp;"")),--ISERROR(FIND(MID($C70&amp;"",ROW($1:$19),1),"ABCDEFGHIJKLMNOPQRSTUVWXYZabcdefghijklmnopqrstuvwxyz .,")))&gt;0),"First Name contains unsupported or encoded characters; use plain A-Z letters only; ","")&amp;IF($D70="","Last Name is required; ","")&amp;IF(LEN($D70&amp;"")&gt;26,"Last Name exceeds 26 characters; ","")&amp;IF(AND($D70&lt;&gt;"",SUMPRODUCT(--(ROW($1:$26)&lt;=LEN($D70&amp;"")),--ISERROR(FIND(MID($D70&amp;"",ROW($1:$26),1),"ABCDEFGHIJKLMNOPQRSTUVWXYZabcdefghijklmnopqrstuvwxyz .,")))&gt;0),"Last Name contains unsupported or encoded characters; use plain A-Z letters only; ","")&amp;IF(LEN($E70&amp;"")&gt;1,"Middle Initial may contain only one character; ","")&amp;IF(AND($E70&lt;&gt;"",SUMPRODUCT(--(ROW($1:$1)&lt;=LEN($E70&amp;"")),--ISERROR(FIND(MID($E70&amp;"",ROW($1:$1),1),"ABCDEFGHIJKLMNOPQRSTUVWXYZabcdefghijklmnopqrstuvwxyz .,")))&gt;0),"Middle Initial must be a plain A-Z letter; ","")&amp;IF($F70="","Address is required; ","")&amp;IF(LEN($F70&amp;"")&gt;75,"Address exceeds 75 characters; ","")&amp;IF(LEN($G70&amp;"")&gt;75,"Address 2 exceeds 75 characters; ","")&amp;IF($H70="","City is required; ","")&amp;IF(LEN($H70&amp;"")&gt;30,"City exceeds 30 characters; ","")&amp;IF($K70="","Country is required; ","")&amp;IF(AND($K70&lt;&gt;"",$K70&lt;&gt;"US",$K70&lt;&gt;"CA"),"Country must be US or CA; ","")&amp;IF(AND($K70="US",OR($I70="",LEN($I70&amp;"")&lt;&gt;2)),"Use a 2-letter state code; ","")&amp;IF($J70="","ZIP or postal code is required; ","")&amp;IF(AND($K70="US",$J70&lt;&gt;"",NOT(IFERROR(OR(AND(LEN($J70&amp;"")=5,ISNUMBER(--($J70&amp;""))),AND(LEN($J70&amp;"")=9,ISNUMBER(--($J70&amp;""))),AND(LEN($J70&amp;"")=10,MID($J70&amp;"",6,1)="-",ISNUMBER(--SUBSTITUTE($J70&amp;"","-","")))),FALSE))),"US ZIP must be 5 or 9 digits, with an optional ZIP+4 hyphen; ","")&amp;IF(AND($N70&lt;&gt;"",NOT(IFERROR(AND(ISNUMBER(SEARCH("@",$N70)),ISNUMBER(SEARCH(".",$N70,SEARCH("@",$N70)+2))),FALSE))),"Email format appears invalid; ","")&amp;IF(AND($O70&lt;&gt;"",$B70=""),"Dependent SSN is required for every dependent; ","")&amp;IF(AND($B70&lt;&gt;"",$O70=""),"Dependent Relationship is required when Dependent SSN is entered; ","")&amp;IF(AND($O70&lt;&gt;"",$O70&lt;&gt;"Spouse or Common Law Spouse",$O70&lt;&gt;"Domestic Partner",$O70&lt;&gt;"Child",$O70&lt;&gt;"Other",$O70&lt;&gt;"Estate",$O70&lt;&gt;"Unknown"),"Dependent Relationship must use one of the approved options; ",""))</f>
        <v/>
      </c>
      <c r="Z70">
        <f>IF(COUNTA($A70:$U70)=0,"",IF(AND($A70&lt;&gt;"",NOT(IFERROR(AND(LEN($A70&amp;"")=9,ISNUMBER(--($A70&amp;""))),FALSE))),"Employee SSN must contain exactly 9 digits; ","")&amp;IF(AND($A70&lt;&gt;"",OR($A70="123456789",$A70="987654321",$A70="012345678",$A70=REPT(LEFT($A70&amp;"",1),9))),"Employee SSN appears to be a placeholder; ","")&amp;IF(AND($B70&lt;&gt;"",NOT(IFERROR(AND(LEN($B70&amp;"")=9,ISNUMBER(--($B70&amp;""))),FALSE))),"Dependent SSN must contain exactly 9 digits; ","")&amp;IF(AND($B70&lt;&gt;"",OR($B70="123456789",$B70="987654321",$B70="012345678",$B70=REPT(LEFT($B70&amp;"",1),9))),"Dependent SSN appears to be a placeholder; ","")&amp;IF(AND($A70&lt;&gt;"",$B70&lt;&gt;"",$A70&amp;""=$B70&amp;""),"Dependent SSN cannot match Employee SSN; ","")&amp;IF(AND($W70&lt;&gt;"",OR(COUNTIFS($W$2:$W$501,$W70,$C$2:$C$501,"&lt;&gt;"&amp;$C70)&gt;0,COUNTIFS($W$2:$W$501,$W70,$D$2:$D$501,"&lt;&gt;"&amp;$D70)&gt;0,COUNTIFS($W$2:$W$501,$W70,$L$2:$L$501,"&lt;&gt;"&amp;$L70)&gt;0)),"The same SSN is associated with a different name or birthdate; ",""))</f>
        <v/>
      </c>
      <c r="AA70">
        <f>IF(COUNTA($A70:$U70)=0,"",IF(AND($A70&lt;&gt;"",$S70&lt;&gt;"",COUNTIFS($A$2:$A$501,$A70,$S$2:$S$501,$S70,$B$2:$B$501,"",$O$2:$O$501,"")=0),"Add an employee row for this household and plan; ","")&amp;IF(AND($X70="Dependent",COUNTIFS($A$2:$A70,$A70,$S$2:$S70,$S70,$B$2:$B70,"",$O$2:$O70,"")=0),"Place the employee row before dependent rows for this plan; ","")&amp;IF(AND($X70="Dependent",COUNTIFS($A$2:$A$501,$A70,$S$2:$S$501,$S70,$B$2:$B$501,"",$O$2:$O$501,"")&gt;0,IFERROR(OR($P70&lt;&gt;LOOKUP(2,1/(($A$2:$A$501=$A70)*($S$2:$S$501=$S70)*($B$2:$B$501="")*($O$2:$O$501="")),$P$2:$P$501),$Q70&lt;&gt;LOOKUP(2,1/(($A$2:$A$501=$A70)*($S$2:$S$501=$S70)*($B$2:$B$501="")*($O$2:$O$501="")),$Q$2:$Q$501),$R70&lt;&gt;LOOKUP(2,1/(($A$2:$A$501=$A70)*($S$2:$S$501=$S70)*($B$2:$B$501="")*($O$2:$O$501="")),$R$2:$R$501),$T70&lt;&gt;LOOKUP(2,1/(($A$2:$A$501=$A70)*($S$2:$S$501=$S70)*($B$2:$B$501="")*($O$2:$O$501="")),$T$2:$T$501),$U70&lt;&gt;LOOKUP(2,1/(($A$2:$A$501=$A70)*($S$2:$S$501=$S70)*($B$2:$B$501="")*($O$2:$O$501="")),$U$2:$U$501)),FALSE)),"Dependent row does not match the employee row for eligibility, status, coverage level, or funding; ",""))</f>
        <v/>
      </c>
      <c r="AB70">
        <f>IF(COUNTA($A70:$U70)=0,"",IF($L70="","Birthdate is required; ","")&amp;IF(AND($L70&lt;&gt;"",OR(NOT(ISNUMBER($L70)),$L70&lt;=DATE(1900,1,1),$L70&gt;TODAY())),"Birthdate must be an exact valid past date; ","")&amp;IF($P70="","Eligibility Date is required; ","")&amp;IF(AND($P70&lt;&gt;"",OR(NOT(ISNUMBER($P70)),$P70&lt;=DATE(1900,1,1))),"Eligibility Date must be a valid date; ","")&amp;IF(AND($R70="Terminated",$Q70=""),"Termination Date is required when Status is Terminated; ","")&amp;IF(AND($Q70&lt;&gt;"",OR(NOT(ISNUMBER($Q70)),$Q70&lt;=DATE(1900,1,1))),"Termination Date must be a valid date; ","")&amp;IF(AND(ISNUMBER($P70),ISNUMBER($Q70),$Q70&lt;$P70),"Termination Date cannot be before Eligibility Date; ","")&amp;IF($R70="","Status is required; ","")&amp;IF(AND($R70&lt;&gt;"",$R70&lt;&gt;"Active",$R70&lt;&gt;"Terminated"),"Status must be Active or Terminated; ","")&amp;IF(AND('START HERE'!$C$8="Terminations Only",$R70&lt;&gt;"Terminated"),"Terminations Only files must contain terminated records; ",""))</f>
        <v/>
      </c>
      <c r="AC70">
        <f>IF(COUNTA($A70:$U70)=0,"",IF($S70="","Plan Name is required; ","")&amp;IF($T70="","Benefit Coverage Level is required; ","")&amp;IF(AND($U70&lt;&gt;"",OR(NOT(ISNUMBER($U70)),$U70&lt;0)),"Plan Funding Amount must be a nonnegative number; ","")&amp;IF(AND($A70&lt;&gt;"",$S70&lt;&gt;"",COUNTIFS($A$2:$A$501,$A70,$B$2:$B$501,$B70,$S$2:$S$501,$S70)&gt;1),"Duplicate participant and plan row; ",""))</f>
        <v/>
      </c>
      <c r="AD70">
        <f>IF(COUNTA($A70:$U70)=0,"",IF(AND($X70="Employee",$M70="",$N70=""),"No employee phone or email provided; ","")&amp;IF(AND($R70="Active",$Q70&lt;&gt;""),"Active record includes a Termination Date; confirm this is intentional; ","")&amp;IF(AND($B70&lt;&gt;"",$B70&amp;""&lt;&gt;$A70&amp;"",COUNTIF($A$2:$A$501,$B70)&gt;0),"Dependent SSN also appears as an Employee SSN elsewhere; confirm dual-employee coverage is intentional; ","")&amp;IF(AND($B70&lt;&gt;"",COUNTIF($B$2:$B$501,$B70)&gt;COUNTIFS($A$2:$A$501,$A70,$B$2:$B$501,$B70)),"Dependent SSN appears under more than one employee; confirm duplicate family coverage is intentional; ","")&amp;IF(AND(ROW()&gt;2,$A70&lt;&gt;"",$A70&lt;&gt;$A69,COUNTIF($A$2:$A69,$A70)&gt;0),"This household appears in more than one section of the census; keep the family together; ","")&amp;IF(OR(AND($C70&lt;&gt;"",LEN($C70&amp;"")&lt;&gt;LEN(TRIM($C70&amp;""))),AND($D70&lt;&gt;"",LEN($D70&amp;"")&lt;&gt;LEN(TRIM($D70&amp;""))),AND($E70&lt;&gt;"",LEN($E70&amp;"")&lt;&gt;LEN(TRIM($E70&amp;""))),AND($F70&lt;&gt;"",LEN($F70&amp;"")&lt;&gt;LEN(TRIM($F70&amp;""))),AND($G70&lt;&gt;"",LEN($G70&amp;"")&lt;&gt;LEN(TRIM($G70&amp;""))),AND($H70&lt;&gt;"",LEN($H70&amp;"")&lt;&gt;LEN(TRIM($H70&amp;""))),AND($I70&lt;&gt;"",LEN($I70&amp;"")&lt;&gt;LEN(TRIM($I70&amp;""))),AND($J70&lt;&gt;"",LEN($J70&amp;"")&lt;&gt;LEN(TRIM($J70&amp;""))),AND($K70&lt;&gt;"",LEN($K70&amp;"")&lt;&gt;LEN(TRIM($K70&amp;""))),AND($M70&lt;&gt;"",LEN($M70&amp;"")&lt;&gt;LEN(TRIM($M70&amp;""))),AND($N70&lt;&gt;"",LEN($N70&amp;"")&lt;&gt;LEN(TRIM($N70&amp;""))),AND($O70&lt;&gt;"",LEN($O70&amp;"")&lt;&gt;LEN(TRIM($O70&amp;""))),AND($R70&lt;&gt;"",LEN($R70&amp;"")&lt;&gt;LEN(TRIM($R70&amp;""))),AND($S70&lt;&gt;"",LEN($S70&amp;"")&lt;&gt;LEN(TRIM($S70&amp;""))),AND($T70&lt;&gt;"",LEN($T70&amp;"")&lt;&gt;LEN(TRIM($T70&amp;"")))),"Remove leading or trailing spaces from text fields; ","")&amp;IF(OR(AND(LEN($C70)&gt;1,OR(EXACT($C70,UPPER($C70)),EXACT($C70,LOWER($C70)))),AND(LEN($D70)&gt;1,OR(EXACT($D70,UPPER($D70)),EXACT($D70,LOWER($D70)))),AND(LEN($H70)&gt;1,OR(EXACT($H70,UPPER($H70)),EXACT($H70,LOWER($H70))))),"Review capitalization in First Name, Last Name, or City; ","")&amp;IF(AND($N70&lt;&gt;"",NOT(EXACT($N70,LOWER($N70)))),"Email will be standardized to lowercase in the clean output; ","")&amp;IF(AND(OR('START HERE'!$C$8="Initial Enrollment",'START HERE'!$C$8="Open Enrollment"),$R70="Terminated"),"A terminated row is included in an initial or open enrollment file; confirm this is intentional; ",""))</f>
        <v/>
      </c>
      <c r="AE70">
        <f>IF(COUNTA($A70:$U70)=0,"",IF(OR($A70="",AND($A70&lt;&gt;"",NOT(IFERROR(AND(LEN($A70&amp;"")=9,ISNUMBER(--($A70&amp;""))),FALSE))),AND($A70&lt;&gt;"",OR($A70="123456789",$A70="987654321",$A70="012345678",$A70=REPT(LEFT($A70&amp;"",1),9)))),"Employee SSN, ","")&amp;IF(OR(AND($O70&lt;&gt;"",$B70=""),AND($B70&lt;&gt;"",OR(NOT(IFERROR(AND(LEN($B70&amp;"")=9,ISNUMBER(--($B70&amp;""))),FALSE)),$B70=$A70,$B70="123456789",$B70="987654321",$B70="012345678",$B70=REPT(LEFT($B70&amp;"",1),9)))),"Dependent SSN, ","")&amp;IF(OR($C70="",LEN($C70)&gt;19,AND($C70&lt;&gt;"",SUMPRODUCT(--(ROW($1:$19)&lt;=LEN($C70&amp;"")),--ISERROR(FIND(MID($C70&amp;"",ROW($1:$19),1),"ABCDEFGHIJKLMNOPQRSTUVWXYZabcdefghijklmnopqrstuvwxyz .,")))&gt;0)),"First Name, ","")&amp;IF(OR($D70="",LEN($D70)&gt;26,AND($D70&lt;&gt;"",SUMPRODUCT(--(ROW($1:$26)&lt;=LEN($D70&amp;"")),--ISERROR(FIND(MID($D70&amp;"",ROW($1:$26),1),"ABCDEFGHIJKLMNOPQRSTUVWXYZabcdefghijklmnopqrstuvwxyz .,")))&gt;0)),"Last Name, ","")&amp;IF(OR(LEN($E70)&gt;1,AND($E70&lt;&gt;"",SUMPRODUCT(--(ROW($1:$1)&lt;=LEN($E70&amp;"")),--ISERROR(FIND(MID($E70&amp;"",ROW($1:$1),1),"ABCDEFGHIJKLMNOPQRSTUVWXYZabcdefghijklmnopqrstuvwxyz .,")))&gt;0)),"Middle Initial, ","")&amp;IF(OR($F70="",LEN($F70)&gt;75),"Address, ","")&amp;IF(OR($H70="",LEN($H70)&gt;30),"City, ","")&amp;IF(AND($K70="US",OR($I70="",LEN($I70)&lt;&gt;2)),"State, ","")&amp;IF($J70="","ZIP, ","")&amp;IF(OR($K70="",AND($K70&lt;&gt;"US",$K70&lt;&gt;"CA")),"Country, ","")&amp;IF(OR($L70="",AND($L70&lt;&gt;"",OR(NOT(ISNUMBER($L70)),$L70&lt;=DATE(1900,1,1),$L70&gt;TODAY()))),"Birthdate, ","")&amp;IF(AND($N70&lt;&gt;"",NOT(IFERROR(AND(ISNUMBER(SEARCH("@",$N70)),ISNUMBER(SEARCH(".",$N70,SEARCH("@",$N70)+2))),FALSE))),"Email, ","")&amp;IF(OR(AND($B70&lt;&gt;"",$O70=""),AND($O70&lt;&gt;"",$O70&lt;&gt;"Spouse or Common Law Spouse",$O70&lt;&gt;"Domestic Partner",$O70&lt;&gt;"Child",$O70&lt;&gt;"Other",$O70&lt;&gt;"Estate",$O70&lt;&gt;"Unknown")),"Dependent Relationship, ","")&amp;IF($AA70&lt;&gt;"","Household, ","")&amp;IF(OR($P70="",AND($P70&lt;&gt;"",OR(NOT(ISNUMBER($P70)),$P70&lt;=DATE(1900,1,1)))),"Eligibility Date, ","")&amp;IF(OR(AND($R70="Terminated",$Q70=""),AND($Q70&lt;&gt;"",OR(NOT(ISNUMBER($Q70)),$Q70&lt;=DATE(1900,1,1))),AND(ISNUMBER($P70),ISNUMBER($Q70),$Q70&lt;$P70)),"Termination Date, ","")&amp;IF(OR($R70="",AND($R70&lt;&gt;"Active",$R70&lt;&gt;"Terminated"),AND('START HERE'!$C$8="Terminations Only",$R70&lt;&gt;"Terminated")),"Status, ","")&amp;IF($S70="","Plan Name, ","")&amp;IF($T70="","Coverage Level, ","")&amp;IF(AND($U70&lt;&gt;"",OR(NOT(ISNUMBER($U70)),$U70&lt;0)),"Funding, ","")&amp;IF(AND($A70&lt;&gt;"",$S70&lt;&gt;"",COUNTIFS($A$2:$A$501,$A70,$B$2:$B$501,$B70,$S$2:$S$501,$S70)&gt;1),"Duplicate Row, ",""))</f>
        <v/>
      </c>
      <c r="AF70">
        <f>IF(COUNTA($A70:$U70)=0,"",$Y70&amp;$Z70&amp;$AA70&amp;$AB70&amp;$AC70)</f>
        <v/>
      </c>
      <c r="AG70">
        <f>IF($N70="","",LOWER(TRIM($N70)))</f>
        <v/>
      </c>
      <c r="AH70">
        <f>IF($A70="","",COUNTIFS($A$2:$A$501,$A70,$AI$2:$AI$501,1))</f>
        <v/>
      </c>
      <c r="AI70">
        <f>IF(COUNTA($A70:$U70)=0,"",--($AF70&lt;&gt;""))</f>
        <v/>
      </c>
      <c r="AJ70">
        <f>IF(COUNTA($A70:$U70)=0,"",--($AD70&lt;&gt;""))</f>
        <v/>
      </c>
    </row>
    <row r="71" ht="20" customHeight="1">
      <c r="A71" s="80" t="n"/>
      <c r="B71" s="80" t="n"/>
      <c r="C71" s="81" t="n"/>
      <c r="D71" s="81" t="n"/>
      <c r="E71" s="80" t="n"/>
      <c r="F71" s="81" t="n"/>
      <c r="G71" s="81" t="n"/>
      <c r="H71" s="81" t="n"/>
      <c r="I71" s="80" t="n"/>
      <c r="J71" s="80" t="n"/>
      <c r="K71" s="80" t="n"/>
      <c r="L71" s="82" t="n"/>
      <c r="M71" s="80" t="n"/>
      <c r="N71" s="80" t="n"/>
      <c r="O71" s="80" t="n"/>
      <c r="P71" s="82" t="n"/>
      <c r="Q71" s="82" t="n"/>
      <c r="R71" s="80" t="n"/>
      <c r="S71" s="80" t="n"/>
      <c r="T71" s="80" t="n"/>
      <c r="U71" s="83" t="n"/>
      <c r="V71">
        <f>IF($A71="","",IF($A71=$A70,$V70,IF($V70="",0,1-$V70)))</f>
        <v/>
      </c>
      <c r="W71">
        <f>IF($B71&lt;&gt;"",$B71,$A71)</f>
        <v/>
      </c>
      <c r="X71">
        <f>IF(COUNTA($A71:$U71)=0,"",IF(OR($B71&lt;&gt;"",$O71&lt;&gt;""),"Dependent","Employee"))</f>
        <v/>
      </c>
      <c r="Y71">
        <f>IF(COUNTA($A71:$U71)=0,"",IF($A71="","Employee SSN is required; ","")&amp;IF($C71="","First Name is required; ","")&amp;IF(LEN($C71&amp;"")&gt;19,"First Name exceeds 19 characters; ","")&amp;IF(AND($C71&lt;&gt;"",SUMPRODUCT(--(ROW($1:$19)&lt;=LEN($C71&amp;"")),--ISERROR(FIND(MID($C71&amp;"",ROW($1:$19),1),"ABCDEFGHIJKLMNOPQRSTUVWXYZabcdefghijklmnopqrstuvwxyz .,")))&gt;0),"First Name contains unsupported or encoded characters; use plain A-Z letters only; ","")&amp;IF($D71="","Last Name is required; ","")&amp;IF(LEN($D71&amp;"")&gt;26,"Last Name exceeds 26 characters; ","")&amp;IF(AND($D71&lt;&gt;"",SUMPRODUCT(--(ROW($1:$26)&lt;=LEN($D71&amp;"")),--ISERROR(FIND(MID($D71&amp;"",ROW($1:$26),1),"ABCDEFGHIJKLMNOPQRSTUVWXYZabcdefghijklmnopqrstuvwxyz .,")))&gt;0),"Last Name contains unsupported or encoded characters; use plain A-Z letters only; ","")&amp;IF(LEN($E71&amp;"")&gt;1,"Middle Initial may contain only one character; ","")&amp;IF(AND($E71&lt;&gt;"",SUMPRODUCT(--(ROW($1:$1)&lt;=LEN($E71&amp;"")),--ISERROR(FIND(MID($E71&amp;"",ROW($1:$1),1),"ABCDEFGHIJKLMNOPQRSTUVWXYZabcdefghijklmnopqrstuvwxyz .,")))&gt;0),"Middle Initial must be a plain A-Z letter; ","")&amp;IF($F71="","Address is required; ","")&amp;IF(LEN($F71&amp;"")&gt;75,"Address exceeds 75 characters; ","")&amp;IF(LEN($G71&amp;"")&gt;75,"Address 2 exceeds 75 characters; ","")&amp;IF($H71="","City is required; ","")&amp;IF(LEN($H71&amp;"")&gt;30,"City exceeds 30 characters; ","")&amp;IF($K71="","Country is required; ","")&amp;IF(AND($K71&lt;&gt;"",$K71&lt;&gt;"US",$K71&lt;&gt;"CA"),"Country must be US or CA; ","")&amp;IF(AND($K71="US",OR($I71="",LEN($I71&amp;"")&lt;&gt;2)),"Use a 2-letter state code; ","")&amp;IF($J71="","ZIP or postal code is required; ","")&amp;IF(AND($K71="US",$J71&lt;&gt;"",NOT(IFERROR(OR(AND(LEN($J71&amp;"")=5,ISNUMBER(--($J71&amp;""))),AND(LEN($J71&amp;"")=9,ISNUMBER(--($J71&amp;""))),AND(LEN($J71&amp;"")=10,MID($J71&amp;"",6,1)="-",ISNUMBER(--SUBSTITUTE($J71&amp;"","-","")))),FALSE))),"US ZIP must be 5 or 9 digits, with an optional ZIP+4 hyphen; ","")&amp;IF(AND($N71&lt;&gt;"",NOT(IFERROR(AND(ISNUMBER(SEARCH("@",$N71)),ISNUMBER(SEARCH(".",$N71,SEARCH("@",$N71)+2))),FALSE))),"Email format appears invalid; ","")&amp;IF(AND($O71&lt;&gt;"",$B71=""),"Dependent SSN is required for every dependent; ","")&amp;IF(AND($B71&lt;&gt;"",$O71=""),"Dependent Relationship is required when Dependent SSN is entered; ","")&amp;IF(AND($O71&lt;&gt;"",$O71&lt;&gt;"Spouse or Common Law Spouse",$O71&lt;&gt;"Domestic Partner",$O71&lt;&gt;"Child",$O71&lt;&gt;"Other",$O71&lt;&gt;"Estate",$O71&lt;&gt;"Unknown"),"Dependent Relationship must use one of the approved options; ",""))</f>
        <v/>
      </c>
      <c r="Z71">
        <f>IF(COUNTA($A71:$U71)=0,"",IF(AND($A71&lt;&gt;"",NOT(IFERROR(AND(LEN($A71&amp;"")=9,ISNUMBER(--($A71&amp;""))),FALSE))),"Employee SSN must contain exactly 9 digits; ","")&amp;IF(AND($A71&lt;&gt;"",OR($A71="123456789",$A71="987654321",$A71="012345678",$A71=REPT(LEFT($A71&amp;"",1),9))),"Employee SSN appears to be a placeholder; ","")&amp;IF(AND($B71&lt;&gt;"",NOT(IFERROR(AND(LEN($B71&amp;"")=9,ISNUMBER(--($B71&amp;""))),FALSE))),"Dependent SSN must contain exactly 9 digits; ","")&amp;IF(AND($B71&lt;&gt;"",OR($B71="123456789",$B71="987654321",$B71="012345678",$B71=REPT(LEFT($B71&amp;"",1),9))),"Dependent SSN appears to be a placeholder; ","")&amp;IF(AND($A71&lt;&gt;"",$B71&lt;&gt;"",$A71&amp;""=$B71&amp;""),"Dependent SSN cannot match Employee SSN; ","")&amp;IF(AND($W71&lt;&gt;"",OR(COUNTIFS($W$2:$W$501,$W71,$C$2:$C$501,"&lt;&gt;"&amp;$C71)&gt;0,COUNTIFS($W$2:$W$501,$W71,$D$2:$D$501,"&lt;&gt;"&amp;$D71)&gt;0,COUNTIFS($W$2:$W$501,$W71,$L$2:$L$501,"&lt;&gt;"&amp;$L71)&gt;0)),"The same SSN is associated with a different name or birthdate; ",""))</f>
        <v/>
      </c>
      <c r="AA71">
        <f>IF(COUNTA($A71:$U71)=0,"",IF(AND($A71&lt;&gt;"",$S71&lt;&gt;"",COUNTIFS($A$2:$A$501,$A71,$S$2:$S$501,$S71,$B$2:$B$501,"",$O$2:$O$501,"")=0),"Add an employee row for this household and plan; ","")&amp;IF(AND($X71="Dependent",COUNTIFS($A$2:$A71,$A71,$S$2:$S71,$S71,$B$2:$B71,"",$O$2:$O71,"")=0),"Place the employee row before dependent rows for this plan; ","")&amp;IF(AND($X71="Dependent",COUNTIFS($A$2:$A$501,$A71,$S$2:$S$501,$S71,$B$2:$B$501,"",$O$2:$O$501,"")&gt;0,IFERROR(OR($P71&lt;&gt;LOOKUP(2,1/(($A$2:$A$501=$A71)*($S$2:$S$501=$S71)*($B$2:$B$501="")*($O$2:$O$501="")),$P$2:$P$501),$Q71&lt;&gt;LOOKUP(2,1/(($A$2:$A$501=$A71)*($S$2:$S$501=$S71)*($B$2:$B$501="")*($O$2:$O$501="")),$Q$2:$Q$501),$R71&lt;&gt;LOOKUP(2,1/(($A$2:$A$501=$A71)*($S$2:$S$501=$S71)*($B$2:$B$501="")*($O$2:$O$501="")),$R$2:$R$501),$T71&lt;&gt;LOOKUP(2,1/(($A$2:$A$501=$A71)*($S$2:$S$501=$S71)*($B$2:$B$501="")*($O$2:$O$501="")),$T$2:$T$501),$U71&lt;&gt;LOOKUP(2,1/(($A$2:$A$501=$A71)*($S$2:$S$501=$S71)*($B$2:$B$501="")*($O$2:$O$501="")),$U$2:$U$501)),FALSE)),"Dependent row does not match the employee row for eligibility, status, coverage level, or funding; ",""))</f>
        <v/>
      </c>
      <c r="AB71">
        <f>IF(COUNTA($A71:$U71)=0,"",IF($L71="","Birthdate is required; ","")&amp;IF(AND($L71&lt;&gt;"",OR(NOT(ISNUMBER($L71)),$L71&lt;=DATE(1900,1,1),$L71&gt;TODAY())),"Birthdate must be an exact valid past date; ","")&amp;IF($P71="","Eligibility Date is required; ","")&amp;IF(AND($P71&lt;&gt;"",OR(NOT(ISNUMBER($P71)),$P71&lt;=DATE(1900,1,1))),"Eligibility Date must be a valid date; ","")&amp;IF(AND($R71="Terminated",$Q71=""),"Termination Date is required when Status is Terminated; ","")&amp;IF(AND($Q71&lt;&gt;"",OR(NOT(ISNUMBER($Q71)),$Q71&lt;=DATE(1900,1,1))),"Termination Date must be a valid date; ","")&amp;IF(AND(ISNUMBER($P71),ISNUMBER($Q71),$Q71&lt;$P71),"Termination Date cannot be before Eligibility Date; ","")&amp;IF($R71="","Status is required; ","")&amp;IF(AND($R71&lt;&gt;"",$R71&lt;&gt;"Active",$R71&lt;&gt;"Terminated"),"Status must be Active or Terminated; ","")&amp;IF(AND('START HERE'!$C$8="Terminations Only",$R71&lt;&gt;"Terminated"),"Terminations Only files must contain terminated records; ",""))</f>
        <v/>
      </c>
      <c r="AC71">
        <f>IF(COUNTA($A71:$U71)=0,"",IF($S71="","Plan Name is required; ","")&amp;IF($T71="","Benefit Coverage Level is required; ","")&amp;IF(AND($U71&lt;&gt;"",OR(NOT(ISNUMBER($U71)),$U71&lt;0)),"Plan Funding Amount must be a nonnegative number; ","")&amp;IF(AND($A71&lt;&gt;"",$S71&lt;&gt;"",COUNTIFS($A$2:$A$501,$A71,$B$2:$B$501,$B71,$S$2:$S$501,$S71)&gt;1),"Duplicate participant and plan row; ",""))</f>
        <v/>
      </c>
      <c r="AD71">
        <f>IF(COUNTA($A71:$U71)=0,"",IF(AND($X71="Employee",$M71="",$N71=""),"No employee phone or email provided; ","")&amp;IF(AND($R71="Active",$Q71&lt;&gt;""),"Active record includes a Termination Date; confirm this is intentional; ","")&amp;IF(AND($B71&lt;&gt;"",$B71&amp;""&lt;&gt;$A71&amp;"",COUNTIF($A$2:$A$501,$B71)&gt;0),"Dependent SSN also appears as an Employee SSN elsewhere; confirm dual-employee coverage is intentional; ","")&amp;IF(AND($B71&lt;&gt;"",COUNTIF($B$2:$B$501,$B71)&gt;COUNTIFS($A$2:$A$501,$A71,$B$2:$B$501,$B71)),"Dependent SSN appears under more than one employee; confirm duplicate family coverage is intentional; ","")&amp;IF(AND(ROW()&gt;2,$A71&lt;&gt;"",$A71&lt;&gt;$A70,COUNTIF($A$2:$A70,$A71)&gt;0),"This household appears in more than one section of the census; keep the family together; ","")&amp;IF(OR(AND($C71&lt;&gt;"",LEN($C71&amp;"")&lt;&gt;LEN(TRIM($C71&amp;""))),AND($D71&lt;&gt;"",LEN($D71&amp;"")&lt;&gt;LEN(TRIM($D71&amp;""))),AND($E71&lt;&gt;"",LEN($E71&amp;"")&lt;&gt;LEN(TRIM($E71&amp;""))),AND($F71&lt;&gt;"",LEN($F71&amp;"")&lt;&gt;LEN(TRIM($F71&amp;""))),AND($G71&lt;&gt;"",LEN($G71&amp;"")&lt;&gt;LEN(TRIM($G71&amp;""))),AND($H71&lt;&gt;"",LEN($H71&amp;"")&lt;&gt;LEN(TRIM($H71&amp;""))),AND($I71&lt;&gt;"",LEN($I71&amp;"")&lt;&gt;LEN(TRIM($I71&amp;""))),AND($J71&lt;&gt;"",LEN($J71&amp;"")&lt;&gt;LEN(TRIM($J71&amp;""))),AND($K71&lt;&gt;"",LEN($K71&amp;"")&lt;&gt;LEN(TRIM($K71&amp;""))),AND($M71&lt;&gt;"",LEN($M71&amp;"")&lt;&gt;LEN(TRIM($M71&amp;""))),AND($N71&lt;&gt;"",LEN($N71&amp;"")&lt;&gt;LEN(TRIM($N71&amp;""))),AND($O71&lt;&gt;"",LEN($O71&amp;"")&lt;&gt;LEN(TRIM($O71&amp;""))),AND($R71&lt;&gt;"",LEN($R71&amp;"")&lt;&gt;LEN(TRIM($R71&amp;""))),AND($S71&lt;&gt;"",LEN($S71&amp;"")&lt;&gt;LEN(TRIM($S71&amp;""))),AND($T71&lt;&gt;"",LEN($T71&amp;"")&lt;&gt;LEN(TRIM($T71&amp;"")))),"Remove leading or trailing spaces from text fields; ","")&amp;IF(OR(AND(LEN($C71)&gt;1,OR(EXACT($C71,UPPER($C71)),EXACT($C71,LOWER($C71)))),AND(LEN($D71)&gt;1,OR(EXACT($D71,UPPER($D71)),EXACT($D71,LOWER($D71)))),AND(LEN($H71)&gt;1,OR(EXACT($H71,UPPER($H71)),EXACT($H71,LOWER($H71))))),"Review capitalization in First Name, Last Name, or City; ","")&amp;IF(AND($N71&lt;&gt;"",NOT(EXACT($N71,LOWER($N71)))),"Email will be standardized to lowercase in the clean output; ","")&amp;IF(AND(OR('START HERE'!$C$8="Initial Enrollment",'START HERE'!$C$8="Open Enrollment"),$R71="Terminated"),"A terminated row is included in an initial or open enrollment file; confirm this is intentional; ",""))</f>
        <v/>
      </c>
      <c r="AE71">
        <f>IF(COUNTA($A71:$U71)=0,"",IF(OR($A71="",AND($A71&lt;&gt;"",NOT(IFERROR(AND(LEN($A71&amp;"")=9,ISNUMBER(--($A71&amp;""))),FALSE))),AND($A71&lt;&gt;"",OR($A71="123456789",$A71="987654321",$A71="012345678",$A71=REPT(LEFT($A71&amp;"",1),9)))),"Employee SSN, ","")&amp;IF(OR(AND($O71&lt;&gt;"",$B71=""),AND($B71&lt;&gt;"",OR(NOT(IFERROR(AND(LEN($B71&amp;"")=9,ISNUMBER(--($B71&amp;""))),FALSE)),$B71=$A71,$B71="123456789",$B71="987654321",$B71="012345678",$B71=REPT(LEFT($B71&amp;"",1),9)))),"Dependent SSN, ","")&amp;IF(OR($C71="",LEN($C71)&gt;19,AND($C71&lt;&gt;"",SUMPRODUCT(--(ROW($1:$19)&lt;=LEN($C71&amp;"")),--ISERROR(FIND(MID($C71&amp;"",ROW($1:$19),1),"ABCDEFGHIJKLMNOPQRSTUVWXYZabcdefghijklmnopqrstuvwxyz .,")))&gt;0)),"First Name, ","")&amp;IF(OR($D71="",LEN($D71)&gt;26,AND($D71&lt;&gt;"",SUMPRODUCT(--(ROW($1:$26)&lt;=LEN($D71&amp;"")),--ISERROR(FIND(MID($D71&amp;"",ROW($1:$26),1),"ABCDEFGHIJKLMNOPQRSTUVWXYZabcdefghijklmnopqrstuvwxyz .,")))&gt;0)),"Last Name, ","")&amp;IF(OR(LEN($E71)&gt;1,AND($E71&lt;&gt;"",SUMPRODUCT(--(ROW($1:$1)&lt;=LEN($E71&amp;"")),--ISERROR(FIND(MID($E71&amp;"",ROW($1:$1),1),"ABCDEFGHIJKLMNOPQRSTUVWXYZabcdefghijklmnopqrstuvwxyz .,")))&gt;0)),"Middle Initial, ","")&amp;IF(OR($F71="",LEN($F71)&gt;75),"Address, ","")&amp;IF(OR($H71="",LEN($H71)&gt;30),"City, ","")&amp;IF(AND($K71="US",OR($I71="",LEN($I71)&lt;&gt;2)),"State, ","")&amp;IF($J71="","ZIP, ","")&amp;IF(OR($K71="",AND($K71&lt;&gt;"US",$K71&lt;&gt;"CA")),"Country, ","")&amp;IF(OR($L71="",AND($L71&lt;&gt;"",OR(NOT(ISNUMBER($L71)),$L71&lt;=DATE(1900,1,1),$L71&gt;TODAY()))),"Birthdate, ","")&amp;IF(AND($N71&lt;&gt;"",NOT(IFERROR(AND(ISNUMBER(SEARCH("@",$N71)),ISNUMBER(SEARCH(".",$N71,SEARCH("@",$N71)+2))),FALSE))),"Email, ","")&amp;IF(OR(AND($B71&lt;&gt;"",$O71=""),AND($O71&lt;&gt;"",$O71&lt;&gt;"Spouse or Common Law Spouse",$O71&lt;&gt;"Domestic Partner",$O71&lt;&gt;"Child",$O71&lt;&gt;"Other",$O71&lt;&gt;"Estate",$O71&lt;&gt;"Unknown")),"Dependent Relationship, ","")&amp;IF($AA71&lt;&gt;"","Household, ","")&amp;IF(OR($P71="",AND($P71&lt;&gt;"",OR(NOT(ISNUMBER($P71)),$P71&lt;=DATE(1900,1,1)))),"Eligibility Date, ","")&amp;IF(OR(AND($R71="Terminated",$Q71=""),AND($Q71&lt;&gt;"",OR(NOT(ISNUMBER($Q71)),$Q71&lt;=DATE(1900,1,1))),AND(ISNUMBER($P71),ISNUMBER($Q71),$Q71&lt;$P71)),"Termination Date, ","")&amp;IF(OR($R71="",AND($R71&lt;&gt;"Active",$R71&lt;&gt;"Terminated"),AND('START HERE'!$C$8="Terminations Only",$R71&lt;&gt;"Terminated")),"Status, ","")&amp;IF($S71="","Plan Name, ","")&amp;IF($T71="","Coverage Level, ","")&amp;IF(AND($U71&lt;&gt;"",OR(NOT(ISNUMBER($U71)),$U71&lt;0)),"Funding, ","")&amp;IF(AND($A71&lt;&gt;"",$S71&lt;&gt;"",COUNTIFS($A$2:$A$501,$A71,$B$2:$B$501,$B71,$S$2:$S$501,$S71)&gt;1),"Duplicate Row, ",""))</f>
        <v/>
      </c>
      <c r="AF71">
        <f>IF(COUNTA($A71:$U71)=0,"",$Y71&amp;$Z71&amp;$AA71&amp;$AB71&amp;$AC71)</f>
        <v/>
      </c>
      <c r="AG71">
        <f>IF($N71="","",LOWER(TRIM($N71)))</f>
        <v/>
      </c>
      <c r="AH71">
        <f>IF($A71="","",COUNTIFS($A$2:$A$501,$A71,$AI$2:$AI$501,1))</f>
        <v/>
      </c>
      <c r="AI71">
        <f>IF(COUNTA($A71:$U71)=0,"",--($AF71&lt;&gt;""))</f>
        <v/>
      </c>
      <c r="AJ71">
        <f>IF(COUNTA($A71:$U71)=0,"",--($AD71&lt;&gt;""))</f>
        <v/>
      </c>
    </row>
    <row r="72" ht="20" customHeight="1">
      <c r="A72" s="80" t="n"/>
      <c r="B72" s="80" t="n"/>
      <c r="C72" s="81" t="n"/>
      <c r="D72" s="81" t="n"/>
      <c r="E72" s="80" t="n"/>
      <c r="F72" s="81" t="n"/>
      <c r="G72" s="81" t="n"/>
      <c r="H72" s="81" t="n"/>
      <c r="I72" s="80" t="n"/>
      <c r="J72" s="80" t="n"/>
      <c r="K72" s="80" t="n"/>
      <c r="L72" s="82" t="n"/>
      <c r="M72" s="80" t="n"/>
      <c r="N72" s="80" t="n"/>
      <c r="O72" s="80" t="n"/>
      <c r="P72" s="82" t="n"/>
      <c r="Q72" s="82" t="n"/>
      <c r="R72" s="80" t="n"/>
      <c r="S72" s="80" t="n"/>
      <c r="T72" s="80" t="n"/>
      <c r="U72" s="83" t="n"/>
      <c r="V72">
        <f>IF($A72="","",IF($A72=$A71,$V71,IF($V71="",0,1-$V71)))</f>
        <v/>
      </c>
      <c r="W72">
        <f>IF($B72&lt;&gt;"",$B72,$A72)</f>
        <v/>
      </c>
      <c r="X72">
        <f>IF(COUNTA($A72:$U72)=0,"",IF(OR($B72&lt;&gt;"",$O72&lt;&gt;""),"Dependent","Employee"))</f>
        <v/>
      </c>
      <c r="Y72">
        <f>IF(COUNTA($A72:$U72)=0,"",IF($A72="","Employee SSN is required; ","")&amp;IF($C72="","First Name is required; ","")&amp;IF(LEN($C72&amp;"")&gt;19,"First Name exceeds 19 characters; ","")&amp;IF(AND($C72&lt;&gt;"",SUMPRODUCT(--(ROW($1:$19)&lt;=LEN($C72&amp;"")),--ISERROR(FIND(MID($C72&amp;"",ROW($1:$19),1),"ABCDEFGHIJKLMNOPQRSTUVWXYZabcdefghijklmnopqrstuvwxyz .,")))&gt;0),"First Name contains unsupported or encoded characters; use plain A-Z letters only; ","")&amp;IF($D72="","Last Name is required; ","")&amp;IF(LEN($D72&amp;"")&gt;26,"Last Name exceeds 26 characters; ","")&amp;IF(AND($D72&lt;&gt;"",SUMPRODUCT(--(ROW($1:$26)&lt;=LEN($D72&amp;"")),--ISERROR(FIND(MID($D72&amp;"",ROW($1:$26),1),"ABCDEFGHIJKLMNOPQRSTUVWXYZabcdefghijklmnopqrstuvwxyz .,")))&gt;0),"Last Name contains unsupported or encoded characters; use plain A-Z letters only; ","")&amp;IF(LEN($E72&amp;"")&gt;1,"Middle Initial may contain only one character; ","")&amp;IF(AND($E72&lt;&gt;"",SUMPRODUCT(--(ROW($1:$1)&lt;=LEN($E72&amp;"")),--ISERROR(FIND(MID($E72&amp;"",ROW($1:$1),1),"ABCDEFGHIJKLMNOPQRSTUVWXYZabcdefghijklmnopqrstuvwxyz .,")))&gt;0),"Middle Initial must be a plain A-Z letter; ","")&amp;IF($F72="","Address is required; ","")&amp;IF(LEN($F72&amp;"")&gt;75,"Address exceeds 75 characters; ","")&amp;IF(LEN($G72&amp;"")&gt;75,"Address 2 exceeds 75 characters; ","")&amp;IF($H72="","City is required; ","")&amp;IF(LEN($H72&amp;"")&gt;30,"City exceeds 30 characters; ","")&amp;IF($K72="","Country is required; ","")&amp;IF(AND($K72&lt;&gt;"",$K72&lt;&gt;"US",$K72&lt;&gt;"CA"),"Country must be US or CA; ","")&amp;IF(AND($K72="US",OR($I72="",LEN($I72&amp;"")&lt;&gt;2)),"Use a 2-letter state code; ","")&amp;IF($J72="","ZIP or postal code is required; ","")&amp;IF(AND($K72="US",$J72&lt;&gt;"",NOT(IFERROR(OR(AND(LEN($J72&amp;"")=5,ISNUMBER(--($J72&amp;""))),AND(LEN($J72&amp;"")=9,ISNUMBER(--($J72&amp;""))),AND(LEN($J72&amp;"")=10,MID($J72&amp;"",6,1)="-",ISNUMBER(--SUBSTITUTE($J72&amp;"","-","")))),FALSE))),"US ZIP must be 5 or 9 digits, with an optional ZIP+4 hyphen; ","")&amp;IF(AND($N72&lt;&gt;"",NOT(IFERROR(AND(ISNUMBER(SEARCH("@",$N72)),ISNUMBER(SEARCH(".",$N72,SEARCH("@",$N72)+2))),FALSE))),"Email format appears invalid; ","")&amp;IF(AND($O72&lt;&gt;"",$B72=""),"Dependent SSN is required for every dependent; ","")&amp;IF(AND($B72&lt;&gt;"",$O72=""),"Dependent Relationship is required when Dependent SSN is entered; ","")&amp;IF(AND($O72&lt;&gt;"",$O72&lt;&gt;"Spouse or Common Law Spouse",$O72&lt;&gt;"Domestic Partner",$O72&lt;&gt;"Child",$O72&lt;&gt;"Other",$O72&lt;&gt;"Estate",$O72&lt;&gt;"Unknown"),"Dependent Relationship must use one of the approved options; ",""))</f>
        <v/>
      </c>
      <c r="Z72">
        <f>IF(COUNTA($A72:$U72)=0,"",IF(AND($A72&lt;&gt;"",NOT(IFERROR(AND(LEN($A72&amp;"")=9,ISNUMBER(--($A72&amp;""))),FALSE))),"Employee SSN must contain exactly 9 digits; ","")&amp;IF(AND($A72&lt;&gt;"",OR($A72="123456789",$A72="987654321",$A72="012345678",$A72=REPT(LEFT($A72&amp;"",1),9))),"Employee SSN appears to be a placeholder; ","")&amp;IF(AND($B72&lt;&gt;"",NOT(IFERROR(AND(LEN($B72&amp;"")=9,ISNUMBER(--($B72&amp;""))),FALSE))),"Dependent SSN must contain exactly 9 digits; ","")&amp;IF(AND($B72&lt;&gt;"",OR($B72="123456789",$B72="987654321",$B72="012345678",$B72=REPT(LEFT($B72&amp;"",1),9))),"Dependent SSN appears to be a placeholder; ","")&amp;IF(AND($A72&lt;&gt;"",$B72&lt;&gt;"",$A72&amp;""=$B72&amp;""),"Dependent SSN cannot match Employee SSN; ","")&amp;IF(AND($W72&lt;&gt;"",OR(COUNTIFS($W$2:$W$501,$W72,$C$2:$C$501,"&lt;&gt;"&amp;$C72)&gt;0,COUNTIFS($W$2:$W$501,$W72,$D$2:$D$501,"&lt;&gt;"&amp;$D72)&gt;0,COUNTIFS($W$2:$W$501,$W72,$L$2:$L$501,"&lt;&gt;"&amp;$L72)&gt;0)),"The same SSN is associated with a different name or birthdate; ",""))</f>
        <v/>
      </c>
      <c r="AA72">
        <f>IF(COUNTA($A72:$U72)=0,"",IF(AND($A72&lt;&gt;"",$S72&lt;&gt;"",COUNTIFS($A$2:$A$501,$A72,$S$2:$S$501,$S72,$B$2:$B$501,"",$O$2:$O$501,"")=0),"Add an employee row for this household and plan; ","")&amp;IF(AND($X72="Dependent",COUNTIFS($A$2:$A72,$A72,$S$2:$S72,$S72,$B$2:$B72,"",$O$2:$O72,"")=0),"Place the employee row before dependent rows for this plan; ","")&amp;IF(AND($X72="Dependent",COUNTIFS($A$2:$A$501,$A72,$S$2:$S$501,$S72,$B$2:$B$501,"",$O$2:$O$501,"")&gt;0,IFERROR(OR($P72&lt;&gt;LOOKUP(2,1/(($A$2:$A$501=$A72)*($S$2:$S$501=$S72)*($B$2:$B$501="")*($O$2:$O$501="")),$P$2:$P$501),$Q72&lt;&gt;LOOKUP(2,1/(($A$2:$A$501=$A72)*($S$2:$S$501=$S72)*($B$2:$B$501="")*($O$2:$O$501="")),$Q$2:$Q$501),$R72&lt;&gt;LOOKUP(2,1/(($A$2:$A$501=$A72)*($S$2:$S$501=$S72)*($B$2:$B$501="")*($O$2:$O$501="")),$R$2:$R$501),$T72&lt;&gt;LOOKUP(2,1/(($A$2:$A$501=$A72)*($S$2:$S$501=$S72)*($B$2:$B$501="")*($O$2:$O$501="")),$T$2:$T$501),$U72&lt;&gt;LOOKUP(2,1/(($A$2:$A$501=$A72)*($S$2:$S$501=$S72)*($B$2:$B$501="")*($O$2:$O$501="")),$U$2:$U$501)),FALSE)),"Dependent row does not match the employee row for eligibility, status, coverage level, or funding; ",""))</f>
        <v/>
      </c>
      <c r="AB72">
        <f>IF(COUNTA($A72:$U72)=0,"",IF($L72="","Birthdate is required; ","")&amp;IF(AND($L72&lt;&gt;"",OR(NOT(ISNUMBER($L72)),$L72&lt;=DATE(1900,1,1),$L72&gt;TODAY())),"Birthdate must be an exact valid past date; ","")&amp;IF($P72="","Eligibility Date is required; ","")&amp;IF(AND($P72&lt;&gt;"",OR(NOT(ISNUMBER($P72)),$P72&lt;=DATE(1900,1,1))),"Eligibility Date must be a valid date; ","")&amp;IF(AND($R72="Terminated",$Q72=""),"Termination Date is required when Status is Terminated; ","")&amp;IF(AND($Q72&lt;&gt;"",OR(NOT(ISNUMBER($Q72)),$Q72&lt;=DATE(1900,1,1))),"Termination Date must be a valid date; ","")&amp;IF(AND(ISNUMBER($P72),ISNUMBER($Q72),$Q72&lt;$P72),"Termination Date cannot be before Eligibility Date; ","")&amp;IF($R72="","Status is required; ","")&amp;IF(AND($R72&lt;&gt;"",$R72&lt;&gt;"Active",$R72&lt;&gt;"Terminated"),"Status must be Active or Terminated; ","")&amp;IF(AND('START HERE'!$C$8="Terminations Only",$R72&lt;&gt;"Terminated"),"Terminations Only files must contain terminated records; ",""))</f>
        <v/>
      </c>
      <c r="AC72">
        <f>IF(COUNTA($A72:$U72)=0,"",IF($S72="","Plan Name is required; ","")&amp;IF($T72="","Benefit Coverage Level is required; ","")&amp;IF(AND($U72&lt;&gt;"",OR(NOT(ISNUMBER($U72)),$U72&lt;0)),"Plan Funding Amount must be a nonnegative number; ","")&amp;IF(AND($A72&lt;&gt;"",$S72&lt;&gt;"",COUNTIFS($A$2:$A$501,$A72,$B$2:$B$501,$B72,$S$2:$S$501,$S72)&gt;1),"Duplicate participant and plan row; ",""))</f>
        <v/>
      </c>
      <c r="AD72">
        <f>IF(COUNTA($A72:$U72)=0,"",IF(AND($X72="Employee",$M72="",$N72=""),"No employee phone or email provided; ","")&amp;IF(AND($R72="Active",$Q72&lt;&gt;""),"Active record includes a Termination Date; confirm this is intentional; ","")&amp;IF(AND($B72&lt;&gt;"",$B72&amp;""&lt;&gt;$A72&amp;"",COUNTIF($A$2:$A$501,$B72)&gt;0),"Dependent SSN also appears as an Employee SSN elsewhere; confirm dual-employee coverage is intentional; ","")&amp;IF(AND($B72&lt;&gt;"",COUNTIF($B$2:$B$501,$B72)&gt;COUNTIFS($A$2:$A$501,$A72,$B$2:$B$501,$B72)),"Dependent SSN appears under more than one employee; confirm duplicate family coverage is intentional; ","")&amp;IF(AND(ROW()&gt;2,$A72&lt;&gt;"",$A72&lt;&gt;$A71,COUNTIF($A$2:$A71,$A72)&gt;0),"This household appears in more than one section of the census; keep the family together; ","")&amp;IF(OR(AND($C72&lt;&gt;"",LEN($C72&amp;"")&lt;&gt;LEN(TRIM($C72&amp;""))),AND($D72&lt;&gt;"",LEN($D72&amp;"")&lt;&gt;LEN(TRIM($D72&amp;""))),AND($E72&lt;&gt;"",LEN($E72&amp;"")&lt;&gt;LEN(TRIM($E72&amp;""))),AND($F72&lt;&gt;"",LEN($F72&amp;"")&lt;&gt;LEN(TRIM($F72&amp;""))),AND($G72&lt;&gt;"",LEN($G72&amp;"")&lt;&gt;LEN(TRIM($G72&amp;""))),AND($H72&lt;&gt;"",LEN($H72&amp;"")&lt;&gt;LEN(TRIM($H72&amp;""))),AND($I72&lt;&gt;"",LEN($I72&amp;"")&lt;&gt;LEN(TRIM($I72&amp;""))),AND($J72&lt;&gt;"",LEN($J72&amp;"")&lt;&gt;LEN(TRIM($J72&amp;""))),AND($K72&lt;&gt;"",LEN($K72&amp;"")&lt;&gt;LEN(TRIM($K72&amp;""))),AND($M72&lt;&gt;"",LEN($M72&amp;"")&lt;&gt;LEN(TRIM($M72&amp;""))),AND($N72&lt;&gt;"",LEN($N72&amp;"")&lt;&gt;LEN(TRIM($N72&amp;""))),AND($O72&lt;&gt;"",LEN($O72&amp;"")&lt;&gt;LEN(TRIM($O72&amp;""))),AND($R72&lt;&gt;"",LEN($R72&amp;"")&lt;&gt;LEN(TRIM($R72&amp;""))),AND($S72&lt;&gt;"",LEN($S72&amp;"")&lt;&gt;LEN(TRIM($S72&amp;""))),AND($T72&lt;&gt;"",LEN($T72&amp;"")&lt;&gt;LEN(TRIM($T72&amp;"")))),"Remove leading or trailing spaces from text fields; ","")&amp;IF(OR(AND(LEN($C72)&gt;1,OR(EXACT($C72,UPPER($C72)),EXACT($C72,LOWER($C72)))),AND(LEN($D72)&gt;1,OR(EXACT($D72,UPPER($D72)),EXACT($D72,LOWER($D72)))),AND(LEN($H72)&gt;1,OR(EXACT($H72,UPPER($H72)),EXACT($H72,LOWER($H72))))),"Review capitalization in First Name, Last Name, or City; ","")&amp;IF(AND($N72&lt;&gt;"",NOT(EXACT($N72,LOWER($N72)))),"Email will be standardized to lowercase in the clean output; ","")&amp;IF(AND(OR('START HERE'!$C$8="Initial Enrollment",'START HERE'!$C$8="Open Enrollment"),$R72="Terminated"),"A terminated row is included in an initial or open enrollment file; confirm this is intentional; ",""))</f>
        <v/>
      </c>
      <c r="AE72">
        <f>IF(COUNTA($A72:$U72)=0,"",IF(OR($A72="",AND($A72&lt;&gt;"",NOT(IFERROR(AND(LEN($A72&amp;"")=9,ISNUMBER(--($A72&amp;""))),FALSE))),AND($A72&lt;&gt;"",OR($A72="123456789",$A72="987654321",$A72="012345678",$A72=REPT(LEFT($A72&amp;"",1),9)))),"Employee SSN, ","")&amp;IF(OR(AND($O72&lt;&gt;"",$B72=""),AND($B72&lt;&gt;"",OR(NOT(IFERROR(AND(LEN($B72&amp;"")=9,ISNUMBER(--($B72&amp;""))),FALSE)),$B72=$A72,$B72="123456789",$B72="987654321",$B72="012345678",$B72=REPT(LEFT($B72&amp;"",1),9)))),"Dependent SSN, ","")&amp;IF(OR($C72="",LEN($C72)&gt;19,AND($C72&lt;&gt;"",SUMPRODUCT(--(ROW($1:$19)&lt;=LEN($C72&amp;"")),--ISERROR(FIND(MID($C72&amp;"",ROW($1:$19),1),"ABCDEFGHIJKLMNOPQRSTUVWXYZabcdefghijklmnopqrstuvwxyz .,")))&gt;0)),"First Name, ","")&amp;IF(OR($D72="",LEN($D72)&gt;26,AND($D72&lt;&gt;"",SUMPRODUCT(--(ROW($1:$26)&lt;=LEN($D72&amp;"")),--ISERROR(FIND(MID($D72&amp;"",ROW($1:$26),1),"ABCDEFGHIJKLMNOPQRSTUVWXYZabcdefghijklmnopqrstuvwxyz .,")))&gt;0)),"Last Name, ","")&amp;IF(OR(LEN($E72)&gt;1,AND($E72&lt;&gt;"",SUMPRODUCT(--(ROW($1:$1)&lt;=LEN($E72&amp;"")),--ISERROR(FIND(MID($E72&amp;"",ROW($1:$1),1),"ABCDEFGHIJKLMNOPQRSTUVWXYZabcdefghijklmnopqrstuvwxyz .,")))&gt;0)),"Middle Initial, ","")&amp;IF(OR($F72="",LEN($F72)&gt;75),"Address, ","")&amp;IF(OR($H72="",LEN($H72)&gt;30),"City, ","")&amp;IF(AND($K72="US",OR($I72="",LEN($I72)&lt;&gt;2)),"State, ","")&amp;IF($J72="","ZIP, ","")&amp;IF(OR($K72="",AND($K72&lt;&gt;"US",$K72&lt;&gt;"CA")),"Country, ","")&amp;IF(OR($L72="",AND($L72&lt;&gt;"",OR(NOT(ISNUMBER($L72)),$L72&lt;=DATE(1900,1,1),$L72&gt;TODAY()))),"Birthdate, ","")&amp;IF(AND($N72&lt;&gt;"",NOT(IFERROR(AND(ISNUMBER(SEARCH("@",$N72)),ISNUMBER(SEARCH(".",$N72,SEARCH("@",$N72)+2))),FALSE))),"Email, ","")&amp;IF(OR(AND($B72&lt;&gt;"",$O72=""),AND($O72&lt;&gt;"",$O72&lt;&gt;"Spouse or Common Law Spouse",$O72&lt;&gt;"Domestic Partner",$O72&lt;&gt;"Child",$O72&lt;&gt;"Other",$O72&lt;&gt;"Estate",$O72&lt;&gt;"Unknown")),"Dependent Relationship, ","")&amp;IF($AA72&lt;&gt;"","Household, ","")&amp;IF(OR($P72="",AND($P72&lt;&gt;"",OR(NOT(ISNUMBER($P72)),$P72&lt;=DATE(1900,1,1)))),"Eligibility Date, ","")&amp;IF(OR(AND($R72="Terminated",$Q72=""),AND($Q72&lt;&gt;"",OR(NOT(ISNUMBER($Q72)),$Q72&lt;=DATE(1900,1,1))),AND(ISNUMBER($P72),ISNUMBER($Q72),$Q72&lt;$P72)),"Termination Date, ","")&amp;IF(OR($R72="",AND($R72&lt;&gt;"Active",$R72&lt;&gt;"Terminated"),AND('START HERE'!$C$8="Terminations Only",$R72&lt;&gt;"Terminated")),"Status, ","")&amp;IF($S72="","Plan Name, ","")&amp;IF($T72="","Coverage Level, ","")&amp;IF(AND($U72&lt;&gt;"",OR(NOT(ISNUMBER($U72)),$U72&lt;0)),"Funding, ","")&amp;IF(AND($A72&lt;&gt;"",$S72&lt;&gt;"",COUNTIFS($A$2:$A$501,$A72,$B$2:$B$501,$B72,$S$2:$S$501,$S72)&gt;1),"Duplicate Row, ",""))</f>
        <v/>
      </c>
      <c r="AF72">
        <f>IF(COUNTA($A72:$U72)=0,"",$Y72&amp;$Z72&amp;$AA72&amp;$AB72&amp;$AC72)</f>
        <v/>
      </c>
      <c r="AG72">
        <f>IF($N72="","",LOWER(TRIM($N72)))</f>
        <v/>
      </c>
      <c r="AH72">
        <f>IF($A72="","",COUNTIFS($A$2:$A$501,$A72,$AI$2:$AI$501,1))</f>
        <v/>
      </c>
      <c r="AI72">
        <f>IF(COUNTA($A72:$U72)=0,"",--($AF72&lt;&gt;""))</f>
        <v/>
      </c>
      <c r="AJ72">
        <f>IF(COUNTA($A72:$U72)=0,"",--($AD72&lt;&gt;""))</f>
        <v/>
      </c>
    </row>
    <row r="73" ht="20" customHeight="1">
      <c r="A73" s="80" t="n"/>
      <c r="B73" s="80" t="n"/>
      <c r="C73" s="81" t="n"/>
      <c r="D73" s="81" t="n"/>
      <c r="E73" s="80" t="n"/>
      <c r="F73" s="81" t="n"/>
      <c r="G73" s="81" t="n"/>
      <c r="H73" s="81" t="n"/>
      <c r="I73" s="80" t="n"/>
      <c r="J73" s="80" t="n"/>
      <c r="K73" s="80" t="n"/>
      <c r="L73" s="82" t="n"/>
      <c r="M73" s="80" t="n"/>
      <c r="N73" s="80" t="n"/>
      <c r="O73" s="80" t="n"/>
      <c r="P73" s="82" t="n"/>
      <c r="Q73" s="82" t="n"/>
      <c r="R73" s="80" t="n"/>
      <c r="S73" s="80" t="n"/>
      <c r="T73" s="80" t="n"/>
      <c r="U73" s="83" t="n"/>
      <c r="V73">
        <f>IF($A73="","",IF($A73=$A72,$V72,IF($V72="",0,1-$V72)))</f>
        <v/>
      </c>
      <c r="W73">
        <f>IF($B73&lt;&gt;"",$B73,$A73)</f>
        <v/>
      </c>
      <c r="X73">
        <f>IF(COUNTA($A73:$U73)=0,"",IF(OR($B73&lt;&gt;"",$O73&lt;&gt;""),"Dependent","Employee"))</f>
        <v/>
      </c>
      <c r="Y73">
        <f>IF(COUNTA($A73:$U73)=0,"",IF($A73="","Employee SSN is required; ","")&amp;IF($C73="","First Name is required; ","")&amp;IF(LEN($C73&amp;"")&gt;19,"First Name exceeds 19 characters; ","")&amp;IF(AND($C73&lt;&gt;"",SUMPRODUCT(--(ROW($1:$19)&lt;=LEN($C73&amp;"")),--ISERROR(FIND(MID($C73&amp;"",ROW($1:$19),1),"ABCDEFGHIJKLMNOPQRSTUVWXYZabcdefghijklmnopqrstuvwxyz .,")))&gt;0),"First Name contains unsupported or encoded characters; use plain A-Z letters only; ","")&amp;IF($D73="","Last Name is required; ","")&amp;IF(LEN($D73&amp;"")&gt;26,"Last Name exceeds 26 characters; ","")&amp;IF(AND($D73&lt;&gt;"",SUMPRODUCT(--(ROW($1:$26)&lt;=LEN($D73&amp;"")),--ISERROR(FIND(MID($D73&amp;"",ROW($1:$26),1),"ABCDEFGHIJKLMNOPQRSTUVWXYZabcdefghijklmnopqrstuvwxyz .,")))&gt;0),"Last Name contains unsupported or encoded characters; use plain A-Z letters only; ","")&amp;IF(LEN($E73&amp;"")&gt;1,"Middle Initial may contain only one character; ","")&amp;IF(AND($E73&lt;&gt;"",SUMPRODUCT(--(ROW($1:$1)&lt;=LEN($E73&amp;"")),--ISERROR(FIND(MID($E73&amp;"",ROW($1:$1),1),"ABCDEFGHIJKLMNOPQRSTUVWXYZabcdefghijklmnopqrstuvwxyz .,")))&gt;0),"Middle Initial must be a plain A-Z letter; ","")&amp;IF($F73="","Address is required; ","")&amp;IF(LEN($F73&amp;"")&gt;75,"Address exceeds 75 characters; ","")&amp;IF(LEN($G73&amp;"")&gt;75,"Address 2 exceeds 75 characters; ","")&amp;IF($H73="","City is required; ","")&amp;IF(LEN($H73&amp;"")&gt;30,"City exceeds 30 characters; ","")&amp;IF($K73="","Country is required; ","")&amp;IF(AND($K73&lt;&gt;"",$K73&lt;&gt;"US",$K73&lt;&gt;"CA"),"Country must be US or CA; ","")&amp;IF(AND($K73="US",OR($I73="",LEN($I73&amp;"")&lt;&gt;2)),"Use a 2-letter state code; ","")&amp;IF($J73="","ZIP or postal code is required; ","")&amp;IF(AND($K73="US",$J73&lt;&gt;"",NOT(IFERROR(OR(AND(LEN($J73&amp;"")=5,ISNUMBER(--($J73&amp;""))),AND(LEN($J73&amp;"")=9,ISNUMBER(--($J73&amp;""))),AND(LEN($J73&amp;"")=10,MID($J73&amp;"",6,1)="-",ISNUMBER(--SUBSTITUTE($J73&amp;"","-","")))),FALSE))),"US ZIP must be 5 or 9 digits, with an optional ZIP+4 hyphen; ","")&amp;IF(AND($N73&lt;&gt;"",NOT(IFERROR(AND(ISNUMBER(SEARCH("@",$N73)),ISNUMBER(SEARCH(".",$N73,SEARCH("@",$N73)+2))),FALSE))),"Email format appears invalid; ","")&amp;IF(AND($O73&lt;&gt;"",$B73=""),"Dependent SSN is required for every dependent; ","")&amp;IF(AND($B73&lt;&gt;"",$O73=""),"Dependent Relationship is required when Dependent SSN is entered; ","")&amp;IF(AND($O73&lt;&gt;"",$O73&lt;&gt;"Spouse or Common Law Spouse",$O73&lt;&gt;"Domestic Partner",$O73&lt;&gt;"Child",$O73&lt;&gt;"Other",$O73&lt;&gt;"Estate",$O73&lt;&gt;"Unknown"),"Dependent Relationship must use one of the approved options; ",""))</f>
        <v/>
      </c>
      <c r="Z73">
        <f>IF(COUNTA($A73:$U73)=0,"",IF(AND($A73&lt;&gt;"",NOT(IFERROR(AND(LEN($A73&amp;"")=9,ISNUMBER(--($A73&amp;""))),FALSE))),"Employee SSN must contain exactly 9 digits; ","")&amp;IF(AND($A73&lt;&gt;"",OR($A73="123456789",$A73="987654321",$A73="012345678",$A73=REPT(LEFT($A73&amp;"",1),9))),"Employee SSN appears to be a placeholder; ","")&amp;IF(AND($B73&lt;&gt;"",NOT(IFERROR(AND(LEN($B73&amp;"")=9,ISNUMBER(--($B73&amp;""))),FALSE))),"Dependent SSN must contain exactly 9 digits; ","")&amp;IF(AND($B73&lt;&gt;"",OR($B73="123456789",$B73="987654321",$B73="012345678",$B73=REPT(LEFT($B73&amp;"",1),9))),"Dependent SSN appears to be a placeholder; ","")&amp;IF(AND($A73&lt;&gt;"",$B73&lt;&gt;"",$A73&amp;""=$B73&amp;""),"Dependent SSN cannot match Employee SSN; ","")&amp;IF(AND($W73&lt;&gt;"",OR(COUNTIFS($W$2:$W$501,$W73,$C$2:$C$501,"&lt;&gt;"&amp;$C73)&gt;0,COUNTIFS($W$2:$W$501,$W73,$D$2:$D$501,"&lt;&gt;"&amp;$D73)&gt;0,COUNTIFS($W$2:$W$501,$W73,$L$2:$L$501,"&lt;&gt;"&amp;$L73)&gt;0)),"The same SSN is associated with a different name or birthdate; ",""))</f>
        <v/>
      </c>
      <c r="AA73">
        <f>IF(COUNTA($A73:$U73)=0,"",IF(AND($A73&lt;&gt;"",$S73&lt;&gt;"",COUNTIFS($A$2:$A$501,$A73,$S$2:$S$501,$S73,$B$2:$B$501,"",$O$2:$O$501,"")=0),"Add an employee row for this household and plan; ","")&amp;IF(AND($X73="Dependent",COUNTIFS($A$2:$A73,$A73,$S$2:$S73,$S73,$B$2:$B73,"",$O$2:$O73,"")=0),"Place the employee row before dependent rows for this plan; ","")&amp;IF(AND($X73="Dependent",COUNTIFS($A$2:$A$501,$A73,$S$2:$S$501,$S73,$B$2:$B$501,"",$O$2:$O$501,"")&gt;0,IFERROR(OR($P73&lt;&gt;LOOKUP(2,1/(($A$2:$A$501=$A73)*($S$2:$S$501=$S73)*($B$2:$B$501="")*($O$2:$O$501="")),$P$2:$P$501),$Q73&lt;&gt;LOOKUP(2,1/(($A$2:$A$501=$A73)*($S$2:$S$501=$S73)*($B$2:$B$501="")*($O$2:$O$501="")),$Q$2:$Q$501),$R73&lt;&gt;LOOKUP(2,1/(($A$2:$A$501=$A73)*($S$2:$S$501=$S73)*($B$2:$B$501="")*($O$2:$O$501="")),$R$2:$R$501),$T73&lt;&gt;LOOKUP(2,1/(($A$2:$A$501=$A73)*($S$2:$S$501=$S73)*($B$2:$B$501="")*($O$2:$O$501="")),$T$2:$T$501),$U73&lt;&gt;LOOKUP(2,1/(($A$2:$A$501=$A73)*($S$2:$S$501=$S73)*($B$2:$B$501="")*($O$2:$O$501="")),$U$2:$U$501)),FALSE)),"Dependent row does not match the employee row for eligibility, status, coverage level, or funding; ",""))</f>
        <v/>
      </c>
      <c r="AB73">
        <f>IF(COUNTA($A73:$U73)=0,"",IF($L73="","Birthdate is required; ","")&amp;IF(AND($L73&lt;&gt;"",OR(NOT(ISNUMBER($L73)),$L73&lt;=DATE(1900,1,1),$L73&gt;TODAY())),"Birthdate must be an exact valid past date; ","")&amp;IF($P73="","Eligibility Date is required; ","")&amp;IF(AND($P73&lt;&gt;"",OR(NOT(ISNUMBER($P73)),$P73&lt;=DATE(1900,1,1))),"Eligibility Date must be a valid date; ","")&amp;IF(AND($R73="Terminated",$Q73=""),"Termination Date is required when Status is Terminated; ","")&amp;IF(AND($Q73&lt;&gt;"",OR(NOT(ISNUMBER($Q73)),$Q73&lt;=DATE(1900,1,1))),"Termination Date must be a valid date; ","")&amp;IF(AND(ISNUMBER($P73),ISNUMBER($Q73),$Q73&lt;$P73),"Termination Date cannot be before Eligibility Date; ","")&amp;IF($R73="","Status is required; ","")&amp;IF(AND($R73&lt;&gt;"",$R73&lt;&gt;"Active",$R73&lt;&gt;"Terminated"),"Status must be Active or Terminated; ","")&amp;IF(AND('START HERE'!$C$8="Terminations Only",$R73&lt;&gt;"Terminated"),"Terminations Only files must contain terminated records; ",""))</f>
        <v/>
      </c>
      <c r="AC73">
        <f>IF(COUNTA($A73:$U73)=0,"",IF($S73="","Plan Name is required; ","")&amp;IF($T73="","Benefit Coverage Level is required; ","")&amp;IF(AND($U73&lt;&gt;"",OR(NOT(ISNUMBER($U73)),$U73&lt;0)),"Plan Funding Amount must be a nonnegative number; ","")&amp;IF(AND($A73&lt;&gt;"",$S73&lt;&gt;"",COUNTIFS($A$2:$A$501,$A73,$B$2:$B$501,$B73,$S$2:$S$501,$S73)&gt;1),"Duplicate participant and plan row; ",""))</f>
        <v/>
      </c>
      <c r="AD73">
        <f>IF(COUNTA($A73:$U73)=0,"",IF(AND($X73="Employee",$M73="",$N73=""),"No employee phone or email provided; ","")&amp;IF(AND($R73="Active",$Q73&lt;&gt;""),"Active record includes a Termination Date; confirm this is intentional; ","")&amp;IF(AND($B73&lt;&gt;"",$B73&amp;""&lt;&gt;$A73&amp;"",COUNTIF($A$2:$A$501,$B73)&gt;0),"Dependent SSN also appears as an Employee SSN elsewhere; confirm dual-employee coverage is intentional; ","")&amp;IF(AND($B73&lt;&gt;"",COUNTIF($B$2:$B$501,$B73)&gt;COUNTIFS($A$2:$A$501,$A73,$B$2:$B$501,$B73)),"Dependent SSN appears under more than one employee; confirm duplicate family coverage is intentional; ","")&amp;IF(AND(ROW()&gt;2,$A73&lt;&gt;"",$A73&lt;&gt;$A72,COUNTIF($A$2:$A72,$A73)&gt;0),"This household appears in more than one section of the census; keep the family together; ","")&amp;IF(OR(AND($C73&lt;&gt;"",LEN($C73&amp;"")&lt;&gt;LEN(TRIM($C73&amp;""))),AND($D73&lt;&gt;"",LEN($D73&amp;"")&lt;&gt;LEN(TRIM($D73&amp;""))),AND($E73&lt;&gt;"",LEN($E73&amp;"")&lt;&gt;LEN(TRIM($E73&amp;""))),AND($F73&lt;&gt;"",LEN($F73&amp;"")&lt;&gt;LEN(TRIM($F73&amp;""))),AND($G73&lt;&gt;"",LEN($G73&amp;"")&lt;&gt;LEN(TRIM($G73&amp;""))),AND($H73&lt;&gt;"",LEN($H73&amp;"")&lt;&gt;LEN(TRIM($H73&amp;""))),AND($I73&lt;&gt;"",LEN($I73&amp;"")&lt;&gt;LEN(TRIM($I73&amp;""))),AND($J73&lt;&gt;"",LEN($J73&amp;"")&lt;&gt;LEN(TRIM($J73&amp;""))),AND($K73&lt;&gt;"",LEN($K73&amp;"")&lt;&gt;LEN(TRIM($K73&amp;""))),AND($M73&lt;&gt;"",LEN($M73&amp;"")&lt;&gt;LEN(TRIM($M73&amp;""))),AND($N73&lt;&gt;"",LEN($N73&amp;"")&lt;&gt;LEN(TRIM($N73&amp;""))),AND($O73&lt;&gt;"",LEN($O73&amp;"")&lt;&gt;LEN(TRIM($O73&amp;""))),AND($R73&lt;&gt;"",LEN($R73&amp;"")&lt;&gt;LEN(TRIM($R73&amp;""))),AND($S73&lt;&gt;"",LEN($S73&amp;"")&lt;&gt;LEN(TRIM($S73&amp;""))),AND($T73&lt;&gt;"",LEN($T73&amp;"")&lt;&gt;LEN(TRIM($T73&amp;"")))),"Remove leading or trailing spaces from text fields; ","")&amp;IF(OR(AND(LEN($C73)&gt;1,OR(EXACT($C73,UPPER($C73)),EXACT($C73,LOWER($C73)))),AND(LEN($D73)&gt;1,OR(EXACT($D73,UPPER($D73)),EXACT($D73,LOWER($D73)))),AND(LEN($H73)&gt;1,OR(EXACT($H73,UPPER($H73)),EXACT($H73,LOWER($H73))))),"Review capitalization in First Name, Last Name, or City; ","")&amp;IF(AND($N73&lt;&gt;"",NOT(EXACT($N73,LOWER($N73)))),"Email will be standardized to lowercase in the clean output; ","")&amp;IF(AND(OR('START HERE'!$C$8="Initial Enrollment",'START HERE'!$C$8="Open Enrollment"),$R73="Terminated"),"A terminated row is included in an initial or open enrollment file; confirm this is intentional; ",""))</f>
        <v/>
      </c>
      <c r="AE73">
        <f>IF(COUNTA($A73:$U73)=0,"",IF(OR($A73="",AND($A73&lt;&gt;"",NOT(IFERROR(AND(LEN($A73&amp;"")=9,ISNUMBER(--($A73&amp;""))),FALSE))),AND($A73&lt;&gt;"",OR($A73="123456789",$A73="987654321",$A73="012345678",$A73=REPT(LEFT($A73&amp;"",1),9)))),"Employee SSN, ","")&amp;IF(OR(AND($O73&lt;&gt;"",$B73=""),AND($B73&lt;&gt;"",OR(NOT(IFERROR(AND(LEN($B73&amp;"")=9,ISNUMBER(--($B73&amp;""))),FALSE)),$B73=$A73,$B73="123456789",$B73="987654321",$B73="012345678",$B73=REPT(LEFT($B73&amp;"",1),9)))),"Dependent SSN, ","")&amp;IF(OR($C73="",LEN($C73)&gt;19,AND($C73&lt;&gt;"",SUMPRODUCT(--(ROW($1:$19)&lt;=LEN($C73&amp;"")),--ISERROR(FIND(MID($C73&amp;"",ROW($1:$19),1),"ABCDEFGHIJKLMNOPQRSTUVWXYZabcdefghijklmnopqrstuvwxyz .,")))&gt;0)),"First Name, ","")&amp;IF(OR($D73="",LEN($D73)&gt;26,AND($D73&lt;&gt;"",SUMPRODUCT(--(ROW($1:$26)&lt;=LEN($D73&amp;"")),--ISERROR(FIND(MID($D73&amp;"",ROW($1:$26),1),"ABCDEFGHIJKLMNOPQRSTUVWXYZabcdefghijklmnopqrstuvwxyz .,")))&gt;0)),"Last Name, ","")&amp;IF(OR(LEN($E73)&gt;1,AND($E73&lt;&gt;"",SUMPRODUCT(--(ROW($1:$1)&lt;=LEN($E73&amp;"")),--ISERROR(FIND(MID($E73&amp;"",ROW($1:$1),1),"ABCDEFGHIJKLMNOPQRSTUVWXYZabcdefghijklmnopqrstuvwxyz .,")))&gt;0)),"Middle Initial, ","")&amp;IF(OR($F73="",LEN($F73)&gt;75),"Address, ","")&amp;IF(OR($H73="",LEN($H73)&gt;30),"City, ","")&amp;IF(AND($K73="US",OR($I73="",LEN($I73)&lt;&gt;2)),"State, ","")&amp;IF($J73="","ZIP, ","")&amp;IF(OR($K73="",AND($K73&lt;&gt;"US",$K73&lt;&gt;"CA")),"Country, ","")&amp;IF(OR($L73="",AND($L73&lt;&gt;"",OR(NOT(ISNUMBER($L73)),$L73&lt;=DATE(1900,1,1),$L73&gt;TODAY()))),"Birthdate, ","")&amp;IF(AND($N73&lt;&gt;"",NOT(IFERROR(AND(ISNUMBER(SEARCH("@",$N73)),ISNUMBER(SEARCH(".",$N73,SEARCH("@",$N73)+2))),FALSE))),"Email, ","")&amp;IF(OR(AND($B73&lt;&gt;"",$O73=""),AND($O73&lt;&gt;"",$O73&lt;&gt;"Spouse or Common Law Spouse",$O73&lt;&gt;"Domestic Partner",$O73&lt;&gt;"Child",$O73&lt;&gt;"Other",$O73&lt;&gt;"Estate",$O73&lt;&gt;"Unknown")),"Dependent Relationship, ","")&amp;IF($AA73&lt;&gt;"","Household, ","")&amp;IF(OR($P73="",AND($P73&lt;&gt;"",OR(NOT(ISNUMBER($P73)),$P73&lt;=DATE(1900,1,1)))),"Eligibility Date, ","")&amp;IF(OR(AND($R73="Terminated",$Q73=""),AND($Q73&lt;&gt;"",OR(NOT(ISNUMBER($Q73)),$Q73&lt;=DATE(1900,1,1))),AND(ISNUMBER($P73),ISNUMBER($Q73),$Q73&lt;$P73)),"Termination Date, ","")&amp;IF(OR($R73="",AND($R73&lt;&gt;"Active",$R73&lt;&gt;"Terminated"),AND('START HERE'!$C$8="Terminations Only",$R73&lt;&gt;"Terminated")),"Status, ","")&amp;IF($S73="","Plan Name, ","")&amp;IF($T73="","Coverage Level, ","")&amp;IF(AND($U73&lt;&gt;"",OR(NOT(ISNUMBER($U73)),$U73&lt;0)),"Funding, ","")&amp;IF(AND($A73&lt;&gt;"",$S73&lt;&gt;"",COUNTIFS($A$2:$A$501,$A73,$B$2:$B$501,$B73,$S$2:$S$501,$S73)&gt;1),"Duplicate Row, ",""))</f>
        <v/>
      </c>
      <c r="AF73">
        <f>IF(COUNTA($A73:$U73)=0,"",$Y73&amp;$Z73&amp;$AA73&amp;$AB73&amp;$AC73)</f>
        <v/>
      </c>
      <c r="AG73">
        <f>IF($N73="","",LOWER(TRIM($N73)))</f>
        <v/>
      </c>
      <c r="AH73">
        <f>IF($A73="","",COUNTIFS($A$2:$A$501,$A73,$AI$2:$AI$501,1))</f>
        <v/>
      </c>
      <c r="AI73">
        <f>IF(COUNTA($A73:$U73)=0,"",--($AF73&lt;&gt;""))</f>
        <v/>
      </c>
      <c r="AJ73">
        <f>IF(COUNTA($A73:$U73)=0,"",--($AD73&lt;&gt;""))</f>
        <v/>
      </c>
    </row>
    <row r="74" ht="20" customHeight="1">
      <c r="A74" s="80" t="n"/>
      <c r="B74" s="80" t="n"/>
      <c r="C74" s="81" t="n"/>
      <c r="D74" s="81" t="n"/>
      <c r="E74" s="80" t="n"/>
      <c r="F74" s="81" t="n"/>
      <c r="G74" s="81" t="n"/>
      <c r="H74" s="81" t="n"/>
      <c r="I74" s="80" t="n"/>
      <c r="J74" s="80" t="n"/>
      <c r="K74" s="80" t="n"/>
      <c r="L74" s="82" t="n"/>
      <c r="M74" s="80" t="n"/>
      <c r="N74" s="80" t="n"/>
      <c r="O74" s="80" t="n"/>
      <c r="P74" s="82" t="n"/>
      <c r="Q74" s="82" t="n"/>
      <c r="R74" s="80" t="n"/>
      <c r="S74" s="80" t="n"/>
      <c r="T74" s="80" t="n"/>
      <c r="U74" s="83" t="n"/>
      <c r="V74">
        <f>IF($A74="","",IF($A74=$A73,$V73,IF($V73="",0,1-$V73)))</f>
        <v/>
      </c>
      <c r="W74">
        <f>IF($B74&lt;&gt;"",$B74,$A74)</f>
        <v/>
      </c>
      <c r="X74">
        <f>IF(COUNTA($A74:$U74)=0,"",IF(OR($B74&lt;&gt;"",$O74&lt;&gt;""),"Dependent","Employee"))</f>
        <v/>
      </c>
      <c r="Y74">
        <f>IF(COUNTA($A74:$U74)=0,"",IF($A74="","Employee SSN is required; ","")&amp;IF($C74="","First Name is required; ","")&amp;IF(LEN($C74&amp;"")&gt;19,"First Name exceeds 19 characters; ","")&amp;IF(AND($C74&lt;&gt;"",SUMPRODUCT(--(ROW($1:$19)&lt;=LEN($C74&amp;"")),--ISERROR(FIND(MID($C74&amp;"",ROW($1:$19),1),"ABCDEFGHIJKLMNOPQRSTUVWXYZabcdefghijklmnopqrstuvwxyz .,")))&gt;0),"First Name contains unsupported or encoded characters; use plain A-Z letters only; ","")&amp;IF($D74="","Last Name is required; ","")&amp;IF(LEN($D74&amp;"")&gt;26,"Last Name exceeds 26 characters; ","")&amp;IF(AND($D74&lt;&gt;"",SUMPRODUCT(--(ROW($1:$26)&lt;=LEN($D74&amp;"")),--ISERROR(FIND(MID($D74&amp;"",ROW($1:$26),1),"ABCDEFGHIJKLMNOPQRSTUVWXYZabcdefghijklmnopqrstuvwxyz .,")))&gt;0),"Last Name contains unsupported or encoded characters; use plain A-Z letters only; ","")&amp;IF(LEN($E74&amp;"")&gt;1,"Middle Initial may contain only one character; ","")&amp;IF(AND($E74&lt;&gt;"",SUMPRODUCT(--(ROW($1:$1)&lt;=LEN($E74&amp;"")),--ISERROR(FIND(MID($E74&amp;"",ROW($1:$1),1),"ABCDEFGHIJKLMNOPQRSTUVWXYZabcdefghijklmnopqrstuvwxyz .,")))&gt;0),"Middle Initial must be a plain A-Z letter; ","")&amp;IF($F74="","Address is required; ","")&amp;IF(LEN($F74&amp;"")&gt;75,"Address exceeds 75 characters; ","")&amp;IF(LEN($G74&amp;"")&gt;75,"Address 2 exceeds 75 characters; ","")&amp;IF($H74="","City is required; ","")&amp;IF(LEN($H74&amp;"")&gt;30,"City exceeds 30 characters; ","")&amp;IF($K74="","Country is required; ","")&amp;IF(AND($K74&lt;&gt;"",$K74&lt;&gt;"US",$K74&lt;&gt;"CA"),"Country must be US or CA; ","")&amp;IF(AND($K74="US",OR($I74="",LEN($I74&amp;"")&lt;&gt;2)),"Use a 2-letter state code; ","")&amp;IF($J74="","ZIP or postal code is required; ","")&amp;IF(AND($K74="US",$J74&lt;&gt;"",NOT(IFERROR(OR(AND(LEN($J74&amp;"")=5,ISNUMBER(--($J74&amp;""))),AND(LEN($J74&amp;"")=9,ISNUMBER(--($J74&amp;""))),AND(LEN($J74&amp;"")=10,MID($J74&amp;"",6,1)="-",ISNUMBER(--SUBSTITUTE($J74&amp;"","-","")))),FALSE))),"US ZIP must be 5 or 9 digits, with an optional ZIP+4 hyphen; ","")&amp;IF(AND($N74&lt;&gt;"",NOT(IFERROR(AND(ISNUMBER(SEARCH("@",$N74)),ISNUMBER(SEARCH(".",$N74,SEARCH("@",$N74)+2))),FALSE))),"Email format appears invalid; ","")&amp;IF(AND($O74&lt;&gt;"",$B74=""),"Dependent SSN is required for every dependent; ","")&amp;IF(AND($B74&lt;&gt;"",$O74=""),"Dependent Relationship is required when Dependent SSN is entered; ","")&amp;IF(AND($O74&lt;&gt;"",$O74&lt;&gt;"Spouse or Common Law Spouse",$O74&lt;&gt;"Domestic Partner",$O74&lt;&gt;"Child",$O74&lt;&gt;"Other",$O74&lt;&gt;"Estate",$O74&lt;&gt;"Unknown"),"Dependent Relationship must use one of the approved options; ",""))</f>
        <v/>
      </c>
      <c r="Z74">
        <f>IF(COUNTA($A74:$U74)=0,"",IF(AND($A74&lt;&gt;"",NOT(IFERROR(AND(LEN($A74&amp;"")=9,ISNUMBER(--($A74&amp;""))),FALSE))),"Employee SSN must contain exactly 9 digits; ","")&amp;IF(AND($A74&lt;&gt;"",OR($A74="123456789",$A74="987654321",$A74="012345678",$A74=REPT(LEFT($A74&amp;"",1),9))),"Employee SSN appears to be a placeholder; ","")&amp;IF(AND($B74&lt;&gt;"",NOT(IFERROR(AND(LEN($B74&amp;"")=9,ISNUMBER(--($B74&amp;""))),FALSE))),"Dependent SSN must contain exactly 9 digits; ","")&amp;IF(AND($B74&lt;&gt;"",OR($B74="123456789",$B74="987654321",$B74="012345678",$B74=REPT(LEFT($B74&amp;"",1),9))),"Dependent SSN appears to be a placeholder; ","")&amp;IF(AND($A74&lt;&gt;"",$B74&lt;&gt;"",$A74&amp;""=$B74&amp;""),"Dependent SSN cannot match Employee SSN; ","")&amp;IF(AND($W74&lt;&gt;"",OR(COUNTIFS($W$2:$W$501,$W74,$C$2:$C$501,"&lt;&gt;"&amp;$C74)&gt;0,COUNTIFS($W$2:$W$501,$W74,$D$2:$D$501,"&lt;&gt;"&amp;$D74)&gt;0,COUNTIFS($W$2:$W$501,$W74,$L$2:$L$501,"&lt;&gt;"&amp;$L74)&gt;0)),"The same SSN is associated with a different name or birthdate; ",""))</f>
        <v/>
      </c>
      <c r="AA74">
        <f>IF(COUNTA($A74:$U74)=0,"",IF(AND($A74&lt;&gt;"",$S74&lt;&gt;"",COUNTIFS($A$2:$A$501,$A74,$S$2:$S$501,$S74,$B$2:$B$501,"",$O$2:$O$501,"")=0),"Add an employee row for this household and plan; ","")&amp;IF(AND($X74="Dependent",COUNTIFS($A$2:$A74,$A74,$S$2:$S74,$S74,$B$2:$B74,"",$O$2:$O74,"")=0),"Place the employee row before dependent rows for this plan; ","")&amp;IF(AND($X74="Dependent",COUNTIFS($A$2:$A$501,$A74,$S$2:$S$501,$S74,$B$2:$B$501,"",$O$2:$O$501,"")&gt;0,IFERROR(OR($P74&lt;&gt;LOOKUP(2,1/(($A$2:$A$501=$A74)*($S$2:$S$501=$S74)*($B$2:$B$501="")*($O$2:$O$501="")),$P$2:$P$501),$Q74&lt;&gt;LOOKUP(2,1/(($A$2:$A$501=$A74)*($S$2:$S$501=$S74)*($B$2:$B$501="")*($O$2:$O$501="")),$Q$2:$Q$501),$R74&lt;&gt;LOOKUP(2,1/(($A$2:$A$501=$A74)*($S$2:$S$501=$S74)*($B$2:$B$501="")*($O$2:$O$501="")),$R$2:$R$501),$T74&lt;&gt;LOOKUP(2,1/(($A$2:$A$501=$A74)*($S$2:$S$501=$S74)*($B$2:$B$501="")*($O$2:$O$501="")),$T$2:$T$501),$U74&lt;&gt;LOOKUP(2,1/(($A$2:$A$501=$A74)*($S$2:$S$501=$S74)*($B$2:$B$501="")*($O$2:$O$501="")),$U$2:$U$501)),FALSE)),"Dependent row does not match the employee row for eligibility, status, coverage level, or funding; ",""))</f>
        <v/>
      </c>
      <c r="AB74">
        <f>IF(COUNTA($A74:$U74)=0,"",IF($L74="","Birthdate is required; ","")&amp;IF(AND($L74&lt;&gt;"",OR(NOT(ISNUMBER($L74)),$L74&lt;=DATE(1900,1,1),$L74&gt;TODAY())),"Birthdate must be an exact valid past date; ","")&amp;IF($P74="","Eligibility Date is required; ","")&amp;IF(AND($P74&lt;&gt;"",OR(NOT(ISNUMBER($P74)),$P74&lt;=DATE(1900,1,1))),"Eligibility Date must be a valid date; ","")&amp;IF(AND($R74="Terminated",$Q74=""),"Termination Date is required when Status is Terminated; ","")&amp;IF(AND($Q74&lt;&gt;"",OR(NOT(ISNUMBER($Q74)),$Q74&lt;=DATE(1900,1,1))),"Termination Date must be a valid date; ","")&amp;IF(AND(ISNUMBER($P74),ISNUMBER($Q74),$Q74&lt;$P74),"Termination Date cannot be before Eligibility Date; ","")&amp;IF($R74="","Status is required; ","")&amp;IF(AND($R74&lt;&gt;"",$R74&lt;&gt;"Active",$R74&lt;&gt;"Terminated"),"Status must be Active or Terminated; ","")&amp;IF(AND('START HERE'!$C$8="Terminations Only",$R74&lt;&gt;"Terminated"),"Terminations Only files must contain terminated records; ",""))</f>
        <v/>
      </c>
      <c r="AC74">
        <f>IF(COUNTA($A74:$U74)=0,"",IF($S74="","Plan Name is required; ","")&amp;IF($T74="","Benefit Coverage Level is required; ","")&amp;IF(AND($U74&lt;&gt;"",OR(NOT(ISNUMBER($U74)),$U74&lt;0)),"Plan Funding Amount must be a nonnegative number; ","")&amp;IF(AND($A74&lt;&gt;"",$S74&lt;&gt;"",COUNTIFS($A$2:$A$501,$A74,$B$2:$B$501,$B74,$S$2:$S$501,$S74)&gt;1),"Duplicate participant and plan row; ",""))</f>
        <v/>
      </c>
      <c r="AD74">
        <f>IF(COUNTA($A74:$U74)=0,"",IF(AND($X74="Employee",$M74="",$N74=""),"No employee phone or email provided; ","")&amp;IF(AND($R74="Active",$Q74&lt;&gt;""),"Active record includes a Termination Date; confirm this is intentional; ","")&amp;IF(AND($B74&lt;&gt;"",$B74&amp;""&lt;&gt;$A74&amp;"",COUNTIF($A$2:$A$501,$B74)&gt;0),"Dependent SSN also appears as an Employee SSN elsewhere; confirm dual-employee coverage is intentional; ","")&amp;IF(AND($B74&lt;&gt;"",COUNTIF($B$2:$B$501,$B74)&gt;COUNTIFS($A$2:$A$501,$A74,$B$2:$B$501,$B74)),"Dependent SSN appears under more than one employee; confirm duplicate family coverage is intentional; ","")&amp;IF(AND(ROW()&gt;2,$A74&lt;&gt;"",$A74&lt;&gt;$A73,COUNTIF($A$2:$A73,$A74)&gt;0),"This household appears in more than one section of the census; keep the family together; ","")&amp;IF(OR(AND($C74&lt;&gt;"",LEN($C74&amp;"")&lt;&gt;LEN(TRIM($C74&amp;""))),AND($D74&lt;&gt;"",LEN($D74&amp;"")&lt;&gt;LEN(TRIM($D74&amp;""))),AND($E74&lt;&gt;"",LEN($E74&amp;"")&lt;&gt;LEN(TRIM($E74&amp;""))),AND($F74&lt;&gt;"",LEN($F74&amp;"")&lt;&gt;LEN(TRIM($F74&amp;""))),AND($G74&lt;&gt;"",LEN($G74&amp;"")&lt;&gt;LEN(TRIM($G74&amp;""))),AND($H74&lt;&gt;"",LEN($H74&amp;"")&lt;&gt;LEN(TRIM($H74&amp;""))),AND($I74&lt;&gt;"",LEN($I74&amp;"")&lt;&gt;LEN(TRIM($I74&amp;""))),AND($J74&lt;&gt;"",LEN($J74&amp;"")&lt;&gt;LEN(TRIM($J74&amp;""))),AND($K74&lt;&gt;"",LEN($K74&amp;"")&lt;&gt;LEN(TRIM($K74&amp;""))),AND($M74&lt;&gt;"",LEN($M74&amp;"")&lt;&gt;LEN(TRIM($M74&amp;""))),AND($N74&lt;&gt;"",LEN($N74&amp;"")&lt;&gt;LEN(TRIM($N74&amp;""))),AND($O74&lt;&gt;"",LEN($O74&amp;"")&lt;&gt;LEN(TRIM($O74&amp;""))),AND($R74&lt;&gt;"",LEN($R74&amp;"")&lt;&gt;LEN(TRIM($R74&amp;""))),AND($S74&lt;&gt;"",LEN($S74&amp;"")&lt;&gt;LEN(TRIM($S74&amp;""))),AND($T74&lt;&gt;"",LEN($T74&amp;"")&lt;&gt;LEN(TRIM($T74&amp;"")))),"Remove leading or trailing spaces from text fields; ","")&amp;IF(OR(AND(LEN($C74)&gt;1,OR(EXACT($C74,UPPER($C74)),EXACT($C74,LOWER($C74)))),AND(LEN($D74)&gt;1,OR(EXACT($D74,UPPER($D74)),EXACT($D74,LOWER($D74)))),AND(LEN($H74)&gt;1,OR(EXACT($H74,UPPER($H74)),EXACT($H74,LOWER($H74))))),"Review capitalization in First Name, Last Name, or City; ","")&amp;IF(AND($N74&lt;&gt;"",NOT(EXACT($N74,LOWER($N74)))),"Email will be standardized to lowercase in the clean output; ","")&amp;IF(AND(OR('START HERE'!$C$8="Initial Enrollment",'START HERE'!$C$8="Open Enrollment"),$R74="Terminated"),"A terminated row is included in an initial or open enrollment file; confirm this is intentional; ",""))</f>
        <v/>
      </c>
      <c r="AE74">
        <f>IF(COUNTA($A74:$U74)=0,"",IF(OR($A74="",AND($A74&lt;&gt;"",NOT(IFERROR(AND(LEN($A74&amp;"")=9,ISNUMBER(--($A74&amp;""))),FALSE))),AND($A74&lt;&gt;"",OR($A74="123456789",$A74="987654321",$A74="012345678",$A74=REPT(LEFT($A74&amp;"",1),9)))),"Employee SSN, ","")&amp;IF(OR(AND($O74&lt;&gt;"",$B74=""),AND($B74&lt;&gt;"",OR(NOT(IFERROR(AND(LEN($B74&amp;"")=9,ISNUMBER(--($B74&amp;""))),FALSE)),$B74=$A74,$B74="123456789",$B74="987654321",$B74="012345678",$B74=REPT(LEFT($B74&amp;"",1),9)))),"Dependent SSN, ","")&amp;IF(OR($C74="",LEN($C74)&gt;19,AND($C74&lt;&gt;"",SUMPRODUCT(--(ROW($1:$19)&lt;=LEN($C74&amp;"")),--ISERROR(FIND(MID($C74&amp;"",ROW($1:$19),1),"ABCDEFGHIJKLMNOPQRSTUVWXYZabcdefghijklmnopqrstuvwxyz .,")))&gt;0)),"First Name, ","")&amp;IF(OR($D74="",LEN($D74)&gt;26,AND($D74&lt;&gt;"",SUMPRODUCT(--(ROW($1:$26)&lt;=LEN($D74&amp;"")),--ISERROR(FIND(MID($D74&amp;"",ROW($1:$26),1),"ABCDEFGHIJKLMNOPQRSTUVWXYZabcdefghijklmnopqrstuvwxyz .,")))&gt;0)),"Last Name, ","")&amp;IF(OR(LEN($E74)&gt;1,AND($E74&lt;&gt;"",SUMPRODUCT(--(ROW($1:$1)&lt;=LEN($E74&amp;"")),--ISERROR(FIND(MID($E74&amp;"",ROW($1:$1),1),"ABCDEFGHIJKLMNOPQRSTUVWXYZabcdefghijklmnopqrstuvwxyz .,")))&gt;0)),"Middle Initial, ","")&amp;IF(OR($F74="",LEN($F74)&gt;75),"Address, ","")&amp;IF(OR($H74="",LEN($H74)&gt;30),"City, ","")&amp;IF(AND($K74="US",OR($I74="",LEN($I74)&lt;&gt;2)),"State, ","")&amp;IF($J74="","ZIP, ","")&amp;IF(OR($K74="",AND($K74&lt;&gt;"US",$K74&lt;&gt;"CA")),"Country, ","")&amp;IF(OR($L74="",AND($L74&lt;&gt;"",OR(NOT(ISNUMBER($L74)),$L74&lt;=DATE(1900,1,1),$L74&gt;TODAY()))),"Birthdate, ","")&amp;IF(AND($N74&lt;&gt;"",NOT(IFERROR(AND(ISNUMBER(SEARCH("@",$N74)),ISNUMBER(SEARCH(".",$N74,SEARCH("@",$N74)+2))),FALSE))),"Email, ","")&amp;IF(OR(AND($B74&lt;&gt;"",$O74=""),AND($O74&lt;&gt;"",$O74&lt;&gt;"Spouse or Common Law Spouse",$O74&lt;&gt;"Domestic Partner",$O74&lt;&gt;"Child",$O74&lt;&gt;"Other",$O74&lt;&gt;"Estate",$O74&lt;&gt;"Unknown")),"Dependent Relationship, ","")&amp;IF($AA74&lt;&gt;"","Household, ","")&amp;IF(OR($P74="",AND($P74&lt;&gt;"",OR(NOT(ISNUMBER($P74)),$P74&lt;=DATE(1900,1,1)))),"Eligibility Date, ","")&amp;IF(OR(AND($R74="Terminated",$Q74=""),AND($Q74&lt;&gt;"",OR(NOT(ISNUMBER($Q74)),$Q74&lt;=DATE(1900,1,1))),AND(ISNUMBER($P74),ISNUMBER($Q74),$Q74&lt;$P74)),"Termination Date, ","")&amp;IF(OR($R74="",AND($R74&lt;&gt;"Active",$R74&lt;&gt;"Terminated"),AND('START HERE'!$C$8="Terminations Only",$R74&lt;&gt;"Terminated")),"Status, ","")&amp;IF($S74="","Plan Name, ","")&amp;IF($T74="","Coverage Level, ","")&amp;IF(AND($U74&lt;&gt;"",OR(NOT(ISNUMBER($U74)),$U74&lt;0)),"Funding, ","")&amp;IF(AND($A74&lt;&gt;"",$S74&lt;&gt;"",COUNTIFS($A$2:$A$501,$A74,$B$2:$B$501,$B74,$S$2:$S$501,$S74)&gt;1),"Duplicate Row, ",""))</f>
        <v/>
      </c>
      <c r="AF74">
        <f>IF(COUNTA($A74:$U74)=0,"",$Y74&amp;$Z74&amp;$AA74&amp;$AB74&amp;$AC74)</f>
        <v/>
      </c>
      <c r="AG74">
        <f>IF($N74="","",LOWER(TRIM($N74)))</f>
        <v/>
      </c>
      <c r="AH74">
        <f>IF($A74="","",COUNTIFS($A$2:$A$501,$A74,$AI$2:$AI$501,1))</f>
        <v/>
      </c>
      <c r="AI74">
        <f>IF(COUNTA($A74:$U74)=0,"",--($AF74&lt;&gt;""))</f>
        <v/>
      </c>
      <c r="AJ74">
        <f>IF(COUNTA($A74:$U74)=0,"",--($AD74&lt;&gt;""))</f>
        <v/>
      </c>
    </row>
    <row r="75" ht="20" customHeight="1">
      <c r="A75" s="80" t="n"/>
      <c r="B75" s="80" t="n"/>
      <c r="C75" s="81" t="n"/>
      <c r="D75" s="81" t="n"/>
      <c r="E75" s="80" t="n"/>
      <c r="F75" s="81" t="n"/>
      <c r="G75" s="81" t="n"/>
      <c r="H75" s="81" t="n"/>
      <c r="I75" s="80" t="n"/>
      <c r="J75" s="80" t="n"/>
      <c r="K75" s="80" t="n"/>
      <c r="L75" s="82" t="n"/>
      <c r="M75" s="80" t="n"/>
      <c r="N75" s="80" t="n"/>
      <c r="O75" s="80" t="n"/>
      <c r="P75" s="82" t="n"/>
      <c r="Q75" s="82" t="n"/>
      <c r="R75" s="80" t="n"/>
      <c r="S75" s="80" t="n"/>
      <c r="T75" s="80" t="n"/>
      <c r="U75" s="83" t="n"/>
      <c r="V75">
        <f>IF($A75="","",IF($A75=$A74,$V74,IF($V74="",0,1-$V74)))</f>
        <v/>
      </c>
      <c r="W75">
        <f>IF($B75&lt;&gt;"",$B75,$A75)</f>
        <v/>
      </c>
      <c r="X75">
        <f>IF(COUNTA($A75:$U75)=0,"",IF(OR($B75&lt;&gt;"",$O75&lt;&gt;""),"Dependent","Employee"))</f>
        <v/>
      </c>
      <c r="Y75">
        <f>IF(COUNTA($A75:$U75)=0,"",IF($A75="","Employee SSN is required; ","")&amp;IF($C75="","First Name is required; ","")&amp;IF(LEN($C75&amp;"")&gt;19,"First Name exceeds 19 characters; ","")&amp;IF(AND($C75&lt;&gt;"",SUMPRODUCT(--(ROW($1:$19)&lt;=LEN($C75&amp;"")),--ISERROR(FIND(MID($C75&amp;"",ROW($1:$19),1),"ABCDEFGHIJKLMNOPQRSTUVWXYZabcdefghijklmnopqrstuvwxyz .,")))&gt;0),"First Name contains unsupported or encoded characters; use plain A-Z letters only; ","")&amp;IF($D75="","Last Name is required; ","")&amp;IF(LEN($D75&amp;"")&gt;26,"Last Name exceeds 26 characters; ","")&amp;IF(AND($D75&lt;&gt;"",SUMPRODUCT(--(ROW($1:$26)&lt;=LEN($D75&amp;"")),--ISERROR(FIND(MID($D75&amp;"",ROW($1:$26),1),"ABCDEFGHIJKLMNOPQRSTUVWXYZabcdefghijklmnopqrstuvwxyz .,")))&gt;0),"Last Name contains unsupported or encoded characters; use plain A-Z letters only; ","")&amp;IF(LEN($E75&amp;"")&gt;1,"Middle Initial may contain only one character; ","")&amp;IF(AND($E75&lt;&gt;"",SUMPRODUCT(--(ROW($1:$1)&lt;=LEN($E75&amp;"")),--ISERROR(FIND(MID($E75&amp;"",ROW($1:$1),1),"ABCDEFGHIJKLMNOPQRSTUVWXYZabcdefghijklmnopqrstuvwxyz .,")))&gt;0),"Middle Initial must be a plain A-Z letter; ","")&amp;IF($F75="","Address is required; ","")&amp;IF(LEN($F75&amp;"")&gt;75,"Address exceeds 75 characters; ","")&amp;IF(LEN($G75&amp;"")&gt;75,"Address 2 exceeds 75 characters; ","")&amp;IF($H75="","City is required; ","")&amp;IF(LEN($H75&amp;"")&gt;30,"City exceeds 30 characters; ","")&amp;IF($K75="","Country is required; ","")&amp;IF(AND($K75&lt;&gt;"",$K75&lt;&gt;"US",$K75&lt;&gt;"CA"),"Country must be US or CA; ","")&amp;IF(AND($K75="US",OR($I75="",LEN($I75&amp;"")&lt;&gt;2)),"Use a 2-letter state code; ","")&amp;IF($J75="","ZIP or postal code is required; ","")&amp;IF(AND($K75="US",$J75&lt;&gt;"",NOT(IFERROR(OR(AND(LEN($J75&amp;"")=5,ISNUMBER(--($J75&amp;""))),AND(LEN($J75&amp;"")=9,ISNUMBER(--($J75&amp;""))),AND(LEN($J75&amp;"")=10,MID($J75&amp;"",6,1)="-",ISNUMBER(--SUBSTITUTE($J75&amp;"","-","")))),FALSE))),"US ZIP must be 5 or 9 digits, with an optional ZIP+4 hyphen; ","")&amp;IF(AND($N75&lt;&gt;"",NOT(IFERROR(AND(ISNUMBER(SEARCH("@",$N75)),ISNUMBER(SEARCH(".",$N75,SEARCH("@",$N75)+2))),FALSE))),"Email format appears invalid; ","")&amp;IF(AND($O75&lt;&gt;"",$B75=""),"Dependent SSN is required for every dependent; ","")&amp;IF(AND($B75&lt;&gt;"",$O75=""),"Dependent Relationship is required when Dependent SSN is entered; ","")&amp;IF(AND($O75&lt;&gt;"",$O75&lt;&gt;"Spouse or Common Law Spouse",$O75&lt;&gt;"Domestic Partner",$O75&lt;&gt;"Child",$O75&lt;&gt;"Other",$O75&lt;&gt;"Estate",$O75&lt;&gt;"Unknown"),"Dependent Relationship must use one of the approved options; ",""))</f>
        <v/>
      </c>
      <c r="Z75">
        <f>IF(COUNTA($A75:$U75)=0,"",IF(AND($A75&lt;&gt;"",NOT(IFERROR(AND(LEN($A75&amp;"")=9,ISNUMBER(--($A75&amp;""))),FALSE))),"Employee SSN must contain exactly 9 digits; ","")&amp;IF(AND($A75&lt;&gt;"",OR($A75="123456789",$A75="987654321",$A75="012345678",$A75=REPT(LEFT($A75&amp;"",1),9))),"Employee SSN appears to be a placeholder; ","")&amp;IF(AND($B75&lt;&gt;"",NOT(IFERROR(AND(LEN($B75&amp;"")=9,ISNUMBER(--($B75&amp;""))),FALSE))),"Dependent SSN must contain exactly 9 digits; ","")&amp;IF(AND($B75&lt;&gt;"",OR($B75="123456789",$B75="987654321",$B75="012345678",$B75=REPT(LEFT($B75&amp;"",1),9))),"Dependent SSN appears to be a placeholder; ","")&amp;IF(AND($A75&lt;&gt;"",$B75&lt;&gt;"",$A75&amp;""=$B75&amp;""),"Dependent SSN cannot match Employee SSN; ","")&amp;IF(AND($W75&lt;&gt;"",OR(COUNTIFS($W$2:$W$501,$W75,$C$2:$C$501,"&lt;&gt;"&amp;$C75)&gt;0,COUNTIFS($W$2:$W$501,$W75,$D$2:$D$501,"&lt;&gt;"&amp;$D75)&gt;0,COUNTIFS($W$2:$W$501,$W75,$L$2:$L$501,"&lt;&gt;"&amp;$L75)&gt;0)),"The same SSN is associated with a different name or birthdate; ",""))</f>
        <v/>
      </c>
      <c r="AA75">
        <f>IF(COUNTA($A75:$U75)=0,"",IF(AND($A75&lt;&gt;"",$S75&lt;&gt;"",COUNTIFS($A$2:$A$501,$A75,$S$2:$S$501,$S75,$B$2:$B$501,"",$O$2:$O$501,"")=0),"Add an employee row for this household and plan; ","")&amp;IF(AND($X75="Dependent",COUNTIFS($A$2:$A75,$A75,$S$2:$S75,$S75,$B$2:$B75,"",$O$2:$O75,"")=0),"Place the employee row before dependent rows for this plan; ","")&amp;IF(AND($X75="Dependent",COUNTIFS($A$2:$A$501,$A75,$S$2:$S$501,$S75,$B$2:$B$501,"",$O$2:$O$501,"")&gt;0,IFERROR(OR($P75&lt;&gt;LOOKUP(2,1/(($A$2:$A$501=$A75)*($S$2:$S$501=$S75)*($B$2:$B$501="")*($O$2:$O$501="")),$P$2:$P$501),$Q75&lt;&gt;LOOKUP(2,1/(($A$2:$A$501=$A75)*($S$2:$S$501=$S75)*($B$2:$B$501="")*($O$2:$O$501="")),$Q$2:$Q$501),$R75&lt;&gt;LOOKUP(2,1/(($A$2:$A$501=$A75)*($S$2:$S$501=$S75)*($B$2:$B$501="")*($O$2:$O$501="")),$R$2:$R$501),$T75&lt;&gt;LOOKUP(2,1/(($A$2:$A$501=$A75)*($S$2:$S$501=$S75)*($B$2:$B$501="")*($O$2:$O$501="")),$T$2:$T$501),$U75&lt;&gt;LOOKUP(2,1/(($A$2:$A$501=$A75)*($S$2:$S$501=$S75)*($B$2:$B$501="")*($O$2:$O$501="")),$U$2:$U$501)),FALSE)),"Dependent row does not match the employee row for eligibility, status, coverage level, or funding; ",""))</f>
        <v/>
      </c>
      <c r="AB75">
        <f>IF(COUNTA($A75:$U75)=0,"",IF($L75="","Birthdate is required; ","")&amp;IF(AND($L75&lt;&gt;"",OR(NOT(ISNUMBER($L75)),$L75&lt;=DATE(1900,1,1),$L75&gt;TODAY())),"Birthdate must be an exact valid past date; ","")&amp;IF($P75="","Eligibility Date is required; ","")&amp;IF(AND($P75&lt;&gt;"",OR(NOT(ISNUMBER($P75)),$P75&lt;=DATE(1900,1,1))),"Eligibility Date must be a valid date; ","")&amp;IF(AND($R75="Terminated",$Q75=""),"Termination Date is required when Status is Terminated; ","")&amp;IF(AND($Q75&lt;&gt;"",OR(NOT(ISNUMBER($Q75)),$Q75&lt;=DATE(1900,1,1))),"Termination Date must be a valid date; ","")&amp;IF(AND(ISNUMBER($P75),ISNUMBER($Q75),$Q75&lt;$P75),"Termination Date cannot be before Eligibility Date; ","")&amp;IF($R75="","Status is required; ","")&amp;IF(AND($R75&lt;&gt;"",$R75&lt;&gt;"Active",$R75&lt;&gt;"Terminated"),"Status must be Active or Terminated; ","")&amp;IF(AND('START HERE'!$C$8="Terminations Only",$R75&lt;&gt;"Terminated"),"Terminations Only files must contain terminated records; ",""))</f>
        <v/>
      </c>
      <c r="AC75">
        <f>IF(COUNTA($A75:$U75)=0,"",IF($S75="","Plan Name is required; ","")&amp;IF($T75="","Benefit Coverage Level is required; ","")&amp;IF(AND($U75&lt;&gt;"",OR(NOT(ISNUMBER($U75)),$U75&lt;0)),"Plan Funding Amount must be a nonnegative number; ","")&amp;IF(AND($A75&lt;&gt;"",$S75&lt;&gt;"",COUNTIFS($A$2:$A$501,$A75,$B$2:$B$501,$B75,$S$2:$S$501,$S75)&gt;1),"Duplicate participant and plan row; ",""))</f>
        <v/>
      </c>
      <c r="AD75">
        <f>IF(COUNTA($A75:$U75)=0,"",IF(AND($X75="Employee",$M75="",$N75=""),"No employee phone or email provided; ","")&amp;IF(AND($R75="Active",$Q75&lt;&gt;""),"Active record includes a Termination Date; confirm this is intentional; ","")&amp;IF(AND($B75&lt;&gt;"",$B75&amp;""&lt;&gt;$A75&amp;"",COUNTIF($A$2:$A$501,$B75)&gt;0),"Dependent SSN also appears as an Employee SSN elsewhere; confirm dual-employee coverage is intentional; ","")&amp;IF(AND($B75&lt;&gt;"",COUNTIF($B$2:$B$501,$B75)&gt;COUNTIFS($A$2:$A$501,$A75,$B$2:$B$501,$B75)),"Dependent SSN appears under more than one employee; confirm duplicate family coverage is intentional; ","")&amp;IF(AND(ROW()&gt;2,$A75&lt;&gt;"",$A75&lt;&gt;$A74,COUNTIF($A$2:$A74,$A75)&gt;0),"This household appears in more than one section of the census; keep the family together; ","")&amp;IF(OR(AND($C75&lt;&gt;"",LEN($C75&amp;"")&lt;&gt;LEN(TRIM($C75&amp;""))),AND($D75&lt;&gt;"",LEN($D75&amp;"")&lt;&gt;LEN(TRIM($D75&amp;""))),AND($E75&lt;&gt;"",LEN($E75&amp;"")&lt;&gt;LEN(TRIM($E75&amp;""))),AND($F75&lt;&gt;"",LEN($F75&amp;"")&lt;&gt;LEN(TRIM($F75&amp;""))),AND($G75&lt;&gt;"",LEN($G75&amp;"")&lt;&gt;LEN(TRIM($G75&amp;""))),AND($H75&lt;&gt;"",LEN($H75&amp;"")&lt;&gt;LEN(TRIM($H75&amp;""))),AND($I75&lt;&gt;"",LEN($I75&amp;"")&lt;&gt;LEN(TRIM($I75&amp;""))),AND($J75&lt;&gt;"",LEN($J75&amp;"")&lt;&gt;LEN(TRIM($J75&amp;""))),AND($K75&lt;&gt;"",LEN($K75&amp;"")&lt;&gt;LEN(TRIM($K75&amp;""))),AND($M75&lt;&gt;"",LEN($M75&amp;"")&lt;&gt;LEN(TRIM($M75&amp;""))),AND($N75&lt;&gt;"",LEN($N75&amp;"")&lt;&gt;LEN(TRIM($N75&amp;""))),AND($O75&lt;&gt;"",LEN($O75&amp;"")&lt;&gt;LEN(TRIM($O75&amp;""))),AND($R75&lt;&gt;"",LEN($R75&amp;"")&lt;&gt;LEN(TRIM($R75&amp;""))),AND($S75&lt;&gt;"",LEN($S75&amp;"")&lt;&gt;LEN(TRIM($S75&amp;""))),AND($T75&lt;&gt;"",LEN($T75&amp;"")&lt;&gt;LEN(TRIM($T75&amp;"")))),"Remove leading or trailing spaces from text fields; ","")&amp;IF(OR(AND(LEN($C75)&gt;1,OR(EXACT($C75,UPPER($C75)),EXACT($C75,LOWER($C75)))),AND(LEN($D75)&gt;1,OR(EXACT($D75,UPPER($D75)),EXACT($D75,LOWER($D75)))),AND(LEN($H75)&gt;1,OR(EXACT($H75,UPPER($H75)),EXACT($H75,LOWER($H75))))),"Review capitalization in First Name, Last Name, or City; ","")&amp;IF(AND($N75&lt;&gt;"",NOT(EXACT($N75,LOWER($N75)))),"Email will be standardized to lowercase in the clean output; ","")&amp;IF(AND(OR('START HERE'!$C$8="Initial Enrollment",'START HERE'!$C$8="Open Enrollment"),$R75="Terminated"),"A terminated row is included in an initial or open enrollment file; confirm this is intentional; ",""))</f>
        <v/>
      </c>
      <c r="AE75">
        <f>IF(COUNTA($A75:$U75)=0,"",IF(OR($A75="",AND($A75&lt;&gt;"",NOT(IFERROR(AND(LEN($A75&amp;"")=9,ISNUMBER(--($A75&amp;""))),FALSE))),AND($A75&lt;&gt;"",OR($A75="123456789",$A75="987654321",$A75="012345678",$A75=REPT(LEFT($A75&amp;"",1),9)))),"Employee SSN, ","")&amp;IF(OR(AND($O75&lt;&gt;"",$B75=""),AND($B75&lt;&gt;"",OR(NOT(IFERROR(AND(LEN($B75&amp;"")=9,ISNUMBER(--($B75&amp;""))),FALSE)),$B75=$A75,$B75="123456789",$B75="987654321",$B75="012345678",$B75=REPT(LEFT($B75&amp;"",1),9)))),"Dependent SSN, ","")&amp;IF(OR($C75="",LEN($C75)&gt;19,AND($C75&lt;&gt;"",SUMPRODUCT(--(ROW($1:$19)&lt;=LEN($C75&amp;"")),--ISERROR(FIND(MID($C75&amp;"",ROW($1:$19),1),"ABCDEFGHIJKLMNOPQRSTUVWXYZabcdefghijklmnopqrstuvwxyz .,")))&gt;0)),"First Name, ","")&amp;IF(OR($D75="",LEN($D75)&gt;26,AND($D75&lt;&gt;"",SUMPRODUCT(--(ROW($1:$26)&lt;=LEN($D75&amp;"")),--ISERROR(FIND(MID($D75&amp;"",ROW($1:$26),1),"ABCDEFGHIJKLMNOPQRSTUVWXYZabcdefghijklmnopqrstuvwxyz .,")))&gt;0)),"Last Name, ","")&amp;IF(OR(LEN($E75)&gt;1,AND($E75&lt;&gt;"",SUMPRODUCT(--(ROW($1:$1)&lt;=LEN($E75&amp;"")),--ISERROR(FIND(MID($E75&amp;"",ROW($1:$1),1),"ABCDEFGHIJKLMNOPQRSTUVWXYZabcdefghijklmnopqrstuvwxyz .,")))&gt;0)),"Middle Initial, ","")&amp;IF(OR($F75="",LEN($F75)&gt;75),"Address, ","")&amp;IF(OR($H75="",LEN($H75)&gt;30),"City, ","")&amp;IF(AND($K75="US",OR($I75="",LEN($I75)&lt;&gt;2)),"State, ","")&amp;IF($J75="","ZIP, ","")&amp;IF(OR($K75="",AND($K75&lt;&gt;"US",$K75&lt;&gt;"CA")),"Country, ","")&amp;IF(OR($L75="",AND($L75&lt;&gt;"",OR(NOT(ISNUMBER($L75)),$L75&lt;=DATE(1900,1,1),$L75&gt;TODAY()))),"Birthdate, ","")&amp;IF(AND($N75&lt;&gt;"",NOT(IFERROR(AND(ISNUMBER(SEARCH("@",$N75)),ISNUMBER(SEARCH(".",$N75,SEARCH("@",$N75)+2))),FALSE))),"Email, ","")&amp;IF(OR(AND($B75&lt;&gt;"",$O75=""),AND($O75&lt;&gt;"",$O75&lt;&gt;"Spouse or Common Law Spouse",$O75&lt;&gt;"Domestic Partner",$O75&lt;&gt;"Child",$O75&lt;&gt;"Other",$O75&lt;&gt;"Estate",$O75&lt;&gt;"Unknown")),"Dependent Relationship, ","")&amp;IF($AA75&lt;&gt;"","Household, ","")&amp;IF(OR($P75="",AND($P75&lt;&gt;"",OR(NOT(ISNUMBER($P75)),$P75&lt;=DATE(1900,1,1)))),"Eligibility Date, ","")&amp;IF(OR(AND($R75="Terminated",$Q75=""),AND($Q75&lt;&gt;"",OR(NOT(ISNUMBER($Q75)),$Q75&lt;=DATE(1900,1,1))),AND(ISNUMBER($P75),ISNUMBER($Q75),$Q75&lt;$P75)),"Termination Date, ","")&amp;IF(OR($R75="",AND($R75&lt;&gt;"Active",$R75&lt;&gt;"Terminated"),AND('START HERE'!$C$8="Terminations Only",$R75&lt;&gt;"Terminated")),"Status, ","")&amp;IF($S75="","Plan Name, ","")&amp;IF($T75="","Coverage Level, ","")&amp;IF(AND($U75&lt;&gt;"",OR(NOT(ISNUMBER($U75)),$U75&lt;0)),"Funding, ","")&amp;IF(AND($A75&lt;&gt;"",$S75&lt;&gt;"",COUNTIFS($A$2:$A$501,$A75,$B$2:$B$501,$B75,$S$2:$S$501,$S75)&gt;1),"Duplicate Row, ",""))</f>
        <v/>
      </c>
      <c r="AF75">
        <f>IF(COUNTA($A75:$U75)=0,"",$Y75&amp;$Z75&amp;$AA75&amp;$AB75&amp;$AC75)</f>
        <v/>
      </c>
      <c r="AG75">
        <f>IF($N75="","",LOWER(TRIM($N75)))</f>
        <v/>
      </c>
      <c r="AH75">
        <f>IF($A75="","",COUNTIFS($A$2:$A$501,$A75,$AI$2:$AI$501,1))</f>
        <v/>
      </c>
      <c r="AI75">
        <f>IF(COUNTA($A75:$U75)=0,"",--($AF75&lt;&gt;""))</f>
        <v/>
      </c>
      <c r="AJ75">
        <f>IF(COUNTA($A75:$U75)=0,"",--($AD75&lt;&gt;""))</f>
        <v/>
      </c>
    </row>
    <row r="76" ht="20" customHeight="1">
      <c r="A76" s="80" t="n"/>
      <c r="B76" s="80" t="n"/>
      <c r="C76" s="81" t="n"/>
      <c r="D76" s="81" t="n"/>
      <c r="E76" s="80" t="n"/>
      <c r="F76" s="81" t="n"/>
      <c r="G76" s="81" t="n"/>
      <c r="H76" s="81" t="n"/>
      <c r="I76" s="80" t="n"/>
      <c r="J76" s="80" t="n"/>
      <c r="K76" s="80" t="n"/>
      <c r="L76" s="82" t="n"/>
      <c r="M76" s="80" t="n"/>
      <c r="N76" s="80" t="n"/>
      <c r="O76" s="80" t="n"/>
      <c r="P76" s="82" t="n"/>
      <c r="Q76" s="82" t="n"/>
      <c r="R76" s="80" t="n"/>
      <c r="S76" s="80" t="n"/>
      <c r="T76" s="80" t="n"/>
      <c r="U76" s="83" t="n"/>
      <c r="V76">
        <f>IF($A76="","",IF($A76=$A75,$V75,IF($V75="",0,1-$V75)))</f>
        <v/>
      </c>
      <c r="W76">
        <f>IF($B76&lt;&gt;"",$B76,$A76)</f>
        <v/>
      </c>
      <c r="X76">
        <f>IF(COUNTA($A76:$U76)=0,"",IF(OR($B76&lt;&gt;"",$O76&lt;&gt;""),"Dependent","Employee"))</f>
        <v/>
      </c>
      <c r="Y76">
        <f>IF(COUNTA($A76:$U76)=0,"",IF($A76="","Employee SSN is required; ","")&amp;IF($C76="","First Name is required; ","")&amp;IF(LEN($C76&amp;"")&gt;19,"First Name exceeds 19 characters; ","")&amp;IF(AND($C76&lt;&gt;"",SUMPRODUCT(--(ROW($1:$19)&lt;=LEN($C76&amp;"")),--ISERROR(FIND(MID($C76&amp;"",ROW($1:$19),1),"ABCDEFGHIJKLMNOPQRSTUVWXYZabcdefghijklmnopqrstuvwxyz .,")))&gt;0),"First Name contains unsupported or encoded characters; use plain A-Z letters only; ","")&amp;IF($D76="","Last Name is required; ","")&amp;IF(LEN($D76&amp;"")&gt;26,"Last Name exceeds 26 characters; ","")&amp;IF(AND($D76&lt;&gt;"",SUMPRODUCT(--(ROW($1:$26)&lt;=LEN($D76&amp;"")),--ISERROR(FIND(MID($D76&amp;"",ROW($1:$26),1),"ABCDEFGHIJKLMNOPQRSTUVWXYZabcdefghijklmnopqrstuvwxyz .,")))&gt;0),"Last Name contains unsupported or encoded characters; use plain A-Z letters only; ","")&amp;IF(LEN($E76&amp;"")&gt;1,"Middle Initial may contain only one character; ","")&amp;IF(AND($E76&lt;&gt;"",SUMPRODUCT(--(ROW($1:$1)&lt;=LEN($E76&amp;"")),--ISERROR(FIND(MID($E76&amp;"",ROW($1:$1),1),"ABCDEFGHIJKLMNOPQRSTUVWXYZabcdefghijklmnopqrstuvwxyz .,")))&gt;0),"Middle Initial must be a plain A-Z letter; ","")&amp;IF($F76="","Address is required; ","")&amp;IF(LEN($F76&amp;"")&gt;75,"Address exceeds 75 characters; ","")&amp;IF(LEN($G76&amp;"")&gt;75,"Address 2 exceeds 75 characters; ","")&amp;IF($H76="","City is required; ","")&amp;IF(LEN($H76&amp;"")&gt;30,"City exceeds 30 characters; ","")&amp;IF($K76="","Country is required; ","")&amp;IF(AND($K76&lt;&gt;"",$K76&lt;&gt;"US",$K76&lt;&gt;"CA"),"Country must be US or CA; ","")&amp;IF(AND($K76="US",OR($I76="",LEN($I76&amp;"")&lt;&gt;2)),"Use a 2-letter state code; ","")&amp;IF($J76="","ZIP or postal code is required; ","")&amp;IF(AND($K76="US",$J76&lt;&gt;"",NOT(IFERROR(OR(AND(LEN($J76&amp;"")=5,ISNUMBER(--($J76&amp;""))),AND(LEN($J76&amp;"")=9,ISNUMBER(--($J76&amp;""))),AND(LEN($J76&amp;"")=10,MID($J76&amp;"",6,1)="-",ISNUMBER(--SUBSTITUTE($J76&amp;"","-","")))),FALSE))),"US ZIP must be 5 or 9 digits, with an optional ZIP+4 hyphen; ","")&amp;IF(AND($N76&lt;&gt;"",NOT(IFERROR(AND(ISNUMBER(SEARCH("@",$N76)),ISNUMBER(SEARCH(".",$N76,SEARCH("@",$N76)+2))),FALSE))),"Email format appears invalid; ","")&amp;IF(AND($O76&lt;&gt;"",$B76=""),"Dependent SSN is required for every dependent; ","")&amp;IF(AND($B76&lt;&gt;"",$O76=""),"Dependent Relationship is required when Dependent SSN is entered; ","")&amp;IF(AND($O76&lt;&gt;"",$O76&lt;&gt;"Spouse or Common Law Spouse",$O76&lt;&gt;"Domestic Partner",$O76&lt;&gt;"Child",$O76&lt;&gt;"Other",$O76&lt;&gt;"Estate",$O76&lt;&gt;"Unknown"),"Dependent Relationship must use one of the approved options; ",""))</f>
        <v/>
      </c>
      <c r="Z76">
        <f>IF(COUNTA($A76:$U76)=0,"",IF(AND($A76&lt;&gt;"",NOT(IFERROR(AND(LEN($A76&amp;"")=9,ISNUMBER(--($A76&amp;""))),FALSE))),"Employee SSN must contain exactly 9 digits; ","")&amp;IF(AND($A76&lt;&gt;"",OR($A76="123456789",$A76="987654321",$A76="012345678",$A76=REPT(LEFT($A76&amp;"",1),9))),"Employee SSN appears to be a placeholder; ","")&amp;IF(AND($B76&lt;&gt;"",NOT(IFERROR(AND(LEN($B76&amp;"")=9,ISNUMBER(--($B76&amp;""))),FALSE))),"Dependent SSN must contain exactly 9 digits; ","")&amp;IF(AND($B76&lt;&gt;"",OR($B76="123456789",$B76="987654321",$B76="012345678",$B76=REPT(LEFT($B76&amp;"",1),9))),"Dependent SSN appears to be a placeholder; ","")&amp;IF(AND($A76&lt;&gt;"",$B76&lt;&gt;"",$A76&amp;""=$B76&amp;""),"Dependent SSN cannot match Employee SSN; ","")&amp;IF(AND($W76&lt;&gt;"",OR(COUNTIFS($W$2:$W$501,$W76,$C$2:$C$501,"&lt;&gt;"&amp;$C76)&gt;0,COUNTIFS($W$2:$W$501,$W76,$D$2:$D$501,"&lt;&gt;"&amp;$D76)&gt;0,COUNTIFS($W$2:$W$501,$W76,$L$2:$L$501,"&lt;&gt;"&amp;$L76)&gt;0)),"The same SSN is associated with a different name or birthdate; ",""))</f>
        <v/>
      </c>
      <c r="AA76">
        <f>IF(COUNTA($A76:$U76)=0,"",IF(AND($A76&lt;&gt;"",$S76&lt;&gt;"",COUNTIFS($A$2:$A$501,$A76,$S$2:$S$501,$S76,$B$2:$B$501,"",$O$2:$O$501,"")=0),"Add an employee row for this household and plan; ","")&amp;IF(AND($X76="Dependent",COUNTIFS($A$2:$A76,$A76,$S$2:$S76,$S76,$B$2:$B76,"",$O$2:$O76,"")=0),"Place the employee row before dependent rows for this plan; ","")&amp;IF(AND($X76="Dependent",COUNTIFS($A$2:$A$501,$A76,$S$2:$S$501,$S76,$B$2:$B$501,"",$O$2:$O$501,"")&gt;0,IFERROR(OR($P76&lt;&gt;LOOKUP(2,1/(($A$2:$A$501=$A76)*($S$2:$S$501=$S76)*($B$2:$B$501="")*($O$2:$O$501="")),$P$2:$P$501),$Q76&lt;&gt;LOOKUP(2,1/(($A$2:$A$501=$A76)*($S$2:$S$501=$S76)*($B$2:$B$501="")*($O$2:$O$501="")),$Q$2:$Q$501),$R76&lt;&gt;LOOKUP(2,1/(($A$2:$A$501=$A76)*($S$2:$S$501=$S76)*($B$2:$B$501="")*($O$2:$O$501="")),$R$2:$R$501),$T76&lt;&gt;LOOKUP(2,1/(($A$2:$A$501=$A76)*($S$2:$S$501=$S76)*($B$2:$B$501="")*($O$2:$O$501="")),$T$2:$T$501),$U76&lt;&gt;LOOKUP(2,1/(($A$2:$A$501=$A76)*($S$2:$S$501=$S76)*($B$2:$B$501="")*($O$2:$O$501="")),$U$2:$U$501)),FALSE)),"Dependent row does not match the employee row for eligibility, status, coverage level, or funding; ",""))</f>
        <v/>
      </c>
      <c r="AB76">
        <f>IF(COUNTA($A76:$U76)=0,"",IF($L76="","Birthdate is required; ","")&amp;IF(AND($L76&lt;&gt;"",OR(NOT(ISNUMBER($L76)),$L76&lt;=DATE(1900,1,1),$L76&gt;TODAY())),"Birthdate must be an exact valid past date; ","")&amp;IF($P76="","Eligibility Date is required; ","")&amp;IF(AND($P76&lt;&gt;"",OR(NOT(ISNUMBER($P76)),$P76&lt;=DATE(1900,1,1))),"Eligibility Date must be a valid date; ","")&amp;IF(AND($R76="Terminated",$Q76=""),"Termination Date is required when Status is Terminated; ","")&amp;IF(AND($Q76&lt;&gt;"",OR(NOT(ISNUMBER($Q76)),$Q76&lt;=DATE(1900,1,1))),"Termination Date must be a valid date; ","")&amp;IF(AND(ISNUMBER($P76),ISNUMBER($Q76),$Q76&lt;$P76),"Termination Date cannot be before Eligibility Date; ","")&amp;IF($R76="","Status is required; ","")&amp;IF(AND($R76&lt;&gt;"",$R76&lt;&gt;"Active",$R76&lt;&gt;"Terminated"),"Status must be Active or Terminated; ","")&amp;IF(AND('START HERE'!$C$8="Terminations Only",$R76&lt;&gt;"Terminated"),"Terminations Only files must contain terminated records; ",""))</f>
        <v/>
      </c>
      <c r="AC76">
        <f>IF(COUNTA($A76:$U76)=0,"",IF($S76="","Plan Name is required; ","")&amp;IF($T76="","Benefit Coverage Level is required; ","")&amp;IF(AND($U76&lt;&gt;"",OR(NOT(ISNUMBER($U76)),$U76&lt;0)),"Plan Funding Amount must be a nonnegative number; ","")&amp;IF(AND($A76&lt;&gt;"",$S76&lt;&gt;"",COUNTIFS($A$2:$A$501,$A76,$B$2:$B$501,$B76,$S$2:$S$501,$S76)&gt;1),"Duplicate participant and plan row; ",""))</f>
        <v/>
      </c>
      <c r="AD76">
        <f>IF(COUNTA($A76:$U76)=0,"",IF(AND($X76="Employee",$M76="",$N76=""),"No employee phone or email provided; ","")&amp;IF(AND($R76="Active",$Q76&lt;&gt;""),"Active record includes a Termination Date; confirm this is intentional; ","")&amp;IF(AND($B76&lt;&gt;"",$B76&amp;""&lt;&gt;$A76&amp;"",COUNTIF($A$2:$A$501,$B76)&gt;0),"Dependent SSN also appears as an Employee SSN elsewhere; confirm dual-employee coverage is intentional; ","")&amp;IF(AND($B76&lt;&gt;"",COUNTIF($B$2:$B$501,$B76)&gt;COUNTIFS($A$2:$A$501,$A76,$B$2:$B$501,$B76)),"Dependent SSN appears under more than one employee; confirm duplicate family coverage is intentional; ","")&amp;IF(AND(ROW()&gt;2,$A76&lt;&gt;"",$A76&lt;&gt;$A75,COUNTIF($A$2:$A75,$A76)&gt;0),"This household appears in more than one section of the census; keep the family together; ","")&amp;IF(OR(AND($C76&lt;&gt;"",LEN($C76&amp;"")&lt;&gt;LEN(TRIM($C76&amp;""))),AND($D76&lt;&gt;"",LEN($D76&amp;"")&lt;&gt;LEN(TRIM($D76&amp;""))),AND($E76&lt;&gt;"",LEN($E76&amp;"")&lt;&gt;LEN(TRIM($E76&amp;""))),AND($F76&lt;&gt;"",LEN($F76&amp;"")&lt;&gt;LEN(TRIM($F76&amp;""))),AND($G76&lt;&gt;"",LEN($G76&amp;"")&lt;&gt;LEN(TRIM($G76&amp;""))),AND($H76&lt;&gt;"",LEN($H76&amp;"")&lt;&gt;LEN(TRIM($H76&amp;""))),AND($I76&lt;&gt;"",LEN($I76&amp;"")&lt;&gt;LEN(TRIM($I76&amp;""))),AND($J76&lt;&gt;"",LEN($J76&amp;"")&lt;&gt;LEN(TRIM($J76&amp;""))),AND($K76&lt;&gt;"",LEN($K76&amp;"")&lt;&gt;LEN(TRIM($K76&amp;""))),AND($M76&lt;&gt;"",LEN($M76&amp;"")&lt;&gt;LEN(TRIM($M76&amp;""))),AND($N76&lt;&gt;"",LEN($N76&amp;"")&lt;&gt;LEN(TRIM($N76&amp;""))),AND($O76&lt;&gt;"",LEN($O76&amp;"")&lt;&gt;LEN(TRIM($O76&amp;""))),AND($R76&lt;&gt;"",LEN($R76&amp;"")&lt;&gt;LEN(TRIM($R76&amp;""))),AND($S76&lt;&gt;"",LEN($S76&amp;"")&lt;&gt;LEN(TRIM($S76&amp;""))),AND($T76&lt;&gt;"",LEN($T76&amp;"")&lt;&gt;LEN(TRIM($T76&amp;"")))),"Remove leading or trailing spaces from text fields; ","")&amp;IF(OR(AND(LEN($C76)&gt;1,OR(EXACT($C76,UPPER($C76)),EXACT($C76,LOWER($C76)))),AND(LEN($D76)&gt;1,OR(EXACT($D76,UPPER($D76)),EXACT($D76,LOWER($D76)))),AND(LEN($H76)&gt;1,OR(EXACT($H76,UPPER($H76)),EXACT($H76,LOWER($H76))))),"Review capitalization in First Name, Last Name, or City; ","")&amp;IF(AND($N76&lt;&gt;"",NOT(EXACT($N76,LOWER($N76)))),"Email will be standardized to lowercase in the clean output; ","")&amp;IF(AND(OR('START HERE'!$C$8="Initial Enrollment",'START HERE'!$C$8="Open Enrollment"),$R76="Terminated"),"A terminated row is included in an initial or open enrollment file; confirm this is intentional; ",""))</f>
        <v/>
      </c>
      <c r="AE76">
        <f>IF(COUNTA($A76:$U76)=0,"",IF(OR($A76="",AND($A76&lt;&gt;"",NOT(IFERROR(AND(LEN($A76&amp;"")=9,ISNUMBER(--($A76&amp;""))),FALSE))),AND($A76&lt;&gt;"",OR($A76="123456789",$A76="987654321",$A76="012345678",$A76=REPT(LEFT($A76&amp;"",1),9)))),"Employee SSN, ","")&amp;IF(OR(AND($O76&lt;&gt;"",$B76=""),AND($B76&lt;&gt;"",OR(NOT(IFERROR(AND(LEN($B76&amp;"")=9,ISNUMBER(--($B76&amp;""))),FALSE)),$B76=$A76,$B76="123456789",$B76="987654321",$B76="012345678",$B76=REPT(LEFT($B76&amp;"",1),9)))),"Dependent SSN, ","")&amp;IF(OR($C76="",LEN($C76)&gt;19,AND($C76&lt;&gt;"",SUMPRODUCT(--(ROW($1:$19)&lt;=LEN($C76&amp;"")),--ISERROR(FIND(MID($C76&amp;"",ROW($1:$19),1),"ABCDEFGHIJKLMNOPQRSTUVWXYZabcdefghijklmnopqrstuvwxyz .,")))&gt;0)),"First Name, ","")&amp;IF(OR($D76="",LEN($D76)&gt;26,AND($D76&lt;&gt;"",SUMPRODUCT(--(ROW($1:$26)&lt;=LEN($D76&amp;"")),--ISERROR(FIND(MID($D76&amp;"",ROW($1:$26),1),"ABCDEFGHIJKLMNOPQRSTUVWXYZabcdefghijklmnopqrstuvwxyz .,")))&gt;0)),"Last Name, ","")&amp;IF(OR(LEN($E76)&gt;1,AND($E76&lt;&gt;"",SUMPRODUCT(--(ROW($1:$1)&lt;=LEN($E76&amp;"")),--ISERROR(FIND(MID($E76&amp;"",ROW($1:$1),1),"ABCDEFGHIJKLMNOPQRSTUVWXYZabcdefghijklmnopqrstuvwxyz .,")))&gt;0)),"Middle Initial, ","")&amp;IF(OR($F76="",LEN($F76)&gt;75),"Address, ","")&amp;IF(OR($H76="",LEN($H76)&gt;30),"City, ","")&amp;IF(AND($K76="US",OR($I76="",LEN($I76)&lt;&gt;2)),"State, ","")&amp;IF($J76="","ZIP, ","")&amp;IF(OR($K76="",AND($K76&lt;&gt;"US",$K76&lt;&gt;"CA")),"Country, ","")&amp;IF(OR($L76="",AND($L76&lt;&gt;"",OR(NOT(ISNUMBER($L76)),$L76&lt;=DATE(1900,1,1),$L76&gt;TODAY()))),"Birthdate, ","")&amp;IF(AND($N76&lt;&gt;"",NOT(IFERROR(AND(ISNUMBER(SEARCH("@",$N76)),ISNUMBER(SEARCH(".",$N76,SEARCH("@",$N76)+2))),FALSE))),"Email, ","")&amp;IF(OR(AND($B76&lt;&gt;"",$O76=""),AND($O76&lt;&gt;"",$O76&lt;&gt;"Spouse or Common Law Spouse",$O76&lt;&gt;"Domestic Partner",$O76&lt;&gt;"Child",$O76&lt;&gt;"Other",$O76&lt;&gt;"Estate",$O76&lt;&gt;"Unknown")),"Dependent Relationship, ","")&amp;IF($AA76&lt;&gt;"","Household, ","")&amp;IF(OR($P76="",AND($P76&lt;&gt;"",OR(NOT(ISNUMBER($P76)),$P76&lt;=DATE(1900,1,1)))),"Eligibility Date, ","")&amp;IF(OR(AND($R76="Terminated",$Q76=""),AND($Q76&lt;&gt;"",OR(NOT(ISNUMBER($Q76)),$Q76&lt;=DATE(1900,1,1))),AND(ISNUMBER($P76),ISNUMBER($Q76),$Q76&lt;$P76)),"Termination Date, ","")&amp;IF(OR($R76="",AND($R76&lt;&gt;"Active",$R76&lt;&gt;"Terminated"),AND('START HERE'!$C$8="Terminations Only",$R76&lt;&gt;"Terminated")),"Status, ","")&amp;IF($S76="","Plan Name, ","")&amp;IF($T76="","Coverage Level, ","")&amp;IF(AND($U76&lt;&gt;"",OR(NOT(ISNUMBER($U76)),$U76&lt;0)),"Funding, ","")&amp;IF(AND($A76&lt;&gt;"",$S76&lt;&gt;"",COUNTIFS($A$2:$A$501,$A76,$B$2:$B$501,$B76,$S$2:$S$501,$S76)&gt;1),"Duplicate Row, ",""))</f>
        <v/>
      </c>
      <c r="AF76">
        <f>IF(COUNTA($A76:$U76)=0,"",$Y76&amp;$Z76&amp;$AA76&amp;$AB76&amp;$AC76)</f>
        <v/>
      </c>
      <c r="AG76">
        <f>IF($N76="","",LOWER(TRIM($N76)))</f>
        <v/>
      </c>
      <c r="AH76">
        <f>IF($A76="","",COUNTIFS($A$2:$A$501,$A76,$AI$2:$AI$501,1))</f>
        <v/>
      </c>
      <c r="AI76">
        <f>IF(COUNTA($A76:$U76)=0,"",--($AF76&lt;&gt;""))</f>
        <v/>
      </c>
      <c r="AJ76">
        <f>IF(COUNTA($A76:$U76)=0,"",--($AD76&lt;&gt;""))</f>
        <v/>
      </c>
    </row>
    <row r="77" ht="20" customHeight="1">
      <c r="A77" s="80" t="n"/>
      <c r="B77" s="80" t="n"/>
      <c r="C77" s="81" t="n"/>
      <c r="D77" s="81" t="n"/>
      <c r="E77" s="80" t="n"/>
      <c r="F77" s="81" t="n"/>
      <c r="G77" s="81" t="n"/>
      <c r="H77" s="81" t="n"/>
      <c r="I77" s="80" t="n"/>
      <c r="J77" s="80" t="n"/>
      <c r="K77" s="80" t="n"/>
      <c r="L77" s="82" t="n"/>
      <c r="M77" s="80" t="n"/>
      <c r="N77" s="80" t="n"/>
      <c r="O77" s="80" t="n"/>
      <c r="P77" s="82" t="n"/>
      <c r="Q77" s="82" t="n"/>
      <c r="R77" s="80" t="n"/>
      <c r="S77" s="80" t="n"/>
      <c r="T77" s="80" t="n"/>
      <c r="U77" s="83" t="n"/>
      <c r="V77">
        <f>IF($A77="","",IF($A77=$A76,$V76,IF($V76="",0,1-$V76)))</f>
        <v/>
      </c>
      <c r="W77">
        <f>IF($B77&lt;&gt;"",$B77,$A77)</f>
        <v/>
      </c>
      <c r="X77">
        <f>IF(COUNTA($A77:$U77)=0,"",IF(OR($B77&lt;&gt;"",$O77&lt;&gt;""),"Dependent","Employee"))</f>
        <v/>
      </c>
      <c r="Y77">
        <f>IF(COUNTA($A77:$U77)=0,"",IF($A77="","Employee SSN is required; ","")&amp;IF($C77="","First Name is required; ","")&amp;IF(LEN($C77&amp;"")&gt;19,"First Name exceeds 19 characters; ","")&amp;IF(AND($C77&lt;&gt;"",SUMPRODUCT(--(ROW($1:$19)&lt;=LEN($C77&amp;"")),--ISERROR(FIND(MID($C77&amp;"",ROW($1:$19),1),"ABCDEFGHIJKLMNOPQRSTUVWXYZabcdefghijklmnopqrstuvwxyz .,")))&gt;0),"First Name contains unsupported or encoded characters; use plain A-Z letters only; ","")&amp;IF($D77="","Last Name is required; ","")&amp;IF(LEN($D77&amp;"")&gt;26,"Last Name exceeds 26 characters; ","")&amp;IF(AND($D77&lt;&gt;"",SUMPRODUCT(--(ROW($1:$26)&lt;=LEN($D77&amp;"")),--ISERROR(FIND(MID($D77&amp;"",ROW($1:$26),1),"ABCDEFGHIJKLMNOPQRSTUVWXYZabcdefghijklmnopqrstuvwxyz .,")))&gt;0),"Last Name contains unsupported or encoded characters; use plain A-Z letters only; ","")&amp;IF(LEN($E77&amp;"")&gt;1,"Middle Initial may contain only one character; ","")&amp;IF(AND($E77&lt;&gt;"",SUMPRODUCT(--(ROW($1:$1)&lt;=LEN($E77&amp;"")),--ISERROR(FIND(MID($E77&amp;"",ROW($1:$1),1),"ABCDEFGHIJKLMNOPQRSTUVWXYZabcdefghijklmnopqrstuvwxyz .,")))&gt;0),"Middle Initial must be a plain A-Z letter; ","")&amp;IF($F77="","Address is required; ","")&amp;IF(LEN($F77&amp;"")&gt;75,"Address exceeds 75 characters; ","")&amp;IF(LEN($G77&amp;"")&gt;75,"Address 2 exceeds 75 characters; ","")&amp;IF($H77="","City is required; ","")&amp;IF(LEN($H77&amp;"")&gt;30,"City exceeds 30 characters; ","")&amp;IF($K77="","Country is required; ","")&amp;IF(AND($K77&lt;&gt;"",$K77&lt;&gt;"US",$K77&lt;&gt;"CA"),"Country must be US or CA; ","")&amp;IF(AND($K77="US",OR($I77="",LEN($I77&amp;"")&lt;&gt;2)),"Use a 2-letter state code; ","")&amp;IF($J77="","ZIP or postal code is required; ","")&amp;IF(AND($K77="US",$J77&lt;&gt;"",NOT(IFERROR(OR(AND(LEN($J77&amp;"")=5,ISNUMBER(--($J77&amp;""))),AND(LEN($J77&amp;"")=9,ISNUMBER(--($J77&amp;""))),AND(LEN($J77&amp;"")=10,MID($J77&amp;"",6,1)="-",ISNUMBER(--SUBSTITUTE($J77&amp;"","-","")))),FALSE))),"US ZIP must be 5 or 9 digits, with an optional ZIP+4 hyphen; ","")&amp;IF(AND($N77&lt;&gt;"",NOT(IFERROR(AND(ISNUMBER(SEARCH("@",$N77)),ISNUMBER(SEARCH(".",$N77,SEARCH("@",$N77)+2))),FALSE))),"Email format appears invalid; ","")&amp;IF(AND($O77&lt;&gt;"",$B77=""),"Dependent SSN is required for every dependent; ","")&amp;IF(AND($B77&lt;&gt;"",$O77=""),"Dependent Relationship is required when Dependent SSN is entered; ","")&amp;IF(AND($O77&lt;&gt;"",$O77&lt;&gt;"Spouse or Common Law Spouse",$O77&lt;&gt;"Domestic Partner",$O77&lt;&gt;"Child",$O77&lt;&gt;"Other",$O77&lt;&gt;"Estate",$O77&lt;&gt;"Unknown"),"Dependent Relationship must use one of the approved options; ",""))</f>
        <v/>
      </c>
      <c r="Z77">
        <f>IF(COUNTA($A77:$U77)=0,"",IF(AND($A77&lt;&gt;"",NOT(IFERROR(AND(LEN($A77&amp;"")=9,ISNUMBER(--($A77&amp;""))),FALSE))),"Employee SSN must contain exactly 9 digits; ","")&amp;IF(AND($A77&lt;&gt;"",OR($A77="123456789",$A77="987654321",$A77="012345678",$A77=REPT(LEFT($A77&amp;"",1),9))),"Employee SSN appears to be a placeholder; ","")&amp;IF(AND($B77&lt;&gt;"",NOT(IFERROR(AND(LEN($B77&amp;"")=9,ISNUMBER(--($B77&amp;""))),FALSE))),"Dependent SSN must contain exactly 9 digits; ","")&amp;IF(AND($B77&lt;&gt;"",OR($B77="123456789",$B77="987654321",$B77="012345678",$B77=REPT(LEFT($B77&amp;"",1),9))),"Dependent SSN appears to be a placeholder; ","")&amp;IF(AND($A77&lt;&gt;"",$B77&lt;&gt;"",$A77&amp;""=$B77&amp;""),"Dependent SSN cannot match Employee SSN; ","")&amp;IF(AND($W77&lt;&gt;"",OR(COUNTIFS($W$2:$W$501,$W77,$C$2:$C$501,"&lt;&gt;"&amp;$C77)&gt;0,COUNTIFS($W$2:$W$501,$W77,$D$2:$D$501,"&lt;&gt;"&amp;$D77)&gt;0,COUNTIFS($W$2:$W$501,$W77,$L$2:$L$501,"&lt;&gt;"&amp;$L77)&gt;0)),"The same SSN is associated with a different name or birthdate; ",""))</f>
        <v/>
      </c>
      <c r="AA77">
        <f>IF(COUNTA($A77:$U77)=0,"",IF(AND($A77&lt;&gt;"",$S77&lt;&gt;"",COUNTIFS($A$2:$A$501,$A77,$S$2:$S$501,$S77,$B$2:$B$501,"",$O$2:$O$501,"")=0),"Add an employee row for this household and plan; ","")&amp;IF(AND($X77="Dependent",COUNTIFS($A$2:$A77,$A77,$S$2:$S77,$S77,$B$2:$B77,"",$O$2:$O77,"")=0),"Place the employee row before dependent rows for this plan; ","")&amp;IF(AND($X77="Dependent",COUNTIFS($A$2:$A$501,$A77,$S$2:$S$501,$S77,$B$2:$B$501,"",$O$2:$O$501,"")&gt;0,IFERROR(OR($P77&lt;&gt;LOOKUP(2,1/(($A$2:$A$501=$A77)*($S$2:$S$501=$S77)*($B$2:$B$501="")*($O$2:$O$501="")),$P$2:$P$501),$Q77&lt;&gt;LOOKUP(2,1/(($A$2:$A$501=$A77)*($S$2:$S$501=$S77)*($B$2:$B$501="")*($O$2:$O$501="")),$Q$2:$Q$501),$R77&lt;&gt;LOOKUP(2,1/(($A$2:$A$501=$A77)*($S$2:$S$501=$S77)*($B$2:$B$501="")*($O$2:$O$501="")),$R$2:$R$501),$T77&lt;&gt;LOOKUP(2,1/(($A$2:$A$501=$A77)*($S$2:$S$501=$S77)*($B$2:$B$501="")*($O$2:$O$501="")),$T$2:$T$501),$U77&lt;&gt;LOOKUP(2,1/(($A$2:$A$501=$A77)*($S$2:$S$501=$S77)*($B$2:$B$501="")*($O$2:$O$501="")),$U$2:$U$501)),FALSE)),"Dependent row does not match the employee row for eligibility, status, coverage level, or funding; ",""))</f>
        <v/>
      </c>
      <c r="AB77">
        <f>IF(COUNTA($A77:$U77)=0,"",IF($L77="","Birthdate is required; ","")&amp;IF(AND($L77&lt;&gt;"",OR(NOT(ISNUMBER($L77)),$L77&lt;=DATE(1900,1,1),$L77&gt;TODAY())),"Birthdate must be an exact valid past date; ","")&amp;IF($P77="","Eligibility Date is required; ","")&amp;IF(AND($P77&lt;&gt;"",OR(NOT(ISNUMBER($P77)),$P77&lt;=DATE(1900,1,1))),"Eligibility Date must be a valid date; ","")&amp;IF(AND($R77="Terminated",$Q77=""),"Termination Date is required when Status is Terminated; ","")&amp;IF(AND($Q77&lt;&gt;"",OR(NOT(ISNUMBER($Q77)),$Q77&lt;=DATE(1900,1,1))),"Termination Date must be a valid date; ","")&amp;IF(AND(ISNUMBER($P77),ISNUMBER($Q77),$Q77&lt;$P77),"Termination Date cannot be before Eligibility Date; ","")&amp;IF($R77="","Status is required; ","")&amp;IF(AND($R77&lt;&gt;"",$R77&lt;&gt;"Active",$R77&lt;&gt;"Terminated"),"Status must be Active or Terminated; ","")&amp;IF(AND('START HERE'!$C$8="Terminations Only",$R77&lt;&gt;"Terminated"),"Terminations Only files must contain terminated records; ",""))</f>
        <v/>
      </c>
      <c r="AC77">
        <f>IF(COUNTA($A77:$U77)=0,"",IF($S77="","Plan Name is required; ","")&amp;IF($T77="","Benefit Coverage Level is required; ","")&amp;IF(AND($U77&lt;&gt;"",OR(NOT(ISNUMBER($U77)),$U77&lt;0)),"Plan Funding Amount must be a nonnegative number; ","")&amp;IF(AND($A77&lt;&gt;"",$S77&lt;&gt;"",COUNTIFS($A$2:$A$501,$A77,$B$2:$B$501,$B77,$S$2:$S$501,$S77)&gt;1),"Duplicate participant and plan row; ",""))</f>
        <v/>
      </c>
      <c r="AD77">
        <f>IF(COUNTA($A77:$U77)=0,"",IF(AND($X77="Employee",$M77="",$N77=""),"No employee phone or email provided; ","")&amp;IF(AND($R77="Active",$Q77&lt;&gt;""),"Active record includes a Termination Date; confirm this is intentional; ","")&amp;IF(AND($B77&lt;&gt;"",$B77&amp;""&lt;&gt;$A77&amp;"",COUNTIF($A$2:$A$501,$B77)&gt;0),"Dependent SSN also appears as an Employee SSN elsewhere; confirm dual-employee coverage is intentional; ","")&amp;IF(AND($B77&lt;&gt;"",COUNTIF($B$2:$B$501,$B77)&gt;COUNTIFS($A$2:$A$501,$A77,$B$2:$B$501,$B77)),"Dependent SSN appears under more than one employee; confirm duplicate family coverage is intentional; ","")&amp;IF(AND(ROW()&gt;2,$A77&lt;&gt;"",$A77&lt;&gt;$A76,COUNTIF($A$2:$A76,$A77)&gt;0),"This household appears in more than one section of the census; keep the family together; ","")&amp;IF(OR(AND($C77&lt;&gt;"",LEN($C77&amp;"")&lt;&gt;LEN(TRIM($C77&amp;""))),AND($D77&lt;&gt;"",LEN($D77&amp;"")&lt;&gt;LEN(TRIM($D77&amp;""))),AND($E77&lt;&gt;"",LEN($E77&amp;"")&lt;&gt;LEN(TRIM($E77&amp;""))),AND($F77&lt;&gt;"",LEN($F77&amp;"")&lt;&gt;LEN(TRIM($F77&amp;""))),AND($G77&lt;&gt;"",LEN($G77&amp;"")&lt;&gt;LEN(TRIM($G77&amp;""))),AND($H77&lt;&gt;"",LEN($H77&amp;"")&lt;&gt;LEN(TRIM($H77&amp;""))),AND($I77&lt;&gt;"",LEN($I77&amp;"")&lt;&gt;LEN(TRIM($I77&amp;""))),AND($J77&lt;&gt;"",LEN($J77&amp;"")&lt;&gt;LEN(TRIM($J77&amp;""))),AND($K77&lt;&gt;"",LEN($K77&amp;"")&lt;&gt;LEN(TRIM($K77&amp;""))),AND($M77&lt;&gt;"",LEN($M77&amp;"")&lt;&gt;LEN(TRIM($M77&amp;""))),AND($N77&lt;&gt;"",LEN($N77&amp;"")&lt;&gt;LEN(TRIM($N77&amp;""))),AND($O77&lt;&gt;"",LEN($O77&amp;"")&lt;&gt;LEN(TRIM($O77&amp;""))),AND($R77&lt;&gt;"",LEN($R77&amp;"")&lt;&gt;LEN(TRIM($R77&amp;""))),AND($S77&lt;&gt;"",LEN($S77&amp;"")&lt;&gt;LEN(TRIM($S77&amp;""))),AND($T77&lt;&gt;"",LEN($T77&amp;"")&lt;&gt;LEN(TRIM($T77&amp;"")))),"Remove leading or trailing spaces from text fields; ","")&amp;IF(OR(AND(LEN($C77)&gt;1,OR(EXACT($C77,UPPER($C77)),EXACT($C77,LOWER($C77)))),AND(LEN($D77)&gt;1,OR(EXACT($D77,UPPER($D77)),EXACT($D77,LOWER($D77)))),AND(LEN($H77)&gt;1,OR(EXACT($H77,UPPER($H77)),EXACT($H77,LOWER($H77))))),"Review capitalization in First Name, Last Name, or City; ","")&amp;IF(AND($N77&lt;&gt;"",NOT(EXACT($N77,LOWER($N77)))),"Email will be standardized to lowercase in the clean output; ","")&amp;IF(AND(OR('START HERE'!$C$8="Initial Enrollment",'START HERE'!$C$8="Open Enrollment"),$R77="Terminated"),"A terminated row is included in an initial or open enrollment file; confirm this is intentional; ",""))</f>
        <v/>
      </c>
      <c r="AE77">
        <f>IF(COUNTA($A77:$U77)=0,"",IF(OR($A77="",AND($A77&lt;&gt;"",NOT(IFERROR(AND(LEN($A77&amp;"")=9,ISNUMBER(--($A77&amp;""))),FALSE))),AND($A77&lt;&gt;"",OR($A77="123456789",$A77="987654321",$A77="012345678",$A77=REPT(LEFT($A77&amp;"",1),9)))),"Employee SSN, ","")&amp;IF(OR(AND($O77&lt;&gt;"",$B77=""),AND($B77&lt;&gt;"",OR(NOT(IFERROR(AND(LEN($B77&amp;"")=9,ISNUMBER(--($B77&amp;""))),FALSE)),$B77=$A77,$B77="123456789",$B77="987654321",$B77="012345678",$B77=REPT(LEFT($B77&amp;"",1),9)))),"Dependent SSN, ","")&amp;IF(OR($C77="",LEN($C77)&gt;19,AND($C77&lt;&gt;"",SUMPRODUCT(--(ROW($1:$19)&lt;=LEN($C77&amp;"")),--ISERROR(FIND(MID($C77&amp;"",ROW($1:$19),1),"ABCDEFGHIJKLMNOPQRSTUVWXYZabcdefghijklmnopqrstuvwxyz .,")))&gt;0)),"First Name, ","")&amp;IF(OR($D77="",LEN($D77)&gt;26,AND($D77&lt;&gt;"",SUMPRODUCT(--(ROW($1:$26)&lt;=LEN($D77&amp;"")),--ISERROR(FIND(MID($D77&amp;"",ROW($1:$26),1),"ABCDEFGHIJKLMNOPQRSTUVWXYZabcdefghijklmnopqrstuvwxyz .,")))&gt;0)),"Last Name, ","")&amp;IF(OR(LEN($E77)&gt;1,AND($E77&lt;&gt;"",SUMPRODUCT(--(ROW($1:$1)&lt;=LEN($E77&amp;"")),--ISERROR(FIND(MID($E77&amp;"",ROW($1:$1),1),"ABCDEFGHIJKLMNOPQRSTUVWXYZabcdefghijklmnopqrstuvwxyz .,")))&gt;0)),"Middle Initial, ","")&amp;IF(OR($F77="",LEN($F77)&gt;75),"Address, ","")&amp;IF(OR($H77="",LEN($H77)&gt;30),"City, ","")&amp;IF(AND($K77="US",OR($I77="",LEN($I77)&lt;&gt;2)),"State, ","")&amp;IF($J77="","ZIP, ","")&amp;IF(OR($K77="",AND($K77&lt;&gt;"US",$K77&lt;&gt;"CA")),"Country, ","")&amp;IF(OR($L77="",AND($L77&lt;&gt;"",OR(NOT(ISNUMBER($L77)),$L77&lt;=DATE(1900,1,1),$L77&gt;TODAY()))),"Birthdate, ","")&amp;IF(AND($N77&lt;&gt;"",NOT(IFERROR(AND(ISNUMBER(SEARCH("@",$N77)),ISNUMBER(SEARCH(".",$N77,SEARCH("@",$N77)+2))),FALSE))),"Email, ","")&amp;IF(OR(AND($B77&lt;&gt;"",$O77=""),AND($O77&lt;&gt;"",$O77&lt;&gt;"Spouse or Common Law Spouse",$O77&lt;&gt;"Domestic Partner",$O77&lt;&gt;"Child",$O77&lt;&gt;"Other",$O77&lt;&gt;"Estate",$O77&lt;&gt;"Unknown")),"Dependent Relationship, ","")&amp;IF($AA77&lt;&gt;"","Household, ","")&amp;IF(OR($P77="",AND($P77&lt;&gt;"",OR(NOT(ISNUMBER($P77)),$P77&lt;=DATE(1900,1,1)))),"Eligibility Date, ","")&amp;IF(OR(AND($R77="Terminated",$Q77=""),AND($Q77&lt;&gt;"",OR(NOT(ISNUMBER($Q77)),$Q77&lt;=DATE(1900,1,1))),AND(ISNUMBER($P77),ISNUMBER($Q77),$Q77&lt;$P77)),"Termination Date, ","")&amp;IF(OR($R77="",AND($R77&lt;&gt;"Active",$R77&lt;&gt;"Terminated"),AND('START HERE'!$C$8="Terminations Only",$R77&lt;&gt;"Terminated")),"Status, ","")&amp;IF($S77="","Plan Name, ","")&amp;IF($T77="","Coverage Level, ","")&amp;IF(AND($U77&lt;&gt;"",OR(NOT(ISNUMBER($U77)),$U77&lt;0)),"Funding, ","")&amp;IF(AND($A77&lt;&gt;"",$S77&lt;&gt;"",COUNTIFS($A$2:$A$501,$A77,$B$2:$B$501,$B77,$S$2:$S$501,$S77)&gt;1),"Duplicate Row, ",""))</f>
        <v/>
      </c>
      <c r="AF77">
        <f>IF(COUNTA($A77:$U77)=0,"",$Y77&amp;$Z77&amp;$AA77&amp;$AB77&amp;$AC77)</f>
        <v/>
      </c>
      <c r="AG77">
        <f>IF($N77="","",LOWER(TRIM($N77)))</f>
        <v/>
      </c>
      <c r="AH77">
        <f>IF($A77="","",COUNTIFS($A$2:$A$501,$A77,$AI$2:$AI$501,1))</f>
        <v/>
      </c>
      <c r="AI77">
        <f>IF(COUNTA($A77:$U77)=0,"",--($AF77&lt;&gt;""))</f>
        <v/>
      </c>
      <c r="AJ77">
        <f>IF(COUNTA($A77:$U77)=0,"",--($AD77&lt;&gt;""))</f>
        <v/>
      </c>
    </row>
    <row r="78" ht="20" customHeight="1">
      <c r="A78" s="80" t="n"/>
      <c r="B78" s="80" t="n"/>
      <c r="C78" s="81" t="n"/>
      <c r="D78" s="81" t="n"/>
      <c r="E78" s="80" t="n"/>
      <c r="F78" s="81" t="n"/>
      <c r="G78" s="81" t="n"/>
      <c r="H78" s="81" t="n"/>
      <c r="I78" s="80" t="n"/>
      <c r="J78" s="80" t="n"/>
      <c r="K78" s="80" t="n"/>
      <c r="L78" s="82" t="n"/>
      <c r="M78" s="80" t="n"/>
      <c r="N78" s="80" t="n"/>
      <c r="O78" s="80" t="n"/>
      <c r="P78" s="82" t="n"/>
      <c r="Q78" s="82" t="n"/>
      <c r="R78" s="80" t="n"/>
      <c r="S78" s="80" t="n"/>
      <c r="T78" s="80" t="n"/>
      <c r="U78" s="83" t="n"/>
      <c r="V78">
        <f>IF($A78="","",IF($A78=$A77,$V77,IF($V77="",0,1-$V77)))</f>
        <v/>
      </c>
      <c r="W78">
        <f>IF($B78&lt;&gt;"",$B78,$A78)</f>
        <v/>
      </c>
      <c r="X78">
        <f>IF(COUNTA($A78:$U78)=0,"",IF(OR($B78&lt;&gt;"",$O78&lt;&gt;""),"Dependent","Employee"))</f>
        <v/>
      </c>
      <c r="Y78">
        <f>IF(COUNTA($A78:$U78)=0,"",IF($A78="","Employee SSN is required; ","")&amp;IF($C78="","First Name is required; ","")&amp;IF(LEN($C78&amp;"")&gt;19,"First Name exceeds 19 characters; ","")&amp;IF(AND($C78&lt;&gt;"",SUMPRODUCT(--(ROW($1:$19)&lt;=LEN($C78&amp;"")),--ISERROR(FIND(MID($C78&amp;"",ROW($1:$19),1),"ABCDEFGHIJKLMNOPQRSTUVWXYZabcdefghijklmnopqrstuvwxyz .,")))&gt;0),"First Name contains unsupported or encoded characters; use plain A-Z letters only; ","")&amp;IF($D78="","Last Name is required; ","")&amp;IF(LEN($D78&amp;"")&gt;26,"Last Name exceeds 26 characters; ","")&amp;IF(AND($D78&lt;&gt;"",SUMPRODUCT(--(ROW($1:$26)&lt;=LEN($D78&amp;"")),--ISERROR(FIND(MID($D78&amp;"",ROW($1:$26),1),"ABCDEFGHIJKLMNOPQRSTUVWXYZabcdefghijklmnopqrstuvwxyz .,")))&gt;0),"Last Name contains unsupported or encoded characters; use plain A-Z letters only; ","")&amp;IF(LEN($E78&amp;"")&gt;1,"Middle Initial may contain only one character; ","")&amp;IF(AND($E78&lt;&gt;"",SUMPRODUCT(--(ROW($1:$1)&lt;=LEN($E78&amp;"")),--ISERROR(FIND(MID($E78&amp;"",ROW($1:$1),1),"ABCDEFGHIJKLMNOPQRSTUVWXYZabcdefghijklmnopqrstuvwxyz .,")))&gt;0),"Middle Initial must be a plain A-Z letter; ","")&amp;IF($F78="","Address is required; ","")&amp;IF(LEN($F78&amp;"")&gt;75,"Address exceeds 75 characters; ","")&amp;IF(LEN($G78&amp;"")&gt;75,"Address 2 exceeds 75 characters; ","")&amp;IF($H78="","City is required; ","")&amp;IF(LEN($H78&amp;"")&gt;30,"City exceeds 30 characters; ","")&amp;IF($K78="","Country is required; ","")&amp;IF(AND($K78&lt;&gt;"",$K78&lt;&gt;"US",$K78&lt;&gt;"CA"),"Country must be US or CA; ","")&amp;IF(AND($K78="US",OR($I78="",LEN($I78&amp;"")&lt;&gt;2)),"Use a 2-letter state code; ","")&amp;IF($J78="","ZIP or postal code is required; ","")&amp;IF(AND($K78="US",$J78&lt;&gt;"",NOT(IFERROR(OR(AND(LEN($J78&amp;"")=5,ISNUMBER(--($J78&amp;""))),AND(LEN($J78&amp;"")=9,ISNUMBER(--($J78&amp;""))),AND(LEN($J78&amp;"")=10,MID($J78&amp;"",6,1)="-",ISNUMBER(--SUBSTITUTE($J78&amp;"","-","")))),FALSE))),"US ZIP must be 5 or 9 digits, with an optional ZIP+4 hyphen; ","")&amp;IF(AND($N78&lt;&gt;"",NOT(IFERROR(AND(ISNUMBER(SEARCH("@",$N78)),ISNUMBER(SEARCH(".",$N78,SEARCH("@",$N78)+2))),FALSE))),"Email format appears invalid; ","")&amp;IF(AND($O78&lt;&gt;"",$B78=""),"Dependent SSN is required for every dependent; ","")&amp;IF(AND($B78&lt;&gt;"",$O78=""),"Dependent Relationship is required when Dependent SSN is entered; ","")&amp;IF(AND($O78&lt;&gt;"",$O78&lt;&gt;"Spouse or Common Law Spouse",$O78&lt;&gt;"Domestic Partner",$O78&lt;&gt;"Child",$O78&lt;&gt;"Other",$O78&lt;&gt;"Estate",$O78&lt;&gt;"Unknown"),"Dependent Relationship must use one of the approved options; ",""))</f>
        <v/>
      </c>
      <c r="Z78">
        <f>IF(COUNTA($A78:$U78)=0,"",IF(AND($A78&lt;&gt;"",NOT(IFERROR(AND(LEN($A78&amp;"")=9,ISNUMBER(--($A78&amp;""))),FALSE))),"Employee SSN must contain exactly 9 digits; ","")&amp;IF(AND($A78&lt;&gt;"",OR($A78="123456789",$A78="987654321",$A78="012345678",$A78=REPT(LEFT($A78&amp;"",1),9))),"Employee SSN appears to be a placeholder; ","")&amp;IF(AND($B78&lt;&gt;"",NOT(IFERROR(AND(LEN($B78&amp;"")=9,ISNUMBER(--($B78&amp;""))),FALSE))),"Dependent SSN must contain exactly 9 digits; ","")&amp;IF(AND($B78&lt;&gt;"",OR($B78="123456789",$B78="987654321",$B78="012345678",$B78=REPT(LEFT($B78&amp;"",1),9))),"Dependent SSN appears to be a placeholder; ","")&amp;IF(AND($A78&lt;&gt;"",$B78&lt;&gt;"",$A78&amp;""=$B78&amp;""),"Dependent SSN cannot match Employee SSN; ","")&amp;IF(AND($W78&lt;&gt;"",OR(COUNTIFS($W$2:$W$501,$W78,$C$2:$C$501,"&lt;&gt;"&amp;$C78)&gt;0,COUNTIFS($W$2:$W$501,$W78,$D$2:$D$501,"&lt;&gt;"&amp;$D78)&gt;0,COUNTIFS($W$2:$W$501,$W78,$L$2:$L$501,"&lt;&gt;"&amp;$L78)&gt;0)),"The same SSN is associated with a different name or birthdate; ",""))</f>
        <v/>
      </c>
      <c r="AA78">
        <f>IF(COUNTA($A78:$U78)=0,"",IF(AND($A78&lt;&gt;"",$S78&lt;&gt;"",COUNTIFS($A$2:$A$501,$A78,$S$2:$S$501,$S78,$B$2:$B$501,"",$O$2:$O$501,"")=0),"Add an employee row for this household and plan; ","")&amp;IF(AND($X78="Dependent",COUNTIFS($A$2:$A78,$A78,$S$2:$S78,$S78,$B$2:$B78,"",$O$2:$O78,"")=0),"Place the employee row before dependent rows for this plan; ","")&amp;IF(AND($X78="Dependent",COUNTIFS($A$2:$A$501,$A78,$S$2:$S$501,$S78,$B$2:$B$501,"",$O$2:$O$501,"")&gt;0,IFERROR(OR($P78&lt;&gt;LOOKUP(2,1/(($A$2:$A$501=$A78)*($S$2:$S$501=$S78)*($B$2:$B$501="")*($O$2:$O$501="")),$P$2:$P$501),$Q78&lt;&gt;LOOKUP(2,1/(($A$2:$A$501=$A78)*($S$2:$S$501=$S78)*($B$2:$B$501="")*($O$2:$O$501="")),$Q$2:$Q$501),$R78&lt;&gt;LOOKUP(2,1/(($A$2:$A$501=$A78)*($S$2:$S$501=$S78)*($B$2:$B$501="")*($O$2:$O$501="")),$R$2:$R$501),$T78&lt;&gt;LOOKUP(2,1/(($A$2:$A$501=$A78)*($S$2:$S$501=$S78)*($B$2:$B$501="")*($O$2:$O$501="")),$T$2:$T$501),$U78&lt;&gt;LOOKUP(2,1/(($A$2:$A$501=$A78)*($S$2:$S$501=$S78)*($B$2:$B$501="")*($O$2:$O$501="")),$U$2:$U$501)),FALSE)),"Dependent row does not match the employee row for eligibility, status, coverage level, or funding; ",""))</f>
        <v/>
      </c>
      <c r="AB78">
        <f>IF(COUNTA($A78:$U78)=0,"",IF($L78="","Birthdate is required; ","")&amp;IF(AND($L78&lt;&gt;"",OR(NOT(ISNUMBER($L78)),$L78&lt;=DATE(1900,1,1),$L78&gt;TODAY())),"Birthdate must be an exact valid past date; ","")&amp;IF($P78="","Eligibility Date is required; ","")&amp;IF(AND($P78&lt;&gt;"",OR(NOT(ISNUMBER($P78)),$P78&lt;=DATE(1900,1,1))),"Eligibility Date must be a valid date; ","")&amp;IF(AND($R78="Terminated",$Q78=""),"Termination Date is required when Status is Terminated; ","")&amp;IF(AND($Q78&lt;&gt;"",OR(NOT(ISNUMBER($Q78)),$Q78&lt;=DATE(1900,1,1))),"Termination Date must be a valid date; ","")&amp;IF(AND(ISNUMBER($P78),ISNUMBER($Q78),$Q78&lt;$P78),"Termination Date cannot be before Eligibility Date; ","")&amp;IF($R78="","Status is required; ","")&amp;IF(AND($R78&lt;&gt;"",$R78&lt;&gt;"Active",$R78&lt;&gt;"Terminated"),"Status must be Active or Terminated; ","")&amp;IF(AND('START HERE'!$C$8="Terminations Only",$R78&lt;&gt;"Terminated"),"Terminations Only files must contain terminated records; ",""))</f>
        <v/>
      </c>
      <c r="AC78">
        <f>IF(COUNTA($A78:$U78)=0,"",IF($S78="","Plan Name is required; ","")&amp;IF($T78="","Benefit Coverage Level is required; ","")&amp;IF(AND($U78&lt;&gt;"",OR(NOT(ISNUMBER($U78)),$U78&lt;0)),"Plan Funding Amount must be a nonnegative number; ","")&amp;IF(AND($A78&lt;&gt;"",$S78&lt;&gt;"",COUNTIFS($A$2:$A$501,$A78,$B$2:$B$501,$B78,$S$2:$S$501,$S78)&gt;1),"Duplicate participant and plan row; ",""))</f>
        <v/>
      </c>
      <c r="AD78">
        <f>IF(COUNTA($A78:$U78)=0,"",IF(AND($X78="Employee",$M78="",$N78=""),"No employee phone or email provided; ","")&amp;IF(AND($R78="Active",$Q78&lt;&gt;""),"Active record includes a Termination Date; confirm this is intentional; ","")&amp;IF(AND($B78&lt;&gt;"",$B78&amp;""&lt;&gt;$A78&amp;"",COUNTIF($A$2:$A$501,$B78)&gt;0),"Dependent SSN also appears as an Employee SSN elsewhere; confirm dual-employee coverage is intentional; ","")&amp;IF(AND($B78&lt;&gt;"",COUNTIF($B$2:$B$501,$B78)&gt;COUNTIFS($A$2:$A$501,$A78,$B$2:$B$501,$B78)),"Dependent SSN appears under more than one employee; confirm duplicate family coverage is intentional; ","")&amp;IF(AND(ROW()&gt;2,$A78&lt;&gt;"",$A78&lt;&gt;$A77,COUNTIF($A$2:$A77,$A78)&gt;0),"This household appears in more than one section of the census; keep the family together; ","")&amp;IF(OR(AND($C78&lt;&gt;"",LEN($C78&amp;"")&lt;&gt;LEN(TRIM($C78&amp;""))),AND($D78&lt;&gt;"",LEN($D78&amp;"")&lt;&gt;LEN(TRIM($D78&amp;""))),AND($E78&lt;&gt;"",LEN($E78&amp;"")&lt;&gt;LEN(TRIM($E78&amp;""))),AND($F78&lt;&gt;"",LEN($F78&amp;"")&lt;&gt;LEN(TRIM($F78&amp;""))),AND($G78&lt;&gt;"",LEN($G78&amp;"")&lt;&gt;LEN(TRIM($G78&amp;""))),AND($H78&lt;&gt;"",LEN($H78&amp;"")&lt;&gt;LEN(TRIM($H78&amp;""))),AND($I78&lt;&gt;"",LEN($I78&amp;"")&lt;&gt;LEN(TRIM($I78&amp;""))),AND($J78&lt;&gt;"",LEN($J78&amp;"")&lt;&gt;LEN(TRIM($J78&amp;""))),AND($K78&lt;&gt;"",LEN($K78&amp;"")&lt;&gt;LEN(TRIM($K78&amp;""))),AND($M78&lt;&gt;"",LEN($M78&amp;"")&lt;&gt;LEN(TRIM($M78&amp;""))),AND($N78&lt;&gt;"",LEN($N78&amp;"")&lt;&gt;LEN(TRIM($N78&amp;""))),AND($O78&lt;&gt;"",LEN($O78&amp;"")&lt;&gt;LEN(TRIM($O78&amp;""))),AND($R78&lt;&gt;"",LEN($R78&amp;"")&lt;&gt;LEN(TRIM($R78&amp;""))),AND($S78&lt;&gt;"",LEN($S78&amp;"")&lt;&gt;LEN(TRIM($S78&amp;""))),AND($T78&lt;&gt;"",LEN($T78&amp;"")&lt;&gt;LEN(TRIM($T78&amp;"")))),"Remove leading or trailing spaces from text fields; ","")&amp;IF(OR(AND(LEN($C78)&gt;1,OR(EXACT($C78,UPPER($C78)),EXACT($C78,LOWER($C78)))),AND(LEN($D78)&gt;1,OR(EXACT($D78,UPPER($D78)),EXACT($D78,LOWER($D78)))),AND(LEN($H78)&gt;1,OR(EXACT($H78,UPPER($H78)),EXACT($H78,LOWER($H78))))),"Review capitalization in First Name, Last Name, or City; ","")&amp;IF(AND($N78&lt;&gt;"",NOT(EXACT($N78,LOWER($N78)))),"Email will be standardized to lowercase in the clean output; ","")&amp;IF(AND(OR('START HERE'!$C$8="Initial Enrollment",'START HERE'!$C$8="Open Enrollment"),$R78="Terminated"),"A terminated row is included in an initial or open enrollment file; confirm this is intentional; ",""))</f>
        <v/>
      </c>
      <c r="AE78">
        <f>IF(COUNTA($A78:$U78)=0,"",IF(OR($A78="",AND($A78&lt;&gt;"",NOT(IFERROR(AND(LEN($A78&amp;"")=9,ISNUMBER(--($A78&amp;""))),FALSE))),AND($A78&lt;&gt;"",OR($A78="123456789",$A78="987654321",$A78="012345678",$A78=REPT(LEFT($A78&amp;"",1),9)))),"Employee SSN, ","")&amp;IF(OR(AND($O78&lt;&gt;"",$B78=""),AND($B78&lt;&gt;"",OR(NOT(IFERROR(AND(LEN($B78&amp;"")=9,ISNUMBER(--($B78&amp;""))),FALSE)),$B78=$A78,$B78="123456789",$B78="987654321",$B78="012345678",$B78=REPT(LEFT($B78&amp;"",1),9)))),"Dependent SSN, ","")&amp;IF(OR($C78="",LEN($C78)&gt;19,AND($C78&lt;&gt;"",SUMPRODUCT(--(ROW($1:$19)&lt;=LEN($C78&amp;"")),--ISERROR(FIND(MID($C78&amp;"",ROW($1:$19),1),"ABCDEFGHIJKLMNOPQRSTUVWXYZabcdefghijklmnopqrstuvwxyz .,")))&gt;0)),"First Name, ","")&amp;IF(OR($D78="",LEN($D78)&gt;26,AND($D78&lt;&gt;"",SUMPRODUCT(--(ROW($1:$26)&lt;=LEN($D78&amp;"")),--ISERROR(FIND(MID($D78&amp;"",ROW($1:$26),1),"ABCDEFGHIJKLMNOPQRSTUVWXYZabcdefghijklmnopqrstuvwxyz .,")))&gt;0)),"Last Name, ","")&amp;IF(OR(LEN($E78)&gt;1,AND($E78&lt;&gt;"",SUMPRODUCT(--(ROW($1:$1)&lt;=LEN($E78&amp;"")),--ISERROR(FIND(MID($E78&amp;"",ROW($1:$1),1),"ABCDEFGHIJKLMNOPQRSTUVWXYZabcdefghijklmnopqrstuvwxyz .,")))&gt;0)),"Middle Initial, ","")&amp;IF(OR($F78="",LEN($F78)&gt;75),"Address, ","")&amp;IF(OR($H78="",LEN($H78)&gt;30),"City, ","")&amp;IF(AND($K78="US",OR($I78="",LEN($I78)&lt;&gt;2)),"State, ","")&amp;IF($J78="","ZIP, ","")&amp;IF(OR($K78="",AND($K78&lt;&gt;"US",$K78&lt;&gt;"CA")),"Country, ","")&amp;IF(OR($L78="",AND($L78&lt;&gt;"",OR(NOT(ISNUMBER($L78)),$L78&lt;=DATE(1900,1,1),$L78&gt;TODAY()))),"Birthdate, ","")&amp;IF(AND($N78&lt;&gt;"",NOT(IFERROR(AND(ISNUMBER(SEARCH("@",$N78)),ISNUMBER(SEARCH(".",$N78,SEARCH("@",$N78)+2))),FALSE))),"Email, ","")&amp;IF(OR(AND($B78&lt;&gt;"",$O78=""),AND($O78&lt;&gt;"",$O78&lt;&gt;"Spouse or Common Law Spouse",$O78&lt;&gt;"Domestic Partner",$O78&lt;&gt;"Child",$O78&lt;&gt;"Other",$O78&lt;&gt;"Estate",$O78&lt;&gt;"Unknown")),"Dependent Relationship, ","")&amp;IF($AA78&lt;&gt;"","Household, ","")&amp;IF(OR($P78="",AND($P78&lt;&gt;"",OR(NOT(ISNUMBER($P78)),$P78&lt;=DATE(1900,1,1)))),"Eligibility Date, ","")&amp;IF(OR(AND($R78="Terminated",$Q78=""),AND($Q78&lt;&gt;"",OR(NOT(ISNUMBER($Q78)),$Q78&lt;=DATE(1900,1,1))),AND(ISNUMBER($P78),ISNUMBER($Q78),$Q78&lt;$P78)),"Termination Date, ","")&amp;IF(OR($R78="",AND($R78&lt;&gt;"Active",$R78&lt;&gt;"Terminated"),AND('START HERE'!$C$8="Terminations Only",$R78&lt;&gt;"Terminated")),"Status, ","")&amp;IF($S78="","Plan Name, ","")&amp;IF($T78="","Coverage Level, ","")&amp;IF(AND($U78&lt;&gt;"",OR(NOT(ISNUMBER($U78)),$U78&lt;0)),"Funding, ","")&amp;IF(AND($A78&lt;&gt;"",$S78&lt;&gt;"",COUNTIFS($A$2:$A$501,$A78,$B$2:$B$501,$B78,$S$2:$S$501,$S78)&gt;1),"Duplicate Row, ",""))</f>
        <v/>
      </c>
      <c r="AF78">
        <f>IF(COUNTA($A78:$U78)=0,"",$Y78&amp;$Z78&amp;$AA78&amp;$AB78&amp;$AC78)</f>
        <v/>
      </c>
      <c r="AG78">
        <f>IF($N78="","",LOWER(TRIM($N78)))</f>
        <v/>
      </c>
      <c r="AH78">
        <f>IF($A78="","",COUNTIFS($A$2:$A$501,$A78,$AI$2:$AI$501,1))</f>
        <v/>
      </c>
      <c r="AI78">
        <f>IF(COUNTA($A78:$U78)=0,"",--($AF78&lt;&gt;""))</f>
        <v/>
      </c>
      <c r="AJ78">
        <f>IF(COUNTA($A78:$U78)=0,"",--($AD78&lt;&gt;""))</f>
        <v/>
      </c>
    </row>
    <row r="79" ht="20" customHeight="1">
      <c r="A79" s="80" t="n"/>
      <c r="B79" s="80" t="n"/>
      <c r="C79" s="81" t="n"/>
      <c r="D79" s="81" t="n"/>
      <c r="E79" s="80" t="n"/>
      <c r="F79" s="81" t="n"/>
      <c r="G79" s="81" t="n"/>
      <c r="H79" s="81" t="n"/>
      <c r="I79" s="80" t="n"/>
      <c r="J79" s="80" t="n"/>
      <c r="K79" s="80" t="n"/>
      <c r="L79" s="82" t="n"/>
      <c r="M79" s="80" t="n"/>
      <c r="N79" s="80" t="n"/>
      <c r="O79" s="80" t="n"/>
      <c r="P79" s="82" t="n"/>
      <c r="Q79" s="82" t="n"/>
      <c r="R79" s="80" t="n"/>
      <c r="S79" s="80" t="n"/>
      <c r="T79" s="80" t="n"/>
      <c r="U79" s="83" t="n"/>
      <c r="V79">
        <f>IF($A79="","",IF($A79=$A78,$V78,IF($V78="",0,1-$V78)))</f>
        <v/>
      </c>
      <c r="W79">
        <f>IF($B79&lt;&gt;"",$B79,$A79)</f>
        <v/>
      </c>
      <c r="X79">
        <f>IF(COUNTA($A79:$U79)=0,"",IF(OR($B79&lt;&gt;"",$O79&lt;&gt;""),"Dependent","Employee"))</f>
        <v/>
      </c>
      <c r="Y79">
        <f>IF(COUNTA($A79:$U79)=0,"",IF($A79="","Employee SSN is required; ","")&amp;IF($C79="","First Name is required; ","")&amp;IF(LEN($C79&amp;"")&gt;19,"First Name exceeds 19 characters; ","")&amp;IF(AND($C79&lt;&gt;"",SUMPRODUCT(--(ROW($1:$19)&lt;=LEN($C79&amp;"")),--ISERROR(FIND(MID($C79&amp;"",ROW($1:$19),1),"ABCDEFGHIJKLMNOPQRSTUVWXYZabcdefghijklmnopqrstuvwxyz .,")))&gt;0),"First Name contains unsupported or encoded characters; use plain A-Z letters only; ","")&amp;IF($D79="","Last Name is required; ","")&amp;IF(LEN($D79&amp;"")&gt;26,"Last Name exceeds 26 characters; ","")&amp;IF(AND($D79&lt;&gt;"",SUMPRODUCT(--(ROW($1:$26)&lt;=LEN($D79&amp;"")),--ISERROR(FIND(MID($D79&amp;"",ROW($1:$26),1),"ABCDEFGHIJKLMNOPQRSTUVWXYZabcdefghijklmnopqrstuvwxyz .,")))&gt;0),"Last Name contains unsupported or encoded characters; use plain A-Z letters only; ","")&amp;IF(LEN($E79&amp;"")&gt;1,"Middle Initial may contain only one character; ","")&amp;IF(AND($E79&lt;&gt;"",SUMPRODUCT(--(ROW($1:$1)&lt;=LEN($E79&amp;"")),--ISERROR(FIND(MID($E79&amp;"",ROW($1:$1),1),"ABCDEFGHIJKLMNOPQRSTUVWXYZabcdefghijklmnopqrstuvwxyz .,")))&gt;0),"Middle Initial must be a plain A-Z letter; ","")&amp;IF($F79="","Address is required; ","")&amp;IF(LEN($F79&amp;"")&gt;75,"Address exceeds 75 characters; ","")&amp;IF(LEN($G79&amp;"")&gt;75,"Address 2 exceeds 75 characters; ","")&amp;IF($H79="","City is required; ","")&amp;IF(LEN($H79&amp;"")&gt;30,"City exceeds 30 characters; ","")&amp;IF($K79="","Country is required; ","")&amp;IF(AND($K79&lt;&gt;"",$K79&lt;&gt;"US",$K79&lt;&gt;"CA"),"Country must be US or CA; ","")&amp;IF(AND($K79="US",OR($I79="",LEN($I79&amp;"")&lt;&gt;2)),"Use a 2-letter state code; ","")&amp;IF($J79="","ZIP or postal code is required; ","")&amp;IF(AND($K79="US",$J79&lt;&gt;"",NOT(IFERROR(OR(AND(LEN($J79&amp;"")=5,ISNUMBER(--($J79&amp;""))),AND(LEN($J79&amp;"")=9,ISNUMBER(--($J79&amp;""))),AND(LEN($J79&amp;"")=10,MID($J79&amp;"",6,1)="-",ISNUMBER(--SUBSTITUTE($J79&amp;"","-","")))),FALSE))),"US ZIP must be 5 or 9 digits, with an optional ZIP+4 hyphen; ","")&amp;IF(AND($N79&lt;&gt;"",NOT(IFERROR(AND(ISNUMBER(SEARCH("@",$N79)),ISNUMBER(SEARCH(".",$N79,SEARCH("@",$N79)+2))),FALSE))),"Email format appears invalid; ","")&amp;IF(AND($O79&lt;&gt;"",$B79=""),"Dependent SSN is required for every dependent; ","")&amp;IF(AND($B79&lt;&gt;"",$O79=""),"Dependent Relationship is required when Dependent SSN is entered; ","")&amp;IF(AND($O79&lt;&gt;"",$O79&lt;&gt;"Spouse or Common Law Spouse",$O79&lt;&gt;"Domestic Partner",$O79&lt;&gt;"Child",$O79&lt;&gt;"Other",$O79&lt;&gt;"Estate",$O79&lt;&gt;"Unknown"),"Dependent Relationship must use one of the approved options; ",""))</f>
        <v/>
      </c>
      <c r="Z79">
        <f>IF(COUNTA($A79:$U79)=0,"",IF(AND($A79&lt;&gt;"",NOT(IFERROR(AND(LEN($A79&amp;"")=9,ISNUMBER(--($A79&amp;""))),FALSE))),"Employee SSN must contain exactly 9 digits; ","")&amp;IF(AND($A79&lt;&gt;"",OR($A79="123456789",$A79="987654321",$A79="012345678",$A79=REPT(LEFT($A79&amp;"",1),9))),"Employee SSN appears to be a placeholder; ","")&amp;IF(AND($B79&lt;&gt;"",NOT(IFERROR(AND(LEN($B79&amp;"")=9,ISNUMBER(--($B79&amp;""))),FALSE))),"Dependent SSN must contain exactly 9 digits; ","")&amp;IF(AND($B79&lt;&gt;"",OR($B79="123456789",$B79="987654321",$B79="012345678",$B79=REPT(LEFT($B79&amp;"",1),9))),"Dependent SSN appears to be a placeholder; ","")&amp;IF(AND($A79&lt;&gt;"",$B79&lt;&gt;"",$A79&amp;""=$B79&amp;""),"Dependent SSN cannot match Employee SSN; ","")&amp;IF(AND($W79&lt;&gt;"",OR(COUNTIFS($W$2:$W$501,$W79,$C$2:$C$501,"&lt;&gt;"&amp;$C79)&gt;0,COUNTIFS($W$2:$W$501,$W79,$D$2:$D$501,"&lt;&gt;"&amp;$D79)&gt;0,COUNTIFS($W$2:$W$501,$W79,$L$2:$L$501,"&lt;&gt;"&amp;$L79)&gt;0)),"The same SSN is associated with a different name or birthdate; ",""))</f>
        <v/>
      </c>
      <c r="AA79">
        <f>IF(COUNTA($A79:$U79)=0,"",IF(AND($A79&lt;&gt;"",$S79&lt;&gt;"",COUNTIFS($A$2:$A$501,$A79,$S$2:$S$501,$S79,$B$2:$B$501,"",$O$2:$O$501,"")=0),"Add an employee row for this household and plan; ","")&amp;IF(AND($X79="Dependent",COUNTIFS($A$2:$A79,$A79,$S$2:$S79,$S79,$B$2:$B79,"",$O$2:$O79,"")=0),"Place the employee row before dependent rows for this plan; ","")&amp;IF(AND($X79="Dependent",COUNTIFS($A$2:$A$501,$A79,$S$2:$S$501,$S79,$B$2:$B$501,"",$O$2:$O$501,"")&gt;0,IFERROR(OR($P79&lt;&gt;LOOKUP(2,1/(($A$2:$A$501=$A79)*($S$2:$S$501=$S79)*($B$2:$B$501="")*($O$2:$O$501="")),$P$2:$P$501),$Q79&lt;&gt;LOOKUP(2,1/(($A$2:$A$501=$A79)*($S$2:$S$501=$S79)*($B$2:$B$501="")*($O$2:$O$501="")),$Q$2:$Q$501),$R79&lt;&gt;LOOKUP(2,1/(($A$2:$A$501=$A79)*($S$2:$S$501=$S79)*($B$2:$B$501="")*($O$2:$O$501="")),$R$2:$R$501),$T79&lt;&gt;LOOKUP(2,1/(($A$2:$A$501=$A79)*($S$2:$S$501=$S79)*($B$2:$B$501="")*($O$2:$O$501="")),$T$2:$T$501),$U79&lt;&gt;LOOKUP(2,1/(($A$2:$A$501=$A79)*($S$2:$S$501=$S79)*($B$2:$B$501="")*($O$2:$O$501="")),$U$2:$U$501)),FALSE)),"Dependent row does not match the employee row for eligibility, status, coverage level, or funding; ",""))</f>
        <v/>
      </c>
      <c r="AB79">
        <f>IF(COUNTA($A79:$U79)=0,"",IF($L79="","Birthdate is required; ","")&amp;IF(AND($L79&lt;&gt;"",OR(NOT(ISNUMBER($L79)),$L79&lt;=DATE(1900,1,1),$L79&gt;TODAY())),"Birthdate must be an exact valid past date; ","")&amp;IF($P79="","Eligibility Date is required; ","")&amp;IF(AND($P79&lt;&gt;"",OR(NOT(ISNUMBER($P79)),$P79&lt;=DATE(1900,1,1))),"Eligibility Date must be a valid date; ","")&amp;IF(AND($R79="Terminated",$Q79=""),"Termination Date is required when Status is Terminated; ","")&amp;IF(AND($Q79&lt;&gt;"",OR(NOT(ISNUMBER($Q79)),$Q79&lt;=DATE(1900,1,1))),"Termination Date must be a valid date; ","")&amp;IF(AND(ISNUMBER($P79),ISNUMBER($Q79),$Q79&lt;$P79),"Termination Date cannot be before Eligibility Date; ","")&amp;IF($R79="","Status is required; ","")&amp;IF(AND($R79&lt;&gt;"",$R79&lt;&gt;"Active",$R79&lt;&gt;"Terminated"),"Status must be Active or Terminated; ","")&amp;IF(AND('START HERE'!$C$8="Terminations Only",$R79&lt;&gt;"Terminated"),"Terminations Only files must contain terminated records; ",""))</f>
        <v/>
      </c>
      <c r="AC79">
        <f>IF(COUNTA($A79:$U79)=0,"",IF($S79="","Plan Name is required; ","")&amp;IF($T79="","Benefit Coverage Level is required; ","")&amp;IF(AND($U79&lt;&gt;"",OR(NOT(ISNUMBER($U79)),$U79&lt;0)),"Plan Funding Amount must be a nonnegative number; ","")&amp;IF(AND($A79&lt;&gt;"",$S79&lt;&gt;"",COUNTIFS($A$2:$A$501,$A79,$B$2:$B$501,$B79,$S$2:$S$501,$S79)&gt;1),"Duplicate participant and plan row; ",""))</f>
        <v/>
      </c>
      <c r="AD79">
        <f>IF(COUNTA($A79:$U79)=0,"",IF(AND($X79="Employee",$M79="",$N79=""),"No employee phone or email provided; ","")&amp;IF(AND($R79="Active",$Q79&lt;&gt;""),"Active record includes a Termination Date; confirm this is intentional; ","")&amp;IF(AND($B79&lt;&gt;"",$B79&amp;""&lt;&gt;$A79&amp;"",COUNTIF($A$2:$A$501,$B79)&gt;0),"Dependent SSN also appears as an Employee SSN elsewhere; confirm dual-employee coverage is intentional; ","")&amp;IF(AND($B79&lt;&gt;"",COUNTIF($B$2:$B$501,$B79)&gt;COUNTIFS($A$2:$A$501,$A79,$B$2:$B$501,$B79)),"Dependent SSN appears under more than one employee; confirm duplicate family coverage is intentional; ","")&amp;IF(AND(ROW()&gt;2,$A79&lt;&gt;"",$A79&lt;&gt;$A78,COUNTIF($A$2:$A78,$A79)&gt;0),"This household appears in more than one section of the census; keep the family together; ","")&amp;IF(OR(AND($C79&lt;&gt;"",LEN($C79&amp;"")&lt;&gt;LEN(TRIM($C79&amp;""))),AND($D79&lt;&gt;"",LEN($D79&amp;"")&lt;&gt;LEN(TRIM($D79&amp;""))),AND($E79&lt;&gt;"",LEN($E79&amp;"")&lt;&gt;LEN(TRIM($E79&amp;""))),AND($F79&lt;&gt;"",LEN($F79&amp;"")&lt;&gt;LEN(TRIM($F79&amp;""))),AND($G79&lt;&gt;"",LEN($G79&amp;"")&lt;&gt;LEN(TRIM($G79&amp;""))),AND($H79&lt;&gt;"",LEN($H79&amp;"")&lt;&gt;LEN(TRIM($H79&amp;""))),AND($I79&lt;&gt;"",LEN($I79&amp;"")&lt;&gt;LEN(TRIM($I79&amp;""))),AND($J79&lt;&gt;"",LEN($J79&amp;"")&lt;&gt;LEN(TRIM($J79&amp;""))),AND($K79&lt;&gt;"",LEN($K79&amp;"")&lt;&gt;LEN(TRIM($K79&amp;""))),AND($M79&lt;&gt;"",LEN($M79&amp;"")&lt;&gt;LEN(TRIM($M79&amp;""))),AND($N79&lt;&gt;"",LEN($N79&amp;"")&lt;&gt;LEN(TRIM($N79&amp;""))),AND($O79&lt;&gt;"",LEN($O79&amp;"")&lt;&gt;LEN(TRIM($O79&amp;""))),AND($R79&lt;&gt;"",LEN($R79&amp;"")&lt;&gt;LEN(TRIM($R79&amp;""))),AND($S79&lt;&gt;"",LEN($S79&amp;"")&lt;&gt;LEN(TRIM($S79&amp;""))),AND($T79&lt;&gt;"",LEN($T79&amp;"")&lt;&gt;LEN(TRIM($T79&amp;"")))),"Remove leading or trailing spaces from text fields; ","")&amp;IF(OR(AND(LEN($C79)&gt;1,OR(EXACT($C79,UPPER($C79)),EXACT($C79,LOWER($C79)))),AND(LEN($D79)&gt;1,OR(EXACT($D79,UPPER($D79)),EXACT($D79,LOWER($D79)))),AND(LEN($H79)&gt;1,OR(EXACT($H79,UPPER($H79)),EXACT($H79,LOWER($H79))))),"Review capitalization in First Name, Last Name, or City; ","")&amp;IF(AND($N79&lt;&gt;"",NOT(EXACT($N79,LOWER($N79)))),"Email will be standardized to lowercase in the clean output; ","")&amp;IF(AND(OR('START HERE'!$C$8="Initial Enrollment",'START HERE'!$C$8="Open Enrollment"),$R79="Terminated"),"A terminated row is included in an initial or open enrollment file; confirm this is intentional; ",""))</f>
        <v/>
      </c>
      <c r="AE79">
        <f>IF(COUNTA($A79:$U79)=0,"",IF(OR($A79="",AND($A79&lt;&gt;"",NOT(IFERROR(AND(LEN($A79&amp;"")=9,ISNUMBER(--($A79&amp;""))),FALSE))),AND($A79&lt;&gt;"",OR($A79="123456789",$A79="987654321",$A79="012345678",$A79=REPT(LEFT($A79&amp;"",1),9)))),"Employee SSN, ","")&amp;IF(OR(AND($O79&lt;&gt;"",$B79=""),AND($B79&lt;&gt;"",OR(NOT(IFERROR(AND(LEN($B79&amp;"")=9,ISNUMBER(--($B79&amp;""))),FALSE)),$B79=$A79,$B79="123456789",$B79="987654321",$B79="012345678",$B79=REPT(LEFT($B79&amp;"",1),9)))),"Dependent SSN, ","")&amp;IF(OR($C79="",LEN($C79)&gt;19,AND($C79&lt;&gt;"",SUMPRODUCT(--(ROW($1:$19)&lt;=LEN($C79&amp;"")),--ISERROR(FIND(MID($C79&amp;"",ROW($1:$19),1),"ABCDEFGHIJKLMNOPQRSTUVWXYZabcdefghijklmnopqrstuvwxyz .,")))&gt;0)),"First Name, ","")&amp;IF(OR($D79="",LEN($D79)&gt;26,AND($D79&lt;&gt;"",SUMPRODUCT(--(ROW($1:$26)&lt;=LEN($D79&amp;"")),--ISERROR(FIND(MID($D79&amp;"",ROW($1:$26),1),"ABCDEFGHIJKLMNOPQRSTUVWXYZabcdefghijklmnopqrstuvwxyz .,")))&gt;0)),"Last Name, ","")&amp;IF(OR(LEN($E79)&gt;1,AND($E79&lt;&gt;"",SUMPRODUCT(--(ROW($1:$1)&lt;=LEN($E79&amp;"")),--ISERROR(FIND(MID($E79&amp;"",ROW($1:$1),1),"ABCDEFGHIJKLMNOPQRSTUVWXYZabcdefghijklmnopqrstuvwxyz .,")))&gt;0)),"Middle Initial, ","")&amp;IF(OR($F79="",LEN($F79)&gt;75),"Address, ","")&amp;IF(OR($H79="",LEN($H79)&gt;30),"City, ","")&amp;IF(AND($K79="US",OR($I79="",LEN($I79)&lt;&gt;2)),"State, ","")&amp;IF($J79="","ZIP, ","")&amp;IF(OR($K79="",AND($K79&lt;&gt;"US",$K79&lt;&gt;"CA")),"Country, ","")&amp;IF(OR($L79="",AND($L79&lt;&gt;"",OR(NOT(ISNUMBER($L79)),$L79&lt;=DATE(1900,1,1),$L79&gt;TODAY()))),"Birthdate, ","")&amp;IF(AND($N79&lt;&gt;"",NOT(IFERROR(AND(ISNUMBER(SEARCH("@",$N79)),ISNUMBER(SEARCH(".",$N79,SEARCH("@",$N79)+2))),FALSE))),"Email, ","")&amp;IF(OR(AND($B79&lt;&gt;"",$O79=""),AND($O79&lt;&gt;"",$O79&lt;&gt;"Spouse or Common Law Spouse",$O79&lt;&gt;"Domestic Partner",$O79&lt;&gt;"Child",$O79&lt;&gt;"Other",$O79&lt;&gt;"Estate",$O79&lt;&gt;"Unknown")),"Dependent Relationship, ","")&amp;IF($AA79&lt;&gt;"","Household, ","")&amp;IF(OR($P79="",AND($P79&lt;&gt;"",OR(NOT(ISNUMBER($P79)),$P79&lt;=DATE(1900,1,1)))),"Eligibility Date, ","")&amp;IF(OR(AND($R79="Terminated",$Q79=""),AND($Q79&lt;&gt;"",OR(NOT(ISNUMBER($Q79)),$Q79&lt;=DATE(1900,1,1))),AND(ISNUMBER($P79),ISNUMBER($Q79),$Q79&lt;$P79)),"Termination Date, ","")&amp;IF(OR($R79="",AND($R79&lt;&gt;"Active",$R79&lt;&gt;"Terminated"),AND('START HERE'!$C$8="Terminations Only",$R79&lt;&gt;"Terminated")),"Status, ","")&amp;IF($S79="","Plan Name, ","")&amp;IF($T79="","Coverage Level, ","")&amp;IF(AND($U79&lt;&gt;"",OR(NOT(ISNUMBER($U79)),$U79&lt;0)),"Funding, ","")&amp;IF(AND($A79&lt;&gt;"",$S79&lt;&gt;"",COUNTIFS($A$2:$A$501,$A79,$B$2:$B$501,$B79,$S$2:$S$501,$S79)&gt;1),"Duplicate Row, ",""))</f>
        <v/>
      </c>
      <c r="AF79">
        <f>IF(COUNTA($A79:$U79)=0,"",$Y79&amp;$Z79&amp;$AA79&amp;$AB79&amp;$AC79)</f>
        <v/>
      </c>
      <c r="AG79">
        <f>IF($N79="","",LOWER(TRIM($N79)))</f>
        <v/>
      </c>
      <c r="AH79">
        <f>IF($A79="","",COUNTIFS($A$2:$A$501,$A79,$AI$2:$AI$501,1))</f>
        <v/>
      </c>
      <c r="AI79">
        <f>IF(COUNTA($A79:$U79)=0,"",--($AF79&lt;&gt;""))</f>
        <v/>
      </c>
      <c r="AJ79">
        <f>IF(COUNTA($A79:$U79)=0,"",--($AD79&lt;&gt;""))</f>
        <v/>
      </c>
    </row>
    <row r="80" ht="20" customHeight="1">
      <c r="A80" s="80" t="n"/>
      <c r="B80" s="80" t="n"/>
      <c r="C80" s="81" t="n"/>
      <c r="D80" s="81" t="n"/>
      <c r="E80" s="80" t="n"/>
      <c r="F80" s="81" t="n"/>
      <c r="G80" s="81" t="n"/>
      <c r="H80" s="81" t="n"/>
      <c r="I80" s="80" t="n"/>
      <c r="J80" s="80" t="n"/>
      <c r="K80" s="80" t="n"/>
      <c r="L80" s="82" t="n"/>
      <c r="M80" s="80" t="n"/>
      <c r="N80" s="80" t="n"/>
      <c r="O80" s="80" t="n"/>
      <c r="P80" s="82" t="n"/>
      <c r="Q80" s="82" t="n"/>
      <c r="R80" s="80" t="n"/>
      <c r="S80" s="80" t="n"/>
      <c r="T80" s="80" t="n"/>
      <c r="U80" s="83" t="n"/>
      <c r="V80">
        <f>IF($A80="","",IF($A80=$A79,$V79,IF($V79="",0,1-$V79)))</f>
        <v/>
      </c>
      <c r="W80">
        <f>IF($B80&lt;&gt;"",$B80,$A80)</f>
        <v/>
      </c>
      <c r="X80">
        <f>IF(COUNTA($A80:$U80)=0,"",IF(OR($B80&lt;&gt;"",$O80&lt;&gt;""),"Dependent","Employee"))</f>
        <v/>
      </c>
      <c r="Y80">
        <f>IF(COUNTA($A80:$U80)=0,"",IF($A80="","Employee SSN is required; ","")&amp;IF($C80="","First Name is required; ","")&amp;IF(LEN($C80&amp;"")&gt;19,"First Name exceeds 19 characters; ","")&amp;IF(AND($C80&lt;&gt;"",SUMPRODUCT(--(ROW($1:$19)&lt;=LEN($C80&amp;"")),--ISERROR(FIND(MID($C80&amp;"",ROW($1:$19),1),"ABCDEFGHIJKLMNOPQRSTUVWXYZabcdefghijklmnopqrstuvwxyz .,")))&gt;0),"First Name contains unsupported or encoded characters; use plain A-Z letters only; ","")&amp;IF($D80="","Last Name is required; ","")&amp;IF(LEN($D80&amp;"")&gt;26,"Last Name exceeds 26 characters; ","")&amp;IF(AND($D80&lt;&gt;"",SUMPRODUCT(--(ROW($1:$26)&lt;=LEN($D80&amp;"")),--ISERROR(FIND(MID($D80&amp;"",ROW($1:$26),1),"ABCDEFGHIJKLMNOPQRSTUVWXYZabcdefghijklmnopqrstuvwxyz .,")))&gt;0),"Last Name contains unsupported or encoded characters; use plain A-Z letters only; ","")&amp;IF(LEN($E80&amp;"")&gt;1,"Middle Initial may contain only one character; ","")&amp;IF(AND($E80&lt;&gt;"",SUMPRODUCT(--(ROW($1:$1)&lt;=LEN($E80&amp;"")),--ISERROR(FIND(MID($E80&amp;"",ROW($1:$1),1),"ABCDEFGHIJKLMNOPQRSTUVWXYZabcdefghijklmnopqrstuvwxyz .,")))&gt;0),"Middle Initial must be a plain A-Z letter; ","")&amp;IF($F80="","Address is required; ","")&amp;IF(LEN($F80&amp;"")&gt;75,"Address exceeds 75 characters; ","")&amp;IF(LEN($G80&amp;"")&gt;75,"Address 2 exceeds 75 characters; ","")&amp;IF($H80="","City is required; ","")&amp;IF(LEN($H80&amp;"")&gt;30,"City exceeds 30 characters; ","")&amp;IF($K80="","Country is required; ","")&amp;IF(AND($K80&lt;&gt;"",$K80&lt;&gt;"US",$K80&lt;&gt;"CA"),"Country must be US or CA; ","")&amp;IF(AND($K80="US",OR($I80="",LEN($I80&amp;"")&lt;&gt;2)),"Use a 2-letter state code; ","")&amp;IF($J80="","ZIP or postal code is required; ","")&amp;IF(AND($K80="US",$J80&lt;&gt;"",NOT(IFERROR(OR(AND(LEN($J80&amp;"")=5,ISNUMBER(--($J80&amp;""))),AND(LEN($J80&amp;"")=9,ISNUMBER(--($J80&amp;""))),AND(LEN($J80&amp;"")=10,MID($J80&amp;"",6,1)="-",ISNUMBER(--SUBSTITUTE($J80&amp;"","-","")))),FALSE))),"US ZIP must be 5 or 9 digits, with an optional ZIP+4 hyphen; ","")&amp;IF(AND($N80&lt;&gt;"",NOT(IFERROR(AND(ISNUMBER(SEARCH("@",$N80)),ISNUMBER(SEARCH(".",$N80,SEARCH("@",$N80)+2))),FALSE))),"Email format appears invalid; ","")&amp;IF(AND($O80&lt;&gt;"",$B80=""),"Dependent SSN is required for every dependent; ","")&amp;IF(AND($B80&lt;&gt;"",$O80=""),"Dependent Relationship is required when Dependent SSN is entered; ","")&amp;IF(AND($O80&lt;&gt;"",$O80&lt;&gt;"Spouse or Common Law Spouse",$O80&lt;&gt;"Domestic Partner",$O80&lt;&gt;"Child",$O80&lt;&gt;"Other",$O80&lt;&gt;"Estate",$O80&lt;&gt;"Unknown"),"Dependent Relationship must use one of the approved options; ",""))</f>
        <v/>
      </c>
      <c r="Z80">
        <f>IF(COUNTA($A80:$U80)=0,"",IF(AND($A80&lt;&gt;"",NOT(IFERROR(AND(LEN($A80&amp;"")=9,ISNUMBER(--($A80&amp;""))),FALSE))),"Employee SSN must contain exactly 9 digits; ","")&amp;IF(AND($A80&lt;&gt;"",OR($A80="123456789",$A80="987654321",$A80="012345678",$A80=REPT(LEFT($A80&amp;"",1),9))),"Employee SSN appears to be a placeholder; ","")&amp;IF(AND($B80&lt;&gt;"",NOT(IFERROR(AND(LEN($B80&amp;"")=9,ISNUMBER(--($B80&amp;""))),FALSE))),"Dependent SSN must contain exactly 9 digits; ","")&amp;IF(AND($B80&lt;&gt;"",OR($B80="123456789",$B80="987654321",$B80="012345678",$B80=REPT(LEFT($B80&amp;"",1),9))),"Dependent SSN appears to be a placeholder; ","")&amp;IF(AND($A80&lt;&gt;"",$B80&lt;&gt;"",$A80&amp;""=$B80&amp;""),"Dependent SSN cannot match Employee SSN; ","")&amp;IF(AND($W80&lt;&gt;"",OR(COUNTIFS($W$2:$W$501,$W80,$C$2:$C$501,"&lt;&gt;"&amp;$C80)&gt;0,COUNTIFS($W$2:$W$501,$W80,$D$2:$D$501,"&lt;&gt;"&amp;$D80)&gt;0,COUNTIFS($W$2:$W$501,$W80,$L$2:$L$501,"&lt;&gt;"&amp;$L80)&gt;0)),"The same SSN is associated with a different name or birthdate; ",""))</f>
        <v/>
      </c>
      <c r="AA80">
        <f>IF(COUNTA($A80:$U80)=0,"",IF(AND($A80&lt;&gt;"",$S80&lt;&gt;"",COUNTIFS($A$2:$A$501,$A80,$S$2:$S$501,$S80,$B$2:$B$501,"",$O$2:$O$501,"")=0),"Add an employee row for this household and plan; ","")&amp;IF(AND($X80="Dependent",COUNTIFS($A$2:$A80,$A80,$S$2:$S80,$S80,$B$2:$B80,"",$O$2:$O80,"")=0),"Place the employee row before dependent rows for this plan; ","")&amp;IF(AND($X80="Dependent",COUNTIFS($A$2:$A$501,$A80,$S$2:$S$501,$S80,$B$2:$B$501,"",$O$2:$O$501,"")&gt;0,IFERROR(OR($P80&lt;&gt;LOOKUP(2,1/(($A$2:$A$501=$A80)*($S$2:$S$501=$S80)*($B$2:$B$501="")*($O$2:$O$501="")),$P$2:$P$501),$Q80&lt;&gt;LOOKUP(2,1/(($A$2:$A$501=$A80)*($S$2:$S$501=$S80)*($B$2:$B$501="")*($O$2:$O$501="")),$Q$2:$Q$501),$R80&lt;&gt;LOOKUP(2,1/(($A$2:$A$501=$A80)*($S$2:$S$501=$S80)*($B$2:$B$501="")*($O$2:$O$501="")),$R$2:$R$501),$T80&lt;&gt;LOOKUP(2,1/(($A$2:$A$501=$A80)*($S$2:$S$501=$S80)*($B$2:$B$501="")*($O$2:$O$501="")),$T$2:$T$501),$U80&lt;&gt;LOOKUP(2,1/(($A$2:$A$501=$A80)*($S$2:$S$501=$S80)*($B$2:$B$501="")*($O$2:$O$501="")),$U$2:$U$501)),FALSE)),"Dependent row does not match the employee row for eligibility, status, coverage level, or funding; ",""))</f>
        <v/>
      </c>
      <c r="AB80">
        <f>IF(COUNTA($A80:$U80)=0,"",IF($L80="","Birthdate is required; ","")&amp;IF(AND($L80&lt;&gt;"",OR(NOT(ISNUMBER($L80)),$L80&lt;=DATE(1900,1,1),$L80&gt;TODAY())),"Birthdate must be an exact valid past date; ","")&amp;IF($P80="","Eligibility Date is required; ","")&amp;IF(AND($P80&lt;&gt;"",OR(NOT(ISNUMBER($P80)),$P80&lt;=DATE(1900,1,1))),"Eligibility Date must be a valid date; ","")&amp;IF(AND($R80="Terminated",$Q80=""),"Termination Date is required when Status is Terminated; ","")&amp;IF(AND($Q80&lt;&gt;"",OR(NOT(ISNUMBER($Q80)),$Q80&lt;=DATE(1900,1,1))),"Termination Date must be a valid date; ","")&amp;IF(AND(ISNUMBER($P80),ISNUMBER($Q80),$Q80&lt;$P80),"Termination Date cannot be before Eligibility Date; ","")&amp;IF($R80="","Status is required; ","")&amp;IF(AND($R80&lt;&gt;"",$R80&lt;&gt;"Active",$R80&lt;&gt;"Terminated"),"Status must be Active or Terminated; ","")&amp;IF(AND('START HERE'!$C$8="Terminations Only",$R80&lt;&gt;"Terminated"),"Terminations Only files must contain terminated records; ",""))</f>
        <v/>
      </c>
      <c r="AC80">
        <f>IF(COUNTA($A80:$U80)=0,"",IF($S80="","Plan Name is required; ","")&amp;IF($T80="","Benefit Coverage Level is required; ","")&amp;IF(AND($U80&lt;&gt;"",OR(NOT(ISNUMBER($U80)),$U80&lt;0)),"Plan Funding Amount must be a nonnegative number; ","")&amp;IF(AND($A80&lt;&gt;"",$S80&lt;&gt;"",COUNTIFS($A$2:$A$501,$A80,$B$2:$B$501,$B80,$S$2:$S$501,$S80)&gt;1),"Duplicate participant and plan row; ",""))</f>
        <v/>
      </c>
      <c r="AD80">
        <f>IF(COUNTA($A80:$U80)=0,"",IF(AND($X80="Employee",$M80="",$N80=""),"No employee phone or email provided; ","")&amp;IF(AND($R80="Active",$Q80&lt;&gt;""),"Active record includes a Termination Date; confirm this is intentional; ","")&amp;IF(AND($B80&lt;&gt;"",$B80&amp;""&lt;&gt;$A80&amp;"",COUNTIF($A$2:$A$501,$B80)&gt;0),"Dependent SSN also appears as an Employee SSN elsewhere; confirm dual-employee coverage is intentional; ","")&amp;IF(AND($B80&lt;&gt;"",COUNTIF($B$2:$B$501,$B80)&gt;COUNTIFS($A$2:$A$501,$A80,$B$2:$B$501,$B80)),"Dependent SSN appears under more than one employee; confirm duplicate family coverage is intentional; ","")&amp;IF(AND(ROW()&gt;2,$A80&lt;&gt;"",$A80&lt;&gt;$A79,COUNTIF($A$2:$A79,$A80)&gt;0),"This household appears in more than one section of the census; keep the family together; ","")&amp;IF(OR(AND($C80&lt;&gt;"",LEN($C80&amp;"")&lt;&gt;LEN(TRIM($C80&amp;""))),AND($D80&lt;&gt;"",LEN($D80&amp;"")&lt;&gt;LEN(TRIM($D80&amp;""))),AND($E80&lt;&gt;"",LEN($E80&amp;"")&lt;&gt;LEN(TRIM($E80&amp;""))),AND($F80&lt;&gt;"",LEN($F80&amp;"")&lt;&gt;LEN(TRIM($F80&amp;""))),AND($G80&lt;&gt;"",LEN($G80&amp;"")&lt;&gt;LEN(TRIM($G80&amp;""))),AND($H80&lt;&gt;"",LEN($H80&amp;"")&lt;&gt;LEN(TRIM($H80&amp;""))),AND($I80&lt;&gt;"",LEN($I80&amp;"")&lt;&gt;LEN(TRIM($I80&amp;""))),AND($J80&lt;&gt;"",LEN($J80&amp;"")&lt;&gt;LEN(TRIM($J80&amp;""))),AND($K80&lt;&gt;"",LEN($K80&amp;"")&lt;&gt;LEN(TRIM($K80&amp;""))),AND($M80&lt;&gt;"",LEN($M80&amp;"")&lt;&gt;LEN(TRIM($M80&amp;""))),AND($N80&lt;&gt;"",LEN($N80&amp;"")&lt;&gt;LEN(TRIM($N80&amp;""))),AND($O80&lt;&gt;"",LEN($O80&amp;"")&lt;&gt;LEN(TRIM($O80&amp;""))),AND($R80&lt;&gt;"",LEN($R80&amp;"")&lt;&gt;LEN(TRIM($R80&amp;""))),AND($S80&lt;&gt;"",LEN($S80&amp;"")&lt;&gt;LEN(TRIM($S80&amp;""))),AND($T80&lt;&gt;"",LEN($T80&amp;"")&lt;&gt;LEN(TRIM($T80&amp;"")))),"Remove leading or trailing spaces from text fields; ","")&amp;IF(OR(AND(LEN($C80)&gt;1,OR(EXACT($C80,UPPER($C80)),EXACT($C80,LOWER($C80)))),AND(LEN($D80)&gt;1,OR(EXACT($D80,UPPER($D80)),EXACT($D80,LOWER($D80)))),AND(LEN($H80)&gt;1,OR(EXACT($H80,UPPER($H80)),EXACT($H80,LOWER($H80))))),"Review capitalization in First Name, Last Name, or City; ","")&amp;IF(AND($N80&lt;&gt;"",NOT(EXACT($N80,LOWER($N80)))),"Email will be standardized to lowercase in the clean output; ","")&amp;IF(AND(OR('START HERE'!$C$8="Initial Enrollment",'START HERE'!$C$8="Open Enrollment"),$R80="Terminated"),"A terminated row is included in an initial or open enrollment file; confirm this is intentional; ",""))</f>
        <v/>
      </c>
      <c r="AE80">
        <f>IF(COUNTA($A80:$U80)=0,"",IF(OR($A80="",AND($A80&lt;&gt;"",NOT(IFERROR(AND(LEN($A80&amp;"")=9,ISNUMBER(--($A80&amp;""))),FALSE))),AND($A80&lt;&gt;"",OR($A80="123456789",$A80="987654321",$A80="012345678",$A80=REPT(LEFT($A80&amp;"",1),9)))),"Employee SSN, ","")&amp;IF(OR(AND($O80&lt;&gt;"",$B80=""),AND($B80&lt;&gt;"",OR(NOT(IFERROR(AND(LEN($B80&amp;"")=9,ISNUMBER(--($B80&amp;""))),FALSE)),$B80=$A80,$B80="123456789",$B80="987654321",$B80="012345678",$B80=REPT(LEFT($B80&amp;"",1),9)))),"Dependent SSN, ","")&amp;IF(OR($C80="",LEN($C80)&gt;19,AND($C80&lt;&gt;"",SUMPRODUCT(--(ROW($1:$19)&lt;=LEN($C80&amp;"")),--ISERROR(FIND(MID($C80&amp;"",ROW($1:$19),1),"ABCDEFGHIJKLMNOPQRSTUVWXYZabcdefghijklmnopqrstuvwxyz .,")))&gt;0)),"First Name, ","")&amp;IF(OR($D80="",LEN($D80)&gt;26,AND($D80&lt;&gt;"",SUMPRODUCT(--(ROW($1:$26)&lt;=LEN($D80&amp;"")),--ISERROR(FIND(MID($D80&amp;"",ROW($1:$26),1),"ABCDEFGHIJKLMNOPQRSTUVWXYZabcdefghijklmnopqrstuvwxyz .,")))&gt;0)),"Last Name, ","")&amp;IF(OR(LEN($E80)&gt;1,AND($E80&lt;&gt;"",SUMPRODUCT(--(ROW($1:$1)&lt;=LEN($E80&amp;"")),--ISERROR(FIND(MID($E80&amp;"",ROW($1:$1),1),"ABCDEFGHIJKLMNOPQRSTUVWXYZabcdefghijklmnopqrstuvwxyz .,")))&gt;0)),"Middle Initial, ","")&amp;IF(OR($F80="",LEN($F80)&gt;75),"Address, ","")&amp;IF(OR($H80="",LEN($H80)&gt;30),"City, ","")&amp;IF(AND($K80="US",OR($I80="",LEN($I80)&lt;&gt;2)),"State, ","")&amp;IF($J80="","ZIP, ","")&amp;IF(OR($K80="",AND($K80&lt;&gt;"US",$K80&lt;&gt;"CA")),"Country, ","")&amp;IF(OR($L80="",AND($L80&lt;&gt;"",OR(NOT(ISNUMBER($L80)),$L80&lt;=DATE(1900,1,1),$L80&gt;TODAY()))),"Birthdate, ","")&amp;IF(AND($N80&lt;&gt;"",NOT(IFERROR(AND(ISNUMBER(SEARCH("@",$N80)),ISNUMBER(SEARCH(".",$N80,SEARCH("@",$N80)+2))),FALSE))),"Email, ","")&amp;IF(OR(AND($B80&lt;&gt;"",$O80=""),AND($O80&lt;&gt;"",$O80&lt;&gt;"Spouse or Common Law Spouse",$O80&lt;&gt;"Domestic Partner",$O80&lt;&gt;"Child",$O80&lt;&gt;"Other",$O80&lt;&gt;"Estate",$O80&lt;&gt;"Unknown")),"Dependent Relationship, ","")&amp;IF($AA80&lt;&gt;"","Household, ","")&amp;IF(OR($P80="",AND($P80&lt;&gt;"",OR(NOT(ISNUMBER($P80)),$P80&lt;=DATE(1900,1,1)))),"Eligibility Date, ","")&amp;IF(OR(AND($R80="Terminated",$Q80=""),AND($Q80&lt;&gt;"",OR(NOT(ISNUMBER($Q80)),$Q80&lt;=DATE(1900,1,1))),AND(ISNUMBER($P80),ISNUMBER($Q80),$Q80&lt;$P80)),"Termination Date, ","")&amp;IF(OR($R80="",AND($R80&lt;&gt;"Active",$R80&lt;&gt;"Terminated"),AND('START HERE'!$C$8="Terminations Only",$R80&lt;&gt;"Terminated")),"Status, ","")&amp;IF($S80="","Plan Name, ","")&amp;IF($T80="","Coverage Level, ","")&amp;IF(AND($U80&lt;&gt;"",OR(NOT(ISNUMBER($U80)),$U80&lt;0)),"Funding, ","")&amp;IF(AND($A80&lt;&gt;"",$S80&lt;&gt;"",COUNTIFS($A$2:$A$501,$A80,$B$2:$B$501,$B80,$S$2:$S$501,$S80)&gt;1),"Duplicate Row, ",""))</f>
        <v/>
      </c>
      <c r="AF80">
        <f>IF(COUNTA($A80:$U80)=0,"",$Y80&amp;$Z80&amp;$AA80&amp;$AB80&amp;$AC80)</f>
        <v/>
      </c>
      <c r="AG80">
        <f>IF($N80="","",LOWER(TRIM($N80)))</f>
        <v/>
      </c>
      <c r="AH80">
        <f>IF($A80="","",COUNTIFS($A$2:$A$501,$A80,$AI$2:$AI$501,1))</f>
        <v/>
      </c>
      <c r="AI80">
        <f>IF(COUNTA($A80:$U80)=0,"",--($AF80&lt;&gt;""))</f>
        <v/>
      </c>
      <c r="AJ80">
        <f>IF(COUNTA($A80:$U80)=0,"",--($AD80&lt;&gt;""))</f>
        <v/>
      </c>
    </row>
    <row r="81" ht="20" customHeight="1">
      <c r="A81" s="80" t="n"/>
      <c r="B81" s="80" t="n"/>
      <c r="C81" s="81" t="n"/>
      <c r="D81" s="81" t="n"/>
      <c r="E81" s="80" t="n"/>
      <c r="F81" s="81" t="n"/>
      <c r="G81" s="81" t="n"/>
      <c r="H81" s="81" t="n"/>
      <c r="I81" s="80" t="n"/>
      <c r="J81" s="80" t="n"/>
      <c r="K81" s="80" t="n"/>
      <c r="L81" s="82" t="n"/>
      <c r="M81" s="80" t="n"/>
      <c r="N81" s="80" t="n"/>
      <c r="O81" s="80" t="n"/>
      <c r="P81" s="82" t="n"/>
      <c r="Q81" s="82" t="n"/>
      <c r="R81" s="80" t="n"/>
      <c r="S81" s="80" t="n"/>
      <c r="T81" s="80" t="n"/>
      <c r="U81" s="83" t="n"/>
      <c r="V81">
        <f>IF($A81="","",IF($A81=$A80,$V80,IF($V80="",0,1-$V80)))</f>
        <v/>
      </c>
      <c r="W81">
        <f>IF($B81&lt;&gt;"",$B81,$A81)</f>
        <v/>
      </c>
      <c r="X81">
        <f>IF(COUNTA($A81:$U81)=0,"",IF(OR($B81&lt;&gt;"",$O81&lt;&gt;""),"Dependent","Employee"))</f>
        <v/>
      </c>
      <c r="Y81">
        <f>IF(COUNTA($A81:$U81)=0,"",IF($A81="","Employee SSN is required; ","")&amp;IF($C81="","First Name is required; ","")&amp;IF(LEN($C81&amp;"")&gt;19,"First Name exceeds 19 characters; ","")&amp;IF(AND($C81&lt;&gt;"",SUMPRODUCT(--(ROW($1:$19)&lt;=LEN($C81&amp;"")),--ISERROR(FIND(MID($C81&amp;"",ROW($1:$19),1),"ABCDEFGHIJKLMNOPQRSTUVWXYZabcdefghijklmnopqrstuvwxyz .,")))&gt;0),"First Name contains unsupported or encoded characters; use plain A-Z letters only; ","")&amp;IF($D81="","Last Name is required; ","")&amp;IF(LEN($D81&amp;"")&gt;26,"Last Name exceeds 26 characters; ","")&amp;IF(AND($D81&lt;&gt;"",SUMPRODUCT(--(ROW($1:$26)&lt;=LEN($D81&amp;"")),--ISERROR(FIND(MID($D81&amp;"",ROW($1:$26),1),"ABCDEFGHIJKLMNOPQRSTUVWXYZabcdefghijklmnopqrstuvwxyz .,")))&gt;0),"Last Name contains unsupported or encoded characters; use plain A-Z letters only; ","")&amp;IF(LEN($E81&amp;"")&gt;1,"Middle Initial may contain only one character; ","")&amp;IF(AND($E81&lt;&gt;"",SUMPRODUCT(--(ROW($1:$1)&lt;=LEN($E81&amp;"")),--ISERROR(FIND(MID($E81&amp;"",ROW($1:$1),1),"ABCDEFGHIJKLMNOPQRSTUVWXYZabcdefghijklmnopqrstuvwxyz .,")))&gt;0),"Middle Initial must be a plain A-Z letter; ","")&amp;IF($F81="","Address is required; ","")&amp;IF(LEN($F81&amp;"")&gt;75,"Address exceeds 75 characters; ","")&amp;IF(LEN($G81&amp;"")&gt;75,"Address 2 exceeds 75 characters; ","")&amp;IF($H81="","City is required; ","")&amp;IF(LEN($H81&amp;"")&gt;30,"City exceeds 30 characters; ","")&amp;IF($K81="","Country is required; ","")&amp;IF(AND($K81&lt;&gt;"",$K81&lt;&gt;"US",$K81&lt;&gt;"CA"),"Country must be US or CA; ","")&amp;IF(AND($K81="US",OR($I81="",LEN($I81&amp;"")&lt;&gt;2)),"Use a 2-letter state code; ","")&amp;IF($J81="","ZIP or postal code is required; ","")&amp;IF(AND($K81="US",$J81&lt;&gt;"",NOT(IFERROR(OR(AND(LEN($J81&amp;"")=5,ISNUMBER(--($J81&amp;""))),AND(LEN($J81&amp;"")=9,ISNUMBER(--($J81&amp;""))),AND(LEN($J81&amp;"")=10,MID($J81&amp;"",6,1)="-",ISNUMBER(--SUBSTITUTE($J81&amp;"","-","")))),FALSE))),"US ZIP must be 5 or 9 digits, with an optional ZIP+4 hyphen; ","")&amp;IF(AND($N81&lt;&gt;"",NOT(IFERROR(AND(ISNUMBER(SEARCH("@",$N81)),ISNUMBER(SEARCH(".",$N81,SEARCH("@",$N81)+2))),FALSE))),"Email format appears invalid; ","")&amp;IF(AND($O81&lt;&gt;"",$B81=""),"Dependent SSN is required for every dependent; ","")&amp;IF(AND($B81&lt;&gt;"",$O81=""),"Dependent Relationship is required when Dependent SSN is entered; ","")&amp;IF(AND($O81&lt;&gt;"",$O81&lt;&gt;"Spouse or Common Law Spouse",$O81&lt;&gt;"Domestic Partner",$O81&lt;&gt;"Child",$O81&lt;&gt;"Other",$O81&lt;&gt;"Estate",$O81&lt;&gt;"Unknown"),"Dependent Relationship must use one of the approved options; ",""))</f>
        <v/>
      </c>
      <c r="Z81">
        <f>IF(COUNTA($A81:$U81)=0,"",IF(AND($A81&lt;&gt;"",NOT(IFERROR(AND(LEN($A81&amp;"")=9,ISNUMBER(--($A81&amp;""))),FALSE))),"Employee SSN must contain exactly 9 digits; ","")&amp;IF(AND($A81&lt;&gt;"",OR($A81="123456789",$A81="987654321",$A81="012345678",$A81=REPT(LEFT($A81&amp;"",1),9))),"Employee SSN appears to be a placeholder; ","")&amp;IF(AND($B81&lt;&gt;"",NOT(IFERROR(AND(LEN($B81&amp;"")=9,ISNUMBER(--($B81&amp;""))),FALSE))),"Dependent SSN must contain exactly 9 digits; ","")&amp;IF(AND($B81&lt;&gt;"",OR($B81="123456789",$B81="987654321",$B81="012345678",$B81=REPT(LEFT($B81&amp;"",1),9))),"Dependent SSN appears to be a placeholder; ","")&amp;IF(AND($A81&lt;&gt;"",$B81&lt;&gt;"",$A81&amp;""=$B81&amp;""),"Dependent SSN cannot match Employee SSN; ","")&amp;IF(AND($W81&lt;&gt;"",OR(COUNTIFS($W$2:$W$501,$W81,$C$2:$C$501,"&lt;&gt;"&amp;$C81)&gt;0,COUNTIFS($W$2:$W$501,$W81,$D$2:$D$501,"&lt;&gt;"&amp;$D81)&gt;0,COUNTIFS($W$2:$W$501,$W81,$L$2:$L$501,"&lt;&gt;"&amp;$L81)&gt;0)),"The same SSN is associated with a different name or birthdate; ",""))</f>
        <v/>
      </c>
      <c r="AA81">
        <f>IF(COUNTA($A81:$U81)=0,"",IF(AND($A81&lt;&gt;"",$S81&lt;&gt;"",COUNTIFS($A$2:$A$501,$A81,$S$2:$S$501,$S81,$B$2:$B$501,"",$O$2:$O$501,"")=0),"Add an employee row for this household and plan; ","")&amp;IF(AND($X81="Dependent",COUNTIFS($A$2:$A81,$A81,$S$2:$S81,$S81,$B$2:$B81,"",$O$2:$O81,"")=0),"Place the employee row before dependent rows for this plan; ","")&amp;IF(AND($X81="Dependent",COUNTIFS($A$2:$A$501,$A81,$S$2:$S$501,$S81,$B$2:$B$501,"",$O$2:$O$501,"")&gt;0,IFERROR(OR($P81&lt;&gt;LOOKUP(2,1/(($A$2:$A$501=$A81)*($S$2:$S$501=$S81)*($B$2:$B$501="")*($O$2:$O$501="")),$P$2:$P$501),$Q81&lt;&gt;LOOKUP(2,1/(($A$2:$A$501=$A81)*($S$2:$S$501=$S81)*($B$2:$B$501="")*($O$2:$O$501="")),$Q$2:$Q$501),$R81&lt;&gt;LOOKUP(2,1/(($A$2:$A$501=$A81)*($S$2:$S$501=$S81)*($B$2:$B$501="")*($O$2:$O$501="")),$R$2:$R$501),$T81&lt;&gt;LOOKUP(2,1/(($A$2:$A$501=$A81)*($S$2:$S$501=$S81)*($B$2:$B$501="")*($O$2:$O$501="")),$T$2:$T$501),$U81&lt;&gt;LOOKUP(2,1/(($A$2:$A$501=$A81)*($S$2:$S$501=$S81)*($B$2:$B$501="")*($O$2:$O$501="")),$U$2:$U$501)),FALSE)),"Dependent row does not match the employee row for eligibility, status, coverage level, or funding; ",""))</f>
        <v/>
      </c>
      <c r="AB81">
        <f>IF(COUNTA($A81:$U81)=0,"",IF($L81="","Birthdate is required; ","")&amp;IF(AND($L81&lt;&gt;"",OR(NOT(ISNUMBER($L81)),$L81&lt;=DATE(1900,1,1),$L81&gt;TODAY())),"Birthdate must be an exact valid past date; ","")&amp;IF($P81="","Eligibility Date is required; ","")&amp;IF(AND($P81&lt;&gt;"",OR(NOT(ISNUMBER($P81)),$P81&lt;=DATE(1900,1,1))),"Eligibility Date must be a valid date; ","")&amp;IF(AND($R81="Terminated",$Q81=""),"Termination Date is required when Status is Terminated; ","")&amp;IF(AND($Q81&lt;&gt;"",OR(NOT(ISNUMBER($Q81)),$Q81&lt;=DATE(1900,1,1))),"Termination Date must be a valid date; ","")&amp;IF(AND(ISNUMBER($P81),ISNUMBER($Q81),$Q81&lt;$P81),"Termination Date cannot be before Eligibility Date; ","")&amp;IF($R81="","Status is required; ","")&amp;IF(AND($R81&lt;&gt;"",$R81&lt;&gt;"Active",$R81&lt;&gt;"Terminated"),"Status must be Active or Terminated; ","")&amp;IF(AND('START HERE'!$C$8="Terminations Only",$R81&lt;&gt;"Terminated"),"Terminations Only files must contain terminated records; ",""))</f>
        <v/>
      </c>
      <c r="AC81">
        <f>IF(COUNTA($A81:$U81)=0,"",IF($S81="","Plan Name is required; ","")&amp;IF($T81="","Benefit Coverage Level is required; ","")&amp;IF(AND($U81&lt;&gt;"",OR(NOT(ISNUMBER($U81)),$U81&lt;0)),"Plan Funding Amount must be a nonnegative number; ","")&amp;IF(AND($A81&lt;&gt;"",$S81&lt;&gt;"",COUNTIFS($A$2:$A$501,$A81,$B$2:$B$501,$B81,$S$2:$S$501,$S81)&gt;1),"Duplicate participant and plan row; ",""))</f>
        <v/>
      </c>
      <c r="AD81">
        <f>IF(COUNTA($A81:$U81)=0,"",IF(AND($X81="Employee",$M81="",$N81=""),"No employee phone or email provided; ","")&amp;IF(AND($R81="Active",$Q81&lt;&gt;""),"Active record includes a Termination Date; confirm this is intentional; ","")&amp;IF(AND($B81&lt;&gt;"",$B81&amp;""&lt;&gt;$A81&amp;"",COUNTIF($A$2:$A$501,$B81)&gt;0),"Dependent SSN also appears as an Employee SSN elsewhere; confirm dual-employee coverage is intentional; ","")&amp;IF(AND($B81&lt;&gt;"",COUNTIF($B$2:$B$501,$B81)&gt;COUNTIFS($A$2:$A$501,$A81,$B$2:$B$501,$B81)),"Dependent SSN appears under more than one employee; confirm duplicate family coverage is intentional; ","")&amp;IF(AND(ROW()&gt;2,$A81&lt;&gt;"",$A81&lt;&gt;$A80,COUNTIF($A$2:$A80,$A81)&gt;0),"This household appears in more than one section of the census; keep the family together; ","")&amp;IF(OR(AND($C81&lt;&gt;"",LEN($C81&amp;"")&lt;&gt;LEN(TRIM($C81&amp;""))),AND($D81&lt;&gt;"",LEN($D81&amp;"")&lt;&gt;LEN(TRIM($D81&amp;""))),AND($E81&lt;&gt;"",LEN($E81&amp;"")&lt;&gt;LEN(TRIM($E81&amp;""))),AND($F81&lt;&gt;"",LEN($F81&amp;"")&lt;&gt;LEN(TRIM($F81&amp;""))),AND($G81&lt;&gt;"",LEN($G81&amp;"")&lt;&gt;LEN(TRIM($G81&amp;""))),AND($H81&lt;&gt;"",LEN($H81&amp;"")&lt;&gt;LEN(TRIM($H81&amp;""))),AND($I81&lt;&gt;"",LEN($I81&amp;"")&lt;&gt;LEN(TRIM($I81&amp;""))),AND($J81&lt;&gt;"",LEN($J81&amp;"")&lt;&gt;LEN(TRIM($J81&amp;""))),AND($K81&lt;&gt;"",LEN($K81&amp;"")&lt;&gt;LEN(TRIM($K81&amp;""))),AND($M81&lt;&gt;"",LEN($M81&amp;"")&lt;&gt;LEN(TRIM($M81&amp;""))),AND($N81&lt;&gt;"",LEN($N81&amp;"")&lt;&gt;LEN(TRIM($N81&amp;""))),AND($O81&lt;&gt;"",LEN($O81&amp;"")&lt;&gt;LEN(TRIM($O81&amp;""))),AND($R81&lt;&gt;"",LEN($R81&amp;"")&lt;&gt;LEN(TRIM($R81&amp;""))),AND($S81&lt;&gt;"",LEN($S81&amp;"")&lt;&gt;LEN(TRIM($S81&amp;""))),AND($T81&lt;&gt;"",LEN($T81&amp;"")&lt;&gt;LEN(TRIM($T81&amp;"")))),"Remove leading or trailing spaces from text fields; ","")&amp;IF(OR(AND(LEN($C81)&gt;1,OR(EXACT($C81,UPPER($C81)),EXACT($C81,LOWER($C81)))),AND(LEN($D81)&gt;1,OR(EXACT($D81,UPPER($D81)),EXACT($D81,LOWER($D81)))),AND(LEN($H81)&gt;1,OR(EXACT($H81,UPPER($H81)),EXACT($H81,LOWER($H81))))),"Review capitalization in First Name, Last Name, or City; ","")&amp;IF(AND($N81&lt;&gt;"",NOT(EXACT($N81,LOWER($N81)))),"Email will be standardized to lowercase in the clean output; ","")&amp;IF(AND(OR('START HERE'!$C$8="Initial Enrollment",'START HERE'!$C$8="Open Enrollment"),$R81="Terminated"),"A terminated row is included in an initial or open enrollment file; confirm this is intentional; ",""))</f>
        <v/>
      </c>
      <c r="AE81">
        <f>IF(COUNTA($A81:$U81)=0,"",IF(OR($A81="",AND($A81&lt;&gt;"",NOT(IFERROR(AND(LEN($A81&amp;"")=9,ISNUMBER(--($A81&amp;""))),FALSE))),AND($A81&lt;&gt;"",OR($A81="123456789",$A81="987654321",$A81="012345678",$A81=REPT(LEFT($A81&amp;"",1),9)))),"Employee SSN, ","")&amp;IF(OR(AND($O81&lt;&gt;"",$B81=""),AND($B81&lt;&gt;"",OR(NOT(IFERROR(AND(LEN($B81&amp;"")=9,ISNUMBER(--($B81&amp;""))),FALSE)),$B81=$A81,$B81="123456789",$B81="987654321",$B81="012345678",$B81=REPT(LEFT($B81&amp;"",1),9)))),"Dependent SSN, ","")&amp;IF(OR($C81="",LEN($C81)&gt;19,AND($C81&lt;&gt;"",SUMPRODUCT(--(ROW($1:$19)&lt;=LEN($C81&amp;"")),--ISERROR(FIND(MID($C81&amp;"",ROW($1:$19),1),"ABCDEFGHIJKLMNOPQRSTUVWXYZabcdefghijklmnopqrstuvwxyz .,")))&gt;0)),"First Name, ","")&amp;IF(OR($D81="",LEN($D81)&gt;26,AND($D81&lt;&gt;"",SUMPRODUCT(--(ROW($1:$26)&lt;=LEN($D81&amp;"")),--ISERROR(FIND(MID($D81&amp;"",ROW($1:$26),1),"ABCDEFGHIJKLMNOPQRSTUVWXYZabcdefghijklmnopqrstuvwxyz .,")))&gt;0)),"Last Name, ","")&amp;IF(OR(LEN($E81)&gt;1,AND($E81&lt;&gt;"",SUMPRODUCT(--(ROW($1:$1)&lt;=LEN($E81&amp;"")),--ISERROR(FIND(MID($E81&amp;"",ROW($1:$1),1),"ABCDEFGHIJKLMNOPQRSTUVWXYZabcdefghijklmnopqrstuvwxyz .,")))&gt;0)),"Middle Initial, ","")&amp;IF(OR($F81="",LEN($F81)&gt;75),"Address, ","")&amp;IF(OR($H81="",LEN($H81)&gt;30),"City, ","")&amp;IF(AND($K81="US",OR($I81="",LEN($I81)&lt;&gt;2)),"State, ","")&amp;IF($J81="","ZIP, ","")&amp;IF(OR($K81="",AND($K81&lt;&gt;"US",$K81&lt;&gt;"CA")),"Country, ","")&amp;IF(OR($L81="",AND($L81&lt;&gt;"",OR(NOT(ISNUMBER($L81)),$L81&lt;=DATE(1900,1,1),$L81&gt;TODAY()))),"Birthdate, ","")&amp;IF(AND($N81&lt;&gt;"",NOT(IFERROR(AND(ISNUMBER(SEARCH("@",$N81)),ISNUMBER(SEARCH(".",$N81,SEARCH("@",$N81)+2))),FALSE))),"Email, ","")&amp;IF(OR(AND($B81&lt;&gt;"",$O81=""),AND($O81&lt;&gt;"",$O81&lt;&gt;"Spouse or Common Law Spouse",$O81&lt;&gt;"Domestic Partner",$O81&lt;&gt;"Child",$O81&lt;&gt;"Other",$O81&lt;&gt;"Estate",$O81&lt;&gt;"Unknown")),"Dependent Relationship, ","")&amp;IF($AA81&lt;&gt;"","Household, ","")&amp;IF(OR($P81="",AND($P81&lt;&gt;"",OR(NOT(ISNUMBER($P81)),$P81&lt;=DATE(1900,1,1)))),"Eligibility Date, ","")&amp;IF(OR(AND($R81="Terminated",$Q81=""),AND($Q81&lt;&gt;"",OR(NOT(ISNUMBER($Q81)),$Q81&lt;=DATE(1900,1,1))),AND(ISNUMBER($P81),ISNUMBER($Q81),$Q81&lt;$P81)),"Termination Date, ","")&amp;IF(OR($R81="",AND($R81&lt;&gt;"Active",$R81&lt;&gt;"Terminated"),AND('START HERE'!$C$8="Terminations Only",$R81&lt;&gt;"Terminated")),"Status, ","")&amp;IF($S81="","Plan Name, ","")&amp;IF($T81="","Coverage Level, ","")&amp;IF(AND($U81&lt;&gt;"",OR(NOT(ISNUMBER($U81)),$U81&lt;0)),"Funding, ","")&amp;IF(AND($A81&lt;&gt;"",$S81&lt;&gt;"",COUNTIFS($A$2:$A$501,$A81,$B$2:$B$501,$B81,$S$2:$S$501,$S81)&gt;1),"Duplicate Row, ",""))</f>
        <v/>
      </c>
      <c r="AF81">
        <f>IF(COUNTA($A81:$U81)=0,"",$Y81&amp;$Z81&amp;$AA81&amp;$AB81&amp;$AC81)</f>
        <v/>
      </c>
      <c r="AG81">
        <f>IF($N81="","",LOWER(TRIM($N81)))</f>
        <v/>
      </c>
      <c r="AH81">
        <f>IF($A81="","",COUNTIFS($A$2:$A$501,$A81,$AI$2:$AI$501,1))</f>
        <v/>
      </c>
      <c r="AI81">
        <f>IF(COUNTA($A81:$U81)=0,"",--($AF81&lt;&gt;""))</f>
        <v/>
      </c>
      <c r="AJ81">
        <f>IF(COUNTA($A81:$U81)=0,"",--($AD81&lt;&gt;""))</f>
        <v/>
      </c>
    </row>
    <row r="82" ht="20" customHeight="1">
      <c r="A82" s="80" t="n"/>
      <c r="B82" s="80" t="n"/>
      <c r="C82" s="81" t="n"/>
      <c r="D82" s="81" t="n"/>
      <c r="E82" s="80" t="n"/>
      <c r="F82" s="81" t="n"/>
      <c r="G82" s="81" t="n"/>
      <c r="H82" s="81" t="n"/>
      <c r="I82" s="80" t="n"/>
      <c r="J82" s="80" t="n"/>
      <c r="K82" s="80" t="n"/>
      <c r="L82" s="82" t="n"/>
      <c r="M82" s="80" t="n"/>
      <c r="N82" s="80" t="n"/>
      <c r="O82" s="80" t="n"/>
      <c r="P82" s="82" t="n"/>
      <c r="Q82" s="82" t="n"/>
      <c r="R82" s="80" t="n"/>
      <c r="S82" s="80" t="n"/>
      <c r="T82" s="80" t="n"/>
      <c r="U82" s="83" t="n"/>
      <c r="V82">
        <f>IF($A82="","",IF($A82=$A81,$V81,IF($V81="",0,1-$V81)))</f>
        <v/>
      </c>
      <c r="W82">
        <f>IF($B82&lt;&gt;"",$B82,$A82)</f>
        <v/>
      </c>
      <c r="X82">
        <f>IF(COUNTA($A82:$U82)=0,"",IF(OR($B82&lt;&gt;"",$O82&lt;&gt;""),"Dependent","Employee"))</f>
        <v/>
      </c>
      <c r="Y82">
        <f>IF(COUNTA($A82:$U82)=0,"",IF($A82="","Employee SSN is required; ","")&amp;IF($C82="","First Name is required; ","")&amp;IF(LEN($C82&amp;"")&gt;19,"First Name exceeds 19 characters; ","")&amp;IF(AND($C82&lt;&gt;"",SUMPRODUCT(--(ROW($1:$19)&lt;=LEN($C82&amp;"")),--ISERROR(FIND(MID($C82&amp;"",ROW($1:$19),1),"ABCDEFGHIJKLMNOPQRSTUVWXYZabcdefghijklmnopqrstuvwxyz .,")))&gt;0),"First Name contains unsupported or encoded characters; use plain A-Z letters only; ","")&amp;IF($D82="","Last Name is required; ","")&amp;IF(LEN($D82&amp;"")&gt;26,"Last Name exceeds 26 characters; ","")&amp;IF(AND($D82&lt;&gt;"",SUMPRODUCT(--(ROW($1:$26)&lt;=LEN($D82&amp;"")),--ISERROR(FIND(MID($D82&amp;"",ROW($1:$26),1),"ABCDEFGHIJKLMNOPQRSTUVWXYZabcdefghijklmnopqrstuvwxyz .,")))&gt;0),"Last Name contains unsupported or encoded characters; use plain A-Z letters only; ","")&amp;IF(LEN($E82&amp;"")&gt;1,"Middle Initial may contain only one character; ","")&amp;IF(AND($E82&lt;&gt;"",SUMPRODUCT(--(ROW($1:$1)&lt;=LEN($E82&amp;"")),--ISERROR(FIND(MID($E82&amp;"",ROW($1:$1),1),"ABCDEFGHIJKLMNOPQRSTUVWXYZabcdefghijklmnopqrstuvwxyz .,")))&gt;0),"Middle Initial must be a plain A-Z letter; ","")&amp;IF($F82="","Address is required; ","")&amp;IF(LEN($F82&amp;"")&gt;75,"Address exceeds 75 characters; ","")&amp;IF(LEN($G82&amp;"")&gt;75,"Address 2 exceeds 75 characters; ","")&amp;IF($H82="","City is required; ","")&amp;IF(LEN($H82&amp;"")&gt;30,"City exceeds 30 characters; ","")&amp;IF($K82="","Country is required; ","")&amp;IF(AND($K82&lt;&gt;"",$K82&lt;&gt;"US",$K82&lt;&gt;"CA"),"Country must be US or CA; ","")&amp;IF(AND($K82="US",OR($I82="",LEN($I82&amp;"")&lt;&gt;2)),"Use a 2-letter state code; ","")&amp;IF($J82="","ZIP or postal code is required; ","")&amp;IF(AND($K82="US",$J82&lt;&gt;"",NOT(IFERROR(OR(AND(LEN($J82&amp;"")=5,ISNUMBER(--($J82&amp;""))),AND(LEN($J82&amp;"")=9,ISNUMBER(--($J82&amp;""))),AND(LEN($J82&amp;"")=10,MID($J82&amp;"",6,1)="-",ISNUMBER(--SUBSTITUTE($J82&amp;"","-","")))),FALSE))),"US ZIP must be 5 or 9 digits, with an optional ZIP+4 hyphen; ","")&amp;IF(AND($N82&lt;&gt;"",NOT(IFERROR(AND(ISNUMBER(SEARCH("@",$N82)),ISNUMBER(SEARCH(".",$N82,SEARCH("@",$N82)+2))),FALSE))),"Email format appears invalid; ","")&amp;IF(AND($O82&lt;&gt;"",$B82=""),"Dependent SSN is required for every dependent; ","")&amp;IF(AND($B82&lt;&gt;"",$O82=""),"Dependent Relationship is required when Dependent SSN is entered; ","")&amp;IF(AND($O82&lt;&gt;"",$O82&lt;&gt;"Spouse or Common Law Spouse",$O82&lt;&gt;"Domestic Partner",$O82&lt;&gt;"Child",$O82&lt;&gt;"Other",$O82&lt;&gt;"Estate",$O82&lt;&gt;"Unknown"),"Dependent Relationship must use one of the approved options; ",""))</f>
        <v/>
      </c>
      <c r="Z82">
        <f>IF(COUNTA($A82:$U82)=0,"",IF(AND($A82&lt;&gt;"",NOT(IFERROR(AND(LEN($A82&amp;"")=9,ISNUMBER(--($A82&amp;""))),FALSE))),"Employee SSN must contain exactly 9 digits; ","")&amp;IF(AND($A82&lt;&gt;"",OR($A82="123456789",$A82="987654321",$A82="012345678",$A82=REPT(LEFT($A82&amp;"",1),9))),"Employee SSN appears to be a placeholder; ","")&amp;IF(AND($B82&lt;&gt;"",NOT(IFERROR(AND(LEN($B82&amp;"")=9,ISNUMBER(--($B82&amp;""))),FALSE))),"Dependent SSN must contain exactly 9 digits; ","")&amp;IF(AND($B82&lt;&gt;"",OR($B82="123456789",$B82="987654321",$B82="012345678",$B82=REPT(LEFT($B82&amp;"",1),9))),"Dependent SSN appears to be a placeholder; ","")&amp;IF(AND($A82&lt;&gt;"",$B82&lt;&gt;"",$A82&amp;""=$B82&amp;""),"Dependent SSN cannot match Employee SSN; ","")&amp;IF(AND($W82&lt;&gt;"",OR(COUNTIFS($W$2:$W$501,$W82,$C$2:$C$501,"&lt;&gt;"&amp;$C82)&gt;0,COUNTIFS($W$2:$W$501,$W82,$D$2:$D$501,"&lt;&gt;"&amp;$D82)&gt;0,COUNTIFS($W$2:$W$501,$W82,$L$2:$L$501,"&lt;&gt;"&amp;$L82)&gt;0)),"The same SSN is associated with a different name or birthdate; ",""))</f>
        <v/>
      </c>
      <c r="AA82">
        <f>IF(COUNTA($A82:$U82)=0,"",IF(AND($A82&lt;&gt;"",$S82&lt;&gt;"",COUNTIFS($A$2:$A$501,$A82,$S$2:$S$501,$S82,$B$2:$B$501,"",$O$2:$O$501,"")=0),"Add an employee row for this household and plan; ","")&amp;IF(AND($X82="Dependent",COUNTIFS($A$2:$A82,$A82,$S$2:$S82,$S82,$B$2:$B82,"",$O$2:$O82,"")=0),"Place the employee row before dependent rows for this plan; ","")&amp;IF(AND($X82="Dependent",COUNTIFS($A$2:$A$501,$A82,$S$2:$S$501,$S82,$B$2:$B$501,"",$O$2:$O$501,"")&gt;0,IFERROR(OR($P82&lt;&gt;LOOKUP(2,1/(($A$2:$A$501=$A82)*($S$2:$S$501=$S82)*($B$2:$B$501="")*($O$2:$O$501="")),$P$2:$P$501),$Q82&lt;&gt;LOOKUP(2,1/(($A$2:$A$501=$A82)*($S$2:$S$501=$S82)*($B$2:$B$501="")*($O$2:$O$501="")),$Q$2:$Q$501),$R82&lt;&gt;LOOKUP(2,1/(($A$2:$A$501=$A82)*($S$2:$S$501=$S82)*($B$2:$B$501="")*($O$2:$O$501="")),$R$2:$R$501),$T82&lt;&gt;LOOKUP(2,1/(($A$2:$A$501=$A82)*($S$2:$S$501=$S82)*($B$2:$B$501="")*($O$2:$O$501="")),$T$2:$T$501),$U82&lt;&gt;LOOKUP(2,1/(($A$2:$A$501=$A82)*($S$2:$S$501=$S82)*($B$2:$B$501="")*($O$2:$O$501="")),$U$2:$U$501)),FALSE)),"Dependent row does not match the employee row for eligibility, status, coverage level, or funding; ",""))</f>
        <v/>
      </c>
      <c r="AB82">
        <f>IF(COUNTA($A82:$U82)=0,"",IF($L82="","Birthdate is required; ","")&amp;IF(AND($L82&lt;&gt;"",OR(NOT(ISNUMBER($L82)),$L82&lt;=DATE(1900,1,1),$L82&gt;TODAY())),"Birthdate must be an exact valid past date; ","")&amp;IF($P82="","Eligibility Date is required; ","")&amp;IF(AND($P82&lt;&gt;"",OR(NOT(ISNUMBER($P82)),$P82&lt;=DATE(1900,1,1))),"Eligibility Date must be a valid date; ","")&amp;IF(AND($R82="Terminated",$Q82=""),"Termination Date is required when Status is Terminated; ","")&amp;IF(AND($Q82&lt;&gt;"",OR(NOT(ISNUMBER($Q82)),$Q82&lt;=DATE(1900,1,1))),"Termination Date must be a valid date; ","")&amp;IF(AND(ISNUMBER($P82),ISNUMBER($Q82),$Q82&lt;$P82),"Termination Date cannot be before Eligibility Date; ","")&amp;IF($R82="","Status is required; ","")&amp;IF(AND($R82&lt;&gt;"",$R82&lt;&gt;"Active",$R82&lt;&gt;"Terminated"),"Status must be Active or Terminated; ","")&amp;IF(AND('START HERE'!$C$8="Terminations Only",$R82&lt;&gt;"Terminated"),"Terminations Only files must contain terminated records; ",""))</f>
        <v/>
      </c>
      <c r="AC82">
        <f>IF(COUNTA($A82:$U82)=0,"",IF($S82="","Plan Name is required; ","")&amp;IF($T82="","Benefit Coverage Level is required; ","")&amp;IF(AND($U82&lt;&gt;"",OR(NOT(ISNUMBER($U82)),$U82&lt;0)),"Plan Funding Amount must be a nonnegative number; ","")&amp;IF(AND($A82&lt;&gt;"",$S82&lt;&gt;"",COUNTIFS($A$2:$A$501,$A82,$B$2:$B$501,$B82,$S$2:$S$501,$S82)&gt;1),"Duplicate participant and plan row; ",""))</f>
        <v/>
      </c>
      <c r="AD82">
        <f>IF(COUNTA($A82:$U82)=0,"",IF(AND($X82="Employee",$M82="",$N82=""),"No employee phone or email provided; ","")&amp;IF(AND($R82="Active",$Q82&lt;&gt;""),"Active record includes a Termination Date; confirm this is intentional; ","")&amp;IF(AND($B82&lt;&gt;"",$B82&amp;""&lt;&gt;$A82&amp;"",COUNTIF($A$2:$A$501,$B82)&gt;0),"Dependent SSN also appears as an Employee SSN elsewhere; confirm dual-employee coverage is intentional; ","")&amp;IF(AND($B82&lt;&gt;"",COUNTIF($B$2:$B$501,$B82)&gt;COUNTIFS($A$2:$A$501,$A82,$B$2:$B$501,$B82)),"Dependent SSN appears under more than one employee; confirm duplicate family coverage is intentional; ","")&amp;IF(AND(ROW()&gt;2,$A82&lt;&gt;"",$A82&lt;&gt;$A81,COUNTIF($A$2:$A81,$A82)&gt;0),"This household appears in more than one section of the census; keep the family together; ","")&amp;IF(OR(AND($C82&lt;&gt;"",LEN($C82&amp;"")&lt;&gt;LEN(TRIM($C82&amp;""))),AND($D82&lt;&gt;"",LEN($D82&amp;"")&lt;&gt;LEN(TRIM($D82&amp;""))),AND($E82&lt;&gt;"",LEN($E82&amp;"")&lt;&gt;LEN(TRIM($E82&amp;""))),AND($F82&lt;&gt;"",LEN($F82&amp;"")&lt;&gt;LEN(TRIM($F82&amp;""))),AND($G82&lt;&gt;"",LEN($G82&amp;"")&lt;&gt;LEN(TRIM($G82&amp;""))),AND($H82&lt;&gt;"",LEN($H82&amp;"")&lt;&gt;LEN(TRIM($H82&amp;""))),AND($I82&lt;&gt;"",LEN($I82&amp;"")&lt;&gt;LEN(TRIM($I82&amp;""))),AND($J82&lt;&gt;"",LEN($J82&amp;"")&lt;&gt;LEN(TRIM($J82&amp;""))),AND($K82&lt;&gt;"",LEN($K82&amp;"")&lt;&gt;LEN(TRIM($K82&amp;""))),AND($M82&lt;&gt;"",LEN($M82&amp;"")&lt;&gt;LEN(TRIM($M82&amp;""))),AND($N82&lt;&gt;"",LEN($N82&amp;"")&lt;&gt;LEN(TRIM($N82&amp;""))),AND($O82&lt;&gt;"",LEN($O82&amp;"")&lt;&gt;LEN(TRIM($O82&amp;""))),AND($R82&lt;&gt;"",LEN($R82&amp;"")&lt;&gt;LEN(TRIM($R82&amp;""))),AND($S82&lt;&gt;"",LEN($S82&amp;"")&lt;&gt;LEN(TRIM($S82&amp;""))),AND($T82&lt;&gt;"",LEN($T82&amp;"")&lt;&gt;LEN(TRIM($T82&amp;"")))),"Remove leading or trailing spaces from text fields; ","")&amp;IF(OR(AND(LEN($C82)&gt;1,OR(EXACT($C82,UPPER($C82)),EXACT($C82,LOWER($C82)))),AND(LEN($D82)&gt;1,OR(EXACT($D82,UPPER($D82)),EXACT($D82,LOWER($D82)))),AND(LEN($H82)&gt;1,OR(EXACT($H82,UPPER($H82)),EXACT($H82,LOWER($H82))))),"Review capitalization in First Name, Last Name, or City; ","")&amp;IF(AND($N82&lt;&gt;"",NOT(EXACT($N82,LOWER($N82)))),"Email will be standardized to lowercase in the clean output; ","")&amp;IF(AND(OR('START HERE'!$C$8="Initial Enrollment",'START HERE'!$C$8="Open Enrollment"),$R82="Terminated"),"A terminated row is included in an initial or open enrollment file; confirm this is intentional; ",""))</f>
        <v/>
      </c>
      <c r="AE82">
        <f>IF(COUNTA($A82:$U82)=0,"",IF(OR($A82="",AND($A82&lt;&gt;"",NOT(IFERROR(AND(LEN($A82&amp;"")=9,ISNUMBER(--($A82&amp;""))),FALSE))),AND($A82&lt;&gt;"",OR($A82="123456789",$A82="987654321",$A82="012345678",$A82=REPT(LEFT($A82&amp;"",1),9)))),"Employee SSN, ","")&amp;IF(OR(AND($O82&lt;&gt;"",$B82=""),AND($B82&lt;&gt;"",OR(NOT(IFERROR(AND(LEN($B82&amp;"")=9,ISNUMBER(--($B82&amp;""))),FALSE)),$B82=$A82,$B82="123456789",$B82="987654321",$B82="012345678",$B82=REPT(LEFT($B82&amp;"",1),9)))),"Dependent SSN, ","")&amp;IF(OR($C82="",LEN($C82)&gt;19,AND($C82&lt;&gt;"",SUMPRODUCT(--(ROW($1:$19)&lt;=LEN($C82&amp;"")),--ISERROR(FIND(MID($C82&amp;"",ROW($1:$19),1),"ABCDEFGHIJKLMNOPQRSTUVWXYZabcdefghijklmnopqrstuvwxyz .,")))&gt;0)),"First Name, ","")&amp;IF(OR($D82="",LEN($D82)&gt;26,AND($D82&lt;&gt;"",SUMPRODUCT(--(ROW($1:$26)&lt;=LEN($D82&amp;"")),--ISERROR(FIND(MID($D82&amp;"",ROW($1:$26),1),"ABCDEFGHIJKLMNOPQRSTUVWXYZabcdefghijklmnopqrstuvwxyz .,")))&gt;0)),"Last Name, ","")&amp;IF(OR(LEN($E82)&gt;1,AND($E82&lt;&gt;"",SUMPRODUCT(--(ROW($1:$1)&lt;=LEN($E82&amp;"")),--ISERROR(FIND(MID($E82&amp;"",ROW($1:$1),1),"ABCDEFGHIJKLMNOPQRSTUVWXYZabcdefghijklmnopqrstuvwxyz .,")))&gt;0)),"Middle Initial, ","")&amp;IF(OR($F82="",LEN($F82)&gt;75),"Address, ","")&amp;IF(OR($H82="",LEN($H82)&gt;30),"City, ","")&amp;IF(AND($K82="US",OR($I82="",LEN($I82)&lt;&gt;2)),"State, ","")&amp;IF($J82="","ZIP, ","")&amp;IF(OR($K82="",AND($K82&lt;&gt;"US",$K82&lt;&gt;"CA")),"Country, ","")&amp;IF(OR($L82="",AND($L82&lt;&gt;"",OR(NOT(ISNUMBER($L82)),$L82&lt;=DATE(1900,1,1),$L82&gt;TODAY()))),"Birthdate, ","")&amp;IF(AND($N82&lt;&gt;"",NOT(IFERROR(AND(ISNUMBER(SEARCH("@",$N82)),ISNUMBER(SEARCH(".",$N82,SEARCH("@",$N82)+2))),FALSE))),"Email, ","")&amp;IF(OR(AND($B82&lt;&gt;"",$O82=""),AND($O82&lt;&gt;"",$O82&lt;&gt;"Spouse or Common Law Spouse",$O82&lt;&gt;"Domestic Partner",$O82&lt;&gt;"Child",$O82&lt;&gt;"Other",$O82&lt;&gt;"Estate",$O82&lt;&gt;"Unknown")),"Dependent Relationship, ","")&amp;IF($AA82&lt;&gt;"","Household, ","")&amp;IF(OR($P82="",AND($P82&lt;&gt;"",OR(NOT(ISNUMBER($P82)),$P82&lt;=DATE(1900,1,1)))),"Eligibility Date, ","")&amp;IF(OR(AND($R82="Terminated",$Q82=""),AND($Q82&lt;&gt;"",OR(NOT(ISNUMBER($Q82)),$Q82&lt;=DATE(1900,1,1))),AND(ISNUMBER($P82),ISNUMBER($Q82),$Q82&lt;$P82)),"Termination Date, ","")&amp;IF(OR($R82="",AND($R82&lt;&gt;"Active",$R82&lt;&gt;"Terminated"),AND('START HERE'!$C$8="Terminations Only",$R82&lt;&gt;"Terminated")),"Status, ","")&amp;IF($S82="","Plan Name, ","")&amp;IF($T82="","Coverage Level, ","")&amp;IF(AND($U82&lt;&gt;"",OR(NOT(ISNUMBER($U82)),$U82&lt;0)),"Funding, ","")&amp;IF(AND($A82&lt;&gt;"",$S82&lt;&gt;"",COUNTIFS($A$2:$A$501,$A82,$B$2:$B$501,$B82,$S$2:$S$501,$S82)&gt;1),"Duplicate Row, ",""))</f>
        <v/>
      </c>
      <c r="AF82">
        <f>IF(COUNTA($A82:$U82)=0,"",$Y82&amp;$Z82&amp;$AA82&amp;$AB82&amp;$AC82)</f>
        <v/>
      </c>
      <c r="AG82">
        <f>IF($N82="","",LOWER(TRIM($N82)))</f>
        <v/>
      </c>
      <c r="AH82">
        <f>IF($A82="","",COUNTIFS($A$2:$A$501,$A82,$AI$2:$AI$501,1))</f>
        <v/>
      </c>
      <c r="AI82">
        <f>IF(COUNTA($A82:$U82)=0,"",--($AF82&lt;&gt;""))</f>
        <v/>
      </c>
      <c r="AJ82">
        <f>IF(COUNTA($A82:$U82)=0,"",--($AD82&lt;&gt;""))</f>
        <v/>
      </c>
    </row>
    <row r="83" ht="20" customHeight="1">
      <c r="A83" s="80" t="n"/>
      <c r="B83" s="80" t="n"/>
      <c r="C83" s="81" t="n"/>
      <c r="D83" s="81" t="n"/>
      <c r="E83" s="80" t="n"/>
      <c r="F83" s="81" t="n"/>
      <c r="G83" s="81" t="n"/>
      <c r="H83" s="81" t="n"/>
      <c r="I83" s="80" t="n"/>
      <c r="J83" s="80" t="n"/>
      <c r="K83" s="80" t="n"/>
      <c r="L83" s="82" t="n"/>
      <c r="M83" s="80" t="n"/>
      <c r="N83" s="80" t="n"/>
      <c r="O83" s="80" t="n"/>
      <c r="P83" s="82" t="n"/>
      <c r="Q83" s="82" t="n"/>
      <c r="R83" s="80" t="n"/>
      <c r="S83" s="80" t="n"/>
      <c r="T83" s="80" t="n"/>
      <c r="U83" s="83" t="n"/>
      <c r="V83">
        <f>IF($A83="","",IF($A83=$A82,$V82,IF($V82="",0,1-$V82)))</f>
        <v/>
      </c>
      <c r="W83">
        <f>IF($B83&lt;&gt;"",$B83,$A83)</f>
        <v/>
      </c>
      <c r="X83">
        <f>IF(COUNTA($A83:$U83)=0,"",IF(OR($B83&lt;&gt;"",$O83&lt;&gt;""),"Dependent","Employee"))</f>
        <v/>
      </c>
      <c r="Y83">
        <f>IF(COUNTA($A83:$U83)=0,"",IF($A83="","Employee SSN is required; ","")&amp;IF($C83="","First Name is required; ","")&amp;IF(LEN($C83&amp;"")&gt;19,"First Name exceeds 19 characters; ","")&amp;IF(AND($C83&lt;&gt;"",SUMPRODUCT(--(ROW($1:$19)&lt;=LEN($C83&amp;"")),--ISERROR(FIND(MID($C83&amp;"",ROW($1:$19),1),"ABCDEFGHIJKLMNOPQRSTUVWXYZabcdefghijklmnopqrstuvwxyz .,")))&gt;0),"First Name contains unsupported or encoded characters; use plain A-Z letters only; ","")&amp;IF($D83="","Last Name is required; ","")&amp;IF(LEN($D83&amp;"")&gt;26,"Last Name exceeds 26 characters; ","")&amp;IF(AND($D83&lt;&gt;"",SUMPRODUCT(--(ROW($1:$26)&lt;=LEN($D83&amp;"")),--ISERROR(FIND(MID($D83&amp;"",ROW($1:$26),1),"ABCDEFGHIJKLMNOPQRSTUVWXYZabcdefghijklmnopqrstuvwxyz .,")))&gt;0),"Last Name contains unsupported or encoded characters; use plain A-Z letters only; ","")&amp;IF(LEN($E83&amp;"")&gt;1,"Middle Initial may contain only one character; ","")&amp;IF(AND($E83&lt;&gt;"",SUMPRODUCT(--(ROW($1:$1)&lt;=LEN($E83&amp;"")),--ISERROR(FIND(MID($E83&amp;"",ROW($1:$1),1),"ABCDEFGHIJKLMNOPQRSTUVWXYZabcdefghijklmnopqrstuvwxyz .,")))&gt;0),"Middle Initial must be a plain A-Z letter; ","")&amp;IF($F83="","Address is required; ","")&amp;IF(LEN($F83&amp;"")&gt;75,"Address exceeds 75 characters; ","")&amp;IF(LEN($G83&amp;"")&gt;75,"Address 2 exceeds 75 characters; ","")&amp;IF($H83="","City is required; ","")&amp;IF(LEN($H83&amp;"")&gt;30,"City exceeds 30 characters; ","")&amp;IF($K83="","Country is required; ","")&amp;IF(AND($K83&lt;&gt;"",$K83&lt;&gt;"US",$K83&lt;&gt;"CA"),"Country must be US or CA; ","")&amp;IF(AND($K83="US",OR($I83="",LEN($I83&amp;"")&lt;&gt;2)),"Use a 2-letter state code; ","")&amp;IF($J83="","ZIP or postal code is required; ","")&amp;IF(AND($K83="US",$J83&lt;&gt;"",NOT(IFERROR(OR(AND(LEN($J83&amp;"")=5,ISNUMBER(--($J83&amp;""))),AND(LEN($J83&amp;"")=9,ISNUMBER(--($J83&amp;""))),AND(LEN($J83&amp;"")=10,MID($J83&amp;"",6,1)="-",ISNUMBER(--SUBSTITUTE($J83&amp;"","-","")))),FALSE))),"US ZIP must be 5 or 9 digits, with an optional ZIP+4 hyphen; ","")&amp;IF(AND($N83&lt;&gt;"",NOT(IFERROR(AND(ISNUMBER(SEARCH("@",$N83)),ISNUMBER(SEARCH(".",$N83,SEARCH("@",$N83)+2))),FALSE))),"Email format appears invalid; ","")&amp;IF(AND($O83&lt;&gt;"",$B83=""),"Dependent SSN is required for every dependent; ","")&amp;IF(AND($B83&lt;&gt;"",$O83=""),"Dependent Relationship is required when Dependent SSN is entered; ","")&amp;IF(AND($O83&lt;&gt;"",$O83&lt;&gt;"Spouse or Common Law Spouse",$O83&lt;&gt;"Domestic Partner",$O83&lt;&gt;"Child",$O83&lt;&gt;"Other",$O83&lt;&gt;"Estate",$O83&lt;&gt;"Unknown"),"Dependent Relationship must use one of the approved options; ",""))</f>
        <v/>
      </c>
      <c r="Z83">
        <f>IF(COUNTA($A83:$U83)=0,"",IF(AND($A83&lt;&gt;"",NOT(IFERROR(AND(LEN($A83&amp;"")=9,ISNUMBER(--($A83&amp;""))),FALSE))),"Employee SSN must contain exactly 9 digits; ","")&amp;IF(AND($A83&lt;&gt;"",OR($A83="123456789",$A83="987654321",$A83="012345678",$A83=REPT(LEFT($A83&amp;"",1),9))),"Employee SSN appears to be a placeholder; ","")&amp;IF(AND($B83&lt;&gt;"",NOT(IFERROR(AND(LEN($B83&amp;"")=9,ISNUMBER(--($B83&amp;""))),FALSE))),"Dependent SSN must contain exactly 9 digits; ","")&amp;IF(AND($B83&lt;&gt;"",OR($B83="123456789",$B83="987654321",$B83="012345678",$B83=REPT(LEFT($B83&amp;"",1),9))),"Dependent SSN appears to be a placeholder; ","")&amp;IF(AND($A83&lt;&gt;"",$B83&lt;&gt;"",$A83&amp;""=$B83&amp;""),"Dependent SSN cannot match Employee SSN; ","")&amp;IF(AND($W83&lt;&gt;"",OR(COUNTIFS($W$2:$W$501,$W83,$C$2:$C$501,"&lt;&gt;"&amp;$C83)&gt;0,COUNTIFS($W$2:$W$501,$W83,$D$2:$D$501,"&lt;&gt;"&amp;$D83)&gt;0,COUNTIFS($W$2:$W$501,$W83,$L$2:$L$501,"&lt;&gt;"&amp;$L83)&gt;0)),"The same SSN is associated with a different name or birthdate; ",""))</f>
        <v/>
      </c>
      <c r="AA83">
        <f>IF(COUNTA($A83:$U83)=0,"",IF(AND($A83&lt;&gt;"",$S83&lt;&gt;"",COUNTIFS($A$2:$A$501,$A83,$S$2:$S$501,$S83,$B$2:$B$501,"",$O$2:$O$501,"")=0),"Add an employee row for this household and plan; ","")&amp;IF(AND($X83="Dependent",COUNTIFS($A$2:$A83,$A83,$S$2:$S83,$S83,$B$2:$B83,"",$O$2:$O83,"")=0),"Place the employee row before dependent rows for this plan; ","")&amp;IF(AND($X83="Dependent",COUNTIFS($A$2:$A$501,$A83,$S$2:$S$501,$S83,$B$2:$B$501,"",$O$2:$O$501,"")&gt;0,IFERROR(OR($P83&lt;&gt;LOOKUP(2,1/(($A$2:$A$501=$A83)*($S$2:$S$501=$S83)*($B$2:$B$501="")*($O$2:$O$501="")),$P$2:$P$501),$Q83&lt;&gt;LOOKUP(2,1/(($A$2:$A$501=$A83)*($S$2:$S$501=$S83)*($B$2:$B$501="")*($O$2:$O$501="")),$Q$2:$Q$501),$R83&lt;&gt;LOOKUP(2,1/(($A$2:$A$501=$A83)*($S$2:$S$501=$S83)*($B$2:$B$501="")*($O$2:$O$501="")),$R$2:$R$501),$T83&lt;&gt;LOOKUP(2,1/(($A$2:$A$501=$A83)*($S$2:$S$501=$S83)*($B$2:$B$501="")*($O$2:$O$501="")),$T$2:$T$501),$U83&lt;&gt;LOOKUP(2,1/(($A$2:$A$501=$A83)*($S$2:$S$501=$S83)*($B$2:$B$501="")*($O$2:$O$501="")),$U$2:$U$501)),FALSE)),"Dependent row does not match the employee row for eligibility, status, coverage level, or funding; ",""))</f>
        <v/>
      </c>
      <c r="AB83">
        <f>IF(COUNTA($A83:$U83)=0,"",IF($L83="","Birthdate is required; ","")&amp;IF(AND($L83&lt;&gt;"",OR(NOT(ISNUMBER($L83)),$L83&lt;=DATE(1900,1,1),$L83&gt;TODAY())),"Birthdate must be an exact valid past date; ","")&amp;IF($P83="","Eligibility Date is required; ","")&amp;IF(AND($P83&lt;&gt;"",OR(NOT(ISNUMBER($P83)),$P83&lt;=DATE(1900,1,1))),"Eligibility Date must be a valid date; ","")&amp;IF(AND($R83="Terminated",$Q83=""),"Termination Date is required when Status is Terminated; ","")&amp;IF(AND($Q83&lt;&gt;"",OR(NOT(ISNUMBER($Q83)),$Q83&lt;=DATE(1900,1,1))),"Termination Date must be a valid date; ","")&amp;IF(AND(ISNUMBER($P83),ISNUMBER($Q83),$Q83&lt;$P83),"Termination Date cannot be before Eligibility Date; ","")&amp;IF($R83="","Status is required; ","")&amp;IF(AND($R83&lt;&gt;"",$R83&lt;&gt;"Active",$R83&lt;&gt;"Terminated"),"Status must be Active or Terminated; ","")&amp;IF(AND('START HERE'!$C$8="Terminations Only",$R83&lt;&gt;"Terminated"),"Terminations Only files must contain terminated records; ",""))</f>
        <v/>
      </c>
      <c r="AC83">
        <f>IF(COUNTA($A83:$U83)=0,"",IF($S83="","Plan Name is required; ","")&amp;IF($T83="","Benefit Coverage Level is required; ","")&amp;IF(AND($U83&lt;&gt;"",OR(NOT(ISNUMBER($U83)),$U83&lt;0)),"Plan Funding Amount must be a nonnegative number; ","")&amp;IF(AND($A83&lt;&gt;"",$S83&lt;&gt;"",COUNTIFS($A$2:$A$501,$A83,$B$2:$B$501,$B83,$S$2:$S$501,$S83)&gt;1),"Duplicate participant and plan row; ",""))</f>
        <v/>
      </c>
      <c r="AD83">
        <f>IF(COUNTA($A83:$U83)=0,"",IF(AND($X83="Employee",$M83="",$N83=""),"No employee phone or email provided; ","")&amp;IF(AND($R83="Active",$Q83&lt;&gt;""),"Active record includes a Termination Date; confirm this is intentional; ","")&amp;IF(AND($B83&lt;&gt;"",$B83&amp;""&lt;&gt;$A83&amp;"",COUNTIF($A$2:$A$501,$B83)&gt;0),"Dependent SSN also appears as an Employee SSN elsewhere; confirm dual-employee coverage is intentional; ","")&amp;IF(AND($B83&lt;&gt;"",COUNTIF($B$2:$B$501,$B83)&gt;COUNTIFS($A$2:$A$501,$A83,$B$2:$B$501,$B83)),"Dependent SSN appears under more than one employee; confirm duplicate family coverage is intentional; ","")&amp;IF(AND(ROW()&gt;2,$A83&lt;&gt;"",$A83&lt;&gt;$A82,COUNTIF($A$2:$A82,$A83)&gt;0),"This household appears in more than one section of the census; keep the family together; ","")&amp;IF(OR(AND($C83&lt;&gt;"",LEN($C83&amp;"")&lt;&gt;LEN(TRIM($C83&amp;""))),AND($D83&lt;&gt;"",LEN($D83&amp;"")&lt;&gt;LEN(TRIM($D83&amp;""))),AND($E83&lt;&gt;"",LEN($E83&amp;"")&lt;&gt;LEN(TRIM($E83&amp;""))),AND($F83&lt;&gt;"",LEN($F83&amp;"")&lt;&gt;LEN(TRIM($F83&amp;""))),AND($G83&lt;&gt;"",LEN($G83&amp;"")&lt;&gt;LEN(TRIM($G83&amp;""))),AND($H83&lt;&gt;"",LEN($H83&amp;"")&lt;&gt;LEN(TRIM($H83&amp;""))),AND($I83&lt;&gt;"",LEN($I83&amp;"")&lt;&gt;LEN(TRIM($I83&amp;""))),AND($J83&lt;&gt;"",LEN($J83&amp;"")&lt;&gt;LEN(TRIM($J83&amp;""))),AND($K83&lt;&gt;"",LEN($K83&amp;"")&lt;&gt;LEN(TRIM($K83&amp;""))),AND($M83&lt;&gt;"",LEN($M83&amp;"")&lt;&gt;LEN(TRIM($M83&amp;""))),AND($N83&lt;&gt;"",LEN($N83&amp;"")&lt;&gt;LEN(TRIM($N83&amp;""))),AND($O83&lt;&gt;"",LEN($O83&amp;"")&lt;&gt;LEN(TRIM($O83&amp;""))),AND($R83&lt;&gt;"",LEN($R83&amp;"")&lt;&gt;LEN(TRIM($R83&amp;""))),AND($S83&lt;&gt;"",LEN($S83&amp;"")&lt;&gt;LEN(TRIM($S83&amp;""))),AND($T83&lt;&gt;"",LEN($T83&amp;"")&lt;&gt;LEN(TRIM($T83&amp;"")))),"Remove leading or trailing spaces from text fields; ","")&amp;IF(OR(AND(LEN($C83)&gt;1,OR(EXACT($C83,UPPER($C83)),EXACT($C83,LOWER($C83)))),AND(LEN($D83)&gt;1,OR(EXACT($D83,UPPER($D83)),EXACT($D83,LOWER($D83)))),AND(LEN($H83)&gt;1,OR(EXACT($H83,UPPER($H83)),EXACT($H83,LOWER($H83))))),"Review capitalization in First Name, Last Name, or City; ","")&amp;IF(AND($N83&lt;&gt;"",NOT(EXACT($N83,LOWER($N83)))),"Email will be standardized to lowercase in the clean output; ","")&amp;IF(AND(OR('START HERE'!$C$8="Initial Enrollment",'START HERE'!$C$8="Open Enrollment"),$R83="Terminated"),"A terminated row is included in an initial or open enrollment file; confirm this is intentional; ",""))</f>
        <v/>
      </c>
      <c r="AE83">
        <f>IF(COUNTA($A83:$U83)=0,"",IF(OR($A83="",AND($A83&lt;&gt;"",NOT(IFERROR(AND(LEN($A83&amp;"")=9,ISNUMBER(--($A83&amp;""))),FALSE))),AND($A83&lt;&gt;"",OR($A83="123456789",$A83="987654321",$A83="012345678",$A83=REPT(LEFT($A83&amp;"",1),9)))),"Employee SSN, ","")&amp;IF(OR(AND($O83&lt;&gt;"",$B83=""),AND($B83&lt;&gt;"",OR(NOT(IFERROR(AND(LEN($B83&amp;"")=9,ISNUMBER(--($B83&amp;""))),FALSE)),$B83=$A83,$B83="123456789",$B83="987654321",$B83="012345678",$B83=REPT(LEFT($B83&amp;"",1),9)))),"Dependent SSN, ","")&amp;IF(OR($C83="",LEN($C83)&gt;19,AND($C83&lt;&gt;"",SUMPRODUCT(--(ROW($1:$19)&lt;=LEN($C83&amp;"")),--ISERROR(FIND(MID($C83&amp;"",ROW($1:$19),1),"ABCDEFGHIJKLMNOPQRSTUVWXYZabcdefghijklmnopqrstuvwxyz .,")))&gt;0)),"First Name, ","")&amp;IF(OR($D83="",LEN($D83)&gt;26,AND($D83&lt;&gt;"",SUMPRODUCT(--(ROW($1:$26)&lt;=LEN($D83&amp;"")),--ISERROR(FIND(MID($D83&amp;"",ROW($1:$26),1),"ABCDEFGHIJKLMNOPQRSTUVWXYZabcdefghijklmnopqrstuvwxyz .,")))&gt;0)),"Last Name, ","")&amp;IF(OR(LEN($E83)&gt;1,AND($E83&lt;&gt;"",SUMPRODUCT(--(ROW($1:$1)&lt;=LEN($E83&amp;"")),--ISERROR(FIND(MID($E83&amp;"",ROW($1:$1),1),"ABCDEFGHIJKLMNOPQRSTUVWXYZabcdefghijklmnopqrstuvwxyz .,")))&gt;0)),"Middle Initial, ","")&amp;IF(OR($F83="",LEN($F83)&gt;75),"Address, ","")&amp;IF(OR($H83="",LEN($H83)&gt;30),"City, ","")&amp;IF(AND($K83="US",OR($I83="",LEN($I83)&lt;&gt;2)),"State, ","")&amp;IF($J83="","ZIP, ","")&amp;IF(OR($K83="",AND($K83&lt;&gt;"US",$K83&lt;&gt;"CA")),"Country, ","")&amp;IF(OR($L83="",AND($L83&lt;&gt;"",OR(NOT(ISNUMBER($L83)),$L83&lt;=DATE(1900,1,1),$L83&gt;TODAY()))),"Birthdate, ","")&amp;IF(AND($N83&lt;&gt;"",NOT(IFERROR(AND(ISNUMBER(SEARCH("@",$N83)),ISNUMBER(SEARCH(".",$N83,SEARCH("@",$N83)+2))),FALSE))),"Email, ","")&amp;IF(OR(AND($B83&lt;&gt;"",$O83=""),AND($O83&lt;&gt;"",$O83&lt;&gt;"Spouse or Common Law Spouse",$O83&lt;&gt;"Domestic Partner",$O83&lt;&gt;"Child",$O83&lt;&gt;"Other",$O83&lt;&gt;"Estate",$O83&lt;&gt;"Unknown")),"Dependent Relationship, ","")&amp;IF($AA83&lt;&gt;"","Household, ","")&amp;IF(OR($P83="",AND($P83&lt;&gt;"",OR(NOT(ISNUMBER($P83)),$P83&lt;=DATE(1900,1,1)))),"Eligibility Date, ","")&amp;IF(OR(AND($R83="Terminated",$Q83=""),AND($Q83&lt;&gt;"",OR(NOT(ISNUMBER($Q83)),$Q83&lt;=DATE(1900,1,1))),AND(ISNUMBER($P83),ISNUMBER($Q83),$Q83&lt;$P83)),"Termination Date, ","")&amp;IF(OR($R83="",AND($R83&lt;&gt;"Active",$R83&lt;&gt;"Terminated"),AND('START HERE'!$C$8="Terminations Only",$R83&lt;&gt;"Terminated")),"Status, ","")&amp;IF($S83="","Plan Name, ","")&amp;IF($T83="","Coverage Level, ","")&amp;IF(AND($U83&lt;&gt;"",OR(NOT(ISNUMBER($U83)),$U83&lt;0)),"Funding, ","")&amp;IF(AND($A83&lt;&gt;"",$S83&lt;&gt;"",COUNTIFS($A$2:$A$501,$A83,$B$2:$B$501,$B83,$S$2:$S$501,$S83)&gt;1),"Duplicate Row, ",""))</f>
        <v/>
      </c>
      <c r="AF83">
        <f>IF(COUNTA($A83:$U83)=0,"",$Y83&amp;$Z83&amp;$AA83&amp;$AB83&amp;$AC83)</f>
        <v/>
      </c>
      <c r="AG83">
        <f>IF($N83="","",LOWER(TRIM($N83)))</f>
        <v/>
      </c>
      <c r="AH83">
        <f>IF($A83="","",COUNTIFS($A$2:$A$501,$A83,$AI$2:$AI$501,1))</f>
        <v/>
      </c>
      <c r="AI83">
        <f>IF(COUNTA($A83:$U83)=0,"",--($AF83&lt;&gt;""))</f>
        <v/>
      </c>
      <c r="AJ83">
        <f>IF(COUNTA($A83:$U83)=0,"",--($AD83&lt;&gt;""))</f>
        <v/>
      </c>
    </row>
    <row r="84" ht="20" customHeight="1">
      <c r="A84" s="80" t="n"/>
      <c r="B84" s="80" t="n"/>
      <c r="C84" s="81" t="n"/>
      <c r="D84" s="81" t="n"/>
      <c r="E84" s="80" t="n"/>
      <c r="F84" s="81" t="n"/>
      <c r="G84" s="81" t="n"/>
      <c r="H84" s="81" t="n"/>
      <c r="I84" s="80" t="n"/>
      <c r="J84" s="80" t="n"/>
      <c r="K84" s="80" t="n"/>
      <c r="L84" s="82" t="n"/>
      <c r="M84" s="80" t="n"/>
      <c r="N84" s="80" t="n"/>
      <c r="O84" s="80" t="n"/>
      <c r="P84" s="82" t="n"/>
      <c r="Q84" s="82" t="n"/>
      <c r="R84" s="80" t="n"/>
      <c r="S84" s="80" t="n"/>
      <c r="T84" s="80" t="n"/>
      <c r="U84" s="83" t="n"/>
      <c r="V84">
        <f>IF($A84="","",IF($A84=$A83,$V83,IF($V83="",0,1-$V83)))</f>
        <v/>
      </c>
      <c r="W84">
        <f>IF($B84&lt;&gt;"",$B84,$A84)</f>
        <v/>
      </c>
      <c r="X84">
        <f>IF(COUNTA($A84:$U84)=0,"",IF(OR($B84&lt;&gt;"",$O84&lt;&gt;""),"Dependent","Employee"))</f>
        <v/>
      </c>
      <c r="Y84">
        <f>IF(COUNTA($A84:$U84)=0,"",IF($A84="","Employee SSN is required; ","")&amp;IF($C84="","First Name is required; ","")&amp;IF(LEN($C84&amp;"")&gt;19,"First Name exceeds 19 characters; ","")&amp;IF(AND($C84&lt;&gt;"",SUMPRODUCT(--(ROW($1:$19)&lt;=LEN($C84&amp;"")),--ISERROR(FIND(MID($C84&amp;"",ROW($1:$19),1),"ABCDEFGHIJKLMNOPQRSTUVWXYZabcdefghijklmnopqrstuvwxyz .,")))&gt;0),"First Name contains unsupported or encoded characters; use plain A-Z letters only; ","")&amp;IF($D84="","Last Name is required; ","")&amp;IF(LEN($D84&amp;"")&gt;26,"Last Name exceeds 26 characters; ","")&amp;IF(AND($D84&lt;&gt;"",SUMPRODUCT(--(ROW($1:$26)&lt;=LEN($D84&amp;"")),--ISERROR(FIND(MID($D84&amp;"",ROW($1:$26),1),"ABCDEFGHIJKLMNOPQRSTUVWXYZabcdefghijklmnopqrstuvwxyz .,")))&gt;0),"Last Name contains unsupported or encoded characters; use plain A-Z letters only; ","")&amp;IF(LEN($E84&amp;"")&gt;1,"Middle Initial may contain only one character; ","")&amp;IF(AND($E84&lt;&gt;"",SUMPRODUCT(--(ROW($1:$1)&lt;=LEN($E84&amp;"")),--ISERROR(FIND(MID($E84&amp;"",ROW($1:$1),1),"ABCDEFGHIJKLMNOPQRSTUVWXYZabcdefghijklmnopqrstuvwxyz .,")))&gt;0),"Middle Initial must be a plain A-Z letter; ","")&amp;IF($F84="","Address is required; ","")&amp;IF(LEN($F84&amp;"")&gt;75,"Address exceeds 75 characters; ","")&amp;IF(LEN($G84&amp;"")&gt;75,"Address 2 exceeds 75 characters; ","")&amp;IF($H84="","City is required; ","")&amp;IF(LEN($H84&amp;"")&gt;30,"City exceeds 30 characters; ","")&amp;IF($K84="","Country is required; ","")&amp;IF(AND($K84&lt;&gt;"",$K84&lt;&gt;"US",$K84&lt;&gt;"CA"),"Country must be US or CA; ","")&amp;IF(AND($K84="US",OR($I84="",LEN($I84&amp;"")&lt;&gt;2)),"Use a 2-letter state code; ","")&amp;IF($J84="","ZIP or postal code is required; ","")&amp;IF(AND($K84="US",$J84&lt;&gt;"",NOT(IFERROR(OR(AND(LEN($J84&amp;"")=5,ISNUMBER(--($J84&amp;""))),AND(LEN($J84&amp;"")=9,ISNUMBER(--($J84&amp;""))),AND(LEN($J84&amp;"")=10,MID($J84&amp;"",6,1)="-",ISNUMBER(--SUBSTITUTE($J84&amp;"","-","")))),FALSE))),"US ZIP must be 5 or 9 digits, with an optional ZIP+4 hyphen; ","")&amp;IF(AND($N84&lt;&gt;"",NOT(IFERROR(AND(ISNUMBER(SEARCH("@",$N84)),ISNUMBER(SEARCH(".",$N84,SEARCH("@",$N84)+2))),FALSE))),"Email format appears invalid; ","")&amp;IF(AND($O84&lt;&gt;"",$B84=""),"Dependent SSN is required for every dependent; ","")&amp;IF(AND($B84&lt;&gt;"",$O84=""),"Dependent Relationship is required when Dependent SSN is entered; ","")&amp;IF(AND($O84&lt;&gt;"",$O84&lt;&gt;"Spouse or Common Law Spouse",$O84&lt;&gt;"Domestic Partner",$O84&lt;&gt;"Child",$O84&lt;&gt;"Other",$O84&lt;&gt;"Estate",$O84&lt;&gt;"Unknown"),"Dependent Relationship must use one of the approved options; ",""))</f>
        <v/>
      </c>
      <c r="Z84">
        <f>IF(COUNTA($A84:$U84)=0,"",IF(AND($A84&lt;&gt;"",NOT(IFERROR(AND(LEN($A84&amp;"")=9,ISNUMBER(--($A84&amp;""))),FALSE))),"Employee SSN must contain exactly 9 digits; ","")&amp;IF(AND($A84&lt;&gt;"",OR($A84="123456789",$A84="987654321",$A84="012345678",$A84=REPT(LEFT($A84&amp;"",1),9))),"Employee SSN appears to be a placeholder; ","")&amp;IF(AND($B84&lt;&gt;"",NOT(IFERROR(AND(LEN($B84&amp;"")=9,ISNUMBER(--($B84&amp;""))),FALSE))),"Dependent SSN must contain exactly 9 digits; ","")&amp;IF(AND($B84&lt;&gt;"",OR($B84="123456789",$B84="987654321",$B84="012345678",$B84=REPT(LEFT($B84&amp;"",1),9))),"Dependent SSN appears to be a placeholder; ","")&amp;IF(AND($A84&lt;&gt;"",$B84&lt;&gt;"",$A84&amp;""=$B84&amp;""),"Dependent SSN cannot match Employee SSN; ","")&amp;IF(AND($W84&lt;&gt;"",OR(COUNTIFS($W$2:$W$501,$W84,$C$2:$C$501,"&lt;&gt;"&amp;$C84)&gt;0,COUNTIFS($W$2:$W$501,$W84,$D$2:$D$501,"&lt;&gt;"&amp;$D84)&gt;0,COUNTIFS($W$2:$W$501,$W84,$L$2:$L$501,"&lt;&gt;"&amp;$L84)&gt;0)),"The same SSN is associated with a different name or birthdate; ",""))</f>
        <v/>
      </c>
      <c r="AA84">
        <f>IF(COUNTA($A84:$U84)=0,"",IF(AND($A84&lt;&gt;"",$S84&lt;&gt;"",COUNTIFS($A$2:$A$501,$A84,$S$2:$S$501,$S84,$B$2:$B$501,"",$O$2:$O$501,"")=0),"Add an employee row for this household and plan; ","")&amp;IF(AND($X84="Dependent",COUNTIFS($A$2:$A84,$A84,$S$2:$S84,$S84,$B$2:$B84,"",$O$2:$O84,"")=0),"Place the employee row before dependent rows for this plan; ","")&amp;IF(AND($X84="Dependent",COUNTIFS($A$2:$A$501,$A84,$S$2:$S$501,$S84,$B$2:$B$501,"",$O$2:$O$501,"")&gt;0,IFERROR(OR($P84&lt;&gt;LOOKUP(2,1/(($A$2:$A$501=$A84)*($S$2:$S$501=$S84)*($B$2:$B$501="")*($O$2:$O$501="")),$P$2:$P$501),$Q84&lt;&gt;LOOKUP(2,1/(($A$2:$A$501=$A84)*($S$2:$S$501=$S84)*($B$2:$B$501="")*($O$2:$O$501="")),$Q$2:$Q$501),$R84&lt;&gt;LOOKUP(2,1/(($A$2:$A$501=$A84)*($S$2:$S$501=$S84)*($B$2:$B$501="")*($O$2:$O$501="")),$R$2:$R$501),$T84&lt;&gt;LOOKUP(2,1/(($A$2:$A$501=$A84)*($S$2:$S$501=$S84)*($B$2:$B$501="")*($O$2:$O$501="")),$T$2:$T$501),$U84&lt;&gt;LOOKUP(2,1/(($A$2:$A$501=$A84)*($S$2:$S$501=$S84)*($B$2:$B$501="")*($O$2:$O$501="")),$U$2:$U$501)),FALSE)),"Dependent row does not match the employee row for eligibility, status, coverage level, or funding; ",""))</f>
        <v/>
      </c>
      <c r="AB84">
        <f>IF(COUNTA($A84:$U84)=0,"",IF($L84="","Birthdate is required; ","")&amp;IF(AND($L84&lt;&gt;"",OR(NOT(ISNUMBER($L84)),$L84&lt;=DATE(1900,1,1),$L84&gt;TODAY())),"Birthdate must be an exact valid past date; ","")&amp;IF($P84="","Eligibility Date is required; ","")&amp;IF(AND($P84&lt;&gt;"",OR(NOT(ISNUMBER($P84)),$P84&lt;=DATE(1900,1,1))),"Eligibility Date must be a valid date; ","")&amp;IF(AND($R84="Terminated",$Q84=""),"Termination Date is required when Status is Terminated; ","")&amp;IF(AND($Q84&lt;&gt;"",OR(NOT(ISNUMBER($Q84)),$Q84&lt;=DATE(1900,1,1))),"Termination Date must be a valid date; ","")&amp;IF(AND(ISNUMBER($P84),ISNUMBER($Q84),$Q84&lt;$P84),"Termination Date cannot be before Eligibility Date; ","")&amp;IF($R84="","Status is required; ","")&amp;IF(AND($R84&lt;&gt;"",$R84&lt;&gt;"Active",$R84&lt;&gt;"Terminated"),"Status must be Active or Terminated; ","")&amp;IF(AND('START HERE'!$C$8="Terminations Only",$R84&lt;&gt;"Terminated"),"Terminations Only files must contain terminated records; ",""))</f>
        <v/>
      </c>
      <c r="AC84">
        <f>IF(COUNTA($A84:$U84)=0,"",IF($S84="","Plan Name is required; ","")&amp;IF($T84="","Benefit Coverage Level is required; ","")&amp;IF(AND($U84&lt;&gt;"",OR(NOT(ISNUMBER($U84)),$U84&lt;0)),"Plan Funding Amount must be a nonnegative number; ","")&amp;IF(AND($A84&lt;&gt;"",$S84&lt;&gt;"",COUNTIFS($A$2:$A$501,$A84,$B$2:$B$501,$B84,$S$2:$S$501,$S84)&gt;1),"Duplicate participant and plan row; ",""))</f>
        <v/>
      </c>
      <c r="AD84">
        <f>IF(COUNTA($A84:$U84)=0,"",IF(AND($X84="Employee",$M84="",$N84=""),"No employee phone or email provided; ","")&amp;IF(AND($R84="Active",$Q84&lt;&gt;""),"Active record includes a Termination Date; confirm this is intentional; ","")&amp;IF(AND($B84&lt;&gt;"",$B84&amp;""&lt;&gt;$A84&amp;"",COUNTIF($A$2:$A$501,$B84)&gt;0),"Dependent SSN also appears as an Employee SSN elsewhere; confirm dual-employee coverage is intentional; ","")&amp;IF(AND($B84&lt;&gt;"",COUNTIF($B$2:$B$501,$B84)&gt;COUNTIFS($A$2:$A$501,$A84,$B$2:$B$501,$B84)),"Dependent SSN appears under more than one employee; confirm duplicate family coverage is intentional; ","")&amp;IF(AND(ROW()&gt;2,$A84&lt;&gt;"",$A84&lt;&gt;$A83,COUNTIF($A$2:$A83,$A84)&gt;0),"This household appears in more than one section of the census; keep the family together; ","")&amp;IF(OR(AND($C84&lt;&gt;"",LEN($C84&amp;"")&lt;&gt;LEN(TRIM($C84&amp;""))),AND($D84&lt;&gt;"",LEN($D84&amp;"")&lt;&gt;LEN(TRIM($D84&amp;""))),AND($E84&lt;&gt;"",LEN($E84&amp;"")&lt;&gt;LEN(TRIM($E84&amp;""))),AND($F84&lt;&gt;"",LEN($F84&amp;"")&lt;&gt;LEN(TRIM($F84&amp;""))),AND($G84&lt;&gt;"",LEN($G84&amp;"")&lt;&gt;LEN(TRIM($G84&amp;""))),AND($H84&lt;&gt;"",LEN($H84&amp;"")&lt;&gt;LEN(TRIM($H84&amp;""))),AND($I84&lt;&gt;"",LEN($I84&amp;"")&lt;&gt;LEN(TRIM($I84&amp;""))),AND($J84&lt;&gt;"",LEN($J84&amp;"")&lt;&gt;LEN(TRIM($J84&amp;""))),AND($K84&lt;&gt;"",LEN($K84&amp;"")&lt;&gt;LEN(TRIM($K84&amp;""))),AND($M84&lt;&gt;"",LEN($M84&amp;"")&lt;&gt;LEN(TRIM($M84&amp;""))),AND($N84&lt;&gt;"",LEN($N84&amp;"")&lt;&gt;LEN(TRIM($N84&amp;""))),AND($O84&lt;&gt;"",LEN($O84&amp;"")&lt;&gt;LEN(TRIM($O84&amp;""))),AND($R84&lt;&gt;"",LEN($R84&amp;"")&lt;&gt;LEN(TRIM($R84&amp;""))),AND($S84&lt;&gt;"",LEN($S84&amp;"")&lt;&gt;LEN(TRIM($S84&amp;""))),AND($T84&lt;&gt;"",LEN($T84&amp;"")&lt;&gt;LEN(TRIM($T84&amp;"")))),"Remove leading or trailing spaces from text fields; ","")&amp;IF(OR(AND(LEN($C84)&gt;1,OR(EXACT($C84,UPPER($C84)),EXACT($C84,LOWER($C84)))),AND(LEN($D84)&gt;1,OR(EXACT($D84,UPPER($D84)),EXACT($D84,LOWER($D84)))),AND(LEN($H84)&gt;1,OR(EXACT($H84,UPPER($H84)),EXACT($H84,LOWER($H84))))),"Review capitalization in First Name, Last Name, or City; ","")&amp;IF(AND($N84&lt;&gt;"",NOT(EXACT($N84,LOWER($N84)))),"Email will be standardized to lowercase in the clean output; ","")&amp;IF(AND(OR('START HERE'!$C$8="Initial Enrollment",'START HERE'!$C$8="Open Enrollment"),$R84="Terminated"),"A terminated row is included in an initial or open enrollment file; confirm this is intentional; ",""))</f>
        <v/>
      </c>
      <c r="AE84">
        <f>IF(COUNTA($A84:$U84)=0,"",IF(OR($A84="",AND($A84&lt;&gt;"",NOT(IFERROR(AND(LEN($A84&amp;"")=9,ISNUMBER(--($A84&amp;""))),FALSE))),AND($A84&lt;&gt;"",OR($A84="123456789",$A84="987654321",$A84="012345678",$A84=REPT(LEFT($A84&amp;"",1),9)))),"Employee SSN, ","")&amp;IF(OR(AND($O84&lt;&gt;"",$B84=""),AND($B84&lt;&gt;"",OR(NOT(IFERROR(AND(LEN($B84&amp;"")=9,ISNUMBER(--($B84&amp;""))),FALSE)),$B84=$A84,$B84="123456789",$B84="987654321",$B84="012345678",$B84=REPT(LEFT($B84&amp;"",1),9)))),"Dependent SSN, ","")&amp;IF(OR($C84="",LEN($C84)&gt;19,AND($C84&lt;&gt;"",SUMPRODUCT(--(ROW($1:$19)&lt;=LEN($C84&amp;"")),--ISERROR(FIND(MID($C84&amp;"",ROW($1:$19),1),"ABCDEFGHIJKLMNOPQRSTUVWXYZabcdefghijklmnopqrstuvwxyz .,")))&gt;0)),"First Name, ","")&amp;IF(OR($D84="",LEN($D84)&gt;26,AND($D84&lt;&gt;"",SUMPRODUCT(--(ROW($1:$26)&lt;=LEN($D84&amp;"")),--ISERROR(FIND(MID($D84&amp;"",ROW($1:$26),1),"ABCDEFGHIJKLMNOPQRSTUVWXYZabcdefghijklmnopqrstuvwxyz .,")))&gt;0)),"Last Name, ","")&amp;IF(OR(LEN($E84)&gt;1,AND($E84&lt;&gt;"",SUMPRODUCT(--(ROW($1:$1)&lt;=LEN($E84&amp;"")),--ISERROR(FIND(MID($E84&amp;"",ROW($1:$1),1),"ABCDEFGHIJKLMNOPQRSTUVWXYZabcdefghijklmnopqrstuvwxyz .,")))&gt;0)),"Middle Initial, ","")&amp;IF(OR($F84="",LEN($F84)&gt;75),"Address, ","")&amp;IF(OR($H84="",LEN($H84)&gt;30),"City, ","")&amp;IF(AND($K84="US",OR($I84="",LEN($I84)&lt;&gt;2)),"State, ","")&amp;IF($J84="","ZIP, ","")&amp;IF(OR($K84="",AND($K84&lt;&gt;"US",$K84&lt;&gt;"CA")),"Country, ","")&amp;IF(OR($L84="",AND($L84&lt;&gt;"",OR(NOT(ISNUMBER($L84)),$L84&lt;=DATE(1900,1,1),$L84&gt;TODAY()))),"Birthdate, ","")&amp;IF(AND($N84&lt;&gt;"",NOT(IFERROR(AND(ISNUMBER(SEARCH("@",$N84)),ISNUMBER(SEARCH(".",$N84,SEARCH("@",$N84)+2))),FALSE))),"Email, ","")&amp;IF(OR(AND($B84&lt;&gt;"",$O84=""),AND($O84&lt;&gt;"",$O84&lt;&gt;"Spouse or Common Law Spouse",$O84&lt;&gt;"Domestic Partner",$O84&lt;&gt;"Child",$O84&lt;&gt;"Other",$O84&lt;&gt;"Estate",$O84&lt;&gt;"Unknown")),"Dependent Relationship, ","")&amp;IF($AA84&lt;&gt;"","Household, ","")&amp;IF(OR($P84="",AND($P84&lt;&gt;"",OR(NOT(ISNUMBER($P84)),$P84&lt;=DATE(1900,1,1)))),"Eligibility Date, ","")&amp;IF(OR(AND($R84="Terminated",$Q84=""),AND($Q84&lt;&gt;"",OR(NOT(ISNUMBER($Q84)),$Q84&lt;=DATE(1900,1,1))),AND(ISNUMBER($P84),ISNUMBER($Q84),$Q84&lt;$P84)),"Termination Date, ","")&amp;IF(OR($R84="",AND($R84&lt;&gt;"Active",$R84&lt;&gt;"Terminated"),AND('START HERE'!$C$8="Terminations Only",$R84&lt;&gt;"Terminated")),"Status, ","")&amp;IF($S84="","Plan Name, ","")&amp;IF($T84="","Coverage Level, ","")&amp;IF(AND($U84&lt;&gt;"",OR(NOT(ISNUMBER($U84)),$U84&lt;0)),"Funding, ","")&amp;IF(AND($A84&lt;&gt;"",$S84&lt;&gt;"",COUNTIFS($A$2:$A$501,$A84,$B$2:$B$501,$B84,$S$2:$S$501,$S84)&gt;1),"Duplicate Row, ",""))</f>
        <v/>
      </c>
      <c r="AF84">
        <f>IF(COUNTA($A84:$U84)=0,"",$Y84&amp;$Z84&amp;$AA84&amp;$AB84&amp;$AC84)</f>
        <v/>
      </c>
      <c r="AG84">
        <f>IF($N84="","",LOWER(TRIM($N84)))</f>
        <v/>
      </c>
      <c r="AH84">
        <f>IF($A84="","",COUNTIFS($A$2:$A$501,$A84,$AI$2:$AI$501,1))</f>
        <v/>
      </c>
      <c r="AI84">
        <f>IF(COUNTA($A84:$U84)=0,"",--($AF84&lt;&gt;""))</f>
        <v/>
      </c>
      <c r="AJ84">
        <f>IF(COUNTA($A84:$U84)=0,"",--($AD84&lt;&gt;""))</f>
        <v/>
      </c>
    </row>
    <row r="85" ht="20" customHeight="1">
      <c r="A85" s="80" t="n"/>
      <c r="B85" s="80" t="n"/>
      <c r="C85" s="81" t="n"/>
      <c r="D85" s="81" t="n"/>
      <c r="E85" s="80" t="n"/>
      <c r="F85" s="81" t="n"/>
      <c r="G85" s="81" t="n"/>
      <c r="H85" s="81" t="n"/>
      <c r="I85" s="80" t="n"/>
      <c r="J85" s="80" t="n"/>
      <c r="K85" s="80" t="n"/>
      <c r="L85" s="82" t="n"/>
      <c r="M85" s="80" t="n"/>
      <c r="N85" s="80" t="n"/>
      <c r="O85" s="80" t="n"/>
      <c r="P85" s="82" t="n"/>
      <c r="Q85" s="82" t="n"/>
      <c r="R85" s="80" t="n"/>
      <c r="S85" s="80" t="n"/>
      <c r="T85" s="80" t="n"/>
      <c r="U85" s="83" t="n"/>
      <c r="V85">
        <f>IF($A85="","",IF($A85=$A84,$V84,IF($V84="",0,1-$V84)))</f>
        <v/>
      </c>
      <c r="W85">
        <f>IF($B85&lt;&gt;"",$B85,$A85)</f>
        <v/>
      </c>
      <c r="X85">
        <f>IF(COUNTA($A85:$U85)=0,"",IF(OR($B85&lt;&gt;"",$O85&lt;&gt;""),"Dependent","Employee"))</f>
        <v/>
      </c>
      <c r="Y85">
        <f>IF(COUNTA($A85:$U85)=0,"",IF($A85="","Employee SSN is required; ","")&amp;IF($C85="","First Name is required; ","")&amp;IF(LEN($C85&amp;"")&gt;19,"First Name exceeds 19 characters; ","")&amp;IF(AND($C85&lt;&gt;"",SUMPRODUCT(--(ROW($1:$19)&lt;=LEN($C85&amp;"")),--ISERROR(FIND(MID($C85&amp;"",ROW($1:$19),1),"ABCDEFGHIJKLMNOPQRSTUVWXYZabcdefghijklmnopqrstuvwxyz .,")))&gt;0),"First Name contains unsupported or encoded characters; use plain A-Z letters only; ","")&amp;IF($D85="","Last Name is required; ","")&amp;IF(LEN($D85&amp;"")&gt;26,"Last Name exceeds 26 characters; ","")&amp;IF(AND($D85&lt;&gt;"",SUMPRODUCT(--(ROW($1:$26)&lt;=LEN($D85&amp;"")),--ISERROR(FIND(MID($D85&amp;"",ROW($1:$26),1),"ABCDEFGHIJKLMNOPQRSTUVWXYZabcdefghijklmnopqrstuvwxyz .,")))&gt;0),"Last Name contains unsupported or encoded characters; use plain A-Z letters only; ","")&amp;IF(LEN($E85&amp;"")&gt;1,"Middle Initial may contain only one character; ","")&amp;IF(AND($E85&lt;&gt;"",SUMPRODUCT(--(ROW($1:$1)&lt;=LEN($E85&amp;"")),--ISERROR(FIND(MID($E85&amp;"",ROW($1:$1),1),"ABCDEFGHIJKLMNOPQRSTUVWXYZabcdefghijklmnopqrstuvwxyz .,")))&gt;0),"Middle Initial must be a plain A-Z letter; ","")&amp;IF($F85="","Address is required; ","")&amp;IF(LEN($F85&amp;"")&gt;75,"Address exceeds 75 characters; ","")&amp;IF(LEN($G85&amp;"")&gt;75,"Address 2 exceeds 75 characters; ","")&amp;IF($H85="","City is required; ","")&amp;IF(LEN($H85&amp;"")&gt;30,"City exceeds 30 characters; ","")&amp;IF($K85="","Country is required; ","")&amp;IF(AND($K85&lt;&gt;"",$K85&lt;&gt;"US",$K85&lt;&gt;"CA"),"Country must be US or CA; ","")&amp;IF(AND($K85="US",OR($I85="",LEN($I85&amp;"")&lt;&gt;2)),"Use a 2-letter state code; ","")&amp;IF($J85="","ZIP or postal code is required; ","")&amp;IF(AND($K85="US",$J85&lt;&gt;"",NOT(IFERROR(OR(AND(LEN($J85&amp;"")=5,ISNUMBER(--($J85&amp;""))),AND(LEN($J85&amp;"")=9,ISNUMBER(--($J85&amp;""))),AND(LEN($J85&amp;"")=10,MID($J85&amp;"",6,1)="-",ISNUMBER(--SUBSTITUTE($J85&amp;"","-","")))),FALSE))),"US ZIP must be 5 or 9 digits, with an optional ZIP+4 hyphen; ","")&amp;IF(AND($N85&lt;&gt;"",NOT(IFERROR(AND(ISNUMBER(SEARCH("@",$N85)),ISNUMBER(SEARCH(".",$N85,SEARCH("@",$N85)+2))),FALSE))),"Email format appears invalid; ","")&amp;IF(AND($O85&lt;&gt;"",$B85=""),"Dependent SSN is required for every dependent; ","")&amp;IF(AND($B85&lt;&gt;"",$O85=""),"Dependent Relationship is required when Dependent SSN is entered; ","")&amp;IF(AND($O85&lt;&gt;"",$O85&lt;&gt;"Spouse or Common Law Spouse",$O85&lt;&gt;"Domestic Partner",$O85&lt;&gt;"Child",$O85&lt;&gt;"Other",$O85&lt;&gt;"Estate",$O85&lt;&gt;"Unknown"),"Dependent Relationship must use one of the approved options; ",""))</f>
        <v/>
      </c>
      <c r="Z85">
        <f>IF(COUNTA($A85:$U85)=0,"",IF(AND($A85&lt;&gt;"",NOT(IFERROR(AND(LEN($A85&amp;"")=9,ISNUMBER(--($A85&amp;""))),FALSE))),"Employee SSN must contain exactly 9 digits; ","")&amp;IF(AND($A85&lt;&gt;"",OR($A85="123456789",$A85="987654321",$A85="012345678",$A85=REPT(LEFT($A85&amp;"",1),9))),"Employee SSN appears to be a placeholder; ","")&amp;IF(AND($B85&lt;&gt;"",NOT(IFERROR(AND(LEN($B85&amp;"")=9,ISNUMBER(--($B85&amp;""))),FALSE))),"Dependent SSN must contain exactly 9 digits; ","")&amp;IF(AND($B85&lt;&gt;"",OR($B85="123456789",$B85="987654321",$B85="012345678",$B85=REPT(LEFT($B85&amp;"",1),9))),"Dependent SSN appears to be a placeholder; ","")&amp;IF(AND($A85&lt;&gt;"",$B85&lt;&gt;"",$A85&amp;""=$B85&amp;""),"Dependent SSN cannot match Employee SSN; ","")&amp;IF(AND($W85&lt;&gt;"",OR(COUNTIFS($W$2:$W$501,$W85,$C$2:$C$501,"&lt;&gt;"&amp;$C85)&gt;0,COUNTIFS($W$2:$W$501,$W85,$D$2:$D$501,"&lt;&gt;"&amp;$D85)&gt;0,COUNTIFS($W$2:$W$501,$W85,$L$2:$L$501,"&lt;&gt;"&amp;$L85)&gt;0)),"The same SSN is associated with a different name or birthdate; ",""))</f>
        <v/>
      </c>
      <c r="AA85">
        <f>IF(COUNTA($A85:$U85)=0,"",IF(AND($A85&lt;&gt;"",$S85&lt;&gt;"",COUNTIFS($A$2:$A$501,$A85,$S$2:$S$501,$S85,$B$2:$B$501,"",$O$2:$O$501,"")=0),"Add an employee row for this household and plan; ","")&amp;IF(AND($X85="Dependent",COUNTIFS($A$2:$A85,$A85,$S$2:$S85,$S85,$B$2:$B85,"",$O$2:$O85,"")=0),"Place the employee row before dependent rows for this plan; ","")&amp;IF(AND($X85="Dependent",COUNTIFS($A$2:$A$501,$A85,$S$2:$S$501,$S85,$B$2:$B$501,"",$O$2:$O$501,"")&gt;0,IFERROR(OR($P85&lt;&gt;LOOKUP(2,1/(($A$2:$A$501=$A85)*($S$2:$S$501=$S85)*($B$2:$B$501="")*($O$2:$O$501="")),$P$2:$P$501),$Q85&lt;&gt;LOOKUP(2,1/(($A$2:$A$501=$A85)*($S$2:$S$501=$S85)*($B$2:$B$501="")*($O$2:$O$501="")),$Q$2:$Q$501),$R85&lt;&gt;LOOKUP(2,1/(($A$2:$A$501=$A85)*($S$2:$S$501=$S85)*($B$2:$B$501="")*($O$2:$O$501="")),$R$2:$R$501),$T85&lt;&gt;LOOKUP(2,1/(($A$2:$A$501=$A85)*($S$2:$S$501=$S85)*($B$2:$B$501="")*($O$2:$O$501="")),$T$2:$T$501),$U85&lt;&gt;LOOKUP(2,1/(($A$2:$A$501=$A85)*($S$2:$S$501=$S85)*($B$2:$B$501="")*($O$2:$O$501="")),$U$2:$U$501)),FALSE)),"Dependent row does not match the employee row for eligibility, status, coverage level, or funding; ",""))</f>
        <v/>
      </c>
      <c r="AB85">
        <f>IF(COUNTA($A85:$U85)=0,"",IF($L85="","Birthdate is required; ","")&amp;IF(AND($L85&lt;&gt;"",OR(NOT(ISNUMBER($L85)),$L85&lt;=DATE(1900,1,1),$L85&gt;TODAY())),"Birthdate must be an exact valid past date; ","")&amp;IF($P85="","Eligibility Date is required; ","")&amp;IF(AND($P85&lt;&gt;"",OR(NOT(ISNUMBER($P85)),$P85&lt;=DATE(1900,1,1))),"Eligibility Date must be a valid date; ","")&amp;IF(AND($R85="Terminated",$Q85=""),"Termination Date is required when Status is Terminated; ","")&amp;IF(AND($Q85&lt;&gt;"",OR(NOT(ISNUMBER($Q85)),$Q85&lt;=DATE(1900,1,1))),"Termination Date must be a valid date; ","")&amp;IF(AND(ISNUMBER($P85),ISNUMBER($Q85),$Q85&lt;$P85),"Termination Date cannot be before Eligibility Date; ","")&amp;IF($R85="","Status is required; ","")&amp;IF(AND($R85&lt;&gt;"",$R85&lt;&gt;"Active",$R85&lt;&gt;"Terminated"),"Status must be Active or Terminated; ","")&amp;IF(AND('START HERE'!$C$8="Terminations Only",$R85&lt;&gt;"Terminated"),"Terminations Only files must contain terminated records; ",""))</f>
        <v/>
      </c>
      <c r="AC85">
        <f>IF(COUNTA($A85:$U85)=0,"",IF($S85="","Plan Name is required; ","")&amp;IF($T85="","Benefit Coverage Level is required; ","")&amp;IF(AND($U85&lt;&gt;"",OR(NOT(ISNUMBER($U85)),$U85&lt;0)),"Plan Funding Amount must be a nonnegative number; ","")&amp;IF(AND($A85&lt;&gt;"",$S85&lt;&gt;"",COUNTIFS($A$2:$A$501,$A85,$B$2:$B$501,$B85,$S$2:$S$501,$S85)&gt;1),"Duplicate participant and plan row; ",""))</f>
        <v/>
      </c>
      <c r="AD85">
        <f>IF(COUNTA($A85:$U85)=0,"",IF(AND($X85="Employee",$M85="",$N85=""),"No employee phone or email provided; ","")&amp;IF(AND($R85="Active",$Q85&lt;&gt;""),"Active record includes a Termination Date; confirm this is intentional; ","")&amp;IF(AND($B85&lt;&gt;"",$B85&amp;""&lt;&gt;$A85&amp;"",COUNTIF($A$2:$A$501,$B85)&gt;0),"Dependent SSN also appears as an Employee SSN elsewhere; confirm dual-employee coverage is intentional; ","")&amp;IF(AND($B85&lt;&gt;"",COUNTIF($B$2:$B$501,$B85)&gt;COUNTIFS($A$2:$A$501,$A85,$B$2:$B$501,$B85)),"Dependent SSN appears under more than one employee; confirm duplicate family coverage is intentional; ","")&amp;IF(AND(ROW()&gt;2,$A85&lt;&gt;"",$A85&lt;&gt;$A84,COUNTIF($A$2:$A84,$A85)&gt;0),"This household appears in more than one section of the census; keep the family together; ","")&amp;IF(OR(AND($C85&lt;&gt;"",LEN($C85&amp;"")&lt;&gt;LEN(TRIM($C85&amp;""))),AND($D85&lt;&gt;"",LEN($D85&amp;"")&lt;&gt;LEN(TRIM($D85&amp;""))),AND($E85&lt;&gt;"",LEN($E85&amp;"")&lt;&gt;LEN(TRIM($E85&amp;""))),AND($F85&lt;&gt;"",LEN($F85&amp;"")&lt;&gt;LEN(TRIM($F85&amp;""))),AND($G85&lt;&gt;"",LEN($G85&amp;"")&lt;&gt;LEN(TRIM($G85&amp;""))),AND($H85&lt;&gt;"",LEN($H85&amp;"")&lt;&gt;LEN(TRIM($H85&amp;""))),AND($I85&lt;&gt;"",LEN($I85&amp;"")&lt;&gt;LEN(TRIM($I85&amp;""))),AND($J85&lt;&gt;"",LEN($J85&amp;"")&lt;&gt;LEN(TRIM($J85&amp;""))),AND($K85&lt;&gt;"",LEN($K85&amp;"")&lt;&gt;LEN(TRIM($K85&amp;""))),AND($M85&lt;&gt;"",LEN($M85&amp;"")&lt;&gt;LEN(TRIM($M85&amp;""))),AND($N85&lt;&gt;"",LEN($N85&amp;"")&lt;&gt;LEN(TRIM($N85&amp;""))),AND($O85&lt;&gt;"",LEN($O85&amp;"")&lt;&gt;LEN(TRIM($O85&amp;""))),AND($R85&lt;&gt;"",LEN($R85&amp;"")&lt;&gt;LEN(TRIM($R85&amp;""))),AND($S85&lt;&gt;"",LEN($S85&amp;"")&lt;&gt;LEN(TRIM($S85&amp;""))),AND($T85&lt;&gt;"",LEN($T85&amp;"")&lt;&gt;LEN(TRIM($T85&amp;"")))),"Remove leading or trailing spaces from text fields; ","")&amp;IF(OR(AND(LEN($C85)&gt;1,OR(EXACT($C85,UPPER($C85)),EXACT($C85,LOWER($C85)))),AND(LEN($D85)&gt;1,OR(EXACT($D85,UPPER($D85)),EXACT($D85,LOWER($D85)))),AND(LEN($H85)&gt;1,OR(EXACT($H85,UPPER($H85)),EXACT($H85,LOWER($H85))))),"Review capitalization in First Name, Last Name, or City; ","")&amp;IF(AND($N85&lt;&gt;"",NOT(EXACT($N85,LOWER($N85)))),"Email will be standardized to lowercase in the clean output; ","")&amp;IF(AND(OR('START HERE'!$C$8="Initial Enrollment",'START HERE'!$C$8="Open Enrollment"),$R85="Terminated"),"A terminated row is included in an initial or open enrollment file; confirm this is intentional; ",""))</f>
        <v/>
      </c>
      <c r="AE85">
        <f>IF(COUNTA($A85:$U85)=0,"",IF(OR($A85="",AND($A85&lt;&gt;"",NOT(IFERROR(AND(LEN($A85&amp;"")=9,ISNUMBER(--($A85&amp;""))),FALSE))),AND($A85&lt;&gt;"",OR($A85="123456789",$A85="987654321",$A85="012345678",$A85=REPT(LEFT($A85&amp;"",1),9)))),"Employee SSN, ","")&amp;IF(OR(AND($O85&lt;&gt;"",$B85=""),AND($B85&lt;&gt;"",OR(NOT(IFERROR(AND(LEN($B85&amp;"")=9,ISNUMBER(--($B85&amp;""))),FALSE)),$B85=$A85,$B85="123456789",$B85="987654321",$B85="012345678",$B85=REPT(LEFT($B85&amp;"",1),9)))),"Dependent SSN, ","")&amp;IF(OR($C85="",LEN($C85)&gt;19,AND($C85&lt;&gt;"",SUMPRODUCT(--(ROW($1:$19)&lt;=LEN($C85&amp;"")),--ISERROR(FIND(MID($C85&amp;"",ROW($1:$19),1),"ABCDEFGHIJKLMNOPQRSTUVWXYZabcdefghijklmnopqrstuvwxyz .,")))&gt;0)),"First Name, ","")&amp;IF(OR($D85="",LEN($D85)&gt;26,AND($D85&lt;&gt;"",SUMPRODUCT(--(ROW($1:$26)&lt;=LEN($D85&amp;"")),--ISERROR(FIND(MID($D85&amp;"",ROW($1:$26),1),"ABCDEFGHIJKLMNOPQRSTUVWXYZabcdefghijklmnopqrstuvwxyz .,")))&gt;0)),"Last Name, ","")&amp;IF(OR(LEN($E85)&gt;1,AND($E85&lt;&gt;"",SUMPRODUCT(--(ROW($1:$1)&lt;=LEN($E85&amp;"")),--ISERROR(FIND(MID($E85&amp;"",ROW($1:$1),1),"ABCDEFGHIJKLMNOPQRSTUVWXYZabcdefghijklmnopqrstuvwxyz .,")))&gt;0)),"Middle Initial, ","")&amp;IF(OR($F85="",LEN($F85)&gt;75),"Address, ","")&amp;IF(OR($H85="",LEN($H85)&gt;30),"City, ","")&amp;IF(AND($K85="US",OR($I85="",LEN($I85)&lt;&gt;2)),"State, ","")&amp;IF($J85="","ZIP, ","")&amp;IF(OR($K85="",AND($K85&lt;&gt;"US",$K85&lt;&gt;"CA")),"Country, ","")&amp;IF(OR($L85="",AND($L85&lt;&gt;"",OR(NOT(ISNUMBER($L85)),$L85&lt;=DATE(1900,1,1),$L85&gt;TODAY()))),"Birthdate, ","")&amp;IF(AND($N85&lt;&gt;"",NOT(IFERROR(AND(ISNUMBER(SEARCH("@",$N85)),ISNUMBER(SEARCH(".",$N85,SEARCH("@",$N85)+2))),FALSE))),"Email, ","")&amp;IF(OR(AND($B85&lt;&gt;"",$O85=""),AND($O85&lt;&gt;"",$O85&lt;&gt;"Spouse or Common Law Spouse",$O85&lt;&gt;"Domestic Partner",$O85&lt;&gt;"Child",$O85&lt;&gt;"Other",$O85&lt;&gt;"Estate",$O85&lt;&gt;"Unknown")),"Dependent Relationship, ","")&amp;IF($AA85&lt;&gt;"","Household, ","")&amp;IF(OR($P85="",AND($P85&lt;&gt;"",OR(NOT(ISNUMBER($P85)),$P85&lt;=DATE(1900,1,1)))),"Eligibility Date, ","")&amp;IF(OR(AND($R85="Terminated",$Q85=""),AND($Q85&lt;&gt;"",OR(NOT(ISNUMBER($Q85)),$Q85&lt;=DATE(1900,1,1))),AND(ISNUMBER($P85),ISNUMBER($Q85),$Q85&lt;$P85)),"Termination Date, ","")&amp;IF(OR($R85="",AND($R85&lt;&gt;"Active",$R85&lt;&gt;"Terminated"),AND('START HERE'!$C$8="Terminations Only",$R85&lt;&gt;"Terminated")),"Status, ","")&amp;IF($S85="","Plan Name, ","")&amp;IF($T85="","Coverage Level, ","")&amp;IF(AND($U85&lt;&gt;"",OR(NOT(ISNUMBER($U85)),$U85&lt;0)),"Funding, ","")&amp;IF(AND($A85&lt;&gt;"",$S85&lt;&gt;"",COUNTIFS($A$2:$A$501,$A85,$B$2:$B$501,$B85,$S$2:$S$501,$S85)&gt;1),"Duplicate Row, ",""))</f>
        <v/>
      </c>
      <c r="AF85">
        <f>IF(COUNTA($A85:$U85)=0,"",$Y85&amp;$Z85&amp;$AA85&amp;$AB85&amp;$AC85)</f>
        <v/>
      </c>
      <c r="AG85">
        <f>IF($N85="","",LOWER(TRIM($N85)))</f>
        <v/>
      </c>
      <c r="AH85">
        <f>IF($A85="","",COUNTIFS($A$2:$A$501,$A85,$AI$2:$AI$501,1))</f>
        <v/>
      </c>
      <c r="AI85">
        <f>IF(COUNTA($A85:$U85)=0,"",--($AF85&lt;&gt;""))</f>
        <v/>
      </c>
      <c r="AJ85">
        <f>IF(COUNTA($A85:$U85)=0,"",--($AD85&lt;&gt;""))</f>
        <v/>
      </c>
    </row>
    <row r="86" ht="20" customHeight="1">
      <c r="A86" s="80" t="n"/>
      <c r="B86" s="80" t="n"/>
      <c r="C86" s="81" t="n"/>
      <c r="D86" s="81" t="n"/>
      <c r="E86" s="80" t="n"/>
      <c r="F86" s="81" t="n"/>
      <c r="G86" s="81" t="n"/>
      <c r="H86" s="81" t="n"/>
      <c r="I86" s="80" t="n"/>
      <c r="J86" s="80" t="n"/>
      <c r="K86" s="80" t="n"/>
      <c r="L86" s="82" t="n"/>
      <c r="M86" s="80" t="n"/>
      <c r="N86" s="80" t="n"/>
      <c r="O86" s="80" t="n"/>
      <c r="P86" s="82" t="n"/>
      <c r="Q86" s="82" t="n"/>
      <c r="R86" s="80" t="n"/>
      <c r="S86" s="80" t="n"/>
      <c r="T86" s="80" t="n"/>
      <c r="U86" s="83" t="n"/>
      <c r="V86">
        <f>IF($A86="","",IF($A86=$A85,$V85,IF($V85="",0,1-$V85)))</f>
        <v/>
      </c>
      <c r="W86">
        <f>IF($B86&lt;&gt;"",$B86,$A86)</f>
        <v/>
      </c>
      <c r="X86">
        <f>IF(COUNTA($A86:$U86)=0,"",IF(OR($B86&lt;&gt;"",$O86&lt;&gt;""),"Dependent","Employee"))</f>
        <v/>
      </c>
      <c r="Y86">
        <f>IF(COUNTA($A86:$U86)=0,"",IF($A86="","Employee SSN is required; ","")&amp;IF($C86="","First Name is required; ","")&amp;IF(LEN($C86&amp;"")&gt;19,"First Name exceeds 19 characters; ","")&amp;IF(AND($C86&lt;&gt;"",SUMPRODUCT(--(ROW($1:$19)&lt;=LEN($C86&amp;"")),--ISERROR(FIND(MID($C86&amp;"",ROW($1:$19),1),"ABCDEFGHIJKLMNOPQRSTUVWXYZabcdefghijklmnopqrstuvwxyz .,")))&gt;0),"First Name contains unsupported or encoded characters; use plain A-Z letters only; ","")&amp;IF($D86="","Last Name is required; ","")&amp;IF(LEN($D86&amp;"")&gt;26,"Last Name exceeds 26 characters; ","")&amp;IF(AND($D86&lt;&gt;"",SUMPRODUCT(--(ROW($1:$26)&lt;=LEN($D86&amp;"")),--ISERROR(FIND(MID($D86&amp;"",ROW($1:$26),1),"ABCDEFGHIJKLMNOPQRSTUVWXYZabcdefghijklmnopqrstuvwxyz .,")))&gt;0),"Last Name contains unsupported or encoded characters; use plain A-Z letters only; ","")&amp;IF(LEN($E86&amp;"")&gt;1,"Middle Initial may contain only one character; ","")&amp;IF(AND($E86&lt;&gt;"",SUMPRODUCT(--(ROW($1:$1)&lt;=LEN($E86&amp;"")),--ISERROR(FIND(MID($E86&amp;"",ROW($1:$1),1),"ABCDEFGHIJKLMNOPQRSTUVWXYZabcdefghijklmnopqrstuvwxyz .,")))&gt;0),"Middle Initial must be a plain A-Z letter; ","")&amp;IF($F86="","Address is required; ","")&amp;IF(LEN($F86&amp;"")&gt;75,"Address exceeds 75 characters; ","")&amp;IF(LEN($G86&amp;"")&gt;75,"Address 2 exceeds 75 characters; ","")&amp;IF($H86="","City is required; ","")&amp;IF(LEN($H86&amp;"")&gt;30,"City exceeds 30 characters; ","")&amp;IF($K86="","Country is required; ","")&amp;IF(AND($K86&lt;&gt;"",$K86&lt;&gt;"US",$K86&lt;&gt;"CA"),"Country must be US or CA; ","")&amp;IF(AND($K86="US",OR($I86="",LEN($I86&amp;"")&lt;&gt;2)),"Use a 2-letter state code; ","")&amp;IF($J86="","ZIP or postal code is required; ","")&amp;IF(AND($K86="US",$J86&lt;&gt;"",NOT(IFERROR(OR(AND(LEN($J86&amp;"")=5,ISNUMBER(--($J86&amp;""))),AND(LEN($J86&amp;"")=9,ISNUMBER(--($J86&amp;""))),AND(LEN($J86&amp;"")=10,MID($J86&amp;"",6,1)="-",ISNUMBER(--SUBSTITUTE($J86&amp;"","-","")))),FALSE))),"US ZIP must be 5 or 9 digits, with an optional ZIP+4 hyphen; ","")&amp;IF(AND($N86&lt;&gt;"",NOT(IFERROR(AND(ISNUMBER(SEARCH("@",$N86)),ISNUMBER(SEARCH(".",$N86,SEARCH("@",$N86)+2))),FALSE))),"Email format appears invalid; ","")&amp;IF(AND($O86&lt;&gt;"",$B86=""),"Dependent SSN is required for every dependent; ","")&amp;IF(AND($B86&lt;&gt;"",$O86=""),"Dependent Relationship is required when Dependent SSN is entered; ","")&amp;IF(AND($O86&lt;&gt;"",$O86&lt;&gt;"Spouse or Common Law Spouse",$O86&lt;&gt;"Domestic Partner",$O86&lt;&gt;"Child",$O86&lt;&gt;"Other",$O86&lt;&gt;"Estate",$O86&lt;&gt;"Unknown"),"Dependent Relationship must use one of the approved options; ",""))</f>
        <v/>
      </c>
      <c r="Z86">
        <f>IF(COUNTA($A86:$U86)=0,"",IF(AND($A86&lt;&gt;"",NOT(IFERROR(AND(LEN($A86&amp;"")=9,ISNUMBER(--($A86&amp;""))),FALSE))),"Employee SSN must contain exactly 9 digits; ","")&amp;IF(AND($A86&lt;&gt;"",OR($A86="123456789",$A86="987654321",$A86="012345678",$A86=REPT(LEFT($A86&amp;"",1),9))),"Employee SSN appears to be a placeholder; ","")&amp;IF(AND($B86&lt;&gt;"",NOT(IFERROR(AND(LEN($B86&amp;"")=9,ISNUMBER(--($B86&amp;""))),FALSE))),"Dependent SSN must contain exactly 9 digits; ","")&amp;IF(AND($B86&lt;&gt;"",OR($B86="123456789",$B86="987654321",$B86="012345678",$B86=REPT(LEFT($B86&amp;"",1),9))),"Dependent SSN appears to be a placeholder; ","")&amp;IF(AND($A86&lt;&gt;"",$B86&lt;&gt;"",$A86&amp;""=$B86&amp;""),"Dependent SSN cannot match Employee SSN; ","")&amp;IF(AND($W86&lt;&gt;"",OR(COUNTIFS($W$2:$W$501,$W86,$C$2:$C$501,"&lt;&gt;"&amp;$C86)&gt;0,COUNTIFS($W$2:$W$501,$W86,$D$2:$D$501,"&lt;&gt;"&amp;$D86)&gt;0,COUNTIFS($W$2:$W$501,$W86,$L$2:$L$501,"&lt;&gt;"&amp;$L86)&gt;0)),"The same SSN is associated with a different name or birthdate; ",""))</f>
        <v/>
      </c>
      <c r="AA86">
        <f>IF(COUNTA($A86:$U86)=0,"",IF(AND($A86&lt;&gt;"",$S86&lt;&gt;"",COUNTIFS($A$2:$A$501,$A86,$S$2:$S$501,$S86,$B$2:$B$501,"",$O$2:$O$501,"")=0),"Add an employee row for this household and plan; ","")&amp;IF(AND($X86="Dependent",COUNTIFS($A$2:$A86,$A86,$S$2:$S86,$S86,$B$2:$B86,"",$O$2:$O86,"")=0),"Place the employee row before dependent rows for this plan; ","")&amp;IF(AND($X86="Dependent",COUNTIFS($A$2:$A$501,$A86,$S$2:$S$501,$S86,$B$2:$B$501,"",$O$2:$O$501,"")&gt;0,IFERROR(OR($P86&lt;&gt;LOOKUP(2,1/(($A$2:$A$501=$A86)*($S$2:$S$501=$S86)*($B$2:$B$501="")*($O$2:$O$501="")),$P$2:$P$501),$Q86&lt;&gt;LOOKUP(2,1/(($A$2:$A$501=$A86)*($S$2:$S$501=$S86)*($B$2:$B$501="")*($O$2:$O$501="")),$Q$2:$Q$501),$R86&lt;&gt;LOOKUP(2,1/(($A$2:$A$501=$A86)*($S$2:$S$501=$S86)*($B$2:$B$501="")*($O$2:$O$501="")),$R$2:$R$501),$T86&lt;&gt;LOOKUP(2,1/(($A$2:$A$501=$A86)*($S$2:$S$501=$S86)*($B$2:$B$501="")*($O$2:$O$501="")),$T$2:$T$501),$U86&lt;&gt;LOOKUP(2,1/(($A$2:$A$501=$A86)*($S$2:$S$501=$S86)*($B$2:$B$501="")*($O$2:$O$501="")),$U$2:$U$501)),FALSE)),"Dependent row does not match the employee row for eligibility, status, coverage level, or funding; ",""))</f>
        <v/>
      </c>
      <c r="AB86">
        <f>IF(COUNTA($A86:$U86)=0,"",IF($L86="","Birthdate is required; ","")&amp;IF(AND($L86&lt;&gt;"",OR(NOT(ISNUMBER($L86)),$L86&lt;=DATE(1900,1,1),$L86&gt;TODAY())),"Birthdate must be an exact valid past date; ","")&amp;IF($P86="","Eligibility Date is required; ","")&amp;IF(AND($P86&lt;&gt;"",OR(NOT(ISNUMBER($P86)),$P86&lt;=DATE(1900,1,1))),"Eligibility Date must be a valid date; ","")&amp;IF(AND($R86="Terminated",$Q86=""),"Termination Date is required when Status is Terminated; ","")&amp;IF(AND($Q86&lt;&gt;"",OR(NOT(ISNUMBER($Q86)),$Q86&lt;=DATE(1900,1,1))),"Termination Date must be a valid date; ","")&amp;IF(AND(ISNUMBER($P86),ISNUMBER($Q86),$Q86&lt;$P86),"Termination Date cannot be before Eligibility Date; ","")&amp;IF($R86="","Status is required; ","")&amp;IF(AND($R86&lt;&gt;"",$R86&lt;&gt;"Active",$R86&lt;&gt;"Terminated"),"Status must be Active or Terminated; ","")&amp;IF(AND('START HERE'!$C$8="Terminations Only",$R86&lt;&gt;"Terminated"),"Terminations Only files must contain terminated records; ",""))</f>
        <v/>
      </c>
      <c r="AC86">
        <f>IF(COUNTA($A86:$U86)=0,"",IF($S86="","Plan Name is required; ","")&amp;IF($T86="","Benefit Coverage Level is required; ","")&amp;IF(AND($U86&lt;&gt;"",OR(NOT(ISNUMBER($U86)),$U86&lt;0)),"Plan Funding Amount must be a nonnegative number; ","")&amp;IF(AND($A86&lt;&gt;"",$S86&lt;&gt;"",COUNTIFS($A$2:$A$501,$A86,$B$2:$B$501,$B86,$S$2:$S$501,$S86)&gt;1),"Duplicate participant and plan row; ",""))</f>
        <v/>
      </c>
      <c r="AD86">
        <f>IF(COUNTA($A86:$U86)=0,"",IF(AND($X86="Employee",$M86="",$N86=""),"No employee phone or email provided; ","")&amp;IF(AND($R86="Active",$Q86&lt;&gt;""),"Active record includes a Termination Date; confirm this is intentional; ","")&amp;IF(AND($B86&lt;&gt;"",$B86&amp;""&lt;&gt;$A86&amp;"",COUNTIF($A$2:$A$501,$B86)&gt;0),"Dependent SSN also appears as an Employee SSN elsewhere; confirm dual-employee coverage is intentional; ","")&amp;IF(AND($B86&lt;&gt;"",COUNTIF($B$2:$B$501,$B86)&gt;COUNTIFS($A$2:$A$501,$A86,$B$2:$B$501,$B86)),"Dependent SSN appears under more than one employee; confirm duplicate family coverage is intentional; ","")&amp;IF(AND(ROW()&gt;2,$A86&lt;&gt;"",$A86&lt;&gt;$A85,COUNTIF($A$2:$A85,$A86)&gt;0),"This household appears in more than one section of the census; keep the family together; ","")&amp;IF(OR(AND($C86&lt;&gt;"",LEN($C86&amp;"")&lt;&gt;LEN(TRIM($C86&amp;""))),AND($D86&lt;&gt;"",LEN($D86&amp;"")&lt;&gt;LEN(TRIM($D86&amp;""))),AND($E86&lt;&gt;"",LEN($E86&amp;"")&lt;&gt;LEN(TRIM($E86&amp;""))),AND($F86&lt;&gt;"",LEN($F86&amp;"")&lt;&gt;LEN(TRIM($F86&amp;""))),AND($G86&lt;&gt;"",LEN($G86&amp;"")&lt;&gt;LEN(TRIM($G86&amp;""))),AND($H86&lt;&gt;"",LEN($H86&amp;"")&lt;&gt;LEN(TRIM($H86&amp;""))),AND($I86&lt;&gt;"",LEN($I86&amp;"")&lt;&gt;LEN(TRIM($I86&amp;""))),AND($J86&lt;&gt;"",LEN($J86&amp;"")&lt;&gt;LEN(TRIM($J86&amp;""))),AND($K86&lt;&gt;"",LEN($K86&amp;"")&lt;&gt;LEN(TRIM($K86&amp;""))),AND($M86&lt;&gt;"",LEN($M86&amp;"")&lt;&gt;LEN(TRIM($M86&amp;""))),AND($N86&lt;&gt;"",LEN($N86&amp;"")&lt;&gt;LEN(TRIM($N86&amp;""))),AND($O86&lt;&gt;"",LEN($O86&amp;"")&lt;&gt;LEN(TRIM($O86&amp;""))),AND($R86&lt;&gt;"",LEN($R86&amp;"")&lt;&gt;LEN(TRIM($R86&amp;""))),AND($S86&lt;&gt;"",LEN($S86&amp;"")&lt;&gt;LEN(TRIM($S86&amp;""))),AND($T86&lt;&gt;"",LEN($T86&amp;"")&lt;&gt;LEN(TRIM($T86&amp;"")))),"Remove leading or trailing spaces from text fields; ","")&amp;IF(OR(AND(LEN($C86)&gt;1,OR(EXACT($C86,UPPER($C86)),EXACT($C86,LOWER($C86)))),AND(LEN($D86)&gt;1,OR(EXACT($D86,UPPER($D86)),EXACT($D86,LOWER($D86)))),AND(LEN($H86)&gt;1,OR(EXACT($H86,UPPER($H86)),EXACT($H86,LOWER($H86))))),"Review capitalization in First Name, Last Name, or City; ","")&amp;IF(AND($N86&lt;&gt;"",NOT(EXACT($N86,LOWER($N86)))),"Email will be standardized to lowercase in the clean output; ","")&amp;IF(AND(OR('START HERE'!$C$8="Initial Enrollment",'START HERE'!$C$8="Open Enrollment"),$R86="Terminated"),"A terminated row is included in an initial or open enrollment file; confirm this is intentional; ",""))</f>
        <v/>
      </c>
      <c r="AE86">
        <f>IF(COUNTA($A86:$U86)=0,"",IF(OR($A86="",AND($A86&lt;&gt;"",NOT(IFERROR(AND(LEN($A86&amp;"")=9,ISNUMBER(--($A86&amp;""))),FALSE))),AND($A86&lt;&gt;"",OR($A86="123456789",$A86="987654321",$A86="012345678",$A86=REPT(LEFT($A86&amp;"",1),9)))),"Employee SSN, ","")&amp;IF(OR(AND($O86&lt;&gt;"",$B86=""),AND($B86&lt;&gt;"",OR(NOT(IFERROR(AND(LEN($B86&amp;"")=9,ISNUMBER(--($B86&amp;""))),FALSE)),$B86=$A86,$B86="123456789",$B86="987654321",$B86="012345678",$B86=REPT(LEFT($B86&amp;"",1),9)))),"Dependent SSN, ","")&amp;IF(OR($C86="",LEN($C86)&gt;19,AND($C86&lt;&gt;"",SUMPRODUCT(--(ROW($1:$19)&lt;=LEN($C86&amp;"")),--ISERROR(FIND(MID($C86&amp;"",ROW($1:$19),1),"ABCDEFGHIJKLMNOPQRSTUVWXYZabcdefghijklmnopqrstuvwxyz .,")))&gt;0)),"First Name, ","")&amp;IF(OR($D86="",LEN($D86)&gt;26,AND($D86&lt;&gt;"",SUMPRODUCT(--(ROW($1:$26)&lt;=LEN($D86&amp;"")),--ISERROR(FIND(MID($D86&amp;"",ROW($1:$26),1),"ABCDEFGHIJKLMNOPQRSTUVWXYZabcdefghijklmnopqrstuvwxyz .,")))&gt;0)),"Last Name, ","")&amp;IF(OR(LEN($E86)&gt;1,AND($E86&lt;&gt;"",SUMPRODUCT(--(ROW($1:$1)&lt;=LEN($E86&amp;"")),--ISERROR(FIND(MID($E86&amp;"",ROW($1:$1),1),"ABCDEFGHIJKLMNOPQRSTUVWXYZabcdefghijklmnopqrstuvwxyz .,")))&gt;0)),"Middle Initial, ","")&amp;IF(OR($F86="",LEN($F86)&gt;75),"Address, ","")&amp;IF(OR($H86="",LEN($H86)&gt;30),"City, ","")&amp;IF(AND($K86="US",OR($I86="",LEN($I86)&lt;&gt;2)),"State, ","")&amp;IF($J86="","ZIP, ","")&amp;IF(OR($K86="",AND($K86&lt;&gt;"US",$K86&lt;&gt;"CA")),"Country, ","")&amp;IF(OR($L86="",AND($L86&lt;&gt;"",OR(NOT(ISNUMBER($L86)),$L86&lt;=DATE(1900,1,1),$L86&gt;TODAY()))),"Birthdate, ","")&amp;IF(AND($N86&lt;&gt;"",NOT(IFERROR(AND(ISNUMBER(SEARCH("@",$N86)),ISNUMBER(SEARCH(".",$N86,SEARCH("@",$N86)+2))),FALSE))),"Email, ","")&amp;IF(OR(AND($B86&lt;&gt;"",$O86=""),AND($O86&lt;&gt;"",$O86&lt;&gt;"Spouse or Common Law Spouse",$O86&lt;&gt;"Domestic Partner",$O86&lt;&gt;"Child",$O86&lt;&gt;"Other",$O86&lt;&gt;"Estate",$O86&lt;&gt;"Unknown")),"Dependent Relationship, ","")&amp;IF($AA86&lt;&gt;"","Household, ","")&amp;IF(OR($P86="",AND($P86&lt;&gt;"",OR(NOT(ISNUMBER($P86)),$P86&lt;=DATE(1900,1,1)))),"Eligibility Date, ","")&amp;IF(OR(AND($R86="Terminated",$Q86=""),AND($Q86&lt;&gt;"",OR(NOT(ISNUMBER($Q86)),$Q86&lt;=DATE(1900,1,1))),AND(ISNUMBER($P86),ISNUMBER($Q86),$Q86&lt;$P86)),"Termination Date, ","")&amp;IF(OR($R86="",AND($R86&lt;&gt;"Active",$R86&lt;&gt;"Terminated"),AND('START HERE'!$C$8="Terminations Only",$R86&lt;&gt;"Terminated")),"Status, ","")&amp;IF($S86="","Plan Name, ","")&amp;IF($T86="","Coverage Level, ","")&amp;IF(AND($U86&lt;&gt;"",OR(NOT(ISNUMBER($U86)),$U86&lt;0)),"Funding, ","")&amp;IF(AND($A86&lt;&gt;"",$S86&lt;&gt;"",COUNTIFS($A$2:$A$501,$A86,$B$2:$B$501,$B86,$S$2:$S$501,$S86)&gt;1),"Duplicate Row, ",""))</f>
        <v/>
      </c>
      <c r="AF86">
        <f>IF(COUNTA($A86:$U86)=0,"",$Y86&amp;$Z86&amp;$AA86&amp;$AB86&amp;$AC86)</f>
        <v/>
      </c>
      <c r="AG86">
        <f>IF($N86="","",LOWER(TRIM($N86)))</f>
        <v/>
      </c>
      <c r="AH86">
        <f>IF($A86="","",COUNTIFS($A$2:$A$501,$A86,$AI$2:$AI$501,1))</f>
        <v/>
      </c>
      <c r="AI86">
        <f>IF(COUNTA($A86:$U86)=0,"",--($AF86&lt;&gt;""))</f>
        <v/>
      </c>
      <c r="AJ86">
        <f>IF(COUNTA($A86:$U86)=0,"",--($AD86&lt;&gt;""))</f>
        <v/>
      </c>
    </row>
    <row r="87" ht="20" customHeight="1">
      <c r="A87" s="80" t="n"/>
      <c r="B87" s="80" t="n"/>
      <c r="C87" s="81" t="n"/>
      <c r="D87" s="81" t="n"/>
      <c r="E87" s="80" t="n"/>
      <c r="F87" s="81" t="n"/>
      <c r="G87" s="81" t="n"/>
      <c r="H87" s="81" t="n"/>
      <c r="I87" s="80" t="n"/>
      <c r="J87" s="80" t="n"/>
      <c r="K87" s="80" t="n"/>
      <c r="L87" s="82" t="n"/>
      <c r="M87" s="80" t="n"/>
      <c r="N87" s="80" t="n"/>
      <c r="O87" s="80" t="n"/>
      <c r="P87" s="82" t="n"/>
      <c r="Q87" s="82" t="n"/>
      <c r="R87" s="80" t="n"/>
      <c r="S87" s="80" t="n"/>
      <c r="T87" s="80" t="n"/>
      <c r="U87" s="83" t="n"/>
      <c r="V87">
        <f>IF($A87="","",IF($A87=$A86,$V86,IF($V86="",0,1-$V86)))</f>
        <v/>
      </c>
      <c r="W87">
        <f>IF($B87&lt;&gt;"",$B87,$A87)</f>
        <v/>
      </c>
      <c r="X87">
        <f>IF(COUNTA($A87:$U87)=0,"",IF(OR($B87&lt;&gt;"",$O87&lt;&gt;""),"Dependent","Employee"))</f>
        <v/>
      </c>
      <c r="Y87">
        <f>IF(COUNTA($A87:$U87)=0,"",IF($A87="","Employee SSN is required; ","")&amp;IF($C87="","First Name is required; ","")&amp;IF(LEN($C87&amp;"")&gt;19,"First Name exceeds 19 characters; ","")&amp;IF(AND($C87&lt;&gt;"",SUMPRODUCT(--(ROW($1:$19)&lt;=LEN($C87&amp;"")),--ISERROR(FIND(MID($C87&amp;"",ROW($1:$19),1),"ABCDEFGHIJKLMNOPQRSTUVWXYZabcdefghijklmnopqrstuvwxyz .,")))&gt;0),"First Name contains unsupported or encoded characters; use plain A-Z letters only; ","")&amp;IF($D87="","Last Name is required; ","")&amp;IF(LEN($D87&amp;"")&gt;26,"Last Name exceeds 26 characters; ","")&amp;IF(AND($D87&lt;&gt;"",SUMPRODUCT(--(ROW($1:$26)&lt;=LEN($D87&amp;"")),--ISERROR(FIND(MID($D87&amp;"",ROW($1:$26),1),"ABCDEFGHIJKLMNOPQRSTUVWXYZabcdefghijklmnopqrstuvwxyz .,")))&gt;0),"Last Name contains unsupported or encoded characters; use plain A-Z letters only; ","")&amp;IF(LEN($E87&amp;"")&gt;1,"Middle Initial may contain only one character; ","")&amp;IF(AND($E87&lt;&gt;"",SUMPRODUCT(--(ROW($1:$1)&lt;=LEN($E87&amp;"")),--ISERROR(FIND(MID($E87&amp;"",ROW($1:$1),1),"ABCDEFGHIJKLMNOPQRSTUVWXYZabcdefghijklmnopqrstuvwxyz .,")))&gt;0),"Middle Initial must be a plain A-Z letter; ","")&amp;IF($F87="","Address is required; ","")&amp;IF(LEN($F87&amp;"")&gt;75,"Address exceeds 75 characters; ","")&amp;IF(LEN($G87&amp;"")&gt;75,"Address 2 exceeds 75 characters; ","")&amp;IF($H87="","City is required; ","")&amp;IF(LEN($H87&amp;"")&gt;30,"City exceeds 30 characters; ","")&amp;IF($K87="","Country is required; ","")&amp;IF(AND($K87&lt;&gt;"",$K87&lt;&gt;"US",$K87&lt;&gt;"CA"),"Country must be US or CA; ","")&amp;IF(AND($K87="US",OR($I87="",LEN($I87&amp;"")&lt;&gt;2)),"Use a 2-letter state code; ","")&amp;IF($J87="","ZIP or postal code is required; ","")&amp;IF(AND($K87="US",$J87&lt;&gt;"",NOT(IFERROR(OR(AND(LEN($J87&amp;"")=5,ISNUMBER(--($J87&amp;""))),AND(LEN($J87&amp;"")=9,ISNUMBER(--($J87&amp;""))),AND(LEN($J87&amp;"")=10,MID($J87&amp;"",6,1)="-",ISNUMBER(--SUBSTITUTE($J87&amp;"","-","")))),FALSE))),"US ZIP must be 5 or 9 digits, with an optional ZIP+4 hyphen; ","")&amp;IF(AND($N87&lt;&gt;"",NOT(IFERROR(AND(ISNUMBER(SEARCH("@",$N87)),ISNUMBER(SEARCH(".",$N87,SEARCH("@",$N87)+2))),FALSE))),"Email format appears invalid; ","")&amp;IF(AND($O87&lt;&gt;"",$B87=""),"Dependent SSN is required for every dependent; ","")&amp;IF(AND($B87&lt;&gt;"",$O87=""),"Dependent Relationship is required when Dependent SSN is entered; ","")&amp;IF(AND($O87&lt;&gt;"",$O87&lt;&gt;"Spouse or Common Law Spouse",$O87&lt;&gt;"Domestic Partner",$O87&lt;&gt;"Child",$O87&lt;&gt;"Other",$O87&lt;&gt;"Estate",$O87&lt;&gt;"Unknown"),"Dependent Relationship must use one of the approved options; ",""))</f>
        <v/>
      </c>
      <c r="Z87">
        <f>IF(COUNTA($A87:$U87)=0,"",IF(AND($A87&lt;&gt;"",NOT(IFERROR(AND(LEN($A87&amp;"")=9,ISNUMBER(--($A87&amp;""))),FALSE))),"Employee SSN must contain exactly 9 digits; ","")&amp;IF(AND($A87&lt;&gt;"",OR($A87="123456789",$A87="987654321",$A87="012345678",$A87=REPT(LEFT($A87&amp;"",1),9))),"Employee SSN appears to be a placeholder; ","")&amp;IF(AND($B87&lt;&gt;"",NOT(IFERROR(AND(LEN($B87&amp;"")=9,ISNUMBER(--($B87&amp;""))),FALSE))),"Dependent SSN must contain exactly 9 digits; ","")&amp;IF(AND($B87&lt;&gt;"",OR($B87="123456789",$B87="987654321",$B87="012345678",$B87=REPT(LEFT($B87&amp;"",1),9))),"Dependent SSN appears to be a placeholder; ","")&amp;IF(AND($A87&lt;&gt;"",$B87&lt;&gt;"",$A87&amp;""=$B87&amp;""),"Dependent SSN cannot match Employee SSN; ","")&amp;IF(AND($W87&lt;&gt;"",OR(COUNTIFS($W$2:$W$501,$W87,$C$2:$C$501,"&lt;&gt;"&amp;$C87)&gt;0,COUNTIFS($W$2:$W$501,$W87,$D$2:$D$501,"&lt;&gt;"&amp;$D87)&gt;0,COUNTIFS($W$2:$W$501,$W87,$L$2:$L$501,"&lt;&gt;"&amp;$L87)&gt;0)),"The same SSN is associated with a different name or birthdate; ",""))</f>
        <v/>
      </c>
      <c r="AA87">
        <f>IF(COUNTA($A87:$U87)=0,"",IF(AND($A87&lt;&gt;"",$S87&lt;&gt;"",COUNTIFS($A$2:$A$501,$A87,$S$2:$S$501,$S87,$B$2:$B$501,"",$O$2:$O$501,"")=0),"Add an employee row for this household and plan; ","")&amp;IF(AND($X87="Dependent",COUNTIFS($A$2:$A87,$A87,$S$2:$S87,$S87,$B$2:$B87,"",$O$2:$O87,"")=0),"Place the employee row before dependent rows for this plan; ","")&amp;IF(AND($X87="Dependent",COUNTIFS($A$2:$A$501,$A87,$S$2:$S$501,$S87,$B$2:$B$501,"",$O$2:$O$501,"")&gt;0,IFERROR(OR($P87&lt;&gt;LOOKUP(2,1/(($A$2:$A$501=$A87)*($S$2:$S$501=$S87)*($B$2:$B$501="")*($O$2:$O$501="")),$P$2:$P$501),$Q87&lt;&gt;LOOKUP(2,1/(($A$2:$A$501=$A87)*($S$2:$S$501=$S87)*($B$2:$B$501="")*($O$2:$O$501="")),$Q$2:$Q$501),$R87&lt;&gt;LOOKUP(2,1/(($A$2:$A$501=$A87)*($S$2:$S$501=$S87)*($B$2:$B$501="")*($O$2:$O$501="")),$R$2:$R$501),$T87&lt;&gt;LOOKUP(2,1/(($A$2:$A$501=$A87)*($S$2:$S$501=$S87)*($B$2:$B$501="")*($O$2:$O$501="")),$T$2:$T$501),$U87&lt;&gt;LOOKUP(2,1/(($A$2:$A$501=$A87)*($S$2:$S$501=$S87)*($B$2:$B$501="")*($O$2:$O$501="")),$U$2:$U$501)),FALSE)),"Dependent row does not match the employee row for eligibility, status, coverage level, or funding; ",""))</f>
        <v/>
      </c>
      <c r="AB87">
        <f>IF(COUNTA($A87:$U87)=0,"",IF($L87="","Birthdate is required; ","")&amp;IF(AND($L87&lt;&gt;"",OR(NOT(ISNUMBER($L87)),$L87&lt;=DATE(1900,1,1),$L87&gt;TODAY())),"Birthdate must be an exact valid past date; ","")&amp;IF($P87="","Eligibility Date is required; ","")&amp;IF(AND($P87&lt;&gt;"",OR(NOT(ISNUMBER($P87)),$P87&lt;=DATE(1900,1,1))),"Eligibility Date must be a valid date; ","")&amp;IF(AND($R87="Terminated",$Q87=""),"Termination Date is required when Status is Terminated; ","")&amp;IF(AND($Q87&lt;&gt;"",OR(NOT(ISNUMBER($Q87)),$Q87&lt;=DATE(1900,1,1))),"Termination Date must be a valid date; ","")&amp;IF(AND(ISNUMBER($P87),ISNUMBER($Q87),$Q87&lt;$P87),"Termination Date cannot be before Eligibility Date; ","")&amp;IF($R87="","Status is required; ","")&amp;IF(AND($R87&lt;&gt;"",$R87&lt;&gt;"Active",$R87&lt;&gt;"Terminated"),"Status must be Active or Terminated; ","")&amp;IF(AND('START HERE'!$C$8="Terminations Only",$R87&lt;&gt;"Terminated"),"Terminations Only files must contain terminated records; ",""))</f>
        <v/>
      </c>
      <c r="AC87">
        <f>IF(COUNTA($A87:$U87)=0,"",IF($S87="","Plan Name is required; ","")&amp;IF($T87="","Benefit Coverage Level is required; ","")&amp;IF(AND($U87&lt;&gt;"",OR(NOT(ISNUMBER($U87)),$U87&lt;0)),"Plan Funding Amount must be a nonnegative number; ","")&amp;IF(AND($A87&lt;&gt;"",$S87&lt;&gt;"",COUNTIFS($A$2:$A$501,$A87,$B$2:$B$501,$B87,$S$2:$S$501,$S87)&gt;1),"Duplicate participant and plan row; ",""))</f>
        <v/>
      </c>
      <c r="AD87">
        <f>IF(COUNTA($A87:$U87)=0,"",IF(AND($X87="Employee",$M87="",$N87=""),"No employee phone or email provided; ","")&amp;IF(AND($R87="Active",$Q87&lt;&gt;""),"Active record includes a Termination Date; confirm this is intentional; ","")&amp;IF(AND($B87&lt;&gt;"",$B87&amp;""&lt;&gt;$A87&amp;"",COUNTIF($A$2:$A$501,$B87)&gt;0),"Dependent SSN also appears as an Employee SSN elsewhere; confirm dual-employee coverage is intentional; ","")&amp;IF(AND($B87&lt;&gt;"",COUNTIF($B$2:$B$501,$B87)&gt;COUNTIFS($A$2:$A$501,$A87,$B$2:$B$501,$B87)),"Dependent SSN appears under more than one employee; confirm duplicate family coverage is intentional; ","")&amp;IF(AND(ROW()&gt;2,$A87&lt;&gt;"",$A87&lt;&gt;$A86,COUNTIF($A$2:$A86,$A87)&gt;0),"This household appears in more than one section of the census; keep the family together; ","")&amp;IF(OR(AND($C87&lt;&gt;"",LEN($C87&amp;"")&lt;&gt;LEN(TRIM($C87&amp;""))),AND($D87&lt;&gt;"",LEN($D87&amp;"")&lt;&gt;LEN(TRIM($D87&amp;""))),AND($E87&lt;&gt;"",LEN($E87&amp;"")&lt;&gt;LEN(TRIM($E87&amp;""))),AND($F87&lt;&gt;"",LEN($F87&amp;"")&lt;&gt;LEN(TRIM($F87&amp;""))),AND($G87&lt;&gt;"",LEN($G87&amp;"")&lt;&gt;LEN(TRIM($G87&amp;""))),AND($H87&lt;&gt;"",LEN($H87&amp;"")&lt;&gt;LEN(TRIM($H87&amp;""))),AND($I87&lt;&gt;"",LEN($I87&amp;"")&lt;&gt;LEN(TRIM($I87&amp;""))),AND($J87&lt;&gt;"",LEN($J87&amp;"")&lt;&gt;LEN(TRIM($J87&amp;""))),AND($K87&lt;&gt;"",LEN($K87&amp;"")&lt;&gt;LEN(TRIM($K87&amp;""))),AND($M87&lt;&gt;"",LEN($M87&amp;"")&lt;&gt;LEN(TRIM($M87&amp;""))),AND($N87&lt;&gt;"",LEN($N87&amp;"")&lt;&gt;LEN(TRIM($N87&amp;""))),AND($O87&lt;&gt;"",LEN($O87&amp;"")&lt;&gt;LEN(TRIM($O87&amp;""))),AND($R87&lt;&gt;"",LEN($R87&amp;"")&lt;&gt;LEN(TRIM($R87&amp;""))),AND($S87&lt;&gt;"",LEN($S87&amp;"")&lt;&gt;LEN(TRIM($S87&amp;""))),AND($T87&lt;&gt;"",LEN($T87&amp;"")&lt;&gt;LEN(TRIM($T87&amp;"")))),"Remove leading or trailing spaces from text fields; ","")&amp;IF(OR(AND(LEN($C87)&gt;1,OR(EXACT($C87,UPPER($C87)),EXACT($C87,LOWER($C87)))),AND(LEN($D87)&gt;1,OR(EXACT($D87,UPPER($D87)),EXACT($D87,LOWER($D87)))),AND(LEN($H87)&gt;1,OR(EXACT($H87,UPPER($H87)),EXACT($H87,LOWER($H87))))),"Review capitalization in First Name, Last Name, or City; ","")&amp;IF(AND($N87&lt;&gt;"",NOT(EXACT($N87,LOWER($N87)))),"Email will be standardized to lowercase in the clean output; ","")&amp;IF(AND(OR('START HERE'!$C$8="Initial Enrollment",'START HERE'!$C$8="Open Enrollment"),$R87="Terminated"),"A terminated row is included in an initial or open enrollment file; confirm this is intentional; ",""))</f>
        <v/>
      </c>
      <c r="AE87">
        <f>IF(COUNTA($A87:$U87)=0,"",IF(OR($A87="",AND($A87&lt;&gt;"",NOT(IFERROR(AND(LEN($A87&amp;"")=9,ISNUMBER(--($A87&amp;""))),FALSE))),AND($A87&lt;&gt;"",OR($A87="123456789",$A87="987654321",$A87="012345678",$A87=REPT(LEFT($A87&amp;"",1),9)))),"Employee SSN, ","")&amp;IF(OR(AND($O87&lt;&gt;"",$B87=""),AND($B87&lt;&gt;"",OR(NOT(IFERROR(AND(LEN($B87&amp;"")=9,ISNUMBER(--($B87&amp;""))),FALSE)),$B87=$A87,$B87="123456789",$B87="987654321",$B87="012345678",$B87=REPT(LEFT($B87&amp;"",1),9)))),"Dependent SSN, ","")&amp;IF(OR($C87="",LEN($C87)&gt;19,AND($C87&lt;&gt;"",SUMPRODUCT(--(ROW($1:$19)&lt;=LEN($C87&amp;"")),--ISERROR(FIND(MID($C87&amp;"",ROW($1:$19),1),"ABCDEFGHIJKLMNOPQRSTUVWXYZabcdefghijklmnopqrstuvwxyz .,")))&gt;0)),"First Name, ","")&amp;IF(OR($D87="",LEN($D87)&gt;26,AND($D87&lt;&gt;"",SUMPRODUCT(--(ROW($1:$26)&lt;=LEN($D87&amp;"")),--ISERROR(FIND(MID($D87&amp;"",ROW($1:$26),1),"ABCDEFGHIJKLMNOPQRSTUVWXYZabcdefghijklmnopqrstuvwxyz .,")))&gt;0)),"Last Name, ","")&amp;IF(OR(LEN($E87)&gt;1,AND($E87&lt;&gt;"",SUMPRODUCT(--(ROW($1:$1)&lt;=LEN($E87&amp;"")),--ISERROR(FIND(MID($E87&amp;"",ROW($1:$1),1),"ABCDEFGHIJKLMNOPQRSTUVWXYZabcdefghijklmnopqrstuvwxyz .,")))&gt;0)),"Middle Initial, ","")&amp;IF(OR($F87="",LEN($F87)&gt;75),"Address, ","")&amp;IF(OR($H87="",LEN($H87)&gt;30),"City, ","")&amp;IF(AND($K87="US",OR($I87="",LEN($I87)&lt;&gt;2)),"State, ","")&amp;IF($J87="","ZIP, ","")&amp;IF(OR($K87="",AND($K87&lt;&gt;"US",$K87&lt;&gt;"CA")),"Country, ","")&amp;IF(OR($L87="",AND($L87&lt;&gt;"",OR(NOT(ISNUMBER($L87)),$L87&lt;=DATE(1900,1,1),$L87&gt;TODAY()))),"Birthdate, ","")&amp;IF(AND($N87&lt;&gt;"",NOT(IFERROR(AND(ISNUMBER(SEARCH("@",$N87)),ISNUMBER(SEARCH(".",$N87,SEARCH("@",$N87)+2))),FALSE))),"Email, ","")&amp;IF(OR(AND($B87&lt;&gt;"",$O87=""),AND($O87&lt;&gt;"",$O87&lt;&gt;"Spouse or Common Law Spouse",$O87&lt;&gt;"Domestic Partner",$O87&lt;&gt;"Child",$O87&lt;&gt;"Other",$O87&lt;&gt;"Estate",$O87&lt;&gt;"Unknown")),"Dependent Relationship, ","")&amp;IF($AA87&lt;&gt;"","Household, ","")&amp;IF(OR($P87="",AND($P87&lt;&gt;"",OR(NOT(ISNUMBER($P87)),$P87&lt;=DATE(1900,1,1)))),"Eligibility Date, ","")&amp;IF(OR(AND($R87="Terminated",$Q87=""),AND($Q87&lt;&gt;"",OR(NOT(ISNUMBER($Q87)),$Q87&lt;=DATE(1900,1,1))),AND(ISNUMBER($P87),ISNUMBER($Q87),$Q87&lt;$P87)),"Termination Date, ","")&amp;IF(OR($R87="",AND($R87&lt;&gt;"Active",$R87&lt;&gt;"Terminated"),AND('START HERE'!$C$8="Terminations Only",$R87&lt;&gt;"Terminated")),"Status, ","")&amp;IF($S87="","Plan Name, ","")&amp;IF($T87="","Coverage Level, ","")&amp;IF(AND($U87&lt;&gt;"",OR(NOT(ISNUMBER($U87)),$U87&lt;0)),"Funding, ","")&amp;IF(AND($A87&lt;&gt;"",$S87&lt;&gt;"",COUNTIFS($A$2:$A$501,$A87,$B$2:$B$501,$B87,$S$2:$S$501,$S87)&gt;1),"Duplicate Row, ",""))</f>
        <v/>
      </c>
      <c r="AF87">
        <f>IF(COUNTA($A87:$U87)=0,"",$Y87&amp;$Z87&amp;$AA87&amp;$AB87&amp;$AC87)</f>
        <v/>
      </c>
      <c r="AG87">
        <f>IF($N87="","",LOWER(TRIM($N87)))</f>
        <v/>
      </c>
      <c r="AH87">
        <f>IF($A87="","",COUNTIFS($A$2:$A$501,$A87,$AI$2:$AI$501,1))</f>
        <v/>
      </c>
      <c r="AI87">
        <f>IF(COUNTA($A87:$U87)=0,"",--($AF87&lt;&gt;""))</f>
        <v/>
      </c>
      <c r="AJ87">
        <f>IF(COUNTA($A87:$U87)=0,"",--($AD87&lt;&gt;""))</f>
        <v/>
      </c>
    </row>
    <row r="88" ht="20" customHeight="1">
      <c r="A88" s="80" t="n"/>
      <c r="B88" s="80" t="n"/>
      <c r="C88" s="81" t="n"/>
      <c r="D88" s="81" t="n"/>
      <c r="E88" s="80" t="n"/>
      <c r="F88" s="81" t="n"/>
      <c r="G88" s="81" t="n"/>
      <c r="H88" s="81" t="n"/>
      <c r="I88" s="80" t="n"/>
      <c r="J88" s="80" t="n"/>
      <c r="K88" s="80" t="n"/>
      <c r="L88" s="82" t="n"/>
      <c r="M88" s="80" t="n"/>
      <c r="N88" s="80" t="n"/>
      <c r="O88" s="80" t="n"/>
      <c r="P88" s="82" t="n"/>
      <c r="Q88" s="82" t="n"/>
      <c r="R88" s="80" t="n"/>
      <c r="S88" s="80" t="n"/>
      <c r="T88" s="80" t="n"/>
      <c r="U88" s="83" t="n"/>
      <c r="V88">
        <f>IF($A88="","",IF($A88=$A87,$V87,IF($V87="",0,1-$V87)))</f>
        <v/>
      </c>
      <c r="W88">
        <f>IF($B88&lt;&gt;"",$B88,$A88)</f>
        <v/>
      </c>
      <c r="X88">
        <f>IF(COUNTA($A88:$U88)=0,"",IF(OR($B88&lt;&gt;"",$O88&lt;&gt;""),"Dependent","Employee"))</f>
        <v/>
      </c>
      <c r="Y88">
        <f>IF(COUNTA($A88:$U88)=0,"",IF($A88="","Employee SSN is required; ","")&amp;IF($C88="","First Name is required; ","")&amp;IF(LEN($C88&amp;"")&gt;19,"First Name exceeds 19 characters; ","")&amp;IF(AND($C88&lt;&gt;"",SUMPRODUCT(--(ROW($1:$19)&lt;=LEN($C88&amp;"")),--ISERROR(FIND(MID($C88&amp;"",ROW($1:$19),1),"ABCDEFGHIJKLMNOPQRSTUVWXYZabcdefghijklmnopqrstuvwxyz .,")))&gt;0),"First Name contains unsupported or encoded characters; use plain A-Z letters only; ","")&amp;IF($D88="","Last Name is required; ","")&amp;IF(LEN($D88&amp;"")&gt;26,"Last Name exceeds 26 characters; ","")&amp;IF(AND($D88&lt;&gt;"",SUMPRODUCT(--(ROW($1:$26)&lt;=LEN($D88&amp;"")),--ISERROR(FIND(MID($D88&amp;"",ROW($1:$26),1),"ABCDEFGHIJKLMNOPQRSTUVWXYZabcdefghijklmnopqrstuvwxyz .,")))&gt;0),"Last Name contains unsupported or encoded characters; use plain A-Z letters only; ","")&amp;IF(LEN($E88&amp;"")&gt;1,"Middle Initial may contain only one character; ","")&amp;IF(AND($E88&lt;&gt;"",SUMPRODUCT(--(ROW($1:$1)&lt;=LEN($E88&amp;"")),--ISERROR(FIND(MID($E88&amp;"",ROW($1:$1),1),"ABCDEFGHIJKLMNOPQRSTUVWXYZabcdefghijklmnopqrstuvwxyz .,")))&gt;0),"Middle Initial must be a plain A-Z letter; ","")&amp;IF($F88="","Address is required; ","")&amp;IF(LEN($F88&amp;"")&gt;75,"Address exceeds 75 characters; ","")&amp;IF(LEN($G88&amp;"")&gt;75,"Address 2 exceeds 75 characters; ","")&amp;IF($H88="","City is required; ","")&amp;IF(LEN($H88&amp;"")&gt;30,"City exceeds 30 characters; ","")&amp;IF($K88="","Country is required; ","")&amp;IF(AND($K88&lt;&gt;"",$K88&lt;&gt;"US",$K88&lt;&gt;"CA"),"Country must be US or CA; ","")&amp;IF(AND($K88="US",OR($I88="",LEN($I88&amp;"")&lt;&gt;2)),"Use a 2-letter state code; ","")&amp;IF($J88="","ZIP or postal code is required; ","")&amp;IF(AND($K88="US",$J88&lt;&gt;"",NOT(IFERROR(OR(AND(LEN($J88&amp;"")=5,ISNUMBER(--($J88&amp;""))),AND(LEN($J88&amp;"")=9,ISNUMBER(--($J88&amp;""))),AND(LEN($J88&amp;"")=10,MID($J88&amp;"",6,1)="-",ISNUMBER(--SUBSTITUTE($J88&amp;"","-","")))),FALSE))),"US ZIP must be 5 or 9 digits, with an optional ZIP+4 hyphen; ","")&amp;IF(AND($N88&lt;&gt;"",NOT(IFERROR(AND(ISNUMBER(SEARCH("@",$N88)),ISNUMBER(SEARCH(".",$N88,SEARCH("@",$N88)+2))),FALSE))),"Email format appears invalid; ","")&amp;IF(AND($O88&lt;&gt;"",$B88=""),"Dependent SSN is required for every dependent; ","")&amp;IF(AND($B88&lt;&gt;"",$O88=""),"Dependent Relationship is required when Dependent SSN is entered; ","")&amp;IF(AND($O88&lt;&gt;"",$O88&lt;&gt;"Spouse or Common Law Spouse",$O88&lt;&gt;"Domestic Partner",$O88&lt;&gt;"Child",$O88&lt;&gt;"Other",$O88&lt;&gt;"Estate",$O88&lt;&gt;"Unknown"),"Dependent Relationship must use one of the approved options; ",""))</f>
        <v/>
      </c>
      <c r="Z88">
        <f>IF(COUNTA($A88:$U88)=0,"",IF(AND($A88&lt;&gt;"",NOT(IFERROR(AND(LEN($A88&amp;"")=9,ISNUMBER(--($A88&amp;""))),FALSE))),"Employee SSN must contain exactly 9 digits; ","")&amp;IF(AND($A88&lt;&gt;"",OR($A88="123456789",$A88="987654321",$A88="012345678",$A88=REPT(LEFT($A88&amp;"",1),9))),"Employee SSN appears to be a placeholder; ","")&amp;IF(AND($B88&lt;&gt;"",NOT(IFERROR(AND(LEN($B88&amp;"")=9,ISNUMBER(--($B88&amp;""))),FALSE))),"Dependent SSN must contain exactly 9 digits; ","")&amp;IF(AND($B88&lt;&gt;"",OR($B88="123456789",$B88="987654321",$B88="012345678",$B88=REPT(LEFT($B88&amp;"",1),9))),"Dependent SSN appears to be a placeholder; ","")&amp;IF(AND($A88&lt;&gt;"",$B88&lt;&gt;"",$A88&amp;""=$B88&amp;""),"Dependent SSN cannot match Employee SSN; ","")&amp;IF(AND($W88&lt;&gt;"",OR(COUNTIFS($W$2:$W$501,$W88,$C$2:$C$501,"&lt;&gt;"&amp;$C88)&gt;0,COUNTIFS($W$2:$W$501,$W88,$D$2:$D$501,"&lt;&gt;"&amp;$D88)&gt;0,COUNTIFS($W$2:$W$501,$W88,$L$2:$L$501,"&lt;&gt;"&amp;$L88)&gt;0)),"The same SSN is associated with a different name or birthdate; ",""))</f>
        <v/>
      </c>
      <c r="AA88">
        <f>IF(COUNTA($A88:$U88)=0,"",IF(AND($A88&lt;&gt;"",$S88&lt;&gt;"",COUNTIFS($A$2:$A$501,$A88,$S$2:$S$501,$S88,$B$2:$B$501,"",$O$2:$O$501,"")=0),"Add an employee row for this household and plan; ","")&amp;IF(AND($X88="Dependent",COUNTIFS($A$2:$A88,$A88,$S$2:$S88,$S88,$B$2:$B88,"",$O$2:$O88,"")=0),"Place the employee row before dependent rows for this plan; ","")&amp;IF(AND($X88="Dependent",COUNTIFS($A$2:$A$501,$A88,$S$2:$S$501,$S88,$B$2:$B$501,"",$O$2:$O$501,"")&gt;0,IFERROR(OR($P88&lt;&gt;LOOKUP(2,1/(($A$2:$A$501=$A88)*($S$2:$S$501=$S88)*($B$2:$B$501="")*($O$2:$O$501="")),$P$2:$P$501),$Q88&lt;&gt;LOOKUP(2,1/(($A$2:$A$501=$A88)*($S$2:$S$501=$S88)*($B$2:$B$501="")*($O$2:$O$501="")),$Q$2:$Q$501),$R88&lt;&gt;LOOKUP(2,1/(($A$2:$A$501=$A88)*($S$2:$S$501=$S88)*($B$2:$B$501="")*($O$2:$O$501="")),$R$2:$R$501),$T88&lt;&gt;LOOKUP(2,1/(($A$2:$A$501=$A88)*($S$2:$S$501=$S88)*($B$2:$B$501="")*($O$2:$O$501="")),$T$2:$T$501),$U88&lt;&gt;LOOKUP(2,1/(($A$2:$A$501=$A88)*($S$2:$S$501=$S88)*($B$2:$B$501="")*($O$2:$O$501="")),$U$2:$U$501)),FALSE)),"Dependent row does not match the employee row for eligibility, status, coverage level, or funding; ",""))</f>
        <v/>
      </c>
      <c r="AB88">
        <f>IF(COUNTA($A88:$U88)=0,"",IF($L88="","Birthdate is required; ","")&amp;IF(AND($L88&lt;&gt;"",OR(NOT(ISNUMBER($L88)),$L88&lt;=DATE(1900,1,1),$L88&gt;TODAY())),"Birthdate must be an exact valid past date; ","")&amp;IF($P88="","Eligibility Date is required; ","")&amp;IF(AND($P88&lt;&gt;"",OR(NOT(ISNUMBER($P88)),$P88&lt;=DATE(1900,1,1))),"Eligibility Date must be a valid date; ","")&amp;IF(AND($R88="Terminated",$Q88=""),"Termination Date is required when Status is Terminated; ","")&amp;IF(AND($Q88&lt;&gt;"",OR(NOT(ISNUMBER($Q88)),$Q88&lt;=DATE(1900,1,1))),"Termination Date must be a valid date; ","")&amp;IF(AND(ISNUMBER($P88),ISNUMBER($Q88),$Q88&lt;$P88),"Termination Date cannot be before Eligibility Date; ","")&amp;IF($R88="","Status is required; ","")&amp;IF(AND($R88&lt;&gt;"",$R88&lt;&gt;"Active",$R88&lt;&gt;"Terminated"),"Status must be Active or Terminated; ","")&amp;IF(AND('START HERE'!$C$8="Terminations Only",$R88&lt;&gt;"Terminated"),"Terminations Only files must contain terminated records; ",""))</f>
        <v/>
      </c>
      <c r="AC88">
        <f>IF(COUNTA($A88:$U88)=0,"",IF($S88="","Plan Name is required; ","")&amp;IF($T88="","Benefit Coverage Level is required; ","")&amp;IF(AND($U88&lt;&gt;"",OR(NOT(ISNUMBER($U88)),$U88&lt;0)),"Plan Funding Amount must be a nonnegative number; ","")&amp;IF(AND($A88&lt;&gt;"",$S88&lt;&gt;"",COUNTIFS($A$2:$A$501,$A88,$B$2:$B$501,$B88,$S$2:$S$501,$S88)&gt;1),"Duplicate participant and plan row; ",""))</f>
        <v/>
      </c>
      <c r="AD88">
        <f>IF(COUNTA($A88:$U88)=0,"",IF(AND($X88="Employee",$M88="",$N88=""),"No employee phone or email provided; ","")&amp;IF(AND($R88="Active",$Q88&lt;&gt;""),"Active record includes a Termination Date; confirm this is intentional; ","")&amp;IF(AND($B88&lt;&gt;"",$B88&amp;""&lt;&gt;$A88&amp;"",COUNTIF($A$2:$A$501,$B88)&gt;0),"Dependent SSN also appears as an Employee SSN elsewhere; confirm dual-employee coverage is intentional; ","")&amp;IF(AND($B88&lt;&gt;"",COUNTIF($B$2:$B$501,$B88)&gt;COUNTIFS($A$2:$A$501,$A88,$B$2:$B$501,$B88)),"Dependent SSN appears under more than one employee; confirm duplicate family coverage is intentional; ","")&amp;IF(AND(ROW()&gt;2,$A88&lt;&gt;"",$A88&lt;&gt;$A87,COUNTIF($A$2:$A87,$A88)&gt;0),"This household appears in more than one section of the census; keep the family together; ","")&amp;IF(OR(AND($C88&lt;&gt;"",LEN($C88&amp;"")&lt;&gt;LEN(TRIM($C88&amp;""))),AND($D88&lt;&gt;"",LEN($D88&amp;"")&lt;&gt;LEN(TRIM($D88&amp;""))),AND($E88&lt;&gt;"",LEN($E88&amp;"")&lt;&gt;LEN(TRIM($E88&amp;""))),AND($F88&lt;&gt;"",LEN($F88&amp;"")&lt;&gt;LEN(TRIM($F88&amp;""))),AND($G88&lt;&gt;"",LEN($G88&amp;"")&lt;&gt;LEN(TRIM($G88&amp;""))),AND($H88&lt;&gt;"",LEN($H88&amp;"")&lt;&gt;LEN(TRIM($H88&amp;""))),AND($I88&lt;&gt;"",LEN($I88&amp;"")&lt;&gt;LEN(TRIM($I88&amp;""))),AND($J88&lt;&gt;"",LEN($J88&amp;"")&lt;&gt;LEN(TRIM($J88&amp;""))),AND($K88&lt;&gt;"",LEN($K88&amp;"")&lt;&gt;LEN(TRIM($K88&amp;""))),AND($M88&lt;&gt;"",LEN($M88&amp;"")&lt;&gt;LEN(TRIM($M88&amp;""))),AND($N88&lt;&gt;"",LEN($N88&amp;"")&lt;&gt;LEN(TRIM($N88&amp;""))),AND($O88&lt;&gt;"",LEN($O88&amp;"")&lt;&gt;LEN(TRIM($O88&amp;""))),AND($R88&lt;&gt;"",LEN($R88&amp;"")&lt;&gt;LEN(TRIM($R88&amp;""))),AND($S88&lt;&gt;"",LEN($S88&amp;"")&lt;&gt;LEN(TRIM($S88&amp;""))),AND($T88&lt;&gt;"",LEN($T88&amp;"")&lt;&gt;LEN(TRIM($T88&amp;"")))),"Remove leading or trailing spaces from text fields; ","")&amp;IF(OR(AND(LEN($C88)&gt;1,OR(EXACT($C88,UPPER($C88)),EXACT($C88,LOWER($C88)))),AND(LEN($D88)&gt;1,OR(EXACT($D88,UPPER($D88)),EXACT($D88,LOWER($D88)))),AND(LEN($H88)&gt;1,OR(EXACT($H88,UPPER($H88)),EXACT($H88,LOWER($H88))))),"Review capitalization in First Name, Last Name, or City; ","")&amp;IF(AND($N88&lt;&gt;"",NOT(EXACT($N88,LOWER($N88)))),"Email will be standardized to lowercase in the clean output; ","")&amp;IF(AND(OR('START HERE'!$C$8="Initial Enrollment",'START HERE'!$C$8="Open Enrollment"),$R88="Terminated"),"A terminated row is included in an initial or open enrollment file; confirm this is intentional; ",""))</f>
        <v/>
      </c>
      <c r="AE88">
        <f>IF(COUNTA($A88:$U88)=0,"",IF(OR($A88="",AND($A88&lt;&gt;"",NOT(IFERROR(AND(LEN($A88&amp;"")=9,ISNUMBER(--($A88&amp;""))),FALSE))),AND($A88&lt;&gt;"",OR($A88="123456789",$A88="987654321",$A88="012345678",$A88=REPT(LEFT($A88&amp;"",1),9)))),"Employee SSN, ","")&amp;IF(OR(AND($O88&lt;&gt;"",$B88=""),AND($B88&lt;&gt;"",OR(NOT(IFERROR(AND(LEN($B88&amp;"")=9,ISNUMBER(--($B88&amp;""))),FALSE)),$B88=$A88,$B88="123456789",$B88="987654321",$B88="012345678",$B88=REPT(LEFT($B88&amp;"",1),9)))),"Dependent SSN, ","")&amp;IF(OR($C88="",LEN($C88)&gt;19,AND($C88&lt;&gt;"",SUMPRODUCT(--(ROW($1:$19)&lt;=LEN($C88&amp;"")),--ISERROR(FIND(MID($C88&amp;"",ROW($1:$19),1),"ABCDEFGHIJKLMNOPQRSTUVWXYZabcdefghijklmnopqrstuvwxyz .,")))&gt;0)),"First Name, ","")&amp;IF(OR($D88="",LEN($D88)&gt;26,AND($D88&lt;&gt;"",SUMPRODUCT(--(ROW($1:$26)&lt;=LEN($D88&amp;"")),--ISERROR(FIND(MID($D88&amp;"",ROW($1:$26),1),"ABCDEFGHIJKLMNOPQRSTUVWXYZabcdefghijklmnopqrstuvwxyz .,")))&gt;0)),"Last Name, ","")&amp;IF(OR(LEN($E88)&gt;1,AND($E88&lt;&gt;"",SUMPRODUCT(--(ROW($1:$1)&lt;=LEN($E88&amp;"")),--ISERROR(FIND(MID($E88&amp;"",ROW($1:$1),1),"ABCDEFGHIJKLMNOPQRSTUVWXYZabcdefghijklmnopqrstuvwxyz .,")))&gt;0)),"Middle Initial, ","")&amp;IF(OR($F88="",LEN($F88)&gt;75),"Address, ","")&amp;IF(OR($H88="",LEN($H88)&gt;30),"City, ","")&amp;IF(AND($K88="US",OR($I88="",LEN($I88)&lt;&gt;2)),"State, ","")&amp;IF($J88="","ZIP, ","")&amp;IF(OR($K88="",AND($K88&lt;&gt;"US",$K88&lt;&gt;"CA")),"Country, ","")&amp;IF(OR($L88="",AND($L88&lt;&gt;"",OR(NOT(ISNUMBER($L88)),$L88&lt;=DATE(1900,1,1),$L88&gt;TODAY()))),"Birthdate, ","")&amp;IF(AND($N88&lt;&gt;"",NOT(IFERROR(AND(ISNUMBER(SEARCH("@",$N88)),ISNUMBER(SEARCH(".",$N88,SEARCH("@",$N88)+2))),FALSE))),"Email, ","")&amp;IF(OR(AND($B88&lt;&gt;"",$O88=""),AND($O88&lt;&gt;"",$O88&lt;&gt;"Spouse or Common Law Spouse",$O88&lt;&gt;"Domestic Partner",$O88&lt;&gt;"Child",$O88&lt;&gt;"Other",$O88&lt;&gt;"Estate",$O88&lt;&gt;"Unknown")),"Dependent Relationship, ","")&amp;IF($AA88&lt;&gt;"","Household, ","")&amp;IF(OR($P88="",AND($P88&lt;&gt;"",OR(NOT(ISNUMBER($P88)),$P88&lt;=DATE(1900,1,1)))),"Eligibility Date, ","")&amp;IF(OR(AND($R88="Terminated",$Q88=""),AND($Q88&lt;&gt;"",OR(NOT(ISNUMBER($Q88)),$Q88&lt;=DATE(1900,1,1))),AND(ISNUMBER($P88),ISNUMBER($Q88),$Q88&lt;$P88)),"Termination Date, ","")&amp;IF(OR($R88="",AND($R88&lt;&gt;"Active",$R88&lt;&gt;"Terminated"),AND('START HERE'!$C$8="Terminations Only",$R88&lt;&gt;"Terminated")),"Status, ","")&amp;IF($S88="","Plan Name, ","")&amp;IF($T88="","Coverage Level, ","")&amp;IF(AND($U88&lt;&gt;"",OR(NOT(ISNUMBER($U88)),$U88&lt;0)),"Funding, ","")&amp;IF(AND($A88&lt;&gt;"",$S88&lt;&gt;"",COUNTIFS($A$2:$A$501,$A88,$B$2:$B$501,$B88,$S$2:$S$501,$S88)&gt;1),"Duplicate Row, ",""))</f>
        <v/>
      </c>
      <c r="AF88">
        <f>IF(COUNTA($A88:$U88)=0,"",$Y88&amp;$Z88&amp;$AA88&amp;$AB88&amp;$AC88)</f>
        <v/>
      </c>
      <c r="AG88">
        <f>IF($N88="","",LOWER(TRIM($N88)))</f>
        <v/>
      </c>
      <c r="AH88">
        <f>IF($A88="","",COUNTIFS($A$2:$A$501,$A88,$AI$2:$AI$501,1))</f>
        <v/>
      </c>
      <c r="AI88">
        <f>IF(COUNTA($A88:$U88)=0,"",--($AF88&lt;&gt;""))</f>
        <v/>
      </c>
      <c r="AJ88">
        <f>IF(COUNTA($A88:$U88)=0,"",--($AD88&lt;&gt;""))</f>
        <v/>
      </c>
    </row>
    <row r="89" ht="20" customHeight="1">
      <c r="A89" s="80" t="n"/>
      <c r="B89" s="80" t="n"/>
      <c r="C89" s="81" t="n"/>
      <c r="D89" s="81" t="n"/>
      <c r="E89" s="80" t="n"/>
      <c r="F89" s="81" t="n"/>
      <c r="G89" s="81" t="n"/>
      <c r="H89" s="81" t="n"/>
      <c r="I89" s="80" t="n"/>
      <c r="J89" s="80" t="n"/>
      <c r="K89" s="80" t="n"/>
      <c r="L89" s="82" t="n"/>
      <c r="M89" s="80" t="n"/>
      <c r="N89" s="80" t="n"/>
      <c r="O89" s="80" t="n"/>
      <c r="P89" s="82" t="n"/>
      <c r="Q89" s="82" t="n"/>
      <c r="R89" s="80" t="n"/>
      <c r="S89" s="80" t="n"/>
      <c r="T89" s="80" t="n"/>
      <c r="U89" s="83" t="n"/>
      <c r="V89">
        <f>IF($A89="","",IF($A89=$A88,$V88,IF($V88="",0,1-$V88)))</f>
        <v/>
      </c>
      <c r="W89">
        <f>IF($B89&lt;&gt;"",$B89,$A89)</f>
        <v/>
      </c>
      <c r="X89">
        <f>IF(COUNTA($A89:$U89)=0,"",IF(OR($B89&lt;&gt;"",$O89&lt;&gt;""),"Dependent","Employee"))</f>
        <v/>
      </c>
      <c r="Y89">
        <f>IF(COUNTA($A89:$U89)=0,"",IF($A89="","Employee SSN is required; ","")&amp;IF($C89="","First Name is required; ","")&amp;IF(LEN($C89&amp;"")&gt;19,"First Name exceeds 19 characters; ","")&amp;IF(AND($C89&lt;&gt;"",SUMPRODUCT(--(ROW($1:$19)&lt;=LEN($C89&amp;"")),--ISERROR(FIND(MID($C89&amp;"",ROW($1:$19),1),"ABCDEFGHIJKLMNOPQRSTUVWXYZabcdefghijklmnopqrstuvwxyz .,")))&gt;0),"First Name contains unsupported or encoded characters; use plain A-Z letters only; ","")&amp;IF($D89="","Last Name is required; ","")&amp;IF(LEN($D89&amp;"")&gt;26,"Last Name exceeds 26 characters; ","")&amp;IF(AND($D89&lt;&gt;"",SUMPRODUCT(--(ROW($1:$26)&lt;=LEN($D89&amp;"")),--ISERROR(FIND(MID($D89&amp;"",ROW($1:$26),1),"ABCDEFGHIJKLMNOPQRSTUVWXYZabcdefghijklmnopqrstuvwxyz .,")))&gt;0),"Last Name contains unsupported or encoded characters; use plain A-Z letters only; ","")&amp;IF(LEN($E89&amp;"")&gt;1,"Middle Initial may contain only one character; ","")&amp;IF(AND($E89&lt;&gt;"",SUMPRODUCT(--(ROW($1:$1)&lt;=LEN($E89&amp;"")),--ISERROR(FIND(MID($E89&amp;"",ROW($1:$1),1),"ABCDEFGHIJKLMNOPQRSTUVWXYZabcdefghijklmnopqrstuvwxyz .,")))&gt;0),"Middle Initial must be a plain A-Z letter; ","")&amp;IF($F89="","Address is required; ","")&amp;IF(LEN($F89&amp;"")&gt;75,"Address exceeds 75 characters; ","")&amp;IF(LEN($G89&amp;"")&gt;75,"Address 2 exceeds 75 characters; ","")&amp;IF($H89="","City is required; ","")&amp;IF(LEN($H89&amp;"")&gt;30,"City exceeds 30 characters; ","")&amp;IF($K89="","Country is required; ","")&amp;IF(AND($K89&lt;&gt;"",$K89&lt;&gt;"US",$K89&lt;&gt;"CA"),"Country must be US or CA; ","")&amp;IF(AND($K89="US",OR($I89="",LEN($I89&amp;"")&lt;&gt;2)),"Use a 2-letter state code; ","")&amp;IF($J89="","ZIP or postal code is required; ","")&amp;IF(AND($K89="US",$J89&lt;&gt;"",NOT(IFERROR(OR(AND(LEN($J89&amp;"")=5,ISNUMBER(--($J89&amp;""))),AND(LEN($J89&amp;"")=9,ISNUMBER(--($J89&amp;""))),AND(LEN($J89&amp;"")=10,MID($J89&amp;"",6,1)="-",ISNUMBER(--SUBSTITUTE($J89&amp;"","-","")))),FALSE))),"US ZIP must be 5 or 9 digits, with an optional ZIP+4 hyphen; ","")&amp;IF(AND($N89&lt;&gt;"",NOT(IFERROR(AND(ISNUMBER(SEARCH("@",$N89)),ISNUMBER(SEARCH(".",$N89,SEARCH("@",$N89)+2))),FALSE))),"Email format appears invalid; ","")&amp;IF(AND($O89&lt;&gt;"",$B89=""),"Dependent SSN is required for every dependent; ","")&amp;IF(AND($B89&lt;&gt;"",$O89=""),"Dependent Relationship is required when Dependent SSN is entered; ","")&amp;IF(AND($O89&lt;&gt;"",$O89&lt;&gt;"Spouse or Common Law Spouse",$O89&lt;&gt;"Domestic Partner",$O89&lt;&gt;"Child",$O89&lt;&gt;"Other",$O89&lt;&gt;"Estate",$O89&lt;&gt;"Unknown"),"Dependent Relationship must use one of the approved options; ",""))</f>
        <v/>
      </c>
      <c r="Z89">
        <f>IF(COUNTA($A89:$U89)=0,"",IF(AND($A89&lt;&gt;"",NOT(IFERROR(AND(LEN($A89&amp;"")=9,ISNUMBER(--($A89&amp;""))),FALSE))),"Employee SSN must contain exactly 9 digits; ","")&amp;IF(AND($A89&lt;&gt;"",OR($A89="123456789",$A89="987654321",$A89="012345678",$A89=REPT(LEFT($A89&amp;"",1),9))),"Employee SSN appears to be a placeholder; ","")&amp;IF(AND($B89&lt;&gt;"",NOT(IFERROR(AND(LEN($B89&amp;"")=9,ISNUMBER(--($B89&amp;""))),FALSE))),"Dependent SSN must contain exactly 9 digits; ","")&amp;IF(AND($B89&lt;&gt;"",OR($B89="123456789",$B89="987654321",$B89="012345678",$B89=REPT(LEFT($B89&amp;"",1),9))),"Dependent SSN appears to be a placeholder; ","")&amp;IF(AND($A89&lt;&gt;"",$B89&lt;&gt;"",$A89&amp;""=$B89&amp;""),"Dependent SSN cannot match Employee SSN; ","")&amp;IF(AND($W89&lt;&gt;"",OR(COUNTIFS($W$2:$W$501,$W89,$C$2:$C$501,"&lt;&gt;"&amp;$C89)&gt;0,COUNTIFS($W$2:$W$501,$W89,$D$2:$D$501,"&lt;&gt;"&amp;$D89)&gt;0,COUNTIFS($W$2:$W$501,$W89,$L$2:$L$501,"&lt;&gt;"&amp;$L89)&gt;0)),"The same SSN is associated with a different name or birthdate; ",""))</f>
        <v/>
      </c>
      <c r="AA89">
        <f>IF(COUNTA($A89:$U89)=0,"",IF(AND($A89&lt;&gt;"",$S89&lt;&gt;"",COUNTIFS($A$2:$A$501,$A89,$S$2:$S$501,$S89,$B$2:$B$501,"",$O$2:$O$501,"")=0),"Add an employee row for this household and plan; ","")&amp;IF(AND($X89="Dependent",COUNTIFS($A$2:$A89,$A89,$S$2:$S89,$S89,$B$2:$B89,"",$O$2:$O89,"")=0),"Place the employee row before dependent rows for this plan; ","")&amp;IF(AND($X89="Dependent",COUNTIFS($A$2:$A$501,$A89,$S$2:$S$501,$S89,$B$2:$B$501,"",$O$2:$O$501,"")&gt;0,IFERROR(OR($P89&lt;&gt;LOOKUP(2,1/(($A$2:$A$501=$A89)*($S$2:$S$501=$S89)*($B$2:$B$501="")*($O$2:$O$501="")),$P$2:$P$501),$Q89&lt;&gt;LOOKUP(2,1/(($A$2:$A$501=$A89)*($S$2:$S$501=$S89)*($B$2:$B$501="")*($O$2:$O$501="")),$Q$2:$Q$501),$R89&lt;&gt;LOOKUP(2,1/(($A$2:$A$501=$A89)*($S$2:$S$501=$S89)*($B$2:$B$501="")*($O$2:$O$501="")),$R$2:$R$501),$T89&lt;&gt;LOOKUP(2,1/(($A$2:$A$501=$A89)*($S$2:$S$501=$S89)*($B$2:$B$501="")*($O$2:$O$501="")),$T$2:$T$501),$U89&lt;&gt;LOOKUP(2,1/(($A$2:$A$501=$A89)*($S$2:$S$501=$S89)*($B$2:$B$501="")*($O$2:$O$501="")),$U$2:$U$501)),FALSE)),"Dependent row does not match the employee row for eligibility, status, coverage level, or funding; ",""))</f>
        <v/>
      </c>
      <c r="AB89">
        <f>IF(COUNTA($A89:$U89)=0,"",IF($L89="","Birthdate is required; ","")&amp;IF(AND($L89&lt;&gt;"",OR(NOT(ISNUMBER($L89)),$L89&lt;=DATE(1900,1,1),$L89&gt;TODAY())),"Birthdate must be an exact valid past date; ","")&amp;IF($P89="","Eligibility Date is required; ","")&amp;IF(AND($P89&lt;&gt;"",OR(NOT(ISNUMBER($P89)),$P89&lt;=DATE(1900,1,1))),"Eligibility Date must be a valid date; ","")&amp;IF(AND($R89="Terminated",$Q89=""),"Termination Date is required when Status is Terminated; ","")&amp;IF(AND($Q89&lt;&gt;"",OR(NOT(ISNUMBER($Q89)),$Q89&lt;=DATE(1900,1,1))),"Termination Date must be a valid date; ","")&amp;IF(AND(ISNUMBER($P89),ISNUMBER($Q89),$Q89&lt;$P89),"Termination Date cannot be before Eligibility Date; ","")&amp;IF($R89="","Status is required; ","")&amp;IF(AND($R89&lt;&gt;"",$R89&lt;&gt;"Active",$R89&lt;&gt;"Terminated"),"Status must be Active or Terminated; ","")&amp;IF(AND('START HERE'!$C$8="Terminations Only",$R89&lt;&gt;"Terminated"),"Terminations Only files must contain terminated records; ",""))</f>
        <v/>
      </c>
      <c r="AC89">
        <f>IF(COUNTA($A89:$U89)=0,"",IF($S89="","Plan Name is required; ","")&amp;IF($T89="","Benefit Coverage Level is required; ","")&amp;IF(AND($U89&lt;&gt;"",OR(NOT(ISNUMBER($U89)),$U89&lt;0)),"Plan Funding Amount must be a nonnegative number; ","")&amp;IF(AND($A89&lt;&gt;"",$S89&lt;&gt;"",COUNTIFS($A$2:$A$501,$A89,$B$2:$B$501,$B89,$S$2:$S$501,$S89)&gt;1),"Duplicate participant and plan row; ",""))</f>
        <v/>
      </c>
      <c r="AD89">
        <f>IF(COUNTA($A89:$U89)=0,"",IF(AND($X89="Employee",$M89="",$N89=""),"No employee phone or email provided; ","")&amp;IF(AND($R89="Active",$Q89&lt;&gt;""),"Active record includes a Termination Date; confirm this is intentional; ","")&amp;IF(AND($B89&lt;&gt;"",$B89&amp;""&lt;&gt;$A89&amp;"",COUNTIF($A$2:$A$501,$B89)&gt;0),"Dependent SSN also appears as an Employee SSN elsewhere; confirm dual-employee coverage is intentional; ","")&amp;IF(AND($B89&lt;&gt;"",COUNTIF($B$2:$B$501,$B89)&gt;COUNTIFS($A$2:$A$501,$A89,$B$2:$B$501,$B89)),"Dependent SSN appears under more than one employee; confirm duplicate family coverage is intentional; ","")&amp;IF(AND(ROW()&gt;2,$A89&lt;&gt;"",$A89&lt;&gt;$A88,COUNTIF($A$2:$A88,$A89)&gt;0),"This household appears in more than one section of the census; keep the family together; ","")&amp;IF(OR(AND($C89&lt;&gt;"",LEN($C89&amp;"")&lt;&gt;LEN(TRIM($C89&amp;""))),AND($D89&lt;&gt;"",LEN($D89&amp;"")&lt;&gt;LEN(TRIM($D89&amp;""))),AND($E89&lt;&gt;"",LEN($E89&amp;"")&lt;&gt;LEN(TRIM($E89&amp;""))),AND($F89&lt;&gt;"",LEN($F89&amp;"")&lt;&gt;LEN(TRIM($F89&amp;""))),AND($G89&lt;&gt;"",LEN($G89&amp;"")&lt;&gt;LEN(TRIM($G89&amp;""))),AND($H89&lt;&gt;"",LEN($H89&amp;"")&lt;&gt;LEN(TRIM($H89&amp;""))),AND($I89&lt;&gt;"",LEN($I89&amp;"")&lt;&gt;LEN(TRIM($I89&amp;""))),AND($J89&lt;&gt;"",LEN($J89&amp;"")&lt;&gt;LEN(TRIM($J89&amp;""))),AND($K89&lt;&gt;"",LEN($K89&amp;"")&lt;&gt;LEN(TRIM($K89&amp;""))),AND($M89&lt;&gt;"",LEN($M89&amp;"")&lt;&gt;LEN(TRIM($M89&amp;""))),AND($N89&lt;&gt;"",LEN($N89&amp;"")&lt;&gt;LEN(TRIM($N89&amp;""))),AND($O89&lt;&gt;"",LEN($O89&amp;"")&lt;&gt;LEN(TRIM($O89&amp;""))),AND($R89&lt;&gt;"",LEN($R89&amp;"")&lt;&gt;LEN(TRIM($R89&amp;""))),AND($S89&lt;&gt;"",LEN($S89&amp;"")&lt;&gt;LEN(TRIM($S89&amp;""))),AND($T89&lt;&gt;"",LEN($T89&amp;"")&lt;&gt;LEN(TRIM($T89&amp;"")))),"Remove leading or trailing spaces from text fields; ","")&amp;IF(OR(AND(LEN($C89)&gt;1,OR(EXACT($C89,UPPER($C89)),EXACT($C89,LOWER($C89)))),AND(LEN($D89)&gt;1,OR(EXACT($D89,UPPER($D89)),EXACT($D89,LOWER($D89)))),AND(LEN($H89)&gt;1,OR(EXACT($H89,UPPER($H89)),EXACT($H89,LOWER($H89))))),"Review capitalization in First Name, Last Name, or City; ","")&amp;IF(AND($N89&lt;&gt;"",NOT(EXACT($N89,LOWER($N89)))),"Email will be standardized to lowercase in the clean output; ","")&amp;IF(AND(OR('START HERE'!$C$8="Initial Enrollment",'START HERE'!$C$8="Open Enrollment"),$R89="Terminated"),"A terminated row is included in an initial or open enrollment file; confirm this is intentional; ",""))</f>
        <v/>
      </c>
      <c r="AE89">
        <f>IF(COUNTA($A89:$U89)=0,"",IF(OR($A89="",AND($A89&lt;&gt;"",NOT(IFERROR(AND(LEN($A89&amp;"")=9,ISNUMBER(--($A89&amp;""))),FALSE))),AND($A89&lt;&gt;"",OR($A89="123456789",$A89="987654321",$A89="012345678",$A89=REPT(LEFT($A89&amp;"",1),9)))),"Employee SSN, ","")&amp;IF(OR(AND($O89&lt;&gt;"",$B89=""),AND($B89&lt;&gt;"",OR(NOT(IFERROR(AND(LEN($B89&amp;"")=9,ISNUMBER(--($B89&amp;""))),FALSE)),$B89=$A89,$B89="123456789",$B89="987654321",$B89="012345678",$B89=REPT(LEFT($B89&amp;"",1),9)))),"Dependent SSN, ","")&amp;IF(OR($C89="",LEN($C89)&gt;19,AND($C89&lt;&gt;"",SUMPRODUCT(--(ROW($1:$19)&lt;=LEN($C89&amp;"")),--ISERROR(FIND(MID($C89&amp;"",ROW($1:$19),1),"ABCDEFGHIJKLMNOPQRSTUVWXYZabcdefghijklmnopqrstuvwxyz .,")))&gt;0)),"First Name, ","")&amp;IF(OR($D89="",LEN($D89)&gt;26,AND($D89&lt;&gt;"",SUMPRODUCT(--(ROW($1:$26)&lt;=LEN($D89&amp;"")),--ISERROR(FIND(MID($D89&amp;"",ROW($1:$26),1),"ABCDEFGHIJKLMNOPQRSTUVWXYZabcdefghijklmnopqrstuvwxyz .,")))&gt;0)),"Last Name, ","")&amp;IF(OR(LEN($E89)&gt;1,AND($E89&lt;&gt;"",SUMPRODUCT(--(ROW($1:$1)&lt;=LEN($E89&amp;"")),--ISERROR(FIND(MID($E89&amp;"",ROW($1:$1),1),"ABCDEFGHIJKLMNOPQRSTUVWXYZabcdefghijklmnopqrstuvwxyz .,")))&gt;0)),"Middle Initial, ","")&amp;IF(OR($F89="",LEN($F89)&gt;75),"Address, ","")&amp;IF(OR($H89="",LEN($H89)&gt;30),"City, ","")&amp;IF(AND($K89="US",OR($I89="",LEN($I89)&lt;&gt;2)),"State, ","")&amp;IF($J89="","ZIP, ","")&amp;IF(OR($K89="",AND($K89&lt;&gt;"US",$K89&lt;&gt;"CA")),"Country, ","")&amp;IF(OR($L89="",AND($L89&lt;&gt;"",OR(NOT(ISNUMBER($L89)),$L89&lt;=DATE(1900,1,1),$L89&gt;TODAY()))),"Birthdate, ","")&amp;IF(AND($N89&lt;&gt;"",NOT(IFERROR(AND(ISNUMBER(SEARCH("@",$N89)),ISNUMBER(SEARCH(".",$N89,SEARCH("@",$N89)+2))),FALSE))),"Email, ","")&amp;IF(OR(AND($B89&lt;&gt;"",$O89=""),AND($O89&lt;&gt;"",$O89&lt;&gt;"Spouse or Common Law Spouse",$O89&lt;&gt;"Domestic Partner",$O89&lt;&gt;"Child",$O89&lt;&gt;"Other",$O89&lt;&gt;"Estate",$O89&lt;&gt;"Unknown")),"Dependent Relationship, ","")&amp;IF($AA89&lt;&gt;"","Household, ","")&amp;IF(OR($P89="",AND($P89&lt;&gt;"",OR(NOT(ISNUMBER($P89)),$P89&lt;=DATE(1900,1,1)))),"Eligibility Date, ","")&amp;IF(OR(AND($R89="Terminated",$Q89=""),AND($Q89&lt;&gt;"",OR(NOT(ISNUMBER($Q89)),$Q89&lt;=DATE(1900,1,1))),AND(ISNUMBER($P89),ISNUMBER($Q89),$Q89&lt;$P89)),"Termination Date, ","")&amp;IF(OR($R89="",AND($R89&lt;&gt;"Active",$R89&lt;&gt;"Terminated"),AND('START HERE'!$C$8="Terminations Only",$R89&lt;&gt;"Terminated")),"Status, ","")&amp;IF($S89="","Plan Name, ","")&amp;IF($T89="","Coverage Level, ","")&amp;IF(AND($U89&lt;&gt;"",OR(NOT(ISNUMBER($U89)),$U89&lt;0)),"Funding, ","")&amp;IF(AND($A89&lt;&gt;"",$S89&lt;&gt;"",COUNTIFS($A$2:$A$501,$A89,$B$2:$B$501,$B89,$S$2:$S$501,$S89)&gt;1),"Duplicate Row, ",""))</f>
        <v/>
      </c>
      <c r="AF89">
        <f>IF(COUNTA($A89:$U89)=0,"",$Y89&amp;$Z89&amp;$AA89&amp;$AB89&amp;$AC89)</f>
        <v/>
      </c>
      <c r="AG89">
        <f>IF($N89="","",LOWER(TRIM($N89)))</f>
        <v/>
      </c>
      <c r="AH89">
        <f>IF($A89="","",COUNTIFS($A$2:$A$501,$A89,$AI$2:$AI$501,1))</f>
        <v/>
      </c>
      <c r="AI89">
        <f>IF(COUNTA($A89:$U89)=0,"",--($AF89&lt;&gt;""))</f>
        <v/>
      </c>
      <c r="AJ89">
        <f>IF(COUNTA($A89:$U89)=0,"",--($AD89&lt;&gt;""))</f>
        <v/>
      </c>
    </row>
    <row r="90" ht="20" customHeight="1">
      <c r="A90" s="80" t="n"/>
      <c r="B90" s="80" t="n"/>
      <c r="C90" s="81" t="n"/>
      <c r="D90" s="81" t="n"/>
      <c r="E90" s="80" t="n"/>
      <c r="F90" s="81" t="n"/>
      <c r="G90" s="81" t="n"/>
      <c r="H90" s="81" t="n"/>
      <c r="I90" s="80" t="n"/>
      <c r="J90" s="80" t="n"/>
      <c r="K90" s="80" t="n"/>
      <c r="L90" s="82" t="n"/>
      <c r="M90" s="80" t="n"/>
      <c r="N90" s="80" t="n"/>
      <c r="O90" s="80" t="n"/>
      <c r="P90" s="82" t="n"/>
      <c r="Q90" s="82" t="n"/>
      <c r="R90" s="80" t="n"/>
      <c r="S90" s="80" t="n"/>
      <c r="T90" s="80" t="n"/>
      <c r="U90" s="83" t="n"/>
      <c r="V90">
        <f>IF($A90="","",IF($A90=$A89,$V89,IF($V89="",0,1-$V89)))</f>
        <v/>
      </c>
      <c r="W90">
        <f>IF($B90&lt;&gt;"",$B90,$A90)</f>
        <v/>
      </c>
      <c r="X90">
        <f>IF(COUNTA($A90:$U90)=0,"",IF(OR($B90&lt;&gt;"",$O90&lt;&gt;""),"Dependent","Employee"))</f>
        <v/>
      </c>
      <c r="Y90">
        <f>IF(COUNTA($A90:$U90)=0,"",IF($A90="","Employee SSN is required; ","")&amp;IF($C90="","First Name is required; ","")&amp;IF(LEN($C90&amp;"")&gt;19,"First Name exceeds 19 characters; ","")&amp;IF(AND($C90&lt;&gt;"",SUMPRODUCT(--(ROW($1:$19)&lt;=LEN($C90&amp;"")),--ISERROR(FIND(MID($C90&amp;"",ROW($1:$19),1),"ABCDEFGHIJKLMNOPQRSTUVWXYZabcdefghijklmnopqrstuvwxyz .,")))&gt;0),"First Name contains unsupported or encoded characters; use plain A-Z letters only; ","")&amp;IF($D90="","Last Name is required; ","")&amp;IF(LEN($D90&amp;"")&gt;26,"Last Name exceeds 26 characters; ","")&amp;IF(AND($D90&lt;&gt;"",SUMPRODUCT(--(ROW($1:$26)&lt;=LEN($D90&amp;"")),--ISERROR(FIND(MID($D90&amp;"",ROW($1:$26),1),"ABCDEFGHIJKLMNOPQRSTUVWXYZabcdefghijklmnopqrstuvwxyz .,")))&gt;0),"Last Name contains unsupported or encoded characters; use plain A-Z letters only; ","")&amp;IF(LEN($E90&amp;"")&gt;1,"Middle Initial may contain only one character; ","")&amp;IF(AND($E90&lt;&gt;"",SUMPRODUCT(--(ROW($1:$1)&lt;=LEN($E90&amp;"")),--ISERROR(FIND(MID($E90&amp;"",ROW($1:$1),1),"ABCDEFGHIJKLMNOPQRSTUVWXYZabcdefghijklmnopqrstuvwxyz .,")))&gt;0),"Middle Initial must be a plain A-Z letter; ","")&amp;IF($F90="","Address is required; ","")&amp;IF(LEN($F90&amp;"")&gt;75,"Address exceeds 75 characters; ","")&amp;IF(LEN($G90&amp;"")&gt;75,"Address 2 exceeds 75 characters; ","")&amp;IF($H90="","City is required; ","")&amp;IF(LEN($H90&amp;"")&gt;30,"City exceeds 30 characters; ","")&amp;IF($K90="","Country is required; ","")&amp;IF(AND($K90&lt;&gt;"",$K90&lt;&gt;"US",$K90&lt;&gt;"CA"),"Country must be US or CA; ","")&amp;IF(AND($K90="US",OR($I90="",LEN($I90&amp;"")&lt;&gt;2)),"Use a 2-letter state code; ","")&amp;IF($J90="","ZIP or postal code is required; ","")&amp;IF(AND($K90="US",$J90&lt;&gt;"",NOT(IFERROR(OR(AND(LEN($J90&amp;"")=5,ISNUMBER(--($J90&amp;""))),AND(LEN($J90&amp;"")=9,ISNUMBER(--($J90&amp;""))),AND(LEN($J90&amp;"")=10,MID($J90&amp;"",6,1)="-",ISNUMBER(--SUBSTITUTE($J90&amp;"","-","")))),FALSE))),"US ZIP must be 5 or 9 digits, with an optional ZIP+4 hyphen; ","")&amp;IF(AND($N90&lt;&gt;"",NOT(IFERROR(AND(ISNUMBER(SEARCH("@",$N90)),ISNUMBER(SEARCH(".",$N90,SEARCH("@",$N90)+2))),FALSE))),"Email format appears invalid; ","")&amp;IF(AND($O90&lt;&gt;"",$B90=""),"Dependent SSN is required for every dependent; ","")&amp;IF(AND($B90&lt;&gt;"",$O90=""),"Dependent Relationship is required when Dependent SSN is entered; ","")&amp;IF(AND($O90&lt;&gt;"",$O90&lt;&gt;"Spouse or Common Law Spouse",$O90&lt;&gt;"Domestic Partner",$O90&lt;&gt;"Child",$O90&lt;&gt;"Other",$O90&lt;&gt;"Estate",$O90&lt;&gt;"Unknown"),"Dependent Relationship must use one of the approved options; ",""))</f>
        <v/>
      </c>
      <c r="Z90">
        <f>IF(COUNTA($A90:$U90)=0,"",IF(AND($A90&lt;&gt;"",NOT(IFERROR(AND(LEN($A90&amp;"")=9,ISNUMBER(--($A90&amp;""))),FALSE))),"Employee SSN must contain exactly 9 digits; ","")&amp;IF(AND($A90&lt;&gt;"",OR($A90="123456789",$A90="987654321",$A90="012345678",$A90=REPT(LEFT($A90&amp;"",1),9))),"Employee SSN appears to be a placeholder; ","")&amp;IF(AND($B90&lt;&gt;"",NOT(IFERROR(AND(LEN($B90&amp;"")=9,ISNUMBER(--($B90&amp;""))),FALSE))),"Dependent SSN must contain exactly 9 digits; ","")&amp;IF(AND($B90&lt;&gt;"",OR($B90="123456789",$B90="987654321",$B90="012345678",$B90=REPT(LEFT($B90&amp;"",1),9))),"Dependent SSN appears to be a placeholder; ","")&amp;IF(AND($A90&lt;&gt;"",$B90&lt;&gt;"",$A90&amp;""=$B90&amp;""),"Dependent SSN cannot match Employee SSN; ","")&amp;IF(AND($W90&lt;&gt;"",OR(COUNTIFS($W$2:$W$501,$W90,$C$2:$C$501,"&lt;&gt;"&amp;$C90)&gt;0,COUNTIFS($W$2:$W$501,$W90,$D$2:$D$501,"&lt;&gt;"&amp;$D90)&gt;0,COUNTIFS($W$2:$W$501,$W90,$L$2:$L$501,"&lt;&gt;"&amp;$L90)&gt;0)),"The same SSN is associated with a different name or birthdate; ",""))</f>
        <v/>
      </c>
      <c r="AA90">
        <f>IF(COUNTA($A90:$U90)=0,"",IF(AND($A90&lt;&gt;"",$S90&lt;&gt;"",COUNTIFS($A$2:$A$501,$A90,$S$2:$S$501,$S90,$B$2:$B$501,"",$O$2:$O$501,"")=0),"Add an employee row for this household and plan; ","")&amp;IF(AND($X90="Dependent",COUNTIFS($A$2:$A90,$A90,$S$2:$S90,$S90,$B$2:$B90,"",$O$2:$O90,"")=0),"Place the employee row before dependent rows for this plan; ","")&amp;IF(AND($X90="Dependent",COUNTIFS($A$2:$A$501,$A90,$S$2:$S$501,$S90,$B$2:$B$501,"",$O$2:$O$501,"")&gt;0,IFERROR(OR($P90&lt;&gt;LOOKUP(2,1/(($A$2:$A$501=$A90)*($S$2:$S$501=$S90)*($B$2:$B$501="")*($O$2:$O$501="")),$P$2:$P$501),$Q90&lt;&gt;LOOKUP(2,1/(($A$2:$A$501=$A90)*($S$2:$S$501=$S90)*($B$2:$B$501="")*($O$2:$O$501="")),$Q$2:$Q$501),$R90&lt;&gt;LOOKUP(2,1/(($A$2:$A$501=$A90)*($S$2:$S$501=$S90)*($B$2:$B$501="")*($O$2:$O$501="")),$R$2:$R$501),$T90&lt;&gt;LOOKUP(2,1/(($A$2:$A$501=$A90)*($S$2:$S$501=$S90)*($B$2:$B$501="")*($O$2:$O$501="")),$T$2:$T$501),$U90&lt;&gt;LOOKUP(2,1/(($A$2:$A$501=$A90)*($S$2:$S$501=$S90)*($B$2:$B$501="")*($O$2:$O$501="")),$U$2:$U$501)),FALSE)),"Dependent row does not match the employee row for eligibility, status, coverage level, or funding; ",""))</f>
        <v/>
      </c>
      <c r="AB90">
        <f>IF(COUNTA($A90:$U90)=0,"",IF($L90="","Birthdate is required; ","")&amp;IF(AND($L90&lt;&gt;"",OR(NOT(ISNUMBER($L90)),$L90&lt;=DATE(1900,1,1),$L90&gt;TODAY())),"Birthdate must be an exact valid past date; ","")&amp;IF($P90="","Eligibility Date is required; ","")&amp;IF(AND($P90&lt;&gt;"",OR(NOT(ISNUMBER($P90)),$P90&lt;=DATE(1900,1,1))),"Eligibility Date must be a valid date; ","")&amp;IF(AND($R90="Terminated",$Q90=""),"Termination Date is required when Status is Terminated; ","")&amp;IF(AND($Q90&lt;&gt;"",OR(NOT(ISNUMBER($Q90)),$Q90&lt;=DATE(1900,1,1))),"Termination Date must be a valid date; ","")&amp;IF(AND(ISNUMBER($P90),ISNUMBER($Q90),$Q90&lt;$P90),"Termination Date cannot be before Eligibility Date; ","")&amp;IF($R90="","Status is required; ","")&amp;IF(AND($R90&lt;&gt;"",$R90&lt;&gt;"Active",$R90&lt;&gt;"Terminated"),"Status must be Active or Terminated; ","")&amp;IF(AND('START HERE'!$C$8="Terminations Only",$R90&lt;&gt;"Terminated"),"Terminations Only files must contain terminated records; ",""))</f>
        <v/>
      </c>
      <c r="AC90">
        <f>IF(COUNTA($A90:$U90)=0,"",IF($S90="","Plan Name is required; ","")&amp;IF($T90="","Benefit Coverage Level is required; ","")&amp;IF(AND($U90&lt;&gt;"",OR(NOT(ISNUMBER($U90)),$U90&lt;0)),"Plan Funding Amount must be a nonnegative number; ","")&amp;IF(AND($A90&lt;&gt;"",$S90&lt;&gt;"",COUNTIFS($A$2:$A$501,$A90,$B$2:$B$501,$B90,$S$2:$S$501,$S90)&gt;1),"Duplicate participant and plan row; ",""))</f>
        <v/>
      </c>
      <c r="AD90">
        <f>IF(COUNTA($A90:$U90)=0,"",IF(AND($X90="Employee",$M90="",$N90=""),"No employee phone or email provided; ","")&amp;IF(AND($R90="Active",$Q90&lt;&gt;""),"Active record includes a Termination Date; confirm this is intentional; ","")&amp;IF(AND($B90&lt;&gt;"",$B90&amp;""&lt;&gt;$A90&amp;"",COUNTIF($A$2:$A$501,$B90)&gt;0),"Dependent SSN also appears as an Employee SSN elsewhere; confirm dual-employee coverage is intentional; ","")&amp;IF(AND($B90&lt;&gt;"",COUNTIF($B$2:$B$501,$B90)&gt;COUNTIFS($A$2:$A$501,$A90,$B$2:$B$501,$B90)),"Dependent SSN appears under more than one employee; confirm duplicate family coverage is intentional; ","")&amp;IF(AND(ROW()&gt;2,$A90&lt;&gt;"",$A90&lt;&gt;$A89,COUNTIF($A$2:$A89,$A90)&gt;0),"This household appears in more than one section of the census; keep the family together; ","")&amp;IF(OR(AND($C90&lt;&gt;"",LEN($C90&amp;"")&lt;&gt;LEN(TRIM($C90&amp;""))),AND($D90&lt;&gt;"",LEN($D90&amp;"")&lt;&gt;LEN(TRIM($D90&amp;""))),AND($E90&lt;&gt;"",LEN($E90&amp;"")&lt;&gt;LEN(TRIM($E90&amp;""))),AND($F90&lt;&gt;"",LEN($F90&amp;"")&lt;&gt;LEN(TRIM($F90&amp;""))),AND($G90&lt;&gt;"",LEN($G90&amp;"")&lt;&gt;LEN(TRIM($G90&amp;""))),AND($H90&lt;&gt;"",LEN($H90&amp;"")&lt;&gt;LEN(TRIM($H90&amp;""))),AND($I90&lt;&gt;"",LEN($I90&amp;"")&lt;&gt;LEN(TRIM($I90&amp;""))),AND($J90&lt;&gt;"",LEN($J90&amp;"")&lt;&gt;LEN(TRIM($J90&amp;""))),AND($K90&lt;&gt;"",LEN($K90&amp;"")&lt;&gt;LEN(TRIM($K90&amp;""))),AND($M90&lt;&gt;"",LEN($M90&amp;"")&lt;&gt;LEN(TRIM($M90&amp;""))),AND($N90&lt;&gt;"",LEN($N90&amp;"")&lt;&gt;LEN(TRIM($N90&amp;""))),AND($O90&lt;&gt;"",LEN($O90&amp;"")&lt;&gt;LEN(TRIM($O90&amp;""))),AND($R90&lt;&gt;"",LEN($R90&amp;"")&lt;&gt;LEN(TRIM($R90&amp;""))),AND($S90&lt;&gt;"",LEN($S90&amp;"")&lt;&gt;LEN(TRIM($S90&amp;""))),AND($T90&lt;&gt;"",LEN($T90&amp;"")&lt;&gt;LEN(TRIM($T90&amp;"")))),"Remove leading or trailing spaces from text fields; ","")&amp;IF(OR(AND(LEN($C90)&gt;1,OR(EXACT($C90,UPPER($C90)),EXACT($C90,LOWER($C90)))),AND(LEN($D90)&gt;1,OR(EXACT($D90,UPPER($D90)),EXACT($D90,LOWER($D90)))),AND(LEN($H90)&gt;1,OR(EXACT($H90,UPPER($H90)),EXACT($H90,LOWER($H90))))),"Review capitalization in First Name, Last Name, or City; ","")&amp;IF(AND($N90&lt;&gt;"",NOT(EXACT($N90,LOWER($N90)))),"Email will be standardized to lowercase in the clean output; ","")&amp;IF(AND(OR('START HERE'!$C$8="Initial Enrollment",'START HERE'!$C$8="Open Enrollment"),$R90="Terminated"),"A terminated row is included in an initial or open enrollment file; confirm this is intentional; ",""))</f>
        <v/>
      </c>
      <c r="AE90">
        <f>IF(COUNTA($A90:$U90)=0,"",IF(OR($A90="",AND($A90&lt;&gt;"",NOT(IFERROR(AND(LEN($A90&amp;"")=9,ISNUMBER(--($A90&amp;""))),FALSE))),AND($A90&lt;&gt;"",OR($A90="123456789",$A90="987654321",$A90="012345678",$A90=REPT(LEFT($A90&amp;"",1),9)))),"Employee SSN, ","")&amp;IF(OR(AND($O90&lt;&gt;"",$B90=""),AND($B90&lt;&gt;"",OR(NOT(IFERROR(AND(LEN($B90&amp;"")=9,ISNUMBER(--($B90&amp;""))),FALSE)),$B90=$A90,$B90="123456789",$B90="987654321",$B90="012345678",$B90=REPT(LEFT($B90&amp;"",1),9)))),"Dependent SSN, ","")&amp;IF(OR($C90="",LEN($C90)&gt;19,AND($C90&lt;&gt;"",SUMPRODUCT(--(ROW($1:$19)&lt;=LEN($C90&amp;"")),--ISERROR(FIND(MID($C90&amp;"",ROW($1:$19),1),"ABCDEFGHIJKLMNOPQRSTUVWXYZabcdefghijklmnopqrstuvwxyz .,")))&gt;0)),"First Name, ","")&amp;IF(OR($D90="",LEN($D90)&gt;26,AND($D90&lt;&gt;"",SUMPRODUCT(--(ROW($1:$26)&lt;=LEN($D90&amp;"")),--ISERROR(FIND(MID($D90&amp;"",ROW($1:$26),1),"ABCDEFGHIJKLMNOPQRSTUVWXYZabcdefghijklmnopqrstuvwxyz .,")))&gt;0)),"Last Name, ","")&amp;IF(OR(LEN($E90)&gt;1,AND($E90&lt;&gt;"",SUMPRODUCT(--(ROW($1:$1)&lt;=LEN($E90&amp;"")),--ISERROR(FIND(MID($E90&amp;"",ROW($1:$1),1),"ABCDEFGHIJKLMNOPQRSTUVWXYZabcdefghijklmnopqrstuvwxyz .,")))&gt;0)),"Middle Initial, ","")&amp;IF(OR($F90="",LEN($F90)&gt;75),"Address, ","")&amp;IF(OR($H90="",LEN($H90)&gt;30),"City, ","")&amp;IF(AND($K90="US",OR($I90="",LEN($I90)&lt;&gt;2)),"State, ","")&amp;IF($J90="","ZIP, ","")&amp;IF(OR($K90="",AND($K90&lt;&gt;"US",$K90&lt;&gt;"CA")),"Country, ","")&amp;IF(OR($L90="",AND($L90&lt;&gt;"",OR(NOT(ISNUMBER($L90)),$L90&lt;=DATE(1900,1,1),$L90&gt;TODAY()))),"Birthdate, ","")&amp;IF(AND($N90&lt;&gt;"",NOT(IFERROR(AND(ISNUMBER(SEARCH("@",$N90)),ISNUMBER(SEARCH(".",$N90,SEARCH("@",$N90)+2))),FALSE))),"Email, ","")&amp;IF(OR(AND($B90&lt;&gt;"",$O90=""),AND($O90&lt;&gt;"",$O90&lt;&gt;"Spouse or Common Law Spouse",$O90&lt;&gt;"Domestic Partner",$O90&lt;&gt;"Child",$O90&lt;&gt;"Other",$O90&lt;&gt;"Estate",$O90&lt;&gt;"Unknown")),"Dependent Relationship, ","")&amp;IF($AA90&lt;&gt;"","Household, ","")&amp;IF(OR($P90="",AND($P90&lt;&gt;"",OR(NOT(ISNUMBER($P90)),$P90&lt;=DATE(1900,1,1)))),"Eligibility Date, ","")&amp;IF(OR(AND($R90="Terminated",$Q90=""),AND($Q90&lt;&gt;"",OR(NOT(ISNUMBER($Q90)),$Q90&lt;=DATE(1900,1,1))),AND(ISNUMBER($P90),ISNUMBER($Q90),$Q90&lt;$P90)),"Termination Date, ","")&amp;IF(OR($R90="",AND($R90&lt;&gt;"Active",$R90&lt;&gt;"Terminated"),AND('START HERE'!$C$8="Terminations Only",$R90&lt;&gt;"Terminated")),"Status, ","")&amp;IF($S90="","Plan Name, ","")&amp;IF($T90="","Coverage Level, ","")&amp;IF(AND($U90&lt;&gt;"",OR(NOT(ISNUMBER($U90)),$U90&lt;0)),"Funding, ","")&amp;IF(AND($A90&lt;&gt;"",$S90&lt;&gt;"",COUNTIFS($A$2:$A$501,$A90,$B$2:$B$501,$B90,$S$2:$S$501,$S90)&gt;1),"Duplicate Row, ",""))</f>
        <v/>
      </c>
      <c r="AF90">
        <f>IF(COUNTA($A90:$U90)=0,"",$Y90&amp;$Z90&amp;$AA90&amp;$AB90&amp;$AC90)</f>
        <v/>
      </c>
      <c r="AG90">
        <f>IF($N90="","",LOWER(TRIM($N90)))</f>
        <v/>
      </c>
      <c r="AH90">
        <f>IF($A90="","",COUNTIFS($A$2:$A$501,$A90,$AI$2:$AI$501,1))</f>
        <v/>
      </c>
      <c r="AI90">
        <f>IF(COUNTA($A90:$U90)=0,"",--($AF90&lt;&gt;""))</f>
        <v/>
      </c>
      <c r="AJ90">
        <f>IF(COUNTA($A90:$U90)=0,"",--($AD90&lt;&gt;""))</f>
        <v/>
      </c>
    </row>
    <row r="91" ht="20" customHeight="1">
      <c r="A91" s="80" t="n"/>
      <c r="B91" s="80" t="n"/>
      <c r="C91" s="81" t="n"/>
      <c r="D91" s="81" t="n"/>
      <c r="E91" s="80" t="n"/>
      <c r="F91" s="81" t="n"/>
      <c r="G91" s="81" t="n"/>
      <c r="H91" s="81" t="n"/>
      <c r="I91" s="80" t="n"/>
      <c r="J91" s="80" t="n"/>
      <c r="K91" s="80" t="n"/>
      <c r="L91" s="82" t="n"/>
      <c r="M91" s="80" t="n"/>
      <c r="N91" s="80" t="n"/>
      <c r="O91" s="80" t="n"/>
      <c r="P91" s="82" t="n"/>
      <c r="Q91" s="82" t="n"/>
      <c r="R91" s="80" t="n"/>
      <c r="S91" s="80" t="n"/>
      <c r="T91" s="80" t="n"/>
      <c r="U91" s="83" t="n"/>
      <c r="V91">
        <f>IF($A91="","",IF($A91=$A90,$V90,IF($V90="",0,1-$V90)))</f>
        <v/>
      </c>
      <c r="W91">
        <f>IF($B91&lt;&gt;"",$B91,$A91)</f>
        <v/>
      </c>
      <c r="X91">
        <f>IF(COUNTA($A91:$U91)=0,"",IF(OR($B91&lt;&gt;"",$O91&lt;&gt;""),"Dependent","Employee"))</f>
        <v/>
      </c>
      <c r="Y91">
        <f>IF(COUNTA($A91:$U91)=0,"",IF($A91="","Employee SSN is required; ","")&amp;IF($C91="","First Name is required; ","")&amp;IF(LEN($C91&amp;"")&gt;19,"First Name exceeds 19 characters; ","")&amp;IF(AND($C91&lt;&gt;"",SUMPRODUCT(--(ROW($1:$19)&lt;=LEN($C91&amp;"")),--ISERROR(FIND(MID($C91&amp;"",ROW($1:$19),1),"ABCDEFGHIJKLMNOPQRSTUVWXYZabcdefghijklmnopqrstuvwxyz .,")))&gt;0),"First Name contains unsupported or encoded characters; use plain A-Z letters only; ","")&amp;IF($D91="","Last Name is required; ","")&amp;IF(LEN($D91&amp;"")&gt;26,"Last Name exceeds 26 characters; ","")&amp;IF(AND($D91&lt;&gt;"",SUMPRODUCT(--(ROW($1:$26)&lt;=LEN($D91&amp;"")),--ISERROR(FIND(MID($D91&amp;"",ROW($1:$26),1),"ABCDEFGHIJKLMNOPQRSTUVWXYZabcdefghijklmnopqrstuvwxyz .,")))&gt;0),"Last Name contains unsupported or encoded characters; use plain A-Z letters only; ","")&amp;IF(LEN($E91&amp;"")&gt;1,"Middle Initial may contain only one character; ","")&amp;IF(AND($E91&lt;&gt;"",SUMPRODUCT(--(ROW($1:$1)&lt;=LEN($E91&amp;"")),--ISERROR(FIND(MID($E91&amp;"",ROW($1:$1),1),"ABCDEFGHIJKLMNOPQRSTUVWXYZabcdefghijklmnopqrstuvwxyz .,")))&gt;0),"Middle Initial must be a plain A-Z letter; ","")&amp;IF($F91="","Address is required; ","")&amp;IF(LEN($F91&amp;"")&gt;75,"Address exceeds 75 characters; ","")&amp;IF(LEN($G91&amp;"")&gt;75,"Address 2 exceeds 75 characters; ","")&amp;IF($H91="","City is required; ","")&amp;IF(LEN($H91&amp;"")&gt;30,"City exceeds 30 characters; ","")&amp;IF($K91="","Country is required; ","")&amp;IF(AND($K91&lt;&gt;"",$K91&lt;&gt;"US",$K91&lt;&gt;"CA"),"Country must be US or CA; ","")&amp;IF(AND($K91="US",OR($I91="",LEN($I91&amp;"")&lt;&gt;2)),"Use a 2-letter state code; ","")&amp;IF($J91="","ZIP or postal code is required; ","")&amp;IF(AND($K91="US",$J91&lt;&gt;"",NOT(IFERROR(OR(AND(LEN($J91&amp;"")=5,ISNUMBER(--($J91&amp;""))),AND(LEN($J91&amp;"")=9,ISNUMBER(--($J91&amp;""))),AND(LEN($J91&amp;"")=10,MID($J91&amp;"",6,1)="-",ISNUMBER(--SUBSTITUTE($J91&amp;"","-","")))),FALSE))),"US ZIP must be 5 or 9 digits, with an optional ZIP+4 hyphen; ","")&amp;IF(AND($N91&lt;&gt;"",NOT(IFERROR(AND(ISNUMBER(SEARCH("@",$N91)),ISNUMBER(SEARCH(".",$N91,SEARCH("@",$N91)+2))),FALSE))),"Email format appears invalid; ","")&amp;IF(AND($O91&lt;&gt;"",$B91=""),"Dependent SSN is required for every dependent; ","")&amp;IF(AND($B91&lt;&gt;"",$O91=""),"Dependent Relationship is required when Dependent SSN is entered; ","")&amp;IF(AND($O91&lt;&gt;"",$O91&lt;&gt;"Spouse or Common Law Spouse",$O91&lt;&gt;"Domestic Partner",$O91&lt;&gt;"Child",$O91&lt;&gt;"Other",$O91&lt;&gt;"Estate",$O91&lt;&gt;"Unknown"),"Dependent Relationship must use one of the approved options; ",""))</f>
        <v/>
      </c>
      <c r="Z91">
        <f>IF(COUNTA($A91:$U91)=0,"",IF(AND($A91&lt;&gt;"",NOT(IFERROR(AND(LEN($A91&amp;"")=9,ISNUMBER(--($A91&amp;""))),FALSE))),"Employee SSN must contain exactly 9 digits; ","")&amp;IF(AND($A91&lt;&gt;"",OR($A91="123456789",$A91="987654321",$A91="012345678",$A91=REPT(LEFT($A91&amp;"",1),9))),"Employee SSN appears to be a placeholder; ","")&amp;IF(AND($B91&lt;&gt;"",NOT(IFERROR(AND(LEN($B91&amp;"")=9,ISNUMBER(--($B91&amp;""))),FALSE))),"Dependent SSN must contain exactly 9 digits; ","")&amp;IF(AND($B91&lt;&gt;"",OR($B91="123456789",$B91="987654321",$B91="012345678",$B91=REPT(LEFT($B91&amp;"",1),9))),"Dependent SSN appears to be a placeholder; ","")&amp;IF(AND($A91&lt;&gt;"",$B91&lt;&gt;"",$A91&amp;""=$B91&amp;""),"Dependent SSN cannot match Employee SSN; ","")&amp;IF(AND($W91&lt;&gt;"",OR(COUNTIFS($W$2:$W$501,$W91,$C$2:$C$501,"&lt;&gt;"&amp;$C91)&gt;0,COUNTIFS($W$2:$W$501,$W91,$D$2:$D$501,"&lt;&gt;"&amp;$D91)&gt;0,COUNTIFS($W$2:$W$501,$W91,$L$2:$L$501,"&lt;&gt;"&amp;$L91)&gt;0)),"The same SSN is associated with a different name or birthdate; ",""))</f>
        <v/>
      </c>
      <c r="AA91">
        <f>IF(COUNTA($A91:$U91)=0,"",IF(AND($A91&lt;&gt;"",$S91&lt;&gt;"",COUNTIFS($A$2:$A$501,$A91,$S$2:$S$501,$S91,$B$2:$B$501,"",$O$2:$O$501,"")=0),"Add an employee row for this household and plan; ","")&amp;IF(AND($X91="Dependent",COUNTIFS($A$2:$A91,$A91,$S$2:$S91,$S91,$B$2:$B91,"",$O$2:$O91,"")=0),"Place the employee row before dependent rows for this plan; ","")&amp;IF(AND($X91="Dependent",COUNTIFS($A$2:$A$501,$A91,$S$2:$S$501,$S91,$B$2:$B$501,"",$O$2:$O$501,"")&gt;0,IFERROR(OR($P91&lt;&gt;LOOKUP(2,1/(($A$2:$A$501=$A91)*($S$2:$S$501=$S91)*($B$2:$B$501="")*($O$2:$O$501="")),$P$2:$P$501),$Q91&lt;&gt;LOOKUP(2,1/(($A$2:$A$501=$A91)*($S$2:$S$501=$S91)*($B$2:$B$501="")*($O$2:$O$501="")),$Q$2:$Q$501),$R91&lt;&gt;LOOKUP(2,1/(($A$2:$A$501=$A91)*($S$2:$S$501=$S91)*($B$2:$B$501="")*($O$2:$O$501="")),$R$2:$R$501),$T91&lt;&gt;LOOKUP(2,1/(($A$2:$A$501=$A91)*($S$2:$S$501=$S91)*($B$2:$B$501="")*($O$2:$O$501="")),$T$2:$T$501),$U91&lt;&gt;LOOKUP(2,1/(($A$2:$A$501=$A91)*($S$2:$S$501=$S91)*($B$2:$B$501="")*($O$2:$O$501="")),$U$2:$U$501)),FALSE)),"Dependent row does not match the employee row for eligibility, status, coverage level, or funding; ",""))</f>
        <v/>
      </c>
      <c r="AB91">
        <f>IF(COUNTA($A91:$U91)=0,"",IF($L91="","Birthdate is required; ","")&amp;IF(AND($L91&lt;&gt;"",OR(NOT(ISNUMBER($L91)),$L91&lt;=DATE(1900,1,1),$L91&gt;TODAY())),"Birthdate must be an exact valid past date; ","")&amp;IF($P91="","Eligibility Date is required; ","")&amp;IF(AND($P91&lt;&gt;"",OR(NOT(ISNUMBER($P91)),$P91&lt;=DATE(1900,1,1))),"Eligibility Date must be a valid date; ","")&amp;IF(AND($R91="Terminated",$Q91=""),"Termination Date is required when Status is Terminated; ","")&amp;IF(AND($Q91&lt;&gt;"",OR(NOT(ISNUMBER($Q91)),$Q91&lt;=DATE(1900,1,1))),"Termination Date must be a valid date; ","")&amp;IF(AND(ISNUMBER($P91),ISNUMBER($Q91),$Q91&lt;$P91),"Termination Date cannot be before Eligibility Date; ","")&amp;IF($R91="","Status is required; ","")&amp;IF(AND($R91&lt;&gt;"",$R91&lt;&gt;"Active",$R91&lt;&gt;"Terminated"),"Status must be Active or Terminated; ","")&amp;IF(AND('START HERE'!$C$8="Terminations Only",$R91&lt;&gt;"Terminated"),"Terminations Only files must contain terminated records; ",""))</f>
        <v/>
      </c>
      <c r="AC91">
        <f>IF(COUNTA($A91:$U91)=0,"",IF($S91="","Plan Name is required; ","")&amp;IF($T91="","Benefit Coverage Level is required; ","")&amp;IF(AND($U91&lt;&gt;"",OR(NOT(ISNUMBER($U91)),$U91&lt;0)),"Plan Funding Amount must be a nonnegative number; ","")&amp;IF(AND($A91&lt;&gt;"",$S91&lt;&gt;"",COUNTIFS($A$2:$A$501,$A91,$B$2:$B$501,$B91,$S$2:$S$501,$S91)&gt;1),"Duplicate participant and plan row; ",""))</f>
        <v/>
      </c>
      <c r="AD91">
        <f>IF(COUNTA($A91:$U91)=0,"",IF(AND($X91="Employee",$M91="",$N91=""),"No employee phone or email provided; ","")&amp;IF(AND($R91="Active",$Q91&lt;&gt;""),"Active record includes a Termination Date; confirm this is intentional; ","")&amp;IF(AND($B91&lt;&gt;"",$B91&amp;""&lt;&gt;$A91&amp;"",COUNTIF($A$2:$A$501,$B91)&gt;0),"Dependent SSN also appears as an Employee SSN elsewhere; confirm dual-employee coverage is intentional; ","")&amp;IF(AND($B91&lt;&gt;"",COUNTIF($B$2:$B$501,$B91)&gt;COUNTIFS($A$2:$A$501,$A91,$B$2:$B$501,$B91)),"Dependent SSN appears under more than one employee; confirm duplicate family coverage is intentional; ","")&amp;IF(AND(ROW()&gt;2,$A91&lt;&gt;"",$A91&lt;&gt;$A90,COUNTIF($A$2:$A90,$A91)&gt;0),"This household appears in more than one section of the census; keep the family together; ","")&amp;IF(OR(AND($C91&lt;&gt;"",LEN($C91&amp;"")&lt;&gt;LEN(TRIM($C91&amp;""))),AND($D91&lt;&gt;"",LEN($D91&amp;"")&lt;&gt;LEN(TRIM($D91&amp;""))),AND($E91&lt;&gt;"",LEN($E91&amp;"")&lt;&gt;LEN(TRIM($E91&amp;""))),AND($F91&lt;&gt;"",LEN($F91&amp;"")&lt;&gt;LEN(TRIM($F91&amp;""))),AND($G91&lt;&gt;"",LEN($G91&amp;"")&lt;&gt;LEN(TRIM($G91&amp;""))),AND($H91&lt;&gt;"",LEN($H91&amp;"")&lt;&gt;LEN(TRIM($H91&amp;""))),AND($I91&lt;&gt;"",LEN($I91&amp;"")&lt;&gt;LEN(TRIM($I91&amp;""))),AND($J91&lt;&gt;"",LEN($J91&amp;"")&lt;&gt;LEN(TRIM($J91&amp;""))),AND($K91&lt;&gt;"",LEN($K91&amp;"")&lt;&gt;LEN(TRIM($K91&amp;""))),AND($M91&lt;&gt;"",LEN($M91&amp;"")&lt;&gt;LEN(TRIM($M91&amp;""))),AND($N91&lt;&gt;"",LEN($N91&amp;"")&lt;&gt;LEN(TRIM($N91&amp;""))),AND($O91&lt;&gt;"",LEN($O91&amp;"")&lt;&gt;LEN(TRIM($O91&amp;""))),AND($R91&lt;&gt;"",LEN($R91&amp;"")&lt;&gt;LEN(TRIM($R91&amp;""))),AND($S91&lt;&gt;"",LEN($S91&amp;"")&lt;&gt;LEN(TRIM($S91&amp;""))),AND($T91&lt;&gt;"",LEN($T91&amp;"")&lt;&gt;LEN(TRIM($T91&amp;"")))),"Remove leading or trailing spaces from text fields; ","")&amp;IF(OR(AND(LEN($C91)&gt;1,OR(EXACT($C91,UPPER($C91)),EXACT($C91,LOWER($C91)))),AND(LEN($D91)&gt;1,OR(EXACT($D91,UPPER($D91)),EXACT($D91,LOWER($D91)))),AND(LEN($H91)&gt;1,OR(EXACT($H91,UPPER($H91)),EXACT($H91,LOWER($H91))))),"Review capitalization in First Name, Last Name, or City; ","")&amp;IF(AND($N91&lt;&gt;"",NOT(EXACT($N91,LOWER($N91)))),"Email will be standardized to lowercase in the clean output; ","")&amp;IF(AND(OR('START HERE'!$C$8="Initial Enrollment",'START HERE'!$C$8="Open Enrollment"),$R91="Terminated"),"A terminated row is included in an initial or open enrollment file; confirm this is intentional; ",""))</f>
        <v/>
      </c>
      <c r="AE91">
        <f>IF(COUNTA($A91:$U91)=0,"",IF(OR($A91="",AND($A91&lt;&gt;"",NOT(IFERROR(AND(LEN($A91&amp;"")=9,ISNUMBER(--($A91&amp;""))),FALSE))),AND($A91&lt;&gt;"",OR($A91="123456789",$A91="987654321",$A91="012345678",$A91=REPT(LEFT($A91&amp;"",1),9)))),"Employee SSN, ","")&amp;IF(OR(AND($O91&lt;&gt;"",$B91=""),AND($B91&lt;&gt;"",OR(NOT(IFERROR(AND(LEN($B91&amp;"")=9,ISNUMBER(--($B91&amp;""))),FALSE)),$B91=$A91,$B91="123456789",$B91="987654321",$B91="012345678",$B91=REPT(LEFT($B91&amp;"",1),9)))),"Dependent SSN, ","")&amp;IF(OR($C91="",LEN($C91)&gt;19,AND($C91&lt;&gt;"",SUMPRODUCT(--(ROW($1:$19)&lt;=LEN($C91&amp;"")),--ISERROR(FIND(MID($C91&amp;"",ROW($1:$19),1),"ABCDEFGHIJKLMNOPQRSTUVWXYZabcdefghijklmnopqrstuvwxyz .,")))&gt;0)),"First Name, ","")&amp;IF(OR($D91="",LEN($D91)&gt;26,AND($D91&lt;&gt;"",SUMPRODUCT(--(ROW($1:$26)&lt;=LEN($D91&amp;"")),--ISERROR(FIND(MID($D91&amp;"",ROW($1:$26),1),"ABCDEFGHIJKLMNOPQRSTUVWXYZabcdefghijklmnopqrstuvwxyz .,")))&gt;0)),"Last Name, ","")&amp;IF(OR(LEN($E91)&gt;1,AND($E91&lt;&gt;"",SUMPRODUCT(--(ROW($1:$1)&lt;=LEN($E91&amp;"")),--ISERROR(FIND(MID($E91&amp;"",ROW($1:$1),1),"ABCDEFGHIJKLMNOPQRSTUVWXYZabcdefghijklmnopqrstuvwxyz .,")))&gt;0)),"Middle Initial, ","")&amp;IF(OR($F91="",LEN($F91)&gt;75),"Address, ","")&amp;IF(OR($H91="",LEN($H91)&gt;30),"City, ","")&amp;IF(AND($K91="US",OR($I91="",LEN($I91)&lt;&gt;2)),"State, ","")&amp;IF($J91="","ZIP, ","")&amp;IF(OR($K91="",AND($K91&lt;&gt;"US",$K91&lt;&gt;"CA")),"Country, ","")&amp;IF(OR($L91="",AND($L91&lt;&gt;"",OR(NOT(ISNUMBER($L91)),$L91&lt;=DATE(1900,1,1),$L91&gt;TODAY()))),"Birthdate, ","")&amp;IF(AND($N91&lt;&gt;"",NOT(IFERROR(AND(ISNUMBER(SEARCH("@",$N91)),ISNUMBER(SEARCH(".",$N91,SEARCH("@",$N91)+2))),FALSE))),"Email, ","")&amp;IF(OR(AND($B91&lt;&gt;"",$O91=""),AND($O91&lt;&gt;"",$O91&lt;&gt;"Spouse or Common Law Spouse",$O91&lt;&gt;"Domestic Partner",$O91&lt;&gt;"Child",$O91&lt;&gt;"Other",$O91&lt;&gt;"Estate",$O91&lt;&gt;"Unknown")),"Dependent Relationship, ","")&amp;IF($AA91&lt;&gt;"","Household, ","")&amp;IF(OR($P91="",AND($P91&lt;&gt;"",OR(NOT(ISNUMBER($P91)),$P91&lt;=DATE(1900,1,1)))),"Eligibility Date, ","")&amp;IF(OR(AND($R91="Terminated",$Q91=""),AND($Q91&lt;&gt;"",OR(NOT(ISNUMBER($Q91)),$Q91&lt;=DATE(1900,1,1))),AND(ISNUMBER($P91),ISNUMBER($Q91),$Q91&lt;$P91)),"Termination Date, ","")&amp;IF(OR($R91="",AND($R91&lt;&gt;"Active",$R91&lt;&gt;"Terminated"),AND('START HERE'!$C$8="Terminations Only",$R91&lt;&gt;"Terminated")),"Status, ","")&amp;IF($S91="","Plan Name, ","")&amp;IF($T91="","Coverage Level, ","")&amp;IF(AND($U91&lt;&gt;"",OR(NOT(ISNUMBER($U91)),$U91&lt;0)),"Funding, ","")&amp;IF(AND($A91&lt;&gt;"",$S91&lt;&gt;"",COUNTIFS($A$2:$A$501,$A91,$B$2:$B$501,$B91,$S$2:$S$501,$S91)&gt;1),"Duplicate Row, ",""))</f>
        <v/>
      </c>
      <c r="AF91">
        <f>IF(COUNTA($A91:$U91)=0,"",$Y91&amp;$Z91&amp;$AA91&amp;$AB91&amp;$AC91)</f>
        <v/>
      </c>
      <c r="AG91">
        <f>IF($N91="","",LOWER(TRIM($N91)))</f>
        <v/>
      </c>
      <c r="AH91">
        <f>IF($A91="","",COUNTIFS($A$2:$A$501,$A91,$AI$2:$AI$501,1))</f>
        <v/>
      </c>
      <c r="AI91">
        <f>IF(COUNTA($A91:$U91)=0,"",--($AF91&lt;&gt;""))</f>
        <v/>
      </c>
      <c r="AJ91">
        <f>IF(COUNTA($A91:$U91)=0,"",--($AD91&lt;&gt;""))</f>
        <v/>
      </c>
    </row>
    <row r="92" ht="20" customHeight="1">
      <c r="A92" s="80" t="n"/>
      <c r="B92" s="80" t="n"/>
      <c r="C92" s="81" t="n"/>
      <c r="D92" s="81" t="n"/>
      <c r="E92" s="80" t="n"/>
      <c r="F92" s="81" t="n"/>
      <c r="G92" s="81" t="n"/>
      <c r="H92" s="81" t="n"/>
      <c r="I92" s="80" t="n"/>
      <c r="J92" s="80" t="n"/>
      <c r="K92" s="80" t="n"/>
      <c r="L92" s="82" t="n"/>
      <c r="M92" s="80" t="n"/>
      <c r="N92" s="80" t="n"/>
      <c r="O92" s="80" t="n"/>
      <c r="P92" s="82" t="n"/>
      <c r="Q92" s="82" t="n"/>
      <c r="R92" s="80" t="n"/>
      <c r="S92" s="80" t="n"/>
      <c r="T92" s="80" t="n"/>
      <c r="U92" s="83" t="n"/>
      <c r="V92">
        <f>IF($A92="","",IF($A92=$A91,$V91,IF($V91="",0,1-$V91)))</f>
        <v/>
      </c>
      <c r="W92">
        <f>IF($B92&lt;&gt;"",$B92,$A92)</f>
        <v/>
      </c>
      <c r="X92">
        <f>IF(COUNTA($A92:$U92)=0,"",IF(OR($B92&lt;&gt;"",$O92&lt;&gt;""),"Dependent","Employee"))</f>
        <v/>
      </c>
      <c r="Y92">
        <f>IF(COUNTA($A92:$U92)=0,"",IF($A92="","Employee SSN is required; ","")&amp;IF($C92="","First Name is required; ","")&amp;IF(LEN($C92&amp;"")&gt;19,"First Name exceeds 19 characters; ","")&amp;IF(AND($C92&lt;&gt;"",SUMPRODUCT(--(ROW($1:$19)&lt;=LEN($C92&amp;"")),--ISERROR(FIND(MID($C92&amp;"",ROW($1:$19),1),"ABCDEFGHIJKLMNOPQRSTUVWXYZabcdefghijklmnopqrstuvwxyz .,")))&gt;0),"First Name contains unsupported or encoded characters; use plain A-Z letters only; ","")&amp;IF($D92="","Last Name is required; ","")&amp;IF(LEN($D92&amp;"")&gt;26,"Last Name exceeds 26 characters; ","")&amp;IF(AND($D92&lt;&gt;"",SUMPRODUCT(--(ROW($1:$26)&lt;=LEN($D92&amp;"")),--ISERROR(FIND(MID($D92&amp;"",ROW($1:$26),1),"ABCDEFGHIJKLMNOPQRSTUVWXYZabcdefghijklmnopqrstuvwxyz .,")))&gt;0),"Last Name contains unsupported or encoded characters; use plain A-Z letters only; ","")&amp;IF(LEN($E92&amp;"")&gt;1,"Middle Initial may contain only one character; ","")&amp;IF(AND($E92&lt;&gt;"",SUMPRODUCT(--(ROW($1:$1)&lt;=LEN($E92&amp;"")),--ISERROR(FIND(MID($E92&amp;"",ROW($1:$1),1),"ABCDEFGHIJKLMNOPQRSTUVWXYZabcdefghijklmnopqrstuvwxyz .,")))&gt;0),"Middle Initial must be a plain A-Z letter; ","")&amp;IF($F92="","Address is required; ","")&amp;IF(LEN($F92&amp;"")&gt;75,"Address exceeds 75 characters; ","")&amp;IF(LEN($G92&amp;"")&gt;75,"Address 2 exceeds 75 characters; ","")&amp;IF($H92="","City is required; ","")&amp;IF(LEN($H92&amp;"")&gt;30,"City exceeds 30 characters; ","")&amp;IF($K92="","Country is required; ","")&amp;IF(AND($K92&lt;&gt;"",$K92&lt;&gt;"US",$K92&lt;&gt;"CA"),"Country must be US or CA; ","")&amp;IF(AND($K92="US",OR($I92="",LEN($I92&amp;"")&lt;&gt;2)),"Use a 2-letter state code; ","")&amp;IF($J92="","ZIP or postal code is required; ","")&amp;IF(AND($K92="US",$J92&lt;&gt;"",NOT(IFERROR(OR(AND(LEN($J92&amp;"")=5,ISNUMBER(--($J92&amp;""))),AND(LEN($J92&amp;"")=9,ISNUMBER(--($J92&amp;""))),AND(LEN($J92&amp;"")=10,MID($J92&amp;"",6,1)="-",ISNUMBER(--SUBSTITUTE($J92&amp;"","-","")))),FALSE))),"US ZIP must be 5 or 9 digits, with an optional ZIP+4 hyphen; ","")&amp;IF(AND($N92&lt;&gt;"",NOT(IFERROR(AND(ISNUMBER(SEARCH("@",$N92)),ISNUMBER(SEARCH(".",$N92,SEARCH("@",$N92)+2))),FALSE))),"Email format appears invalid; ","")&amp;IF(AND($O92&lt;&gt;"",$B92=""),"Dependent SSN is required for every dependent; ","")&amp;IF(AND($B92&lt;&gt;"",$O92=""),"Dependent Relationship is required when Dependent SSN is entered; ","")&amp;IF(AND($O92&lt;&gt;"",$O92&lt;&gt;"Spouse or Common Law Spouse",$O92&lt;&gt;"Domestic Partner",$O92&lt;&gt;"Child",$O92&lt;&gt;"Other",$O92&lt;&gt;"Estate",$O92&lt;&gt;"Unknown"),"Dependent Relationship must use one of the approved options; ",""))</f>
        <v/>
      </c>
      <c r="Z92">
        <f>IF(COUNTA($A92:$U92)=0,"",IF(AND($A92&lt;&gt;"",NOT(IFERROR(AND(LEN($A92&amp;"")=9,ISNUMBER(--($A92&amp;""))),FALSE))),"Employee SSN must contain exactly 9 digits; ","")&amp;IF(AND($A92&lt;&gt;"",OR($A92="123456789",$A92="987654321",$A92="012345678",$A92=REPT(LEFT($A92&amp;"",1),9))),"Employee SSN appears to be a placeholder; ","")&amp;IF(AND($B92&lt;&gt;"",NOT(IFERROR(AND(LEN($B92&amp;"")=9,ISNUMBER(--($B92&amp;""))),FALSE))),"Dependent SSN must contain exactly 9 digits; ","")&amp;IF(AND($B92&lt;&gt;"",OR($B92="123456789",$B92="987654321",$B92="012345678",$B92=REPT(LEFT($B92&amp;"",1),9))),"Dependent SSN appears to be a placeholder; ","")&amp;IF(AND($A92&lt;&gt;"",$B92&lt;&gt;"",$A92&amp;""=$B92&amp;""),"Dependent SSN cannot match Employee SSN; ","")&amp;IF(AND($W92&lt;&gt;"",OR(COUNTIFS($W$2:$W$501,$W92,$C$2:$C$501,"&lt;&gt;"&amp;$C92)&gt;0,COUNTIFS($W$2:$W$501,$W92,$D$2:$D$501,"&lt;&gt;"&amp;$D92)&gt;0,COUNTIFS($W$2:$W$501,$W92,$L$2:$L$501,"&lt;&gt;"&amp;$L92)&gt;0)),"The same SSN is associated with a different name or birthdate; ",""))</f>
        <v/>
      </c>
      <c r="AA92">
        <f>IF(COUNTA($A92:$U92)=0,"",IF(AND($A92&lt;&gt;"",$S92&lt;&gt;"",COUNTIFS($A$2:$A$501,$A92,$S$2:$S$501,$S92,$B$2:$B$501,"",$O$2:$O$501,"")=0),"Add an employee row for this household and plan; ","")&amp;IF(AND($X92="Dependent",COUNTIFS($A$2:$A92,$A92,$S$2:$S92,$S92,$B$2:$B92,"",$O$2:$O92,"")=0),"Place the employee row before dependent rows for this plan; ","")&amp;IF(AND($X92="Dependent",COUNTIFS($A$2:$A$501,$A92,$S$2:$S$501,$S92,$B$2:$B$501,"",$O$2:$O$501,"")&gt;0,IFERROR(OR($P92&lt;&gt;LOOKUP(2,1/(($A$2:$A$501=$A92)*($S$2:$S$501=$S92)*($B$2:$B$501="")*($O$2:$O$501="")),$P$2:$P$501),$Q92&lt;&gt;LOOKUP(2,1/(($A$2:$A$501=$A92)*($S$2:$S$501=$S92)*($B$2:$B$501="")*($O$2:$O$501="")),$Q$2:$Q$501),$R92&lt;&gt;LOOKUP(2,1/(($A$2:$A$501=$A92)*($S$2:$S$501=$S92)*($B$2:$B$501="")*($O$2:$O$501="")),$R$2:$R$501),$T92&lt;&gt;LOOKUP(2,1/(($A$2:$A$501=$A92)*($S$2:$S$501=$S92)*($B$2:$B$501="")*($O$2:$O$501="")),$T$2:$T$501),$U92&lt;&gt;LOOKUP(2,1/(($A$2:$A$501=$A92)*($S$2:$S$501=$S92)*($B$2:$B$501="")*($O$2:$O$501="")),$U$2:$U$501)),FALSE)),"Dependent row does not match the employee row for eligibility, status, coverage level, or funding; ",""))</f>
        <v/>
      </c>
      <c r="AB92">
        <f>IF(COUNTA($A92:$U92)=0,"",IF($L92="","Birthdate is required; ","")&amp;IF(AND($L92&lt;&gt;"",OR(NOT(ISNUMBER($L92)),$L92&lt;=DATE(1900,1,1),$L92&gt;TODAY())),"Birthdate must be an exact valid past date; ","")&amp;IF($P92="","Eligibility Date is required; ","")&amp;IF(AND($P92&lt;&gt;"",OR(NOT(ISNUMBER($P92)),$P92&lt;=DATE(1900,1,1))),"Eligibility Date must be a valid date; ","")&amp;IF(AND($R92="Terminated",$Q92=""),"Termination Date is required when Status is Terminated; ","")&amp;IF(AND($Q92&lt;&gt;"",OR(NOT(ISNUMBER($Q92)),$Q92&lt;=DATE(1900,1,1))),"Termination Date must be a valid date; ","")&amp;IF(AND(ISNUMBER($P92),ISNUMBER($Q92),$Q92&lt;$P92),"Termination Date cannot be before Eligibility Date; ","")&amp;IF($R92="","Status is required; ","")&amp;IF(AND($R92&lt;&gt;"",$R92&lt;&gt;"Active",$R92&lt;&gt;"Terminated"),"Status must be Active or Terminated; ","")&amp;IF(AND('START HERE'!$C$8="Terminations Only",$R92&lt;&gt;"Terminated"),"Terminations Only files must contain terminated records; ",""))</f>
        <v/>
      </c>
      <c r="AC92">
        <f>IF(COUNTA($A92:$U92)=0,"",IF($S92="","Plan Name is required; ","")&amp;IF($T92="","Benefit Coverage Level is required; ","")&amp;IF(AND($U92&lt;&gt;"",OR(NOT(ISNUMBER($U92)),$U92&lt;0)),"Plan Funding Amount must be a nonnegative number; ","")&amp;IF(AND($A92&lt;&gt;"",$S92&lt;&gt;"",COUNTIFS($A$2:$A$501,$A92,$B$2:$B$501,$B92,$S$2:$S$501,$S92)&gt;1),"Duplicate participant and plan row; ",""))</f>
        <v/>
      </c>
      <c r="AD92">
        <f>IF(COUNTA($A92:$U92)=0,"",IF(AND($X92="Employee",$M92="",$N92=""),"No employee phone or email provided; ","")&amp;IF(AND($R92="Active",$Q92&lt;&gt;""),"Active record includes a Termination Date; confirm this is intentional; ","")&amp;IF(AND($B92&lt;&gt;"",$B92&amp;""&lt;&gt;$A92&amp;"",COUNTIF($A$2:$A$501,$B92)&gt;0),"Dependent SSN also appears as an Employee SSN elsewhere; confirm dual-employee coverage is intentional; ","")&amp;IF(AND($B92&lt;&gt;"",COUNTIF($B$2:$B$501,$B92)&gt;COUNTIFS($A$2:$A$501,$A92,$B$2:$B$501,$B92)),"Dependent SSN appears under more than one employee; confirm duplicate family coverage is intentional; ","")&amp;IF(AND(ROW()&gt;2,$A92&lt;&gt;"",$A92&lt;&gt;$A91,COUNTIF($A$2:$A91,$A92)&gt;0),"This household appears in more than one section of the census; keep the family together; ","")&amp;IF(OR(AND($C92&lt;&gt;"",LEN($C92&amp;"")&lt;&gt;LEN(TRIM($C92&amp;""))),AND($D92&lt;&gt;"",LEN($D92&amp;"")&lt;&gt;LEN(TRIM($D92&amp;""))),AND($E92&lt;&gt;"",LEN($E92&amp;"")&lt;&gt;LEN(TRIM($E92&amp;""))),AND($F92&lt;&gt;"",LEN($F92&amp;"")&lt;&gt;LEN(TRIM($F92&amp;""))),AND($G92&lt;&gt;"",LEN($G92&amp;"")&lt;&gt;LEN(TRIM($G92&amp;""))),AND($H92&lt;&gt;"",LEN($H92&amp;"")&lt;&gt;LEN(TRIM($H92&amp;""))),AND($I92&lt;&gt;"",LEN($I92&amp;"")&lt;&gt;LEN(TRIM($I92&amp;""))),AND($J92&lt;&gt;"",LEN($J92&amp;"")&lt;&gt;LEN(TRIM($J92&amp;""))),AND($K92&lt;&gt;"",LEN($K92&amp;"")&lt;&gt;LEN(TRIM($K92&amp;""))),AND($M92&lt;&gt;"",LEN($M92&amp;"")&lt;&gt;LEN(TRIM($M92&amp;""))),AND($N92&lt;&gt;"",LEN($N92&amp;"")&lt;&gt;LEN(TRIM($N92&amp;""))),AND($O92&lt;&gt;"",LEN($O92&amp;"")&lt;&gt;LEN(TRIM($O92&amp;""))),AND($R92&lt;&gt;"",LEN($R92&amp;"")&lt;&gt;LEN(TRIM($R92&amp;""))),AND($S92&lt;&gt;"",LEN($S92&amp;"")&lt;&gt;LEN(TRIM($S92&amp;""))),AND($T92&lt;&gt;"",LEN($T92&amp;"")&lt;&gt;LEN(TRIM($T92&amp;"")))),"Remove leading or trailing spaces from text fields; ","")&amp;IF(OR(AND(LEN($C92)&gt;1,OR(EXACT($C92,UPPER($C92)),EXACT($C92,LOWER($C92)))),AND(LEN($D92)&gt;1,OR(EXACT($D92,UPPER($D92)),EXACT($D92,LOWER($D92)))),AND(LEN($H92)&gt;1,OR(EXACT($H92,UPPER($H92)),EXACT($H92,LOWER($H92))))),"Review capitalization in First Name, Last Name, or City; ","")&amp;IF(AND($N92&lt;&gt;"",NOT(EXACT($N92,LOWER($N92)))),"Email will be standardized to lowercase in the clean output; ","")&amp;IF(AND(OR('START HERE'!$C$8="Initial Enrollment",'START HERE'!$C$8="Open Enrollment"),$R92="Terminated"),"A terminated row is included in an initial or open enrollment file; confirm this is intentional; ",""))</f>
        <v/>
      </c>
      <c r="AE92">
        <f>IF(COUNTA($A92:$U92)=0,"",IF(OR($A92="",AND($A92&lt;&gt;"",NOT(IFERROR(AND(LEN($A92&amp;"")=9,ISNUMBER(--($A92&amp;""))),FALSE))),AND($A92&lt;&gt;"",OR($A92="123456789",$A92="987654321",$A92="012345678",$A92=REPT(LEFT($A92&amp;"",1),9)))),"Employee SSN, ","")&amp;IF(OR(AND($O92&lt;&gt;"",$B92=""),AND($B92&lt;&gt;"",OR(NOT(IFERROR(AND(LEN($B92&amp;"")=9,ISNUMBER(--($B92&amp;""))),FALSE)),$B92=$A92,$B92="123456789",$B92="987654321",$B92="012345678",$B92=REPT(LEFT($B92&amp;"",1),9)))),"Dependent SSN, ","")&amp;IF(OR($C92="",LEN($C92)&gt;19,AND($C92&lt;&gt;"",SUMPRODUCT(--(ROW($1:$19)&lt;=LEN($C92&amp;"")),--ISERROR(FIND(MID($C92&amp;"",ROW($1:$19),1),"ABCDEFGHIJKLMNOPQRSTUVWXYZabcdefghijklmnopqrstuvwxyz .,")))&gt;0)),"First Name, ","")&amp;IF(OR($D92="",LEN($D92)&gt;26,AND($D92&lt;&gt;"",SUMPRODUCT(--(ROW($1:$26)&lt;=LEN($D92&amp;"")),--ISERROR(FIND(MID($D92&amp;"",ROW($1:$26),1),"ABCDEFGHIJKLMNOPQRSTUVWXYZabcdefghijklmnopqrstuvwxyz .,")))&gt;0)),"Last Name, ","")&amp;IF(OR(LEN($E92)&gt;1,AND($E92&lt;&gt;"",SUMPRODUCT(--(ROW($1:$1)&lt;=LEN($E92&amp;"")),--ISERROR(FIND(MID($E92&amp;"",ROW($1:$1),1),"ABCDEFGHIJKLMNOPQRSTUVWXYZabcdefghijklmnopqrstuvwxyz .,")))&gt;0)),"Middle Initial, ","")&amp;IF(OR($F92="",LEN($F92)&gt;75),"Address, ","")&amp;IF(OR($H92="",LEN($H92)&gt;30),"City, ","")&amp;IF(AND($K92="US",OR($I92="",LEN($I92)&lt;&gt;2)),"State, ","")&amp;IF($J92="","ZIP, ","")&amp;IF(OR($K92="",AND($K92&lt;&gt;"US",$K92&lt;&gt;"CA")),"Country, ","")&amp;IF(OR($L92="",AND($L92&lt;&gt;"",OR(NOT(ISNUMBER($L92)),$L92&lt;=DATE(1900,1,1),$L92&gt;TODAY()))),"Birthdate, ","")&amp;IF(AND($N92&lt;&gt;"",NOT(IFERROR(AND(ISNUMBER(SEARCH("@",$N92)),ISNUMBER(SEARCH(".",$N92,SEARCH("@",$N92)+2))),FALSE))),"Email, ","")&amp;IF(OR(AND($B92&lt;&gt;"",$O92=""),AND($O92&lt;&gt;"",$O92&lt;&gt;"Spouse or Common Law Spouse",$O92&lt;&gt;"Domestic Partner",$O92&lt;&gt;"Child",$O92&lt;&gt;"Other",$O92&lt;&gt;"Estate",$O92&lt;&gt;"Unknown")),"Dependent Relationship, ","")&amp;IF($AA92&lt;&gt;"","Household, ","")&amp;IF(OR($P92="",AND($P92&lt;&gt;"",OR(NOT(ISNUMBER($P92)),$P92&lt;=DATE(1900,1,1)))),"Eligibility Date, ","")&amp;IF(OR(AND($R92="Terminated",$Q92=""),AND($Q92&lt;&gt;"",OR(NOT(ISNUMBER($Q92)),$Q92&lt;=DATE(1900,1,1))),AND(ISNUMBER($P92),ISNUMBER($Q92),$Q92&lt;$P92)),"Termination Date, ","")&amp;IF(OR($R92="",AND($R92&lt;&gt;"Active",$R92&lt;&gt;"Terminated"),AND('START HERE'!$C$8="Terminations Only",$R92&lt;&gt;"Terminated")),"Status, ","")&amp;IF($S92="","Plan Name, ","")&amp;IF($T92="","Coverage Level, ","")&amp;IF(AND($U92&lt;&gt;"",OR(NOT(ISNUMBER($U92)),$U92&lt;0)),"Funding, ","")&amp;IF(AND($A92&lt;&gt;"",$S92&lt;&gt;"",COUNTIFS($A$2:$A$501,$A92,$B$2:$B$501,$B92,$S$2:$S$501,$S92)&gt;1),"Duplicate Row, ",""))</f>
        <v/>
      </c>
      <c r="AF92">
        <f>IF(COUNTA($A92:$U92)=0,"",$Y92&amp;$Z92&amp;$AA92&amp;$AB92&amp;$AC92)</f>
        <v/>
      </c>
      <c r="AG92">
        <f>IF($N92="","",LOWER(TRIM($N92)))</f>
        <v/>
      </c>
      <c r="AH92">
        <f>IF($A92="","",COUNTIFS($A$2:$A$501,$A92,$AI$2:$AI$501,1))</f>
        <v/>
      </c>
      <c r="AI92">
        <f>IF(COUNTA($A92:$U92)=0,"",--($AF92&lt;&gt;""))</f>
        <v/>
      </c>
      <c r="AJ92">
        <f>IF(COUNTA($A92:$U92)=0,"",--($AD92&lt;&gt;""))</f>
        <v/>
      </c>
    </row>
    <row r="93" ht="20" customHeight="1">
      <c r="A93" s="80" t="n"/>
      <c r="B93" s="80" t="n"/>
      <c r="C93" s="81" t="n"/>
      <c r="D93" s="81" t="n"/>
      <c r="E93" s="80" t="n"/>
      <c r="F93" s="81" t="n"/>
      <c r="G93" s="81" t="n"/>
      <c r="H93" s="81" t="n"/>
      <c r="I93" s="80" t="n"/>
      <c r="J93" s="80" t="n"/>
      <c r="K93" s="80" t="n"/>
      <c r="L93" s="82" t="n"/>
      <c r="M93" s="80" t="n"/>
      <c r="N93" s="80" t="n"/>
      <c r="O93" s="80" t="n"/>
      <c r="P93" s="82" t="n"/>
      <c r="Q93" s="82" t="n"/>
      <c r="R93" s="80" t="n"/>
      <c r="S93" s="80" t="n"/>
      <c r="T93" s="80" t="n"/>
      <c r="U93" s="83" t="n"/>
      <c r="V93">
        <f>IF($A93="","",IF($A93=$A92,$V92,IF($V92="",0,1-$V92)))</f>
        <v/>
      </c>
      <c r="W93">
        <f>IF($B93&lt;&gt;"",$B93,$A93)</f>
        <v/>
      </c>
      <c r="X93">
        <f>IF(COUNTA($A93:$U93)=0,"",IF(OR($B93&lt;&gt;"",$O93&lt;&gt;""),"Dependent","Employee"))</f>
        <v/>
      </c>
      <c r="Y93">
        <f>IF(COUNTA($A93:$U93)=0,"",IF($A93="","Employee SSN is required; ","")&amp;IF($C93="","First Name is required; ","")&amp;IF(LEN($C93&amp;"")&gt;19,"First Name exceeds 19 characters; ","")&amp;IF(AND($C93&lt;&gt;"",SUMPRODUCT(--(ROW($1:$19)&lt;=LEN($C93&amp;"")),--ISERROR(FIND(MID($C93&amp;"",ROW($1:$19),1),"ABCDEFGHIJKLMNOPQRSTUVWXYZabcdefghijklmnopqrstuvwxyz .,")))&gt;0),"First Name contains unsupported or encoded characters; use plain A-Z letters only; ","")&amp;IF($D93="","Last Name is required; ","")&amp;IF(LEN($D93&amp;"")&gt;26,"Last Name exceeds 26 characters; ","")&amp;IF(AND($D93&lt;&gt;"",SUMPRODUCT(--(ROW($1:$26)&lt;=LEN($D93&amp;"")),--ISERROR(FIND(MID($D93&amp;"",ROW($1:$26),1),"ABCDEFGHIJKLMNOPQRSTUVWXYZabcdefghijklmnopqrstuvwxyz .,")))&gt;0),"Last Name contains unsupported or encoded characters; use plain A-Z letters only; ","")&amp;IF(LEN($E93&amp;"")&gt;1,"Middle Initial may contain only one character; ","")&amp;IF(AND($E93&lt;&gt;"",SUMPRODUCT(--(ROW($1:$1)&lt;=LEN($E93&amp;"")),--ISERROR(FIND(MID($E93&amp;"",ROW($1:$1),1),"ABCDEFGHIJKLMNOPQRSTUVWXYZabcdefghijklmnopqrstuvwxyz .,")))&gt;0),"Middle Initial must be a plain A-Z letter; ","")&amp;IF($F93="","Address is required; ","")&amp;IF(LEN($F93&amp;"")&gt;75,"Address exceeds 75 characters; ","")&amp;IF(LEN($G93&amp;"")&gt;75,"Address 2 exceeds 75 characters; ","")&amp;IF($H93="","City is required; ","")&amp;IF(LEN($H93&amp;"")&gt;30,"City exceeds 30 characters; ","")&amp;IF($K93="","Country is required; ","")&amp;IF(AND($K93&lt;&gt;"",$K93&lt;&gt;"US",$K93&lt;&gt;"CA"),"Country must be US or CA; ","")&amp;IF(AND($K93="US",OR($I93="",LEN($I93&amp;"")&lt;&gt;2)),"Use a 2-letter state code; ","")&amp;IF($J93="","ZIP or postal code is required; ","")&amp;IF(AND($K93="US",$J93&lt;&gt;"",NOT(IFERROR(OR(AND(LEN($J93&amp;"")=5,ISNUMBER(--($J93&amp;""))),AND(LEN($J93&amp;"")=9,ISNUMBER(--($J93&amp;""))),AND(LEN($J93&amp;"")=10,MID($J93&amp;"",6,1)="-",ISNUMBER(--SUBSTITUTE($J93&amp;"","-","")))),FALSE))),"US ZIP must be 5 or 9 digits, with an optional ZIP+4 hyphen; ","")&amp;IF(AND($N93&lt;&gt;"",NOT(IFERROR(AND(ISNUMBER(SEARCH("@",$N93)),ISNUMBER(SEARCH(".",$N93,SEARCH("@",$N93)+2))),FALSE))),"Email format appears invalid; ","")&amp;IF(AND($O93&lt;&gt;"",$B93=""),"Dependent SSN is required for every dependent; ","")&amp;IF(AND($B93&lt;&gt;"",$O93=""),"Dependent Relationship is required when Dependent SSN is entered; ","")&amp;IF(AND($O93&lt;&gt;"",$O93&lt;&gt;"Spouse or Common Law Spouse",$O93&lt;&gt;"Domestic Partner",$O93&lt;&gt;"Child",$O93&lt;&gt;"Other",$O93&lt;&gt;"Estate",$O93&lt;&gt;"Unknown"),"Dependent Relationship must use one of the approved options; ",""))</f>
        <v/>
      </c>
      <c r="Z93">
        <f>IF(COUNTA($A93:$U93)=0,"",IF(AND($A93&lt;&gt;"",NOT(IFERROR(AND(LEN($A93&amp;"")=9,ISNUMBER(--($A93&amp;""))),FALSE))),"Employee SSN must contain exactly 9 digits; ","")&amp;IF(AND($A93&lt;&gt;"",OR($A93="123456789",$A93="987654321",$A93="012345678",$A93=REPT(LEFT($A93&amp;"",1),9))),"Employee SSN appears to be a placeholder; ","")&amp;IF(AND($B93&lt;&gt;"",NOT(IFERROR(AND(LEN($B93&amp;"")=9,ISNUMBER(--($B93&amp;""))),FALSE))),"Dependent SSN must contain exactly 9 digits; ","")&amp;IF(AND($B93&lt;&gt;"",OR($B93="123456789",$B93="987654321",$B93="012345678",$B93=REPT(LEFT($B93&amp;"",1),9))),"Dependent SSN appears to be a placeholder; ","")&amp;IF(AND($A93&lt;&gt;"",$B93&lt;&gt;"",$A93&amp;""=$B93&amp;""),"Dependent SSN cannot match Employee SSN; ","")&amp;IF(AND($W93&lt;&gt;"",OR(COUNTIFS($W$2:$W$501,$W93,$C$2:$C$501,"&lt;&gt;"&amp;$C93)&gt;0,COUNTIFS($W$2:$W$501,$W93,$D$2:$D$501,"&lt;&gt;"&amp;$D93)&gt;0,COUNTIFS($W$2:$W$501,$W93,$L$2:$L$501,"&lt;&gt;"&amp;$L93)&gt;0)),"The same SSN is associated with a different name or birthdate; ",""))</f>
        <v/>
      </c>
      <c r="AA93">
        <f>IF(COUNTA($A93:$U93)=0,"",IF(AND($A93&lt;&gt;"",$S93&lt;&gt;"",COUNTIFS($A$2:$A$501,$A93,$S$2:$S$501,$S93,$B$2:$B$501,"",$O$2:$O$501,"")=0),"Add an employee row for this household and plan; ","")&amp;IF(AND($X93="Dependent",COUNTIFS($A$2:$A93,$A93,$S$2:$S93,$S93,$B$2:$B93,"",$O$2:$O93,"")=0),"Place the employee row before dependent rows for this plan; ","")&amp;IF(AND($X93="Dependent",COUNTIFS($A$2:$A$501,$A93,$S$2:$S$501,$S93,$B$2:$B$501,"",$O$2:$O$501,"")&gt;0,IFERROR(OR($P93&lt;&gt;LOOKUP(2,1/(($A$2:$A$501=$A93)*($S$2:$S$501=$S93)*($B$2:$B$501="")*($O$2:$O$501="")),$P$2:$P$501),$Q93&lt;&gt;LOOKUP(2,1/(($A$2:$A$501=$A93)*($S$2:$S$501=$S93)*($B$2:$B$501="")*($O$2:$O$501="")),$Q$2:$Q$501),$R93&lt;&gt;LOOKUP(2,1/(($A$2:$A$501=$A93)*($S$2:$S$501=$S93)*($B$2:$B$501="")*($O$2:$O$501="")),$R$2:$R$501),$T93&lt;&gt;LOOKUP(2,1/(($A$2:$A$501=$A93)*($S$2:$S$501=$S93)*($B$2:$B$501="")*($O$2:$O$501="")),$T$2:$T$501),$U93&lt;&gt;LOOKUP(2,1/(($A$2:$A$501=$A93)*($S$2:$S$501=$S93)*($B$2:$B$501="")*($O$2:$O$501="")),$U$2:$U$501)),FALSE)),"Dependent row does not match the employee row for eligibility, status, coverage level, or funding; ",""))</f>
        <v/>
      </c>
      <c r="AB93">
        <f>IF(COUNTA($A93:$U93)=0,"",IF($L93="","Birthdate is required; ","")&amp;IF(AND($L93&lt;&gt;"",OR(NOT(ISNUMBER($L93)),$L93&lt;=DATE(1900,1,1),$L93&gt;TODAY())),"Birthdate must be an exact valid past date; ","")&amp;IF($P93="","Eligibility Date is required; ","")&amp;IF(AND($P93&lt;&gt;"",OR(NOT(ISNUMBER($P93)),$P93&lt;=DATE(1900,1,1))),"Eligibility Date must be a valid date; ","")&amp;IF(AND($R93="Terminated",$Q93=""),"Termination Date is required when Status is Terminated; ","")&amp;IF(AND($Q93&lt;&gt;"",OR(NOT(ISNUMBER($Q93)),$Q93&lt;=DATE(1900,1,1))),"Termination Date must be a valid date; ","")&amp;IF(AND(ISNUMBER($P93),ISNUMBER($Q93),$Q93&lt;$P93),"Termination Date cannot be before Eligibility Date; ","")&amp;IF($R93="","Status is required; ","")&amp;IF(AND($R93&lt;&gt;"",$R93&lt;&gt;"Active",$R93&lt;&gt;"Terminated"),"Status must be Active or Terminated; ","")&amp;IF(AND('START HERE'!$C$8="Terminations Only",$R93&lt;&gt;"Terminated"),"Terminations Only files must contain terminated records; ",""))</f>
        <v/>
      </c>
      <c r="AC93">
        <f>IF(COUNTA($A93:$U93)=0,"",IF($S93="","Plan Name is required; ","")&amp;IF($T93="","Benefit Coverage Level is required; ","")&amp;IF(AND($U93&lt;&gt;"",OR(NOT(ISNUMBER($U93)),$U93&lt;0)),"Plan Funding Amount must be a nonnegative number; ","")&amp;IF(AND($A93&lt;&gt;"",$S93&lt;&gt;"",COUNTIFS($A$2:$A$501,$A93,$B$2:$B$501,$B93,$S$2:$S$501,$S93)&gt;1),"Duplicate participant and plan row; ",""))</f>
        <v/>
      </c>
      <c r="AD93">
        <f>IF(COUNTA($A93:$U93)=0,"",IF(AND($X93="Employee",$M93="",$N93=""),"No employee phone or email provided; ","")&amp;IF(AND($R93="Active",$Q93&lt;&gt;""),"Active record includes a Termination Date; confirm this is intentional; ","")&amp;IF(AND($B93&lt;&gt;"",$B93&amp;""&lt;&gt;$A93&amp;"",COUNTIF($A$2:$A$501,$B93)&gt;0),"Dependent SSN also appears as an Employee SSN elsewhere; confirm dual-employee coverage is intentional; ","")&amp;IF(AND($B93&lt;&gt;"",COUNTIF($B$2:$B$501,$B93)&gt;COUNTIFS($A$2:$A$501,$A93,$B$2:$B$501,$B93)),"Dependent SSN appears under more than one employee; confirm duplicate family coverage is intentional; ","")&amp;IF(AND(ROW()&gt;2,$A93&lt;&gt;"",$A93&lt;&gt;$A92,COUNTIF($A$2:$A92,$A93)&gt;0),"This household appears in more than one section of the census; keep the family together; ","")&amp;IF(OR(AND($C93&lt;&gt;"",LEN($C93&amp;"")&lt;&gt;LEN(TRIM($C93&amp;""))),AND($D93&lt;&gt;"",LEN($D93&amp;"")&lt;&gt;LEN(TRIM($D93&amp;""))),AND($E93&lt;&gt;"",LEN($E93&amp;"")&lt;&gt;LEN(TRIM($E93&amp;""))),AND($F93&lt;&gt;"",LEN($F93&amp;"")&lt;&gt;LEN(TRIM($F93&amp;""))),AND($G93&lt;&gt;"",LEN($G93&amp;"")&lt;&gt;LEN(TRIM($G93&amp;""))),AND($H93&lt;&gt;"",LEN($H93&amp;"")&lt;&gt;LEN(TRIM($H93&amp;""))),AND($I93&lt;&gt;"",LEN($I93&amp;"")&lt;&gt;LEN(TRIM($I93&amp;""))),AND($J93&lt;&gt;"",LEN($J93&amp;"")&lt;&gt;LEN(TRIM($J93&amp;""))),AND($K93&lt;&gt;"",LEN($K93&amp;"")&lt;&gt;LEN(TRIM($K93&amp;""))),AND($M93&lt;&gt;"",LEN($M93&amp;"")&lt;&gt;LEN(TRIM($M93&amp;""))),AND($N93&lt;&gt;"",LEN($N93&amp;"")&lt;&gt;LEN(TRIM($N93&amp;""))),AND($O93&lt;&gt;"",LEN($O93&amp;"")&lt;&gt;LEN(TRIM($O93&amp;""))),AND($R93&lt;&gt;"",LEN($R93&amp;"")&lt;&gt;LEN(TRIM($R93&amp;""))),AND($S93&lt;&gt;"",LEN($S93&amp;"")&lt;&gt;LEN(TRIM($S93&amp;""))),AND($T93&lt;&gt;"",LEN($T93&amp;"")&lt;&gt;LEN(TRIM($T93&amp;"")))),"Remove leading or trailing spaces from text fields; ","")&amp;IF(OR(AND(LEN($C93)&gt;1,OR(EXACT($C93,UPPER($C93)),EXACT($C93,LOWER($C93)))),AND(LEN($D93)&gt;1,OR(EXACT($D93,UPPER($D93)),EXACT($D93,LOWER($D93)))),AND(LEN($H93)&gt;1,OR(EXACT($H93,UPPER($H93)),EXACT($H93,LOWER($H93))))),"Review capitalization in First Name, Last Name, or City; ","")&amp;IF(AND($N93&lt;&gt;"",NOT(EXACT($N93,LOWER($N93)))),"Email will be standardized to lowercase in the clean output; ","")&amp;IF(AND(OR('START HERE'!$C$8="Initial Enrollment",'START HERE'!$C$8="Open Enrollment"),$R93="Terminated"),"A terminated row is included in an initial or open enrollment file; confirm this is intentional; ",""))</f>
        <v/>
      </c>
      <c r="AE93">
        <f>IF(COUNTA($A93:$U93)=0,"",IF(OR($A93="",AND($A93&lt;&gt;"",NOT(IFERROR(AND(LEN($A93&amp;"")=9,ISNUMBER(--($A93&amp;""))),FALSE))),AND($A93&lt;&gt;"",OR($A93="123456789",$A93="987654321",$A93="012345678",$A93=REPT(LEFT($A93&amp;"",1),9)))),"Employee SSN, ","")&amp;IF(OR(AND($O93&lt;&gt;"",$B93=""),AND($B93&lt;&gt;"",OR(NOT(IFERROR(AND(LEN($B93&amp;"")=9,ISNUMBER(--($B93&amp;""))),FALSE)),$B93=$A93,$B93="123456789",$B93="987654321",$B93="012345678",$B93=REPT(LEFT($B93&amp;"",1),9)))),"Dependent SSN, ","")&amp;IF(OR($C93="",LEN($C93)&gt;19,AND($C93&lt;&gt;"",SUMPRODUCT(--(ROW($1:$19)&lt;=LEN($C93&amp;"")),--ISERROR(FIND(MID($C93&amp;"",ROW($1:$19),1),"ABCDEFGHIJKLMNOPQRSTUVWXYZabcdefghijklmnopqrstuvwxyz .,")))&gt;0)),"First Name, ","")&amp;IF(OR($D93="",LEN($D93)&gt;26,AND($D93&lt;&gt;"",SUMPRODUCT(--(ROW($1:$26)&lt;=LEN($D93&amp;"")),--ISERROR(FIND(MID($D93&amp;"",ROW($1:$26),1),"ABCDEFGHIJKLMNOPQRSTUVWXYZabcdefghijklmnopqrstuvwxyz .,")))&gt;0)),"Last Name, ","")&amp;IF(OR(LEN($E93)&gt;1,AND($E93&lt;&gt;"",SUMPRODUCT(--(ROW($1:$1)&lt;=LEN($E93&amp;"")),--ISERROR(FIND(MID($E93&amp;"",ROW($1:$1),1),"ABCDEFGHIJKLMNOPQRSTUVWXYZabcdefghijklmnopqrstuvwxyz .,")))&gt;0)),"Middle Initial, ","")&amp;IF(OR($F93="",LEN($F93)&gt;75),"Address, ","")&amp;IF(OR($H93="",LEN($H93)&gt;30),"City, ","")&amp;IF(AND($K93="US",OR($I93="",LEN($I93)&lt;&gt;2)),"State, ","")&amp;IF($J93="","ZIP, ","")&amp;IF(OR($K93="",AND($K93&lt;&gt;"US",$K93&lt;&gt;"CA")),"Country, ","")&amp;IF(OR($L93="",AND($L93&lt;&gt;"",OR(NOT(ISNUMBER($L93)),$L93&lt;=DATE(1900,1,1),$L93&gt;TODAY()))),"Birthdate, ","")&amp;IF(AND($N93&lt;&gt;"",NOT(IFERROR(AND(ISNUMBER(SEARCH("@",$N93)),ISNUMBER(SEARCH(".",$N93,SEARCH("@",$N93)+2))),FALSE))),"Email, ","")&amp;IF(OR(AND($B93&lt;&gt;"",$O93=""),AND($O93&lt;&gt;"",$O93&lt;&gt;"Spouse or Common Law Spouse",$O93&lt;&gt;"Domestic Partner",$O93&lt;&gt;"Child",$O93&lt;&gt;"Other",$O93&lt;&gt;"Estate",$O93&lt;&gt;"Unknown")),"Dependent Relationship, ","")&amp;IF($AA93&lt;&gt;"","Household, ","")&amp;IF(OR($P93="",AND($P93&lt;&gt;"",OR(NOT(ISNUMBER($P93)),$P93&lt;=DATE(1900,1,1)))),"Eligibility Date, ","")&amp;IF(OR(AND($R93="Terminated",$Q93=""),AND($Q93&lt;&gt;"",OR(NOT(ISNUMBER($Q93)),$Q93&lt;=DATE(1900,1,1))),AND(ISNUMBER($P93),ISNUMBER($Q93),$Q93&lt;$P93)),"Termination Date, ","")&amp;IF(OR($R93="",AND($R93&lt;&gt;"Active",$R93&lt;&gt;"Terminated"),AND('START HERE'!$C$8="Terminations Only",$R93&lt;&gt;"Terminated")),"Status, ","")&amp;IF($S93="","Plan Name, ","")&amp;IF($T93="","Coverage Level, ","")&amp;IF(AND($U93&lt;&gt;"",OR(NOT(ISNUMBER($U93)),$U93&lt;0)),"Funding, ","")&amp;IF(AND($A93&lt;&gt;"",$S93&lt;&gt;"",COUNTIFS($A$2:$A$501,$A93,$B$2:$B$501,$B93,$S$2:$S$501,$S93)&gt;1),"Duplicate Row, ",""))</f>
        <v/>
      </c>
      <c r="AF93">
        <f>IF(COUNTA($A93:$U93)=0,"",$Y93&amp;$Z93&amp;$AA93&amp;$AB93&amp;$AC93)</f>
        <v/>
      </c>
      <c r="AG93">
        <f>IF($N93="","",LOWER(TRIM($N93)))</f>
        <v/>
      </c>
      <c r="AH93">
        <f>IF($A93="","",COUNTIFS($A$2:$A$501,$A93,$AI$2:$AI$501,1))</f>
        <v/>
      </c>
      <c r="AI93">
        <f>IF(COUNTA($A93:$U93)=0,"",--($AF93&lt;&gt;""))</f>
        <v/>
      </c>
      <c r="AJ93">
        <f>IF(COUNTA($A93:$U93)=0,"",--($AD93&lt;&gt;""))</f>
        <v/>
      </c>
    </row>
    <row r="94" ht="20" customHeight="1">
      <c r="A94" s="80" t="n"/>
      <c r="B94" s="80" t="n"/>
      <c r="C94" s="81" t="n"/>
      <c r="D94" s="81" t="n"/>
      <c r="E94" s="80" t="n"/>
      <c r="F94" s="81" t="n"/>
      <c r="G94" s="81" t="n"/>
      <c r="H94" s="81" t="n"/>
      <c r="I94" s="80" t="n"/>
      <c r="J94" s="80" t="n"/>
      <c r="K94" s="80" t="n"/>
      <c r="L94" s="82" t="n"/>
      <c r="M94" s="80" t="n"/>
      <c r="N94" s="80" t="n"/>
      <c r="O94" s="80" t="n"/>
      <c r="P94" s="82" t="n"/>
      <c r="Q94" s="82" t="n"/>
      <c r="R94" s="80" t="n"/>
      <c r="S94" s="80" t="n"/>
      <c r="T94" s="80" t="n"/>
      <c r="U94" s="83" t="n"/>
      <c r="V94">
        <f>IF($A94="","",IF($A94=$A93,$V93,IF($V93="",0,1-$V93)))</f>
        <v/>
      </c>
      <c r="W94">
        <f>IF($B94&lt;&gt;"",$B94,$A94)</f>
        <v/>
      </c>
      <c r="X94">
        <f>IF(COUNTA($A94:$U94)=0,"",IF(OR($B94&lt;&gt;"",$O94&lt;&gt;""),"Dependent","Employee"))</f>
        <v/>
      </c>
      <c r="Y94">
        <f>IF(COUNTA($A94:$U94)=0,"",IF($A94="","Employee SSN is required; ","")&amp;IF($C94="","First Name is required; ","")&amp;IF(LEN($C94&amp;"")&gt;19,"First Name exceeds 19 characters; ","")&amp;IF(AND($C94&lt;&gt;"",SUMPRODUCT(--(ROW($1:$19)&lt;=LEN($C94&amp;"")),--ISERROR(FIND(MID($C94&amp;"",ROW($1:$19),1),"ABCDEFGHIJKLMNOPQRSTUVWXYZabcdefghijklmnopqrstuvwxyz .,")))&gt;0),"First Name contains unsupported or encoded characters; use plain A-Z letters only; ","")&amp;IF($D94="","Last Name is required; ","")&amp;IF(LEN($D94&amp;"")&gt;26,"Last Name exceeds 26 characters; ","")&amp;IF(AND($D94&lt;&gt;"",SUMPRODUCT(--(ROW($1:$26)&lt;=LEN($D94&amp;"")),--ISERROR(FIND(MID($D94&amp;"",ROW($1:$26),1),"ABCDEFGHIJKLMNOPQRSTUVWXYZabcdefghijklmnopqrstuvwxyz .,")))&gt;0),"Last Name contains unsupported or encoded characters; use plain A-Z letters only; ","")&amp;IF(LEN($E94&amp;"")&gt;1,"Middle Initial may contain only one character; ","")&amp;IF(AND($E94&lt;&gt;"",SUMPRODUCT(--(ROW($1:$1)&lt;=LEN($E94&amp;"")),--ISERROR(FIND(MID($E94&amp;"",ROW($1:$1),1),"ABCDEFGHIJKLMNOPQRSTUVWXYZabcdefghijklmnopqrstuvwxyz .,")))&gt;0),"Middle Initial must be a plain A-Z letter; ","")&amp;IF($F94="","Address is required; ","")&amp;IF(LEN($F94&amp;"")&gt;75,"Address exceeds 75 characters; ","")&amp;IF(LEN($G94&amp;"")&gt;75,"Address 2 exceeds 75 characters; ","")&amp;IF($H94="","City is required; ","")&amp;IF(LEN($H94&amp;"")&gt;30,"City exceeds 30 characters; ","")&amp;IF($K94="","Country is required; ","")&amp;IF(AND($K94&lt;&gt;"",$K94&lt;&gt;"US",$K94&lt;&gt;"CA"),"Country must be US or CA; ","")&amp;IF(AND($K94="US",OR($I94="",LEN($I94&amp;"")&lt;&gt;2)),"Use a 2-letter state code; ","")&amp;IF($J94="","ZIP or postal code is required; ","")&amp;IF(AND($K94="US",$J94&lt;&gt;"",NOT(IFERROR(OR(AND(LEN($J94&amp;"")=5,ISNUMBER(--($J94&amp;""))),AND(LEN($J94&amp;"")=9,ISNUMBER(--($J94&amp;""))),AND(LEN($J94&amp;"")=10,MID($J94&amp;"",6,1)="-",ISNUMBER(--SUBSTITUTE($J94&amp;"","-","")))),FALSE))),"US ZIP must be 5 or 9 digits, with an optional ZIP+4 hyphen; ","")&amp;IF(AND($N94&lt;&gt;"",NOT(IFERROR(AND(ISNUMBER(SEARCH("@",$N94)),ISNUMBER(SEARCH(".",$N94,SEARCH("@",$N94)+2))),FALSE))),"Email format appears invalid; ","")&amp;IF(AND($O94&lt;&gt;"",$B94=""),"Dependent SSN is required for every dependent; ","")&amp;IF(AND($B94&lt;&gt;"",$O94=""),"Dependent Relationship is required when Dependent SSN is entered; ","")&amp;IF(AND($O94&lt;&gt;"",$O94&lt;&gt;"Spouse or Common Law Spouse",$O94&lt;&gt;"Domestic Partner",$O94&lt;&gt;"Child",$O94&lt;&gt;"Other",$O94&lt;&gt;"Estate",$O94&lt;&gt;"Unknown"),"Dependent Relationship must use one of the approved options; ",""))</f>
        <v/>
      </c>
      <c r="Z94">
        <f>IF(COUNTA($A94:$U94)=0,"",IF(AND($A94&lt;&gt;"",NOT(IFERROR(AND(LEN($A94&amp;"")=9,ISNUMBER(--($A94&amp;""))),FALSE))),"Employee SSN must contain exactly 9 digits; ","")&amp;IF(AND($A94&lt;&gt;"",OR($A94="123456789",$A94="987654321",$A94="012345678",$A94=REPT(LEFT($A94&amp;"",1),9))),"Employee SSN appears to be a placeholder; ","")&amp;IF(AND($B94&lt;&gt;"",NOT(IFERROR(AND(LEN($B94&amp;"")=9,ISNUMBER(--($B94&amp;""))),FALSE))),"Dependent SSN must contain exactly 9 digits; ","")&amp;IF(AND($B94&lt;&gt;"",OR($B94="123456789",$B94="987654321",$B94="012345678",$B94=REPT(LEFT($B94&amp;"",1),9))),"Dependent SSN appears to be a placeholder; ","")&amp;IF(AND($A94&lt;&gt;"",$B94&lt;&gt;"",$A94&amp;""=$B94&amp;""),"Dependent SSN cannot match Employee SSN; ","")&amp;IF(AND($W94&lt;&gt;"",OR(COUNTIFS($W$2:$W$501,$W94,$C$2:$C$501,"&lt;&gt;"&amp;$C94)&gt;0,COUNTIFS($W$2:$W$501,$W94,$D$2:$D$501,"&lt;&gt;"&amp;$D94)&gt;0,COUNTIFS($W$2:$W$501,$W94,$L$2:$L$501,"&lt;&gt;"&amp;$L94)&gt;0)),"The same SSN is associated with a different name or birthdate; ",""))</f>
        <v/>
      </c>
      <c r="AA94">
        <f>IF(COUNTA($A94:$U94)=0,"",IF(AND($A94&lt;&gt;"",$S94&lt;&gt;"",COUNTIFS($A$2:$A$501,$A94,$S$2:$S$501,$S94,$B$2:$B$501,"",$O$2:$O$501,"")=0),"Add an employee row for this household and plan; ","")&amp;IF(AND($X94="Dependent",COUNTIFS($A$2:$A94,$A94,$S$2:$S94,$S94,$B$2:$B94,"",$O$2:$O94,"")=0),"Place the employee row before dependent rows for this plan; ","")&amp;IF(AND($X94="Dependent",COUNTIFS($A$2:$A$501,$A94,$S$2:$S$501,$S94,$B$2:$B$501,"",$O$2:$O$501,"")&gt;0,IFERROR(OR($P94&lt;&gt;LOOKUP(2,1/(($A$2:$A$501=$A94)*($S$2:$S$501=$S94)*($B$2:$B$501="")*($O$2:$O$501="")),$P$2:$P$501),$Q94&lt;&gt;LOOKUP(2,1/(($A$2:$A$501=$A94)*($S$2:$S$501=$S94)*($B$2:$B$501="")*($O$2:$O$501="")),$Q$2:$Q$501),$R94&lt;&gt;LOOKUP(2,1/(($A$2:$A$501=$A94)*($S$2:$S$501=$S94)*($B$2:$B$501="")*($O$2:$O$501="")),$R$2:$R$501),$T94&lt;&gt;LOOKUP(2,1/(($A$2:$A$501=$A94)*($S$2:$S$501=$S94)*($B$2:$B$501="")*($O$2:$O$501="")),$T$2:$T$501),$U94&lt;&gt;LOOKUP(2,1/(($A$2:$A$501=$A94)*($S$2:$S$501=$S94)*($B$2:$B$501="")*($O$2:$O$501="")),$U$2:$U$501)),FALSE)),"Dependent row does not match the employee row for eligibility, status, coverage level, or funding; ",""))</f>
        <v/>
      </c>
      <c r="AB94">
        <f>IF(COUNTA($A94:$U94)=0,"",IF($L94="","Birthdate is required; ","")&amp;IF(AND($L94&lt;&gt;"",OR(NOT(ISNUMBER($L94)),$L94&lt;=DATE(1900,1,1),$L94&gt;TODAY())),"Birthdate must be an exact valid past date; ","")&amp;IF($P94="","Eligibility Date is required; ","")&amp;IF(AND($P94&lt;&gt;"",OR(NOT(ISNUMBER($P94)),$P94&lt;=DATE(1900,1,1))),"Eligibility Date must be a valid date; ","")&amp;IF(AND($R94="Terminated",$Q94=""),"Termination Date is required when Status is Terminated; ","")&amp;IF(AND($Q94&lt;&gt;"",OR(NOT(ISNUMBER($Q94)),$Q94&lt;=DATE(1900,1,1))),"Termination Date must be a valid date; ","")&amp;IF(AND(ISNUMBER($P94),ISNUMBER($Q94),$Q94&lt;$P94),"Termination Date cannot be before Eligibility Date; ","")&amp;IF($R94="","Status is required; ","")&amp;IF(AND($R94&lt;&gt;"",$R94&lt;&gt;"Active",$R94&lt;&gt;"Terminated"),"Status must be Active or Terminated; ","")&amp;IF(AND('START HERE'!$C$8="Terminations Only",$R94&lt;&gt;"Terminated"),"Terminations Only files must contain terminated records; ",""))</f>
        <v/>
      </c>
      <c r="AC94">
        <f>IF(COUNTA($A94:$U94)=0,"",IF($S94="","Plan Name is required; ","")&amp;IF($T94="","Benefit Coverage Level is required; ","")&amp;IF(AND($U94&lt;&gt;"",OR(NOT(ISNUMBER($U94)),$U94&lt;0)),"Plan Funding Amount must be a nonnegative number; ","")&amp;IF(AND($A94&lt;&gt;"",$S94&lt;&gt;"",COUNTIFS($A$2:$A$501,$A94,$B$2:$B$501,$B94,$S$2:$S$501,$S94)&gt;1),"Duplicate participant and plan row; ",""))</f>
        <v/>
      </c>
      <c r="AD94">
        <f>IF(COUNTA($A94:$U94)=0,"",IF(AND($X94="Employee",$M94="",$N94=""),"No employee phone or email provided; ","")&amp;IF(AND($R94="Active",$Q94&lt;&gt;""),"Active record includes a Termination Date; confirm this is intentional; ","")&amp;IF(AND($B94&lt;&gt;"",$B94&amp;""&lt;&gt;$A94&amp;"",COUNTIF($A$2:$A$501,$B94)&gt;0),"Dependent SSN also appears as an Employee SSN elsewhere; confirm dual-employee coverage is intentional; ","")&amp;IF(AND($B94&lt;&gt;"",COUNTIF($B$2:$B$501,$B94)&gt;COUNTIFS($A$2:$A$501,$A94,$B$2:$B$501,$B94)),"Dependent SSN appears under more than one employee; confirm duplicate family coverage is intentional; ","")&amp;IF(AND(ROW()&gt;2,$A94&lt;&gt;"",$A94&lt;&gt;$A93,COUNTIF($A$2:$A93,$A94)&gt;0),"This household appears in more than one section of the census; keep the family together; ","")&amp;IF(OR(AND($C94&lt;&gt;"",LEN($C94&amp;"")&lt;&gt;LEN(TRIM($C94&amp;""))),AND($D94&lt;&gt;"",LEN($D94&amp;"")&lt;&gt;LEN(TRIM($D94&amp;""))),AND($E94&lt;&gt;"",LEN($E94&amp;"")&lt;&gt;LEN(TRIM($E94&amp;""))),AND($F94&lt;&gt;"",LEN($F94&amp;"")&lt;&gt;LEN(TRIM($F94&amp;""))),AND($G94&lt;&gt;"",LEN($G94&amp;"")&lt;&gt;LEN(TRIM($G94&amp;""))),AND($H94&lt;&gt;"",LEN($H94&amp;"")&lt;&gt;LEN(TRIM($H94&amp;""))),AND($I94&lt;&gt;"",LEN($I94&amp;"")&lt;&gt;LEN(TRIM($I94&amp;""))),AND($J94&lt;&gt;"",LEN($J94&amp;"")&lt;&gt;LEN(TRIM($J94&amp;""))),AND($K94&lt;&gt;"",LEN($K94&amp;"")&lt;&gt;LEN(TRIM($K94&amp;""))),AND($M94&lt;&gt;"",LEN($M94&amp;"")&lt;&gt;LEN(TRIM($M94&amp;""))),AND($N94&lt;&gt;"",LEN($N94&amp;"")&lt;&gt;LEN(TRIM($N94&amp;""))),AND($O94&lt;&gt;"",LEN($O94&amp;"")&lt;&gt;LEN(TRIM($O94&amp;""))),AND($R94&lt;&gt;"",LEN($R94&amp;"")&lt;&gt;LEN(TRIM($R94&amp;""))),AND($S94&lt;&gt;"",LEN($S94&amp;"")&lt;&gt;LEN(TRIM($S94&amp;""))),AND($T94&lt;&gt;"",LEN($T94&amp;"")&lt;&gt;LEN(TRIM($T94&amp;"")))),"Remove leading or trailing spaces from text fields; ","")&amp;IF(OR(AND(LEN($C94)&gt;1,OR(EXACT($C94,UPPER($C94)),EXACT($C94,LOWER($C94)))),AND(LEN($D94)&gt;1,OR(EXACT($D94,UPPER($D94)),EXACT($D94,LOWER($D94)))),AND(LEN($H94)&gt;1,OR(EXACT($H94,UPPER($H94)),EXACT($H94,LOWER($H94))))),"Review capitalization in First Name, Last Name, or City; ","")&amp;IF(AND($N94&lt;&gt;"",NOT(EXACT($N94,LOWER($N94)))),"Email will be standardized to lowercase in the clean output; ","")&amp;IF(AND(OR('START HERE'!$C$8="Initial Enrollment",'START HERE'!$C$8="Open Enrollment"),$R94="Terminated"),"A terminated row is included in an initial or open enrollment file; confirm this is intentional; ",""))</f>
        <v/>
      </c>
      <c r="AE94">
        <f>IF(COUNTA($A94:$U94)=0,"",IF(OR($A94="",AND($A94&lt;&gt;"",NOT(IFERROR(AND(LEN($A94&amp;"")=9,ISNUMBER(--($A94&amp;""))),FALSE))),AND($A94&lt;&gt;"",OR($A94="123456789",$A94="987654321",$A94="012345678",$A94=REPT(LEFT($A94&amp;"",1),9)))),"Employee SSN, ","")&amp;IF(OR(AND($O94&lt;&gt;"",$B94=""),AND($B94&lt;&gt;"",OR(NOT(IFERROR(AND(LEN($B94&amp;"")=9,ISNUMBER(--($B94&amp;""))),FALSE)),$B94=$A94,$B94="123456789",$B94="987654321",$B94="012345678",$B94=REPT(LEFT($B94&amp;"",1),9)))),"Dependent SSN, ","")&amp;IF(OR($C94="",LEN($C94)&gt;19,AND($C94&lt;&gt;"",SUMPRODUCT(--(ROW($1:$19)&lt;=LEN($C94&amp;"")),--ISERROR(FIND(MID($C94&amp;"",ROW($1:$19),1),"ABCDEFGHIJKLMNOPQRSTUVWXYZabcdefghijklmnopqrstuvwxyz .,")))&gt;0)),"First Name, ","")&amp;IF(OR($D94="",LEN($D94)&gt;26,AND($D94&lt;&gt;"",SUMPRODUCT(--(ROW($1:$26)&lt;=LEN($D94&amp;"")),--ISERROR(FIND(MID($D94&amp;"",ROW($1:$26),1),"ABCDEFGHIJKLMNOPQRSTUVWXYZabcdefghijklmnopqrstuvwxyz .,")))&gt;0)),"Last Name, ","")&amp;IF(OR(LEN($E94)&gt;1,AND($E94&lt;&gt;"",SUMPRODUCT(--(ROW($1:$1)&lt;=LEN($E94&amp;"")),--ISERROR(FIND(MID($E94&amp;"",ROW($1:$1),1),"ABCDEFGHIJKLMNOPQRSTUVWXYZabcdefghijklmnopqrstuvwxyz .,")))&gt;0)),"Middle Initial, ","")&amp;IF(OR($F94="",LEN($F94)&gt;75),"Address, ","")&amp;IF(OR($H94="",LEN($H94)&gt;30),"City, ","")&amp;IF(AND($K94="US",OR($I94="",LEN($I94)&lt;&gt;2)),"State, ","")&amp;IF($J94="","ZIP, ","")&amp;IF(OR($K94="",AND($K94&lt;&gt;"US",$K94&lt;&gt;"CA")),"Country, ","")&amp;IF(OR($L94="",AND($L94&lt;&gt;"",OR(NOT(ISNUMBER($L94)),$L94&lt;=DATE(1900,1,1),$L94&gt;TODAY()))),"Birthdate, ","")&amp;IF(AND($N94&lt;&gt;"",NOT(IFERROR(AND(ISNUMBER(SEARCH("@",$N94)),ISNUMBER(SEARCH(".",$N94,SEARCH("@",$N94)+2))),FALSE))),"Email, ","")&amp;IF(OR(AND($B94&lt;&gt;"",$O94=""),AND($O94&lt;&gt;"",$O94&lt;&gt;"Spouse or Common Law Spouse",$O94&lt;&gt;"Domestic Partner",$O94&lt;&gt;"Child",$O94&lt;&gt;"Other",$O94&lt;&gt;"Estate",$O94&lt;&gt;"Unknown")),"Dependent Relationship, ","")&amp;IF($AA94&lt;&gt;"","Household, ","")&amp;IF(OR($P94="",AND($P94&lt;&gt;"",OR(NOT(ISNUMBER($P94)),$P94&lt;=DATE(1900,1,1)))),"Eligibility Date, ","")&amp;IF(OR(AND($R94="Terminated",$Q94=""),AND($Q94&lt;&gt;"",OR(NOT(ISNUMBER($Q94)),$Q94&lt;=DATE(1900,1,1))),AND(ISNUMBER($P94),ISNUMBER($Q94),$Q94&lt;$P94)),"Termination Date, ","")&amp;IF(OR($R94="",AND($R94&lt;&gt;"Active",$R94&lt;&gt;"Terminated"),AND('START HERE'!$C$8="Terminations Only",$R94&lt;&gt;"Terminated")),"Status, ","")&amp;IF($S94="","Plan Name, ","")&amp;IF($T94="","Coverage Level, ","")&amp;IF(AND($U94&lt;&gt;"",OR(NOT(ISNUMBER($U94)),$U94&lt;0)),"Funding, ","")&amp;IF(AND($A94&lt;&gt;"",$S94&lt;&gt;"",COUNTIFS($A$2:$A$501,$A94,$B$2:$B$501,$B94,$S$2:$S$501,$S94)&gt;1),"Duplicate Row, ",""))</f>
        <v/>
      </c>
      <c r="AF94">
        <f>IF(COUNTA($A94:$U94)=0,"",$Y94&amp;$Z94&amp;$AA94&amp;$AB94&amp;$AC94)</f>
        <v/>
      </c>
      <c r="AG94">
        <f>IF($N94="","",LOWER(TRIM($N94)))</f>
        <v/>
      </c>
      <c r="AH94">
        <f>IF($A94="","",COUNTIFS($A$2:$A$501,$A94,$AI$2:$AI$501,1))</f>
        <v/>
      </c>
      <c r="AI94">
        <f>IF(COUNTA($A94:$U94)=0,"",--($AF94&lt;&gt;""))</f>
        <v/>
      </c>
      <c r="AJ94">
        <f>IF(COUNTA($A94:$U94)=0,"",--($AD94&lt;&gt;""))</f>
        <v/>
      </c>
    </row>
    <row r="95" ht="20" customHeight="1">
      <c r="A95" s="80" t="n"/>
      <c r="B95" s="80" t="n"/>
      <c r="C95" s="81" t="n"/>
      <c r="D95" s="81" t="n"/>
      <c r="E95" s="80" t="n"/>
      <c r="F95" s="81" t="n"/>
      <c r="G95" s="81" t="n"/>
      <c r="H95" s="81" t="n"/>
      <c r="I95" s="80" t="n"/>
      <c r="J95" s="80" t="n"/>
      <c r="K95" s="80" t="n"/>
      <c r="L95" s="82" t="n"/>
      <c r="M95" s="80" t="n"/>
      <c r="N95" s="80" t="n"/>
      <c r="O95" s="80" t="n"/>
      <c r="P95" s="82" t="n"/>
      <c r="Q95" s="82" t="n"/>
      <c r="R95" s="80" t="n"/>
      <c r="S95" s="80" t="n"/>
      <c r="T95" s="80" t="n"/>
      <c r="U95" s="83" t="n"/>
      <c r="V95">
        <f>IF($A95="","",IF($A95=$A94,$V94,IF($V94="",0,1-$V94)))</f>
        <v/>
      </c>
      <c r="W95">
        <f>IF($B95&lt;&gt;"",$B95,$A95)</f>
        <v/>
      </c>
      <c r="X95">
        <f>IF(COUNTA($A95:$U95)=0,"",IF(OR($B95&lt;&gt;"",$O95&lt;&gt;""),"Dependent","Employee"))</f>
        <v/>
      </c>
      <c r="Y95">
        <f>IF(COUNTA($A95:$U95)=0,"",IF($A95="","Employee SSN is required; ","")&amp;IF($C95="","First Name is required; ","")&amp;IF(LEN($C95&amp;"")&gt;19,"First Name exceeds 19 characters; ","")&amp;IF(AND($C95&lt;&gt;"",SUMPRODUCT(--(ROW($1:$19)&lt;=LEN($C95&amp;"")),--ISERROR(FIND(MID($C95&amp;"",ROW($1:$19),1),"ABCDEFGHIJKLMNOPQRSTUVWXYZabcdefghijklmnopqrstuvwxyz .,")))&gt;0),"First Name contains unsupported or encoded characters; use plain A-Z letters only; ","")&amp;IF($D95="","Last Name is required; ","")&amp;IF(LEN($D95&amp;"")&gt;26,"Last Name exceeds 26 characters; ","")&amp;IF(AND($D95&lt;&gt;"",SUMPRODUCT(--(ROW($1:$26)&lt;=LEN($D95&amp;"")),--ISERROR(FIND(MID($D95&amp;"",ROW($1:$26),1),"ABCDEFGHIJKLMNOPQRSTUVWXYZabcdefghijklmnopqrstuvwxyz .,")))&gt;0),"Last Name contains unsupported or encoded characters; use plain A-Z letters only; ","")&amp;IF(LEN($E95&amp;"")&gt;1,"Middle Initial may contain only one character; ","")&amp;IF(AND($E95&lt;&gt;"",SUMPRODUCT(--(ROW($1:$1)&lt;=LEN($E95&amp;"")),--ISERROR(FIND(MID($E95&amp;"",ROW($1:$1),1),"ABCDEFGHIJKLMNOPQRSTUVWXYZabcdefghijklmnopqrstuvwxyz .,")))&gt;0),"Middle Initial must be a plain A-Z letter; ","")&amp;IF($F95="","Address is required; ","")&amp;IF(LEN($F95&amp;"")&gt;75,"Address exceeds 75 characters; ","")&amp;IF(LEN($G95&amp;"")&gt;75,"Address 2 exceeds 75 characters; ","")&amp;IF($H95="","City is required; ","")&amp;IF(LEN($H95&amp;"")&gt;30,"City exceeds 30 characters; ","")&amp;IF($K95="","Country is required; ","")&amp;IF(AND($K95&lt;&gt;"",$K95&lt;&gt;"US",$K95&lt;&gt;"CA"),"Country must be US or CA; ","")&amp;IF(AND($K95="US",OR($I95="",LEN($I95&amp;"")&lt;&gt;2)),"Use a 2-letter state code; ","")&amp;IF($J95="","ZIP or postal code is required; ","")&amp;IF(AND($K95="US",$J95&lt;&gt;"",NOT(IFERROR(OR(AND(LEN($J95&amp;"")=5,ISNUMBER(--($J95&amp;""))),AND(LEN($J95&amp;"")=9,ISNUMBER(--($J95&amp;""))),AND(LEN($J95&amp;"")=10,MID($J95&amp;"",6,1)="-",ISNUMBER(--SUBSTITUTE($J95&amp;"","-","")))),FALSE))),"US ZIP must be 5 or 9 digits, with an optional ZIP+4 hyphen; ","")&amp;IF(AND($N95&lt;&gt;"",NOT(IFERROR(AND(ISNUMBER(SEARCH("@",$N95)),ISNUMBER(SEARCH(".",$N95,SEARCH("@",$N95)+2))),FALSE))),"Email format appears invalid; ","")&amp;IF(AND($O95&lt;&gt;"",$B95=""),"Dependent SSN is required for every dependent; ","")&amp;IF(AND($B95&lt;&gt;"",$O95=""),"Dependent Relationship is required when Dependent SSN is entered; ","")&amp;IF(AND($O95&lt;&gt;"",$O95&lt;&gt;"Spouse or Common Law Spouse",$O95&lt;&gt;"Domestic Partner",$O95&lt;&gt;"Child",$O95&lt;&gt;"Other",$O95&lt;&gt;"Estate",$O95&lt;&gt;"Unknown"),"Dependent Relationship must use one of the approved options; ",""))</f>
        <v/>
      </c>
      <c r="Z95">
        <f>IF(COUNTA($A95:$U95)=0,"",IF(AND($A95&lt;&gt;"",NOT(IFERROR(AND(LEN($A95&amp;"")=9,ISNUMBER(--($A95&amp;""))),FALSE))),"Employee SSN must contain exactly 9 digits; ","")&amp;IF(AND($A95&lt;&gt;"",OR($A95="123456789",$A95="987654321",$A95="012345678",$A95=REPT(LEFT($A95&amp;"",1),9))),"Employee SSN appears to be a placeholder; ","")&amp;IF(AND($B95&lt;&gt;"",NOT(IFERROR(AND(LEN($B95&amp;"")=9,ISNUMBER(--($B95&amp;""))),FALSE))),"Dependent SSN must contain exactly 9 digits; ","")&amp;IF(AND($B95&lt;&gt;"",OR($B95="123456789",$B95="987654321",$B95="012345678",$B95=REPT(LEFT($B95&amp;"",1),9))),"Dependent SSN appears to be a placeholder; ","")&amp;IF(AND($A95&lt;&gt;"",$B95&lt;&gt;"",$A95&amp;""=$B95&amp;""),"Dependent SSN cannot match Employee SSN; ","")&amp;IF(AND($W95&lt;&gt;"",OR(COUNTIFS($W$2:$W$501,$W95,$C$2:$C$501,"&lt;&gt;"&amp;$C95)&gt;0,COUNTIFS($W$2:$W$501,$W95,$D$2:$D$501,"&lt;&gt;"&amp;$D95)&gt;0,COUNTIFS($W$2:$W$501,$W95,$L$2:$L$501,"&lt;&gt;"&amp;$L95)&gt;0)),"The same SSN is associated with a different name or birthdate; ",""))</f>
        <v/>
      </c>
      <c r="AA95">
        <f>IF(COUNTA($A95:$U95)=0,"",IF(AND($A95&lt;&gt;"",$S95&lt;&gt;"",COUNTIFS($A$2:$A$501,$A95,$S$2:$S$501,$S95,$B$2:$B$501,"",$O$2:$O$501,"")=0),"Add an employee row for this household and plan; ","")&amp;IF(AND($X95="Dependent",COUNTIFS($A$2:$A95,$A95,$S$2:$S95,$S95,$B$2:$B95,"",$O$2:$O95,"")=0),"Place the employee row before dependent rows for this plan; ","")&amp;IF(AND($X95="Dependent",COUNTIFS($A$2:$A$501,$A95,$S$2:$S$501,$S95,$B$2:$B$501,"",$O$2:$O$501,"")&gt;0,IFERROR(OR($P95&lt;&gt;LOOKUP(2,1/(($A$2:$A$501=$A95)*($S$2:$S$501=$S95)*($B$2:$B$501="")*($O$2:$O$501="")),$P$2:$P$501),$Q95&lt;&gt;LOOKUP(2,1/(($A$2:$A$501=$A95)*($S$2:$S$501=$S95)*($B$2:$B$501="")*($O$2:$O$501="")),$Q$2:$Q$501),$R95&lt;&gt;LOOKUP(2,1/(($A$2:$A$501=$A95)*($S$2:$S$501=$S95)*($B$2:$B$501="")*($O$2:$O$501="")),$R$2:$R$501),$T95&lt;&gt;LOOKUP(2,1/(($A$2:$A$501=$A95)*($S$2:$S$501=$S95)*($B$2:$B$501="")*($O$2:$O$501="")),$T$2:$T$501),$U95&lt;&gt;LOOKUP(2,1/(($A$2:$A$501=$A95)*($S$2:$S$501=$S95)*($B$2:$B$501="")*($O$2:$O$501="")),$U$2:$U$501)),FALSE)),"Dependent row does not match the employee row for eligibility, status, coverage level, or funding; ",""))</f>
        <v/>
      </c>
      <c r="AB95">
        <f>IF(COUNTA($A95:$U95)=0,"",IF($L95="","Birthdate is required; ","")&amp;IF(AND($L95&lt;&gt;"",OR(NOT(ISNUMBER($L95)),$L95&lt;=DATE(1900,1,1),$L95&gt;TODAY())),"Birthdate must be an exact valid past date; ","")&amp;IF($P95="","Eligibility Date is required; ","")&amp;IF(AND($P95&lt;&gt;"",OR(NOT(ISNUMBER($P95)),$P95&lt;=DATE(1900,1,1))),"Eligibility Date must be a valid date; ","")&amp;IF(AND($R95="Terminated",$Q95=""),"Termination Date is required when Status is Terminated; ","")&amp;IF(AND($Q95&lt;&gt;"",OR(NOT(ISNUMBER($Q95)),$Q95&lt;=DATE(1900,1,1))),"Termination Date must be a valid date; ","")&amp;IF(AND(ISNUMBER($P95),ISNUMBER($Q95),$Q95&lt;$P95),"Termination Date cannot be before Eligibility Date; ","")&amp;IF($R95="","Status is required; ","")&amp;IF(AND($R95&lt;&gt;"",$R95&lt;&gt;"Active",$R95&lt;&gt;"Terminated"),"Status must be Active or Terminated; ","")&amp;IF(AND('START HERE'!$C$8="Terminations Only",$R95&lt;&gt;"Terminated"),"Terminations Only files must contain terminated records; ",""))</f>
        <v/>
      </c>
      <c r="AC95">
        <f>IF(COUNTA($A95:$U95)=0,"",IF($S95="","Plan Name is required; ","")&amp;IF($T95="","Benefit Coverage Level is required; ","")&amp;IF(AND($U95&lt;&gt;"",OR(NOT(ISNUMBER($U95)),$U95&lt;0)),"Plan Funding Amount must be a nonnegative number; ","")&amp;IF(AND($A95&lt;&gt;"",$S95&lt;&gt;"",COUNTIFS($A$2:$A$501,$A95,$B$2:$B$501,$B95,$S$2:$S$501,$S95)&gt;1),"Duplicate participant and plan row; ",""))</f>
        <v/>
      </c>
      <c r="AD95">
        <f>IF(COUNTA($A95:$U95)=0,"",IF(AND($X95="Employee",$M95="",$N95=""),"No employee phone or email provided; ","")&amp;IF(AND($R95="Active",$Q95&lt;&gt;""),"Active record includes a Termination Date; confirm this is intentional; ","")&amp;IF(AND($B95&lt;&gt;"",$B95&amp;""&lt;&gt;$A95&amp;"",COUNTIF($A$2:$A$501,$B95)&gt;0),"Dependent SSN also appears as an Employee SSN elsewhere; confirm dual-employee coverage is intentional; ","")&amp;IF(AND($B95&lt;&gt;"",COUNTIF($B$2:$B$501,$B95)&gt;COUNTIFS($A$2:$A$501,$A95,$B$2:$B$501,$B95)),"Dependent SSN appears under more than one employee; confirm duplicate family coverage is intentional; ","")&amp;IF(AND(ROW()&gt;2,$A95&lt;&gt;"",$A95&lt;&gt;$A94,COUNTIF($A$2:$A94,$A95)&gt;0),"This household appears in more than one section of the census; keep the family together; ","")&amp;IF(OR(AND($C95&lt;&gt;"",LEN($C95&amp;"")&lt;&gt;LEN(TRIM($C95&amp;""))),AND($D95&lt;&gt;"",LEN($D95&amp;"")&lt;&gt;LEN(TRIM($D95&amp;""))),AND($E95&lt;&gt;"",LEN($E95&amp;"")&lt;&gt;LEN(TRIM($E95&amp;""))),AND($F95&lt;&gt;"",LEN($F95&amp;"")&lt;&gt;LEN(TRIM($F95&amp;""))),AND($G95&lt;&gt;"",LEN($G95&amp;"")&lt;&gt;LEN(TRIM($G95&amp;""))),AND($H95&lt;&gt;"",LEN($H95&amp;"")&lt;&gt;LEN(TRIM($H95&amp;""))),AND($I95&lt;&gt;"",LEN($I95&amp;"")&lt;&gt;LEN(TRIM($I95&amp;""))),AND($J95&lt;&gt;"",LEN($J95&amp;"")&lt;&gt;LEN(TRIM($J95&amp;""))),AND($K95&lt;&gt;"",LEN($K95&amp;"")&lt;&gt;LEN(TRIM($K95&amp;""))),AND($M95&lt;&gt;"",LEN($M95&amp;"")&lt;&gt;LEN(TRIM($M95&amp;""))),AND($N95&lt;&gt;"",LEN($N95&amp;"")&lt;&gt;LEN(TRIM($N95&amp;""))),AND($O95&lt;&gt;"",LEN($O95&amp;"")&lt;&gt;LEN(TRIM($O95&amp;""))),AND($R95&lt;&gt;"",LEN($R95&amp;"")&lt;&gt;LEN(TRIM($R95&amp;""))),AND($S95&lt;&gt;"",LEN($S95&amp;"")&lt;&gt;LEN(TRIM($S95&amp;""))),AND($T95&lt;&gt;"",LEN($T95&amp;"")&lt;&gt;LEN(TRIM($T95&amp;"")))),"Remove leading or trailing spaces from text fields; ","")&amp;IF(OR(AND(LEN($C95)&gt;1,OR(EXACT($C95,UPPER($C95)),EXACT($C95,LOWER($C95)))),AND(LEN($D95)&gt;1,OR(EXACT($D95,UPPER($D95)),EXACT($D95,LOWER($D95)))),AND(LEN($H95)&gt;1,OR(EXACT($H95,UPPER($H95)),EXACT($H95,LOWER($H95))))),"Review capitalization in First Name, Last Name, or City; ","")&amp;IF(AND($N95&lt;&gt;"",NOT(EXACT($N95,LOWER($N95)))),"Email will be standardized to lowercase in the clean output; ","")&amp;IF(AND(OR('START HERE'!$C$8="Initial Enrollment",'START HERE'!$C$8="Open Enrollment"),$R95="Terminated"),"A terminated row is included in an initial or open enrollment file; confirm this is intentional; ",""))</f>
        <v/>
      </c>
      <c r="AE95">
        <f>IF(COUNTA($A95:$U95)=0,"",IF(OR($A95="",AND($A95&lt;&gt;"",NOT(IFERROR(AND(LEN($A95&amp;"")=9,ISNUMBER(--($A95&amp;""))),FALSE))),AND($A95&lt;&gt;"",OR($A95="123456789",$A95="987654321",$A95="012345678",$A95=REPT(LEFT($A95&amp;"",1),9)))),"Employee SSN, ","")&amp;IF(OR(AND($O95&lt;&gt;"",$B95=""),AND($B95&lt;&gt;"",OR(NOT(IFERROR(AND(LEN($B95&amp;"")=9,ISNUMBER(--($B95&amp;""))),FALSE)),$B95=$A95,$B95="123456789",$B95="987654321",$B95="012345678",$B95=REPT(LEFT($B95&amp;"",1),9)))),"Dependent SSN, ","")&amp;IF(OR($C95="",LEN($C95)&gt;19,AND($C95&lt;&gt;"",SUMPRODUCT(--(ROW($1:$19)&lt;=LEN($C95&amp;"")),--ISERROR(FIND(MID($C95&amp;"",ROW($1:$19),1),"ABCDEFGHIJKLMNOPQRSTUVWXYZabcdefghijklmnopqrstuvwxyz .,")))&gt;0)),"First Name, ","")&amp;IF(OR($D95="",LEN($D95)&gt;26,AND($D95&lt;&gt;"",SUMPRODUCT(--(ROW($1:$26)&lt;=LEN($D95&amp;"")),--ISERROR(FIND(MID($D95&amp;"",ROW($1:$26),1),"ABCDEFGHIJKLMNOPQRSTUVWXYZabcdefghijklmnopqrstuvwxyz .,")))&gt;0)),"Last Name, ","")&amp;IF(OR(LEN($E95)&gt;1,AND($E95&lt;&gt;"",SUMPRODUCT(--(ROW($1:$1)&lt;=LEN($E95&amp;"")),--ISERROR(FIND(MID($E95&amp;"",ROW($1:$1),1),"ABCDEFGHIJKLMNOPQRSTUVWXYZabcdefghijklmnopqrstuvwxyz .,")))&gt;0)),"Middle Initial, ","")&amp;IF(OR($F95="",LEN($F95)&gt;75),"Address, ","")&amp;IF(OR($H95="",LEN($H95)&gt;30),"City, ","")&amp;IF(AND($K95="US",OR($I95="",LEN($I95)&lt;&gt;2)),"State, ","")&amp;IF($J95="","ZIP, ","")&amp;IF(OR($K95="",AND($K95&lt;&gt;"US",$K95&lt;&gt;"CA")),"Country, ","")&amp;IF(OR($L95="",AND($L95&lt;&gt;"",OR(NOT(ISNUMBER($L95)),$L95&lt;=DATE(1900,1,1),$L95&gt;TODAY()))),"Birthdate, ","")&amp;IF(AND($N95&lt;&gt;"",NOT(IFERROR(AND(ISNUMBER(SEARCH("@",$N95)),ISNUMBER(SEARCH(".",$N95,SEARCH("@",$N95)+2))),FALSE))),"Email, ","")&amp;IF(OR(AND($B95&lt;&gt;"",$O95=""),AND($O95&lt;&gt;"",$O95&lt;&gt;"Spouse or Common Law Spouse",$O95&lt;&gt;"Domestic Partner",$O95&lt;&gt;"Child",$O95&lt;&gt;"Other",$O95&lt;&gt;"Estate",$O95&lt;&gt;"Unknown")),"Dependent Relationship, ","")&amp;IF($AA95&lt;&gt;"","Household, ","")&amp;IF(OR($P95="",AND($P95&lt;&gt;"",OR(NOT(ISNUMBER($P95)),$P95&lt;=DATE(1900,1,1)))),"Eligibility Date, ","")&amp;IF(OR(AND($R95="Terminated",$Q95=""),AND($Q95&lt;&gt;"",OR(NOT(ISNUMBER($Q95)),$Q95&lt;=DATE(1900,1,1))),AND(ISNUMBER($P95),ISNUMBER($Q95),$Q95&lt;$P95)),"Termination Date, ","")&amp;IF(OR($R95="",AND($R95&lt;&gt;"Active",$R95&lt;&gt;"Terminated"),AND('START HERE'!$C$8="Terminations Only",$R95&lt;&gt;"Terminated")),"Status, ","")&amp;IF($S95="","Plan Name, ","")&amp;IF($T95="","Coverage Level, ","")&amp;IF(AND($U95&lt;&gt;"",OR(NOT(ISNUMBER($U95)),$U95&lt;0)),"Funding, ","")&amp;IF(AND($A95&lt;&gt;"",$S95&lt;&gt;"",COUNTIFS($A$2:$A$501,$A95,$B$2:$B$501,$B95,$S$2:$S$501,$S95)&gt;1),"Duplicate Row, ",""))</f>
        <v/>
      </c>
      <c r="AF95">
        <f>IF(COUNTA($A95:$U95)=0,"",$Y95&amp;$Z95&amp;$AA95&amp;$AB95&amp;$AC95)</f>
        <v/>
      </c>
      <c r="AG95">
        <f>IF($N95="","",LOWER(TRIM($N95)))</f>
        <v/>
      </c>
      <c r="AH95">
        <f>IF($A95="","",COUNTIFS($A$2:$A$501,$A95,$AI$2:$AI$501,1))</f>
        <v/>
      </c>
      <c r="AI95">
        <f>IF(COUNTA($A95:$U95)=0,"",--($AF95&lt;&gt;""))</f>
        <v/>
      </c>
      <c r="AJ95">
        <f>IF(COUNTA($A95:$U95)=0,"",--($AD95&lt;&gt;""))</f>
        <v/>
      </c>
    </row>
    <row r="96" ht="20" customHeight="1">
      <c r="A96" s="80" t="n"/>
      <c r="B96" s="80" t="n"/>
      <c r="C96" s="81" t="n"/>
      <c r="D96" s="81" t="n"/>
      <c r="E96" s="80" t="n"/>
      <c r="F96" s="81" t="n"/>
      <c r="G96" s="81" t="n"/>
      <c r="H96" s="81" t="n"/>
      <c r="I96" s="80" t="n"/>
      <c r="J96" s="80" t="n"/>
      <c r="K96" s="80" t="n"/>
      <c r="L96" s="82" t="n"/>
      <c r="M96" s="80" t="n"/>
      <c r="N96" s="80" t="n"/>
      <c r="O96" s="80" t="n"/>
      <c r="P96" s="82" t="n"/>
      <c r="Q96" s="82" t="n"/>
      <c r="R96" s="80" t="n"/>
      <c r="S96" s="80" t="n"/>
      <c r="T96" s="80" t="n"/>
      <c r="U96" s="83" t="n"/>
      <c r="V96">
        <f>IF($A96="","",IF($A96=$A95,$V95,IF($V95="",0,1-$V95)))</f>
        <v/>
      </c>
      <c r="W96">
        <f>IF($B96&lt;&gt;"",$B96,$A96)</f>
        <v/>
      </c>
      <c r="X96">
        <f>IF(COUNTA($A96:$U96)=0,"",IF(OR($B96&lt;&gt;"",$O96&lt;&gt;""),"Dependent","Employee"))</f>
        <v/>
      </c>
      <c r="Y96">
        <f>IF(COUNTA($A96:$U96)=0,"",IF($A96="","Employee SSN is required; ","")&amp;IF($C96="","First Name is required; ","")&amp;IF(LEN($C96&amp;"")&gt;19,"First Name exceeds 19 characters; ","")&amp;IF(AND($C96&lt;&gt;"",SUMPRODUCT(--(ROW($1:$19)&lt;=LEN($C96&amp;"")),--ISERROR(FIND(MID($C96&amp;"",ROW($1:$19),1),"ABCDEFGHIJKLMNOPQRSTUVWXYZabcdefghijklmnopqrstuvwxyz .,")))&gt;0),"First Name contains unsupported or encoded characters; use plain A-Z letters only; ","")&amp;IF($D96="","Last Name is required; ","")&amp;IF(LEN($D96&amp;"")&gt;26,"Last Name exceeds 26 characters; ","")&amp;IF(AND($D96&lt;&gt;"",SUMPRODUCT(--(ROW($1:$26)&lt;=LEN($D96&amp;"")),--ISERROR(FIND(MID($D96&amp;"",ROW($1:$26),1),"ABCDEFGHIJKLMNOPQRSTUVWXYZabcdefghijklmnopqrstuvwxyz .,")))&gt;0),"Last Name contains unsupported or encoded characters; use plain A-Z letters only; ","")&amp;IF(LEN($E96&amp;"")&gt;1,"Middle Initial may contain only one character; ","")&amp;IF(AND($E96&lt;&gt;"",SUMPRODUCT(--(ROW($1:$1)&lt;=LEN($E96&amp;"")),--ISERROR(FIND(MID($E96&amp;"",ROW($1:$1),1),"ABCDEFGHIJKLMNOPQRSTUVWXYZabcdefghijklmnopqrstuvwxyz .,")))&gt;0),"Middle Initial must be a plain A-Z letter; ","")&amp;IF($F96="","Address is required; ","")&amp;IF(LEN($F96&amp;"")&gt;75,"Address exceeds 75 characters; ","")&amp;IF(LEN($G96&amp;"")&gt;75,"Address 2 exceeds 75 characters; ","")&amp;IF($H96="","City is required; ","")&amp;IF(LEN($H96&amp;"")&gt;30,"City exceeds 30 characters; ","")&amp;IF($K96="","Country is required; ","")&amp;IF(AND($K96&lt;&gt;"",$K96&lt;&gt;"US",$K96&lt;&gt;"CA"),"Country must be US or CA; ","")&amp;IF(AND($K96="US",OR($I96="",LEN($I96&amp;"")&lt;&gt;2)),"Use a 2-letter state code; ","")&amp;IF($J96="","ZIP or postal code is required; ","")&amp;IF(AND($K96="US",$J96&lt;&gt;"",NOT(IFERROR(OR(AND(LEN($J96&amp;"")=5,ISNUMBER(--($J96&amp;""))),AND(LEN($J96&amp;"")=9,ISNUMBER(--($J96&amp;""))),AND(LEN($J96&amp;"")=10,MID($J96&amp;"",6,1)="-",ISNUMBER(--SUBSTITUTE($J96&amp;"","-","")))),FALSE))),"US ZIP must be 5 or 9 digits, with an optional ZIP+4 hyphen; ","")&amp;IF(AND($N96&lt;&gt;"",NOT(IFERROR(AND(ISNUMBER(SEARCH("@",$N96)),ISNUMBER(SEARCH(".",$N96,SEARCH("@",$N96)+2))),FALSE))),"Email format appears invalid; ","")&amp;IF(AND($O96&lt;&gt;"",$B96=""),"Dependent SSN is required for every dependent; ","")&amp;IF(AND($B96&lt;&gt;"",$O96=""),"Dependent Relationship is required when Dependent SSN is entered; ","")&amp;IF(AND($O96&lt;&gt;"",$O96&lt;&gt;"Spouse or Common Law Spouse",$O96&lt;&gt;"Domestic Partner",$O96&lt;&gt;"Child",$O96&lt;&gt;"Other",$O96&lt;&gt;"Estate",$O96&lt;&gt;"Unknown"),"Dependent Relationship must use one of the approved options; ",""))</f>
        <v/>
      </c>
      <c r="Z96">
        <f>IF(COUNTA($A96:$U96)=0,"",IF(AND($A96&lt;&gt;"",NOT(IFERROR(AND(LEN($A96&amp;"")=9,ISNUMBER(--($A96&amp;""))),FALSE))),"Employee SSN must contain exactly 9 digits; ","")&amp;IF(AND($A96&lt;&gt;"",OR($A96="123456789",$A96="987654321",$A96="012345678",$A96=REPT(LEFT($A96&amp;"",1),9))),"Employee SSN appears to be a placeholder; ","")&amp;IF(AND($B96&lt;&gt;"",NOT(IFERROR(AND(LEN($B96&amp;"")=9,ISNUMBER(--($B96&amp;""))),FALSE))),"Dependent SSN must contain exactly 9 digits; ","")&amp;IF(AND($B96&lt;&gt;"",OR($B96="123456789",$B96="987654321",$B96="012345678",$B96=REPT(LEFT($B96&amp;"",1),9))),"Dependent SSN appears to be a placeholder; ","")&amp;IF(AND($A96&lt;&gt;"",$B96&lt;&gt;"",$A96&amp;""=$B96&amp;""),"Dependent SSN cannot match Employee SSN; ","")&amp;IF(AND($W96&lt;&gt;"",OR(COUNTIFS($W$2:$W$501,$W96,$C$2:$C$501,"&lt;&gt;"&amp;$C96)&gt;0,COUNTIFS($W$2:$W$501,$W96,$D$2:$D$501,"&lt;&gt;"&amp;$D96)&gt;0,COUNTIFS($W$2:$W$501,$W96,$L$2:$L$501,"&lt;&gt;"&amp;$L96)&gt;0)),"The same SSN is associated with a different name or birthdate; ",""))</f>
        <v/>
      </c>
      <c r="AA96">
        <f>IF(COUNTA($A96:$U96)=0,"",IF(AND($A96&lt;&gt;"",$S96&lt;&gt;"",COUNTIFS($A$2:$A$501,$A96,$S$2:$S$501,$S96,$B$2:$B$501,"",$O$2:$O$501,"")=0),"Add an employee row for this household and plan; ","")&amp;IF(AND($X96="Dependent",COUNTIFS($A$2:$A96,$A96,$S$2:$S96,$S96,$B$2:$B96,"",$O$2:$O96,"")=0),"Place the employee row before dependent rows for this plan; ","")&amp;IF(AND($X96="Dependent",COUNTIFS($A$2:$A$501,$A96,$S$2:$S$501,$S96,$B$2:$B$501,"",$O$2:$O$501,"")&gt;0,IFERROR(OR($P96&lt;&gt;LOOKUP(2,1/(($A$2:$A$501=$A96)*($S$2:$S$501=$S96)*($B$2:$B$501="")*($O$2:$O$501="")),$P$2:$P$501),$Q96&lt;&gt;LOOKUP(2,1/(($A$2:$A$501=$A96)*($S$2:$S$501=$S96)*($B$2:$B$501="")*($O$2:$O$501="")),$Q$2:$Q$501),$R96&lt;&gt;LOOKUP(2,1/(($A$2:$A$501=$A96)*($S$2:$S$501=$S96)*($B$2:$B$501="")*($O$2:$O$501="")),$R$2:$R$501),$T96&lt;&gt;LOOKUP(2,1/(($A$2:$A$501=$A96)*($S$2:$S$501=$S96)*($B$2:$B$501="")*($O$2:$O$501="")),$T$2:$T$501),$U96&lt;&gt;LOOKUP(2,1/(($A$2:$A$501=$A96)*($S$2:$S$501=$S96)*($B$2:$B$501="")*($O$2:$O$501="")),$U$2:$U$501)),FALSE)),"Dependent row does not match the employee row for eligibility, status, coverage level, or funding; ",""))</f>
        <v/>
      </c>
      <c r="AB96">
        <f>IF(COUNTA($A96:$U96)=0,"",IF($L96="","Birthdate is required; ","")&amp;IF(AND($L96&lt;&gt;"",OR(NOT(ISNUMBER($L96)),$L96&lt;=DATE(1900,1,1),$L96&gt;TODAY())),"Birthdate must be an exact valid past date; ","")&amp;IF($P96="","Eligibility Date is required; ","")&amp;IF(AND($P96&lt;&gt;"",OR(NOT(ISNUMBER($P96)),$P96&lt;=DATE(1900,1,1))),"Eligibility Date must be a valid date; ","")&amp;IF(AND($R96="Terminated",$Q96=""),"Termination Date is required when Status is Terminated; ","")&amp;IF(AND($Q96&lt;&gt;"",OR(NOT(ISNUMBER($Q96)),$Q96&lt;=DATE(1900,1,1))),"Termination Date must be a valid date; ","")&amp;IF(AND(ISNUMBER($P96),ISNUMBER($Q96),$Q96&lt;$P96),"Termination Date cannot be before Eligibility Date; ","")&amp;IF($R96="","Status is required; ","")&amp;IF(AND($R96&lt;&gt;"",$R96&lt;&gt;"Active",$R96&lt;&gt;"Terminated"),"Status must be Active or Terminated; ","")&amp;IF(AND('START HERE'!$C$8="Terminations Only",$R96&lt;&gt;"Terminated"),"Terminations Only files must contain terminated records; ",""))</f>
        <v/>
      </c>
      <c r="AC96">
        <f>IF(COUNTA($A96:$U96)=0,"",IF($S96="","Plan Name is required; ","")&amp;IF($T96="","Benefit Coverage Level is required; ","")&amp;IF(AND($U96&lt;&gt;"",OR(NOT(ISNUMBER($U96)),$U96&lt;0)),"Plan Funding Amount must be a nonnegative number; ","")&amp;IF(AND($A96&lt;&gt;"",$S96&lt;&gt;"",COUNTIFS($A$2:$A$501,$A96,$B$2:$B$501,$B96,$S$2:$S$501,$S96)&gt;1),"Duplicate participant and plan row; ",""))</f>
        <v/>
      </c>
      <c r="AD96">
        <f>IF(COUNTA($A96:$U96)=0,"",IF(AND($X96="Employee",$M96="",$N96=""),"No employee phone or email provided; ","")&amp;IF(AND($R96="Active",$Q96&lt;&gt;""),"Active record includes a Termination Date; confirm this is intentional; ","")&amp;IF(AND($B96&lt;&gt;"",$B96&amp;""&lt;&gt;$A96&amp;"",COUNTIF($A$2:$A$501,$B96)&gt;0),"Dependent SSN also appears as an Employee SSN elsewhere; confirm dual-employee coverage is intentional; ","")&amp;IF(AND($B96&lt;&gt;"",COUNTIF($B$2:$B$501,$B96)&gt;COUNTIFS($A$2:$A$501,$A96,$B$2:$B$501,$B96)),"Dependent SSN appears under more than one employee; confirm duplicate family coverage is intentional; ","")&amp;IF(AND(ROW()&gt;2,$A96&lt;&gt;"",$A96&lt;&gt;$A95,COUNTIF($A$2:$A95,$A96)&gt;0),"This household appears in more than one section of the census; keep the family together; ","")&amp;IF(OR(AND($C96&lt;&gt;"",LEN($C96&amp;"")&lt;&gt;LEN(TRIM($C96&amp;""))),AND($D96&lt;&gt;"",LEN($D96&amp;"")&lt;&gt;LEN(TRIM($D96&amp;""))),AND($E96&lt;&gt;"",LEN($E96&amp;"")&lt;&gt;LEN(TRIM($E96&amp;""))),AND($F96&lt;&gt;"",LEN($F96&amp;"")&lt;&gt;LEN(TRIM($F96&amp;""))),AND($G96&lt;&gt;"",LEN($G96&amp;"")&lt;&gt;LEN(TRIM($G96&amp;""))),AND($H96&lt;&gt;"",LEN($H96&amp;"")&lt;&gt;LEN(TRIM($H96&amp;""))),AND($I96&lt;&gt;"",LEN($I96&amp;"")&lt;&gt;LEN(TRIM($I96&amp;""))),AND($J96&lt;&gt;"",LEN($J96&amp;"")&lt;&gt;LEN(TRIM($J96&amp;""))),AND($K96&lt;&gt;"",LEN($K96&amp;"")&lt;&gt;LEN(TRIM($K96&amp;""))),AND($M96&lt;&gt;"",LEN($M96&amp;"")&lt;&gt;LEN(TRIM($M96&amp;""))),AND($N96&lt;&gt;"",LEN($N96&amp;"")&lt;&gt;LEN(TRIM($N96&amp;""))),AND($O96&lt;&gt;"",LEN($O96&amp;"")&lt;&gt;LEN(TRIM($O96&amp;""))),AND($R96&lt;&gt;"",LEN($R96&amp;"")&lt;&gt;LEN(TRIM($R96&amp;""))),AND($S96&lt;&gt;"",LEN($S96&amp;"")&lt;&gt;LEN(TRIM($S96&amp;""))),AND($T96&lt;&gt;"",LEN($T96&amp;"")&lt;&gt;LEN(TRIM($T96&amp;"")))),"Remove leading or trailing spaces from text fields; ","")&amp;IF(OR(AND(LEN($C96)&gt;1,OR(EXACT($C96,UPPER($C96)),EXACT($C96,LOWER($C96)))),AND(LEN($D96)&gt;1,OR(EXACT($D96,UPPER($D96)),EXACT($D96,LOWER($D96)))),AND(LEN($H96)&gt;1,OR(EXACT($H96,UPPER($H96)),EXACT($H96,LOWER($H96))))),"Review capitalization in First Name, Last Name, or City; ","")&amp;IF(AND($N96&lt;&gt;"",NOT(EXACT($N96,LOWER($N96)))),"Email will be standardized to lowercase in the clean output; ","")&amp;IF(AND(OR('START HERE'!$C$8="Initial Enrollment",'START HERE'!$C$8="Open Enrollment"),$R96="Terminated"),"A terminated row is included in an initial or open enrollment file; confirm this is intentional; ",""))</f>
        <v/>
      </c>
      <c r="AE96">
        <f>IF(COUNTA($A96:$U96)=0,"",IF(OR($A96="",AND($A96&lt;&gt;"",NOT(IFERROR(AND(LEN($A96&amp;"")=9,ISNUMBER(--($A96&amp;""))),FALSE))),AND($A96&lt;&gt;"",OR($A96="123456789",$A96="987654321",$A96="012345678",$A96=REPT(LEFT($A96&amp;"",1),9)))),"Employee SSN, ","")&amp;IF(OR(AND($O96&lt;&gt;"",$B96=""),AND($B96&lt;&gt;"",OR(NOT(IFERROR(AND(LEN($B96&amp;"")=9,ISNUMBER(--($B96&amp;""))),FALSE)),$B96=$A96,$B96="123456789",$B96="987654321",$B96="012345678",$B96=REPT(LEFT($B96&amp;"",1),9)))),"Dependent SSN, ","")&amp;IF(OR($C96="",LEN($C96)&gt;19,AND($C96&lt;&gt;"",SUMPRODUCT(--(ROW($1:$19)&lt;=LEN($C96&amp;"")),--ISERROR(FIND(MID($C96&amp;"",ROW($1:$19),1),"ABCDEFGHIJKLMNOPQRSTUVWXYZabcdefghijklmnopqrstuvwxyz .,")))&gt;0)),"First Name, ","")&amp;IF(OR($D96="",LEN($D96)&gt;26,AND($D96&lt;&gt;"",SUMPRODUCT(--(ROW($1:$26)&lt;=LEN($D96&amp;"")),--ISERROR(FIND(MID($D96&amp;"",ROW($1:$26),1),"ABCDEFGHIJKLMNOPQRSTUVWXYZabcdefghijklmnopqrstuvwxyz .,")))&gt;0)),"Last Name, ","")&amp;IF(OR(LEN($E96)&gt;1,AND($E96&lt;&gt;"",SUMPRODUCT(--(ROW($1:$1)&lt;=LEN($E96&amp;"")),--ISERROR(FIND(MID($E96&amp;"",ROW($1:$1),1),"ABCDEFGHIJKLMNOPQRSTUVWXYZabcdefghijklmnopqrstuvwxyz .,")))&gt;0)),"Middle Initial, ","")&amp;IF(OR($F96="",LEN($F96)&gt;75),"Address, ","")&amp;IF(OR($H96="",LEN($H96)&gt;30),"City, ","")&amp;IF(AND($K96="US",OR($I96="",LEN($I96)&lt;&gt;2)),"State, ","")&amp;IF($J96="","ZIP, ","")&amp;IF(OR($K96="",AND($K96&lt;&gt;"US",$K96&lt;&gt;"CA")),"Country, ","")&amp;IF(OR($L96="",AND($L96&lt;&gt;"",OR(NOT(ISNUMBER($L96)),$L96&lt;=DATE(1900,1,1),$L96&gt;TODAY()))),"Birthdate, ","")&amp;IF(AND($N96&lt;&gt;"",NOT(IFERROR(AND(ISNUMBER(SEARCH("@",$N96)),ISNUMBER(SEARCH(".",$N96,SEARCH("@",$N96)+2))),FALSE))),"Email, ","")&amp;IF(OR(AND($B96&lt;&gt;"",$O96=""),AND($O96&lt;&gt;"",$O96&lt;&gt;"Spouse or Common Law Spouse",$O96&lt;&gt;"Domestic Partner",$O96&lt;&gt;"Child",$O96&lt;&gt;"Other",$O96&lt;&gt;"Estate",$O96&lt;&gt;"Unknown")),"Dependent Relationship, ","")&amp;IF($AA96&lt;&gt;"","Household, ","")&amp;IF(OR($P96="",AND($P96&lt;&gt;"",OR(NOT(ISNUMBER($P96)),$P96&lt;=DATE(1900,1,1)))),"Eligibility Date, ","")&amp;IF(OR(AND($R96="Terminated",$Q96=""),AND($Q96&lt;&gt;"",OR(NOT(ISNUMBER($Q96)),$Q96&lt;=DATE(1900,1,1))),AND(ISNUMBER($P96),ISNUMBER($Q96),$Q96&lt;$P96)),"Termination Date, ","")&amp;IF(OR($R96="",AND($R96&lt;&gt;"Active",$R96&lt;&gt;"Terminated"),AND('START HERE'!$C$8="Terminations Only",$R96&lt;&gt;"Terminated")),"Status, ","")&amp;IF($S96="","Plan Name, ","")&amp;IF($T96="","Coverage Level, ","")&amp;IF(AND($U96&lt;&gt;"",OR(NOT(ISNUMBER($U96)),$U96&lt;0)),"Funding, ","")&amp;IF(AND($A96&lt;&gt;"",$S96&lt;&gt;"",COUNTIFS($A$2:$A$501,$A96,$B$2:$B$501,$B96,$S$2:$S$501,$S96)&gt;1),"Duplicate Row, ",""))</f>
        <v/>
      </c>
      <c r="AF96">
        <f>IF(COUNTA($A96:$U96)=0,"",$Y96&amp;$Z96&amp;$AA96&amp;$AB96&amp;$AC96)</f>
        <v/>
      </c>
      <c r="AG96">
        <f>IF($N96="","",LOWER(TRIM($N96)))</f>
        <v/>
      </c>
      <c r="AH96">
        <f>IF($A96="","",COUNTIFS($A$2:$A$501,$A96,$AI$2:$AI$501,1))</f>
        <v/>
      </c>
      <c r="AI96">
        <f>IF(COUNTA($A96:$U96)=0,"",--($AF96&lt;&gt;""))</f>
        <v/>
      </c>
      <c r="AJ96">
        <f>IF(COUNTA($A96:$U96)=0,"",--($AD96&lt;&gt;""))</f>
        <v/>
      </c>
    </row>
    <row r="97" ht="20" customHeight="1">
      <c r="A97" s="80" t="n"/>
      <c r="B97" s="80" t="n"/>
      <c r="C97" s="81" t="n"/>
      <c r="D97" s="81" t="n"/>
      <c r="E97" s="80" t="n"/>
      <c r="F97" s="81" t="n"/>
      <c r="G97" s="81" t="n"/>
      <c r="H97" s="81" t="n"/>
      <c r="I97" s="80" t="n"/>
      <c r="J97" s="80" t="n"/>
      <c r="K97" s="80" t="n"/>
      <c r="L97" s="82" t="n"/>
      <c r="M97" s="80" t="n"/>
      <c r="N97" s="80" t="n"/>
      <c r="O97" s="80" t="n"/>
      <c r="P97" s="82" t="n"/>
      <c r="Q97" s="82" t="n"/>
      <c r="R97" s="80" t="n"/>
      <c r="S97" s="80" t="n"/>
      <c r="T97" s="80" t="n"/>
      <c r="U97" s="83" t="n"/>
      <c r="V97">
        <f>IF($A97="","",IF($A97=$A96,$V96,IF($V96="",0,1-$V96)))</f>
        <v/>
      </c>
      <c r="W97">
        <f>IF($B97&lt;&gt;"",$B97,$A97)</f>
        <v/>
      </c>
      <c r="X97">
        <f>IF(COUNTA($A97:$U97)=0,"",IF(OR($B97&lt;&gt;"",$O97&lt;&gt;""),"Dependent","Employee"))</f>
        <v/>
      </c>
      <c r="Y97">
        <f>IF(COUNTA($A97:$U97)=0,"",IF($A97="","Employee SSN is required; ","")&amp;IF($C97="","First Name is required; ","")&amp;IF(LEN($C97&amp;"")&gt;19,"First Name exceeds 19 characters; ","")&amp;IF(AND($C97&lt;&gt;"",SUMPRODUCT(--(ROW($1:$19)&lt;=LEN($C97&amp;"")),--ISERROR(FIND(MID($C97&amp;"",ROW($1:$19),1),"ABCDEFGHIJKLMNOPQRSTUVWXYZabcdefghijklmnopqrstuvwxyz .,")))&gt;0),"First Name contains unsupported or encoded characters; use plain A-Z letters only; ","")&amp;IF($D97="","Last Name is required; ","")&amp;IF(LEN($D97&amp;"")&gt;26,"Last Name exceeds 26 characters; ","")&amp;IF(AND($D97&lt;&gt;"",SUMPRODUCT(--(ROW($1:$26)&lt;=LEN($D97&amp;"")),--ISERROR(FIND(MID($D97&amp;"",ROW($1:$26),1),"ABCDEFGHIJKLMNOPQRSTUVWXYZabcdefghijklmnopqrstuvwxyz .,")))&gt;0),"Last Name contains unsupported or encoded characters; use plain A-Z letters only; ","")&amp;IF(LEN($E97&amp;"")&gt;1,"Middle Initial may contain only one character; ","")&amp;IF(AND($E97&lt;&gt;"",SUMPRODUCT(--(ROW($1:$1)&lt;=LEN($E97&amp;"")),--ISERROR(FIND(MID($E97&amp;"",ROW($1:$1),1),"ABCDEFGHIJKLMNOPQRSTUVWXYZabcdefghijklmnopqrstuvwxyz .,")))&gt;0),"Middle Initial must be a plain A-Z letter; ","")&amp;IF($F97="","Address is required; ","")&amp;IF(LEN($F97&amp;"")&gt;75,"Address exceeds 75 characters; ","")&amp;IF(LEN($G97&amp;"")&gt;75,"Address 2 exceeds 75 characters; ","")&amp;IF($H97="","City is required; ","")&amp;IF(LEN($H97&amp;"")&gt;30,"City exceeds 30 characters; ","")&amp;IF($K97="","Country is required; ","")&amp;IF(AND($K97&lt;&gt;"",$K97&lt;&gt;"US",$K97&lt;&gt;"CA"),"Country must be US or CA; ","")&amp;IF(AND($K97="US",OR($I97="",LEN($I97&amp;"")&lt;&gt;2)),"Use a 2-letter state code; ","")&amp;IF($J97="","ZIP or postal code is required; ","")&amp;IF(AND($K97="US",$J97&lt;&gt;"",NOT(IFERROR(OR(AND(LEN($J97&amp;"")=5,ISNUMBER(--($J97&amp;""))),AND(LEN($J97&amp;"")=9,ISNUMBER(--($J97&amp;""))),AND(LEN($J97&amp;"")=10,MID($J97&amp;"",6,1)="-",ISNUMBER(--SUBSTITUTE($J97&amp;"","-","")))),FALSE))),"US ZIP must be 5 or 9 digits, with an optional ZIP+4 hyphen; ","")&amp;IF(AND($N97&lt;&gt;"",NOT(IFERROR(AND(ISNUMBER(SEARCH("@",$N97)),ISNUMBER(SEARCH(".",$N97,SEARCH("@",$N97)+2))),FALSE))),"Email format appears invalid; ","")&amp;IF(AND($O97&lt;&gt;"",$B97=""),"Dependent SSN is required for every dependent; ","")&amp;IF(AND($B97&lt;&gt;"",$O97=""),"Dependent Relationship is required when Dependent SSN is entered; ","")&amp;IF(AND($O97&lt;&gt;"",$O97&lt;&gt;"Spouse or Common Law Spouse",$O97&lt;&gt;"Domestic Partner",$O97&lt;&gt;"Child",$O97&lt;&gt;"Other",$O97&lt;&gt;"Estate",$O97&lt;&gt;"Unknown"),"Dependent Relationship must use one of the approved options; ",""))</f>
        <v/>
      </c>
      <c r="Z97">
        <f>IF(COUNTA($A97:$U97)=0,"",IF(AND($A97&lt;&gt;"",NOT(IFERROR(AND(LEN($A97&amp;"")=9,ISNUMBER(--($A97&amp;""))),FALSE))),"Employee SSN must contain exactly 9 digits; ","")&amp;IF(AND($A97&lt;&gt;"",OR($A97="123456789",$A97="987654321",$A97="012345678",$A97=REPT(LEFT($A97&amp;"",1),9))),"Employee SSN appears to be a placeholder; ","")&amp;IF(AND($B97&lt;&gt;"",NOT(IFERROR(AND(LEN($B97&amp;"")=9,ISNUMBER(--($B97&amp;""))),FALSE))),"Dependent SSN must contain exactly 9 digits; ","")&amp;IF(AND($B97&lt;&gt;"",OR($B97="123456789",$B97="987654321",$B97="012345678",$B97=REPT(LEFT($B97&amp;"",1),9))),"Dependent SSN appears to be a placeholder; ","")&amp;IF(AND($A97&lt;&gt;"",$B97&lt;&gt;"",$A97&amp;""=$B97&amp;""),"Dependent SSN cannot match Employee SSN; ","")&amp;IF(AND($W97&lt;&gt;"",OR(COUNTIFS($W$2:$W$501,$W97,$C$2:$C$501,"&lt;&gt;"&amp;$C97)&gt;0,COUNTIFS($W$2:$W$501,$W97,$D$2:$D$501,"&lt;&gt;"&amp;$D97)&gt;0,COUNTIFS($W$2:$W$501,$W97,$L$2:$L$501,"&lt;&gt;"&amp;$L97)&gt;0)),"The same SSN is associated with a different name or birthdate; ",""))</f>
        <v/>
      </c>
      <c r="AA97">
        <f>IF(COUNTA($A97:$U97)=0,"",IF(AND($A97&lt;&gt;"",$S97&lt;&gt;"",COUNTIFS($A$2:$A$501,$A97,$S$2:$S$501,$S97,$B$2:$B$501,"",$O$2:$O$501,"")=0),"Add an employee row for this household and plan; ","")&amp;IF(AND($X97="Dependent",COUNTIFS($A$2:$A97,$A97,$S$2:$S97,$S97,$B$2:$B97,"",$O$2:$O97,"")=0),"Place the employee row before dependent rows for this plan; ","")&amp;IF(AND($X97="Dependent",COUNTIFS($A$2:$A$501,$A97,$S$2:$S$501,$S97,$B$2:$B$501,"",$O$2:$O$501,"")&gt;0,IFERROR(OR($P97&lt;&gt;LOOKUP(2,1/(($A$2:$A$501=$A97)*($S$2:$S$501=$S97)*($B$2:$B$501="")*($O$2:$O$501="")),$P$2:$P$501),$Q97&lt;&gt;LOOKUP(2,1/(($A$2:$A$501=$A97)*($S$2:$S$501=$S97)*($B$2:$B$501="")*($O$2:$O$501="")),$Q$2:$Q$501),$R97&lt;&gt;LOOKUP(2,1/(($A$2:$A$501=$A97)*($S$2:$S$501=$S97)*($B$2:$B$501="")*($O$2:$O$501="")),$R$2:$R$501),$T97&lt;&gt;LOOKUP(2,1/(($A$2:$A$501=$A97)*($S$2:$S$501=$S97)*($B$2:$B$501="")*($O$2:$O$501="")),$T$2:$T$501),$U97&lt;&gt;LOOKUP(2,1/(($A$2:$A$501=$A97)*($S$2:$S$501=$S97)*($B$2:$B$501="")*($O$2:$O$501="")),$U$2:$U$501)),FALSE)),"Dependent row does not match the employee row for eligibility, status, coverage level, or funding; ",""))</f>
        <v/>
      </c>
      <c r="AB97">
        <f>IF(COUNTA($A97:$U97)=0,"",IF($L97="","Birthdate is required; ","")&amp;IF(AND($L97&lt;&gt;"",OR(NOT(ISNUMBER($L97)),$L97&lt;=DATE(1900,1,1),$L97&gt;TODAY())),"Birthdate must be an exact valid past date; ","")&amp;IF($P97="","Eligibility Date is required; ","")&amp;IF(AND($P97&lt;&gt;"",OR(NOT(ISNUMBER($P97)),$P97&lt;=DATE(1900,1,1))),"Eligibility Date must be a valid date; ","")&amp;IF(AND($R97="Terminated",$Q97=""),"Termination Date is required when Status is Terminated; ","")&amp;IF(AND($Q97&lt;&gt;"",OR(NOT(ISNUMBER($Q97)),$Q97&lt;=DATE(1900,1,1))),"Termination Date must be a valid date; ","")&amp;IF(AND(ISNUMBER($P97),ISNUMBER($Q97),$Q97&lt;$P97),"Termination Date cannot be before Eligibility Date; ","")&amp;IF($R97="","Status is required; ","")&amp;IF(AND($R97&lt;&gt;"",$R97&lt;&gt;"Active",$R97&lt;&gt;"Terminated"),"Status must be Active or Terminated; ","")&amp;IF(AND('START HERE'!$C$8="Terminations Only",$R97&lt;&gt;"Terminated"),"Terminations Only files must contain terminated records; ",""))</f>
        <v/>
      </c>
      <c r="AC97">
        <f>IF(COUNTA($A97:$U97)=0,"",IF($S97="","Plan Name is required; ","")&amp;IF($T97="","Benefit Coverage Level is required; ","")&amp;IF(AND($U97&lt;&gt;"",OR(NOT(ISNUMBER($U97)),$U97&lt;0)),"Plan Funding Amount must be a nonnegative number; ","")&amp;IF(AND($A97&lt;&gt;"",$S97&lt;&gt;"",COUNTIFS($A$2:$A$501,$A97,$B$2:$B$501,$B97,$S$2:$S$501,$S97)&gt;1),"Duplicate participant and plan row; ",""))</f>
        <v/>
      </c>
      <c r="AD97">
        <f>IF(COUNTA($A97:$U97)=0,"",IF(AND($X97="Employee",$M97="",$N97=""),"No employee phone or email provided; ","")&amp;IF(AND($R97="Active",$Q97&lt;&gt;""),"Active record includes a Termination Date; confirm this is intentional; ","")&amp;IF(AND($B97&lt;&gt;"",$B97&amp;""&lt;&gt;$A97&amp;"",COUNTIF($A$2:$A$501,$B97)&gt;0),"Dependent SSN also appears as an Employee SSN elsewhere; confirm dual-employee coverage is intentional; ","")&amp;IF(AND($B97&lt;&gt;"",COUNTIF($B$2:$B$501,$B97)&gt;COUNTIFS($A$2:$A$501,$A97,$B$2:$B$501,$B97)),"Dependent SSN appears under more than one employee; confirm duplicate family coverage is intentional; ","")&amp;IF(AND(ROW()&gt;2,$A97&lt;&gt;"",$A97&lt;&gt;$A96,COUNTIF($A$2:$A96,$A97)&gt;0),"This household appears in more than one section of the census; keep the family together; ","")&amp;IF(OR(AND($C97&lt;&gt;"",LEN($C97&amp;"")&lt;&gt;LEN(TRIM($C97&amp;""))),AND($D97&lt;&gt;"",LEN($D97&amp;"")&lt;&gt;LEN(TRIM($D97&amp;""))),AND($E97&lt;&gt;"",LEN($E97&amp;"")&lt;&gt;LEN(TRIM($E97&amp;""))),AND($F97&lt;&gt;"",LEN($F97&amp;"")&lt;&gt;LEN(TRIM($F97&amp;""))),AND($G97&lt;&gt;"",LEN($G97&amp;"")&lt;&gt;LEN(TRIM($G97&amp;""))),AND($H97&lt;&gt;"",LEN($H97&amp;"")&lt;&gt;LEN(TRIM($H97&amp;""))),AND($I97&lt;&gt;"",LEN($I97&amp;"")&lt;&gt;LEN(TRIM($I97&amp;""))),AND($J97&lt;&gt;"",LEN($J97&amp;"")&lt;&gt;LEN(TRIM($J97&amp;""))),AND($K97&lt;&gt;"",LEN($K97&amp;"")&lt;&gt;LEN(TRIM($K97&amp;""))),AND($M97&lt;&gt;"",LEN($M97&amp;"")&lt;&gt;LEN(TRIM($M97&amp;""))),AND($N97&lt;&gt;"",LEN($N97&amp;"")&lt;&gt;LEN(TRIM($N97&amp;""))),AND($O97&lt;&gt;"",LEN($O97&amp;"")&lt;&gt;LEN(TRIM($O97&amp;""))),AND($R97&lt;&gt;"",LEN($R97&amp;"")&lt;&gt;LEN(TRIM($R97&amp;""))),AND($S97&lt;&gt;"",LEN($S97&amp;"")&lt;&gt;LEN(TRIM($S97&amp;""))),AND($T97&lt;&gt;"",LEN($T97&amp;"")&lt;&gt;LEN(TRIM($T97&amp;"")))),"Remove leading or trailing spaces from text fields; ","")&amp;IF(OR(AND(LEN($C97)&gt;1,OR(EXACT($C97,UPPER($C97)),EXACT($C97,LOWER($C97)))),AND(LEN($D97)&gt;1,OR(EXACT($D97,UPPER($D97)),EXACT($D97,LOWER($D97)))),AND(LEN($H97)&gt;1,OR(EXACT($H97,UPPER($H97)),EXACT($H97,LOWER($H97))))),"Review capitalization in First Name, Last Name, or City; ","")&amp;IF(AND($N97&lt;&gt;"",NOT(EXACT($N97,LOWER($N97)))),"Email will be standardized to lowercase in the clean output; ","")&amp;IF(AND(OR('START HERE'!$C$8="Initial Enrollment",'START HERE'!$C$8="Open Enrollment"),$R97="Terminated"),"A terminated row is included in an initial or open enrollment file; confirm this is intentional; ",""))</f>
        <v/>
      </c>
      <c r="AE97">
        <f>IF(COUNTA($A97:$U97)=0,"",IF(OR($A97="",AND($A97&lt;&gt;"",NOT(IFERROR(AND(LEN($A97&amp;"")=9,ISNUMBER(--($A97&amp;""))),FALSE))),AND($A97&lt;&gt;"",OR($A97="123456789",$A97="987654321",$A97="012345678",$A97=REPT(LEFT($A97&amp;"",1),9)))),"Employee SSN, ","")&amp;IF(OR(AND($O97&lt;&gt;"",$B97=""),AND($B97&lt;&gt;"",OR(NOT(IFERROR(AND(LEN($B97&amp;"")=9,ISNUMBER(--($B97&amp;""))),FALSE)),$B97=$A97,$B97="123456789",$B97="987654321",$B97="012345678",$B97=REPT(LEFT($B97&amp;"",1),9)))),"Dependent SSN, ","")&amp;IF(OR($C97="",LEN($C97)&gt;19,AND($C97&lt;&gt;"",SUMPRODUCT(--(ROW($1:$19)&lt;=LEN($C97&amp;"")),--ISERROR(FIND(MID($C97&amp;"",ROW($1:$19),1),"ABCDEFGHIJKLMNOPQRSTUVWXYZabcdefghijklmnopqrstuvwxyz .,")))&gt;0)),"First Name, ","")&amp;IF(OR($D97="",LEN($D97)&gt;26,AND($D97&lt;&gt;"",SUMPRODUCT(--(ROW($1:$26)&lt;=LEN($D97&amp;"")),--ISERROR(FIND(MID($D97&amp;"",ROW($1:$26),1),"ABCDEFGHIJKLMNOPQRSTUVWXYZabcdefghijklmnopqrstuvwxyz .,")))&gt;0)),"Last Name, ","")&amp;IF(OR(LEN($E97)&gt;1,AND($E97&lt;&gt;"",SUMPRODUCT(--(ROW($1:$1)&lt;=LEN($E97&amp;"")),--ISERROR(FIND(MID($E97&amp;"",ROW($1:$1),1),"ABCDEFGHIJKLMNOPQRSTUVWXYZabcdefghijklmnopqrstuvwxyz .,")))&gt;0)),"Middle Initial, ","")&amp;IF(OR($F97="",LEN($F97)&gt;75),"Address, ","")&amp;IF(OR($H97="",LEN($H97)&gt;30),"City, ","")&amp;IF(AND($K97="US",OR($I97="",LEN($I97)&lt;&gt;2)),"State, ","")&amp;IF($J97="","ZIP, ","")&amp;IF(OR($K97="",AND($K97&lt;&gt;"US",$K97&lt;&gt;"CA")),"Country, ","")&amp;IF(OR($L97="",AND($L97&lt;&gt;"",OR(NOT(ISNUMBER($L97)),$L97&lt;=DATE(1900,1,1),$L97&gt;TODAY()))),"Birthdate, ","")&amp;IF(AND($N97&lt;&gt;"",NOT(IFERROR(AND(ISNUMBER(SEARCH("@",$N97)),ISNUMBER(SEARCH(".",$N97,SEARCH("@",$N97)+2))),FALSE))),"Email, ","")&amp;IF(OR(AND($B97&lt;&gt;"",$O97=""),AND($O97&lt;&gt;"",$O97&lt;&gt;"Spouse or Common Law Spouse",$O97&lt;&gt;"Domestic Partner",$O97&lt;&gt;"Child",$O97&lt;&gt;"Other",$O97&lt;&gt;"Estate",$O97&lt;&gt;"Unknown")),"Dependent Relationship, ","")&amp;IF($AA97&lt;&gt;"","Household, ","")&amp;IF(OR($P97="",AND($P97&lt;&gt;"",OR(NOT(ISNUMBER($P97)),$P97&lt;=DATE(1900,1,1)))),"Eligibility Date, ","")&amp;IF(OR(AND($R97="Terminated",$Q97=""),AND($Q97&lt;&gt;"",OR(NOT(ISNUMBER($Q97)),$Q97&lt;=DATE(1900,1,1))),AND(ISNUMBER($P97),ISNUMBER($Q97),$Q97&lt;$P97)),"Termination Date, ","")&amp;IF(OR($R97="",AND($R97&lt;&gt;"Active",$R97&lt;&gt;"Terminated"),AND('START HERE'!$C$8="Terminations Only",$R97&lt;&gt;"Terminated")),"Status, ","")&amp;IF($S97="","Plan Name, ","")&amp;IF($T97="","Coverage Level, ","")&amp;IF(AND($U97&lt;&gt;"",OR(NOT(ISNUMBER($U97)),$U97&lt;0)),"Funding, ","")&amp;IF(AND($A97&lt;&gt;"",$S97&lt;&gt;"",COUNTIFS($A$2:$A$501,$A97,$B$2:$B$501,$B97,$S$2:$S$501,$S97)&gt;1),"Duplicate Row, ",""))</f>
        <v/>
      </c>
      <c r="AF97">
        <f>IF(COUNTA($A97:$U97)=0,"",$Y97&amp;$Z97&amp;$AA97&amp;$AB97&amp;$AC97)</f>
        <v/>
      </c>
      <c r="AG97">
        <f>IF($N97="","",LOWER(TRIM($N97)))</f>
        <v/>
      </c>
      <c r="AH97">
        <f>IF($A97="","",COUNTIFS($A$2:$A$501,$A97,$AI$2:$AI$501,1))</f>
        <v/>
      </c>
      <c r="AI97">
        <f>IF(COUNTA($A97:$U97)=0,"",--($AF97&lt;&gt;""))</f>
        <v/>
      </c>
      <c r="AJ97">
        <f>IF(COUNTA($A97:$U97)=0,"",--($AD97&lt;&gt;""))</f>
        <v/>
      </c>
    </row>
    <row r="98" ht="20" customHeight="1">
      <c r="A98" s="80" t="n"/>
      <c r="B98" s="80" t="n"/>
      <c r="C98" s="81" t="n"/>
      <c r="D98" s="81" t="n"/>
      <c r="E98" s="80" t="n"/>
      <c r="F98" s="81" t="n"/>
      <c r="G98" s="81" t="n"/>
      <c r="H98" s="81" t="n"/>
      <c r="I98" s="80" t="n"/>
      <c r="J98" s="80" t="n"/>
      <c r="K98" s="80" t="n"/>
      <c r="L98" s="82" t="n"/>
      <c r="M98" s="80" t="n"/>
      <c r="N98" s="80" t="n"/>
      <c r="O98" s="80" t="n"/>
      <c r="P98" s="82" t="n"/>
      <c r="Q98" s="82" t="n"/>
      <c r="R98" s="80" t="n"/>
      <c r="S98" s="80" t="n"/>
      <c r="T98" s="80" t="n"/>
      <c r="U98" s="83" t="n"/>
      <c r="V98">
        <f>IF($A98="","",IF($A98=$A97,$V97,IF($V97="",0,1-$V97)))</f>
        <v/>
      </c>
      <c r="W98">
        <f>IF($B98&lt;&gt;"",$B98,$A98)</f>
        <v/>
      </c>
      <c r="X98">
        <f>IF(COUNTA($A98:$U98)=0,"",IF(OR($B98&lt;&gt;"",$O98&lt;&gt;""),"Dependent","Employee"))</f>
        <v/>
      </c>
      <c r="Y98">
        <f>IF(COUNTA($A98:$U98)=0,"",IF($A98="","Employee SSN is required; ","")&amp;IF($C98="","First Name is required; ","")&amp;IF(LEN($C98&amp;"")&gt;19,"First Name exceeds 19 characters; ","")&amp;IF(AND($C98&lt;&gt;"",SUMPRODUCT(--(ROW($1:$19)&lt;=LEN($C98&amp;"")),--ISERROR(FIND(MID($C98&amp;"",ROW($1:$19),1),"ABCDEFGHIJKLMNOPQRSTUVWXYZabcdefghijklmnopqrstuvwxyz .,")))&gt;0),"First Name contains unsupported or encoded characters; use plain A-Z letters only; ","")&amp;IF($D98="","Last Name is required; ","")&amp;IF(LEN($D98&amp;"")&gt;26,"Last Name exceeds 26 characters; ","")&amp;IF(AND($D98&lt;&gt;"",SUMPRODUCT(--(ROW($1:$26)&lt;=LEN($D98&amp;"")),--ISERROR(FIND(MID($D98&amp;"",ROW($1:$26),1),"ABCDEFGHIJKLMNOPQRSTUVWXYZabcdefghijklmnopqrstuvwxyz .,")))&gt;0),"Last Name contains unsupported or encoded characters; use plain A-Z letters only; ","")&amp;IF(LEN($E98&amp;"")&gt;1,"Middle Initial may contain only one character; ","")&amp;IF(AND($E98&lt;&gt;"",SUMPRODUCT(--(ROW($1:$1)&lt;=LEN($E98&amp;"")),--ISERROR(FIND(MID($E98&amp;"",ROW($1:$1),1),"ABCDEFGHIJKLMNOPQRSTUVWXYZabcdefghijklmnopqrstuvwxyz .,")))&gt;0),"Middle Initial must be a plain A-Z letter; ","")&amp;IF($F98="","Address is required; ","")&amp;IF(LEN($F98&amp;"")&gt;75,"Address exceeds 75 characters; ","")&amp;IF(LEN($G98&amp;"")&gt;75,"Address 2 exceeds 75 characters; ","")&amp;IF($H98="","City is required; ","")&amp;IF(LEN($H98&amp;"")&gt;30,"City exceeds 30 characters; ","")&amp;IF($K98="","Country is required; ","")&amp;IF(AND($K98&lt;&gt;"",$K98&lt;&gt;"US",$K98&lt;&gt;"CA"),"Country must be US or CA; ","")&amp;IF(AND($K98="US",OR($I98="",LEN($I98&amp;"")&lt;&gt;2)),"Use a 2-letter state code; ","")&amp;IF($J98="","ZIP or postal code is required; ","")&amp;IF(AND($K98="US",$J98&lt;&gt;"",NOT(IFERROR(OR(AND(LEN($J98&amp;"")=5,ISNUMBER(--($J98&amp;""))),AND(LEN($J98&amp;"")=9,ISNUMBER(--($J98&amp;""))),AND(LEN($J98&amp;"")=10,MID($J98&amp;"",6,1)="-",ISNUMBER(--SUBSTITUTE($J98&amp;"","-","")))),FALSE))),"US ZIP must be 5 or 9 digits, with an optional ZIP+4 hyphen; ","")&amp;IF(AND($N98&lt;&gt;"",NOT(IFERROR(AND(ISNUMBER(SEARCH("@",$N98)),ISNUMBER(SEARCH(".",$N98,SEARCH("@",$N98)+2))),FALSE))),"Email format appears invalid; ","")&amp;IF(AND($O98&lt;&gt;"",$B98=""),"Dependent SSN is required for every dependent; ","")&amp;IF(AND($B98&lt;&gt;"",$O98=""),"Dependent Relationship is required when Dependent SSN is entered; ","")&amp;IF(AND($O98&lt;&gt;"",$O98&lt;&gt;"Spouse or Common Law Spouse",$O98&lt;&gt;"Domestic Partner",$O98&lt;&gt;"Child",$O98&lt;&gt;"Other",$O98&lt;&gt;"Estate",$O98&lt;&gt;"Unknown"),"Dependent Relationship must use one of the approved options; ",""))</f>
        <v/>
      </c>
      <c r="Z98">
        <f>IF(COUNTA($A98:$U98)=0,"",IF(AND($A98&lt;&gt;"",NOT(IFERROR(AND(LEN($A98&amp;"")=9,ISNUMBER(--($A98&amp;""))),FALSE))),"Employee SSN must contain exactly 9 digits; ","")&amp;IF(AND($A98&lt;&gt;"",OR($A98="123456789",$A98="987654321",$A98="012345678",$A98=REPT(LEFT($A98&amp;"",1),9))),"Employee SSN appears to be a placeholder; ","")&amp;IF(AND($B98&lt;&gt;"",NOT(IFERROR(AND(LEN($B98&amp;"")=9,ISNUMBER(--($B98&amp;""))),FALSE))),"Dependent SSN must contain exactly 9 digits; ","")&amp;IF(AND($B98&lt;&gt;"",OR($B98="123456789",$B98="987654321",$B98="012345678",$B98=REPT(LEFT($B98&amp;"",1),9))),"Dependent SSN appears to be a placeholder; ","")&amp;IF(AND($A98&lt;&gt;"",$B98&lt;&gt;"",$A98&amp;""=$B98&amp;""),"Dependent SSN cannot match Employee SSN; ","")&amp;IF(AND($W98&lt;&gt;"",OR(COUNTIFS($W$2:$W$501,$W98,$C$2:$C$501,"&lt;&gt;"&amp;$C98)&gt;0,COUNTIFS($W$2:$W$501,$W98,$D$2:$D$501,"&lt;&gt;"&amp;$D98)&gt;0,COUNTIFS($W$2:$W$501,$W98,$L$2:$L$501,"&lt;&gt;"&amp;$L98)&gt;0)),"The same SSN is associated with a different name or birthdate; ",""))</f>
        <v/>
      </c>
      <c r="AA98">
        <f>IF(COUNTA($A98:$U98)=0,"",IF(AND($A98&lt;&gt;"",$S98&lt;&gt;"",COUNTIFS($A$2:$A$501,$A98,$S$2:$S$501,$S98,$B$2:$B$501,"",$O$2:$O$501,"")=0),"Add an employee row for this household and plan; ","")&amp;IF(AND($X98="Dependent",COUNTIFS($A$2:$A98,$A98,$S$2:$S98,$S98,$B$2:$B98,"",$O$2:$O98,"")=0),"Place the employee row before dependent rows for this plan; ","")&amp;IF(AND($X98="Dependent",COUNTIFS($A$2:$A$501,$A98,$S$2:$S$501,$S98,$B$2:$B$501,"",$O$2:$O$501,"")&gt;0,IFERROR(OR($P98&lt;&gt;LOOKUP(2,1/(($A$2:$A$501=$A98)*($S$2:$S$501=$S98)*($B$2:$B$501="")*($O$2:$O$501="")),$P$2:$P$501),$Q98&lt;&gt;LOOKUP(2,1/(($A$2:$A$501=$A98)*($S$2:$S$501=$S98)*($B$2:$B$501="")*($O$2:$O$501="")),$Q$2:$Q$501),$R98&lt;&gt;LOOKUP(2,1/(($A$2:$A$501=$A98)*($S$2:$S$501=$S98)*($B$2:$B$501="")*($O$2:$O$501="")),$R$2:$R$501),$T98&lt;&gt;LOOKUP(2,1/(($A$2:$A$501=$A98)*($S$2:$S$501=$S98)*($B$2:$B$501="")*($O$2:$O$501="")),$T$2:$T$501),$U98&lt;&gt;LOOKUP(2,1/(($A$2:$A$501=$A98)*($S$2:$S$501=$S98)*($B$2:$B$501="")*($O$2:$O$501="")),$U$2:$U$501)),FALSE)),"Dependent row does not match the employee row for eligibility, status, coverage level, or funding; ",""))</f>
        <v/>
      </c>
      <c r="AB98">
        <f>IF(COUNTA($A98:$U98)=0,"",IF($L98="","Birthdate is required; ","")&amp;IF(AND($L98&lt;&gt;"",OR(NOT(ISNUMBER($L98)),$L98&lt;=DATE(1900,1,1),$L98&gt;TODAY())),"Birthdate must be an exact valid past date; ","")&amp;IF($P98="","Eligibility Date is required; ","")&amp;IF(AND($P98&lt;&gt;"",OR(NOT(ISNUMBER($P98)),$P98&lt;=DATE(1900,1,1))),"Eligibility Date must be a valid date; ","")&amp;IF(AND($R98="Terminated",$Q98=""),"Termination Date is required when Status is Terminated; ","")&amp;IF(AND($Q98&lt;&gt;"",OR(NOT(ISNUMBER($Q98)),$Q98&lt;=DATE(1900,1,1))),"Termination Date must be a valid date; ","")&amp;IF(AND(ISNUMBER($P98),ISNUMBER($Q98),$Q98&lt;$P98),"Termination Date cannot be before Eligibility Date; ","")&amp;IF($R98="","Status is required; ","")&amp;IF(AND($R98&lt;&gt;"",$R98&lt;&gt;"Active",$R98&lt;&gt;"Terminated"),"Status must be Active or Terminated; ","")&amp;IF(AND('START HERE'!$C$8="Terminations Only",$R98&lt;&gt;"Terminated"),"Terminations Only files must contain terminated records; ",""))</f>
        <v/>
      </c>
      <c r="AC98">
        <f>IF(COUNTA($A98:$U98)=0,"",IF($S98="","Plan Name is required; ","")&amp;IF($T98="","Benefit Coverage Level is required; ","")&amp;IF(AND($U98&lt;&gt;"",OR(NOT(ISNUMBER($U98)),$U98&lt;0)),"Plan Funding Amount must be a nonnegative number; ","")&amp;IF(AND($A98&lt;&gt;"",$S98&lt;&gt;"",COUNTIFS($A$2:$A$501,$A98,$B$2:$B$501,$B98,$S$2:$S$501,$S98)&gt;1),"Duplicate participant and plan row; ",""))</f>
        <v/>
      </c>
      <c r="AD98">
        <f>IF(COUNTA($A98:$U98)=0,"",IF(AND($X98="Employee",$M98="",$N98=""),"No employee phone or email provided; ","")&amp;IF(AND($R98="Active",$Q98&lt;&gt;""),"Active record includes a Termination Date; confirm this is intentional; ","")&amp;IF(AND($B98&lt;&gt;"",$B98&amp;""&lt;&gt;$A98&amp;"",COUNTIF($A$2:$A$501,$B98)&gt;0),"Dependent SSN also appears as an Employee SSN elsewhere; confirm dual-employee coverage is intentional; ","")&amp;IF(AND($B98&lt;&gt;"",COUNTIF($B$2:$B$501,$B98)&gt;COUNTIFS($A$2:$A$501,$A98,$B$2:$B$501,$B98)),"Dependent SSN appears under more than one employee; confirm duplicate family coverage is intentional; ","")&amp;IF(AND(ROW()&gt;2,$A98&lt;&gt;"",$A98&lt;&gt;$A97,COUNTIF($A$2:$A97,$A98)&gt;0),"This household appears in more than one section of the census; keep the family together; ","")&amp;IF(OR(AND($C98&lt;&gt;"",LEN($C98&amp;"")&lt;&gt;LEN(TRIM($C98&amp;""))),AND($D98&lt;&gt;"",LEN($D98&amp;"")&lt;&gt;LEN(TRIM($D98&amp;""))),AND($E98&lt;&gt;"",LEN($E98&amp;"")&lt;&gt;LEN(TRIM($E98&amp;""))),AND($F98&lt;&gt;"",LEN($F98&amp;"")&lt;&gt;LEN(TRIM($F98&amp;""))),AND($G98&lt;&gt;"",LEN($G98&amp;"")&lt;&gt;LEN(TRIM($G98&amp;""))),AND($H98&lt;&gt;"",LEN($H98&amp;"")&lt;&gt;LEN(TRIM($H98&amp;""))),AND($I98&lt;&gt;"",LEN($I98&amp;"")&lt;&gt;LEN(TRIM($I98&amp;""))),AND($J98&lt;&gt;"",LEN($J98&amp;"")&lt;&gt;LEN(TRIM($J98&amp;""))),AND($K98&lt;&gt;"",LEN($K98&amp;"")&lt;&gt;LEN(TRIM($K98&amp;""))),AND($M98&lt;&gt;"",LEN($M98&amp;"")&lt;&gt;LEN(TRIM($M98&amp;""))),AND($N98&lt;&gt;"",LEN($N98&amp;"")&lt;&gt;LEN(TRIM($N98&amp;""))),AND($O98&lt;&gt;"",LEN($O98&amp;"")&lt;&gt;LEN(TRIM($O98&amp;""))),AND($R98&lt;&gt;"",LEN($R98&amp;"")&lt;&gt;LEN(TRIM($R98&amp;""))),AND($S98&lt;&gt;"",LEN($S98&amp;"")&lt;&gt;LEN(TRIM($S98&amp;""))),AND($T98&lt;&gt;"",LEN($T98&amp;"")&lt;&gt;LEN(TRIM($T98&amp;"")))),"Remove leading or trailing spaces from text fields; ","")&amp;IF(OR(AND(LEN($C98)&gt;1,OR(EXACT($C98,UPPER($C98)),EXACT($C98,LOWER($C98)))),AND(LEN($D98)&gt;1,OR(EXACT($D98,UPPER($D98)),EXACT($D98,LOWER($D98)))),AND(LEN($H98)&gt;1,OR(EXACT($H98,UPPER($H98)),EXACT($H98,LOWER($H98))))),"Review capitalization in First Name, Last Name, or City; ","")&amp;IF(AND($N98&lt;&gt;"",NOT(EXACT($N98,LOWER($N98)))),"Email will be standardized to lowercase in the clean output; ","")&amp;IF(AND(OR('START HERE'!$C$8="Initial Enrollment",'START HERE'!$C$8="Open Enrollment"),$R98="Terminated"),"A terminated row is included in an initial or open enrollment file; confirm this is intentional; ",""))</f>
        <v/>
      </c>
      <c r="AE98">
        <f>IF(COUNTA($A98:$U98)=0,"",IF(OR($A98="",AND($A98&lt;&gt;"",NOT(IFERROR(AND(LEN($A98&amp;"")=9,ISNUMBER(--($A98&amp;""))),FALSE))),AND($A98&lt;&gt;"",OR($A98="123456789",$A98="987654321",$A98="012345678",$A98=REPT(LEFT($A98&amp;"",1),9)))),"Employee SSN, ","")&amp;IF(OR(AND($O98&lt;&gt;"",$B98=""),AND($B98&lt;&gt;"",OR(NOT(IFERROR(AND(LEN($B98&amp;"")=9,ISNUMBER(--($B98&amp;""))),FALSE)),$B98=$A98,$B98="123456789",$B98="987654321",$B98="012345678",$B98=REPT(LEFT($B98&amp;"",1),9)))),"Dependent SSN, ","")&amp;IF(OR($C98="",LEN($C98)&gt;19,AND($C98&lt;&gt;"",SUMPRODUCT(--(ROW($1:$19)&lt;=LEN($C98&amp;"")),--ISERROR(FIND(MID($C98&amp;"",ROW($1:$19),1),"ABCDEFGHIJKLMNOPQRSTUVWXYZabcdefghijklmnopqrstuvwxyz .,")))&gt;0)),"First Name, ","")&amp;IF(OR($D98="",LEN($D98)&gt;26,AND($D98&lt;&gt;"",SUMPRODUCT(--(ROW($1:$26)&lt;=LEN($D98&amp;"")),--ISERROR(FIND(MID($D98&amp;"",ROW($1:$26),1),"ABCDEFGHIJKLMNOPQRSTUVWXYZabcdefghijklmnopqrstuvwxyz .,")))&gt;0)),"Last Name, ","")&amp;IF(OR(LEN($E98)&gt;1,AND($E98&lt;&gt;"",SUMPRODUCT(--(ROW($1:$1)&lt;=LEN($E98&amp;"")),--ISERROR(FIND(MID($E98&amp;"",ROW($1:$1),1),"ABCDEFGHIJKLMNOPQRSTUVWXYZabcdefghijklmnopqrstuvwxyz .,")))&gt;0)),"Middle Initial, ","")&amp;IF(OR($F98="",LEN($F98)&gt;75),"Address, ","")&amp;IF(OR($H98="",LEN($H98)&gt;30),"City, ","")&amp;IF(AND($K98="US",OR($I98="",LEN($I98)&lt;&gt;2)),"State, ","")&amp;IF($J98="","ZIP, ","")&amp;IF(OR($K98="",AND($K98&lt;&gt;"US",$K98&lt;&gt;"CA")),"Country, ","")&amp;IF(OR($L98="",AND($L98&lt;&gt;"",OR(NOT(ISNUMBER($L98)),$L98&lt;=DATE(1900,1,1),$L98&gt;TODAY()))),"Birthdate, ","")&amp;IF(AND($N98&lt;&gt;"",NOT(IFERROR(AND(ISNUMBER(SEARCH("@",$N98)),ISNUMBER(SEARCH(".",$N98,SEARCH("@",$N98)+2))),FALSE))),"Email, ","")&amp;IF(OR(AND($B98&lt;&gt;"",$O98=""),AND($O98&lt;&gt;"",$O98&lt;&gt;"Spouse or Common Law Spouse",$O98&lt;&gt;"Domestic Partner",$O98&lt;&gt;"Child",$O98&lt;&gt;"Other",$O98&lt;&gt;"Estate",$O98&lt;&gt;"Unknown")),"Dependent Relationship, ","")&amp;IF($AA98&lt;&gt;"","Household, ","")&amp;IF(OR($P98="",AND($P98&lt;&gt;"",OR(NOT(ISNUMBER($P98)),$P98&lt;=DATE(1900,1,1)))),"Eligibility Date, ","")&amp;IF(OR(AND($R98="Terminated",$Q98=""),AND($Q98&lt;&gt;"",OR(NOT(ISNUMBER($Q98)),$Q98&lt;=DATE(1900,1,1))),AND(ISNUMBER($P98),ISNUMBER($Q98),$Q98&lt;$P98)),"Termination Date, ","")&amp;IF(OR($R98="",AND($R98&lt;&gt;"Active",$R98&lt;&gt;"Terminated"),AND('START HERE'!$C$8="Terminations Only",$R98&lt;&gt;"Terminated")),"Status, ","")&amp;IF($S98="","Plan Name, ","")&amp;IF($T98="","Coverage Level, ","")&amp;IF(AND($U98&lt;&gt;"",OR(NOT(ISNUMBER($U98)),$U98&lt;0)),"Funding, ","")&amp;IF(AND($A98&lt;&gt;"",$S98&lt;&gt;"",COUNTIFS($A$2:$A$501,$A98,$B$2:$B$501,$B98,$S$2:$S$501,$S98)&gt;1),"Duplicate Row, ",""))</f>
        <v/>
      </c>
      <c r="AF98">
        <f>IF(COUNTA($A98:$U98)=0,"",$Y98&amp;$Z98&amp;$AA98&amp;$AB98&amp;$AC98)</f>
        <v/>
      </c>
      <c r="AG98">
        <f>IF($N98="","",LOWER(TRIM($N98)))</f>
        <v/>
      </c>
      <c r="AH98">
        <f>IF($A98="","",COUNTIFS($A$2:$A$501,$A98,$AI$2:$AI$501,1))</f>
        <v/>
      </c>
      <c r="AI98">
        <f>IF(COUNTA($A98:$U98)=0,"",--($AF98&lt;&gt;""))</f>
        <v/>
      </c>
      <c r="AJ98">
        <f>IF(COUNTA($A98:$U98)=0,"",--($AD98&lt;&gt;""))</f>
        <v/>
      </c>
    </row>
    <row r="99" ht="20" customHeight="1">
      <c r="A99" s="80" t="n"/>
      <c r="B99" s="80" t="n"/>
      <c r="C99" s="81" t="n"/>
      <c r="D99" s="81" t="n"/>
      <c r="E99" s="80" t="n"/>
      <c r="F99" s="81" t="n"/>
      <c r="G99" s="81" t="n"/>
      <c r="H99" s="81" t="n"/>
      <c r="I99" s="80" t="n"/>
      <c r="J99" s="80" t="n"/>
      <c r="K99" s="80" t="n"/>
      <c r="L99" s="82" t="n"/>
      <c r="M99" s="80" t="n"/>
      <c r="N99" s="80" t="n"/>
      <c r="O99" s="80" t="n"/>
      <c r="P99" s="82" t="n"/>
      <c r="Q99" s="82" t="n"/>
      <c r="R99" s="80" t="n"/>
      <c r="S99" s="80" t="n"/>
      <c r="T99" s="80" t="n"/>
      <c r="U99" s="83" t="n"/>
      <c r="V99">
        <f>IF($A99="","",IF($A99=$A98,$V98,IF($V98="",0,1-$V98)))</f>
        <v/>
      </c>
      <c r="W99">
        <f>IF($B99&lt;&gt;"",$B99,$A99)</f>
        <v/>
      </c>
      <c r="X99">
        <f>IF(COUNTA($A99:$U99)=0,"",IF(OR($B99&lt;&gt;"",$O99&lt;&gt;""),"Dependent","Employee"))</f>
        <v/>
      </c>
      <c r="Y99">
        <f>IF(COUNTA($A99:$U99)=0,"",IF($A99="","Employee SSN is required; ","")&amp;IF($C99="","First Name is required; ","")&amp;IF(LEN($C99&amp;"")&gt;19,"First Name exceeds 19 characters; ","")&amp;IF(AND($C99&lt;&gt;"",SUMPRODUCT(--(ROW($1:$19)&lt;=LEN($C99&amp;"")),--ISERROR(FIND(MID($C99&amp;"",ROW($1:$19),1),"ABCDEFGHIJKLMNOPQRSTUVWXYZabcdefghijklmnopqrstuvwxyz .,")))&gt;0),"First Name contains unsupported or encoded characters; use plain A-Z letters only; ","")&amp;IF($D99="","Last Name is required; ","")&amp;IF(LEN($D99&amp;"")&gt;26,"Last Name exceeds 26 characters; ","")&amp;IF(AND($D99&lt;&gt;"",SUMPRODUCT(--(ROW($1:$26)&lt;=LEN($D99&amp;"")),--ISERROR(FIND(MID($D99&amp;"",ROW($1:$26),1),"ABCDEFGHIJKLMNOPQRSTUVWXYZabcdefghijklmnopqrstuvwxyz .,")))&gt;0),"Last Name contains unsupported or encoded characters; use plain A-Z letters only; ","")&amp;IF(LEN($E99&amp;"")&gt;1,"Middle Initial may contain only one character; ","")&amp;IF(AND($E99&lt;&gt;"",SUMPRODUCT(--(ROW($1:$1)&lt;=LEN($E99&amp;"")),--ISERROR(FIND(MID($E99&amp;"",ROW($1:$1),1),"ABCDEFGHIJKLMNOPQRSTUVWXYZabcdefghijklmnopqrstuvwxyz .,")))&gt;0),"Middle Initial must be a plain A-Z letter; ","")&amp;IF($F99="","Address is required; ","")&amp;IF(LEN($F99&amp;"")&gt;75,"Address exceeds 75 characters; ","")&amp;IF(LEN($G99&amp;"")&gt;75,"Address 2 exceeds 75 characters; ","")&amp;IF($H99="","City is required; ","")&amp;IF(LEN($H99&amp;"")&gt;30,"City exceeds 30 characters; ","")&amp;IF($K99="","Country is required; ","")&amp;IF(AND($K99&lt;&gt;"",$K99&lt;&gt;"US",$K99&lt;&gt;"CA"),"Country must be US or CA; ","")&amp;IF(AND($K99="US",OR($I99="",LEN($I99&amp;"")&lt;&gt;2)),"Use a 2-letter state code; ","")&amp;IF($J99="","ZIP or postal code is required; ","")&amp;IF(AND($K99="US",$J99&lt;&gt;"",NOT(IFERROR(OR(AND(LEN($J99&amp;"")=5,ISNUMBER(--($J99&amp;""))),AND(LEN($J99&amp;"")=9,ISNUMBER(--($J99&amp;""))),AND(LEN($J99&amp;"")=10,MID($J99&amp;"",6,1)="-",ISNUMBER(--SUBSTITUTE($J99&amp;"","-","")))),FALSE))),"US ZIP must be 5 or 9 digits, with an optional ZIP+4 hyphen; ","")&amp;IF(AND($N99&lt;&gt;"",NOT(IFERROR(AND(ISNUMBER(SEARCH("@",$N99)),ISNUMBER(SEARCH(".",$N99,SEARCH("@",$N99)+2))),FALSE))),"Email format appears invalid; ","")&amp;IF(AND($O99&lt;&gt;"",$B99=""),"Dependent SSN is required for every dependent; ","")&amp;IF(AND($B99&lt;&gt;"",$O99=""),"Dependent Relationship is required when Dependent SSN is entered; ","")&amp;IF(AND($O99&lt;&gt;"",$O99&lt;&gt;"Spouse or Common Law Spouse",$O99&lt;&gt;"Domestic Partner",$O99&lt;&gt;"Child",$O99&lt;&gt;"Other",$O99&lt;&gt;"Estate",$O99&lt;&gt;"Unknown"),"Dependent Relationship must use one of the approved options; ",""))</f>
        <v/>
      </c>
      <c r="Z99">
        <f>IF(COUNTA($A99:$U99)=0,"",IF(AND($A99&lt;&gt;"",NOT(IFERROR(AND(LEN($A99&amp;"")=9,ISNUMBER(--($A99&amp;""))),FALSE))),"Employee SSN must contain exactly 9 digits; ","")&amp;IF(AND($A99&lt;&gt;"",OR($A99="123456789",$A99="987654321",$A99="012345678",$A99=REPT(LEFT($A99&amp;"",1),9))),"Employee SSN appears to be a placeholder; ","")&amp;IF(AND($B99&lt;&gt;"",NOT(IFERROR(AND(LEN($B99&amp;"")=9,ISNUMBER(--($B99&amp;""))),FALSE))),"Dependent SSN must contain exactly 9 digits; ","")&amp;IF(AND($B99&lt;&gt;"",OR($B99="123456789",$B99="987654321",$B99="012345678",$B99=REPT(LEFT($B99&amp;"",1),9))),"Dependent SSN appears to be a placeholder; ","")&amp;IF(AND($A99&lt;&gt;"",$B99&lt;&gt;"",$A99&amp;""=$B99&amp;""),"Dependent SSN cannot match Employee SSN; ","")&amp;IF(AND($W99&lt;&gt;"",OR(COUNTIFS($W$2:$W$501,$W99,$C$2:$C$501,"&lt;&gt;"&amp;$C99)&gt;0,COUNTIFS($W$2:$W$501,$W99,$D$2:$D$501,"&lt;&gt;"&amp;$D99)&gt;0,COUNTIFS($W$2:$W$501,$W99,$L$2:$L$501,"&lt;&gt;"&amp;$L99)&gt;0)),"The same SSN is associated with a different name or birthdate; ",""))</f>
        <v/>
      </c>
      <c r="AA99">
        <f>IF(COUNTA($A99:$U99)=0,"",IF(AND($A99&lt;&gt;"",$S99&lt;&gt;"",COUNTIFS($A$2:$A$501,$A99,$S$2:$S$501,$S99,$B$2:$B$501,"",$O$2:$O$501,"")=0),"Add an employee row for this household and plan; ","")&amp;IF(AND($X99="Dependent",COUNTIFS($A$2:$A99,$A99,$S$2:$S99,$S99,$B$2:$B99,"",$O$2:$O99,"")=0),"Place the employee row before dependent rows for this plan; ","")&amp;IF(AND($X99="Dependent",COUNTIFS($A$2:$A$501,$A99,$S$2:$S$501,$S99,$B$2:$B$501,"",$O$2:$O$501,"")&gt;0,IFERROR(OR($P99&lt;&gt;LOOKUP(2,1/(($A$2:$A$501=$A99)*($S$2:$S$501=$S99)*($B$2:$B$501="")*($O$2:$O$501="")),$P$2:$P$501),$Q99&lt;&gt;LOOKUP(2,1/(($A$2:$A$501=$A99)*($S$2:$S$501=$S99)*($B$2:$B$501="")*($O$2:$O$501="")),$Q$2:$Q$501),$R99&lt;&gt;LOOKUP(2,1/(($A$2:$A$501=$A99)*($S$2:$S$501=$S99)*($B$2:$B$501="")*($O$2:$O$501="")),$R$2:$R$501),$T99&lt;&gt;LOOKUP(2,1/(($A$2:$A$501=$A99)*($S$2:$S$501=$S99)*($B$2:$B$501="")*($O$2:$O$501="")),$T$2:$T$501),$U99&lt;&gt;LOOKUP(2,1/(($A$2:$A$501=$A99)*($S$2:$S$501=$S99)*($B$2:$B$501="")*($O$2:$O$501="")),$U$2:$U$501)),FALSE)),"Dependent row does not match the employee row for eligibility, status, coverage level, or funding; ",""))</f>
        <v/>
      </c>
      <c r="AB99">
        <f>IF(COUNTA($A99:$U99)=0,"",IF($L99="","Birthdate is required; ","")&amp;IF(AND($L99&lt;&gt;"",OR(NOT(ISNUMBER($L99)),$L99&lt;=DATE(1900,1,1),$L99&gt;TODAY())),"Birthdate must be an exact valid past date; ","")&amp;IF($P99="","Eligibility Date is required; ","")&amp;IF(AND($P99&lt;&gt;"",OR(NOT(ISNUMBER($P99)),$P99&lt;=DATE(1900,1,1))),"Eligibility Date must be a valid date; ","")&amp;IF(AND($R99="Terminated",$Q99=""),"Termination Date is required when Status is Terminated; ","")&amp;IF(AND($Q99&lt;&gt;"",OR(NOT(ISNUMBER($Q99)),$Q99&lt;=DATE(1900,1,1))),"Termination Date must be a valid date; ","")&amp;IF(AND(ISNUMBER($P99),ISNUMBER($Q99),$Q99&lt;$P99),"Termination Date cannot be before Eligibility Date; ","")&amp;IF($R99="","Status is required; ","")&amp;IF(AND($R99&lt;&gt;"",$R99&lt;&gt;"Active",$R99&lt;&gt;"Terminated"),"Status must be Active or Terminated; ","")&amp;IF(AND('START HERE'!$C$8="Terminations Only",$R99&lt;&gt;"Terminated"),"Terminations Only files must contain terminated records; ",""))</f>
        <v/>
      </c>
      <c r="AC99">
        <f>IF(COUNTA($A99:$U99)=0,"",IF($S99="","Plan Name is required; ","")&amp;IF($T99="","Benefit Coverage Level is required; ","")&amp;IF(AND($U99&lt;&gt;"",OR(NOT(ISNUMBER($U99)),$U99&lt;0)),"Plan Funding Amount must be a nonnegative number; ","")&amp;IF(AND($A99&lt;&gt;"",$S99&lt;&gt;"",COUNTIFS($A$2:$A$501,$A99,$B$2:$B$501,$B99,$S$2:$S$501,$S99)&gt;1),"Duplicate participant and plan row; ",""))</f>
        <v/>
      </c>
      <c r="AD99">
        <f>IF(COUNTA($A99:$U99)=0,"",IF(AND($X99="Employee",$M99="",$N99=""),"No employee phone or email provided; ","")&amp;IF(AND($R99="Active",$Q99&lt;&gt;""),"Active record includes a Termination Date; confirm this is intentional; ","")&amp;IF(AND($B99&lt;&gt;"",$B99&amp;""&lt;&gt;$A99&amp;"",COUNTIF($A$2:$A$501,$B99)&gt;0),"Dependent SSN also appears as an Employee SSN elsewhere; confirm dual-employee coverage is intentional; ","")&amp;IF(AND($B99&lt;&gt;"",COUNTIF($B$2:$B$501,$B99)&gt;COUNTIFS($A$2:$A$501,$A99,$B$2:$B$501,$B99)),"Dependent SSN appears under more than one employee; confirm duplicate family coverage is intentional; ","")&amp;IF(AND(ROW()&gt;2,$A99&lt;&gt;"",$A99&lt;&gt;$A98,COUNTIF($A$2:$A98,$A99)&gt;0),"This household appears in more than one section of the census; keep the family together; ","")&amp;IF(OR(AND($C99&lt;&gt;"",LEN($C99&amp;"")&lt;&gt;LEN(TRIM($C99&amp;""))),AND($D99&lt;&gt;"",LEN($D99&amp;"")&lt;&gt;LEN(TRIM($D99&amp;""))),AND($E99&lt;&gt;"",LEN($E99&amp;"")&lt;&gt;LEN(TRIM($E99&amp;""))),AND($F99&lt;&gt;"",LEN($F99&amp;"")&lt;&gt;LEN(TRIM($F99&amp;""))),AND($G99&lt;&gt;"",LEN($G99&amp;"")&lt;&gt;LEN(TRIM($G99&amp;""))),AND($H99&lt;&gt;"",LEN($H99&amp;"")&lt;&gt;LEN(TRIM($H99&amp;""))),AND($I99&lt;&gt;"",LEN($I99&amp;"")&lt;&gt;LEN(TRIM($I99&amp;""))),AND($J99&lt;&gt;"",LEN($J99&amp;"")&lt;&gt;LEN(TRIM($J99&amp;""))),AND($K99&lt;&gt;"",LEN($K99&amp;"")&lt;&gt;LEN(TRIM($K99&amp;""))),AND($M99&lt;&gt;"",LEN($M99&amp;"")&lt;&gt;LEN(TRIM($M99&amp;""))),AND($N99&lt;&gt;"",LEN($N99&amp;"")&lt;&gt;LEN(TRIM($N99&amp;""))),AND($O99&lt;&gt;"",LEN($O99&amp;"")&lt;&gt;LEN(TRIM($O99&amp;""))),AND($R99&lt;&gt;"",LEN($R99&amp;"")&lt;&gt;LEN(TRIM($R99&amp;""))),AND($S99&lt;&gt;"",LEN($S99&amp;"")&lt;&gt;LEN(TRIM($S99&amp;""))),AND($T99&lt;&gt;"",LEN($T99&amp;"")&lt;&gt;LEN(TRIM($T99&amp;"")))),"Remove leading or trailing spaces from text fields; ","")&amp;IF(OR(AND(LEN($C99)&gt;1,OR(EXACT($C99,UPPER($C99)),EXACT($C99,LOWER($C99)))),AND(LEN($D99)&gt;1,OR(EXACT($D99,UPPER($D99)),EXACT($D99,LOWER($D99)))),AND(LEN($H99)&gt;1,OR(EXACT($H99,UPPER($H99)),EXACT($H99,LOWER($H99))))),"Review capitalization in First Name, Last Name, or City; ","")&amp;IF(AND($N99&lt;&gt;"",NOT(EXACT($N99,LOWER($N99)))),"Email will be standardized to lowercase in the clean output; ","")&amp;IF(AND(OR('START HERE'!$C$8="Initial Enrollment",'START HERE'!$C$8="Open Enrollment"),$R99="Terminated"),"A terminated row is included in an initial or open enrollment file; confirm this is intentional; ",""))</f>
        <v/>
      </c>
      <c r="AE99">
        <f>IF(COUNTA($A99:$U99)=0,"",IF(OR($A99="",AND($A99&lt;&gt;"",NOT(IFERROR(AND(LEN($A99&amp;"")=9,ISNUMBER(--($A99&amp;""))),FALSE))),AND($A99&lt;&gt;"",OR($A99="123456789",$A99="987654321",$A99="012345678",$A99=REPT(LEFT($A99&amp;"",1),9)))),"Employee SSN, ","")&amp;IF(OR(AND($O99&lt;&gt;"",$B99=""),AND($B99&lt;&gt;"",OR(NOT(IFERROR(AND(LEN($B99&amp;"")=9,ISNUMBER(--($B99&amp;""))),FALSE)),$B99=$A99,$B99="123456789",$B99="987654321",$B99="012345678",$B99=REPT(LEFT($B99&amp;"",1),9)))),"Dependent SSN, ","")&amp;IF(OR($C99="",LEN($C99)&gt;19,AND($C99&lt;&gt;"",SUMPRODUCT(--(ROW($1:$19)&lt;=LEN($C99&amp;"")),--ISERROR(FIND(MID($C99&amp;"",ROW($1:$19),1),"ABCDEFGHIJKLMNOPQRSTUVWXYZabcdefghijklmnopqrstuvwxyz .,")))&gt;0)),"First Name, ","")&amp;IF(OR($D99="",LEN($D99)&gt;26,AND($D99&lt;&gt;"",SUMPRODUCT(--(ROW($1:$26)&lt;=LEN($D99&amp;"")),--ISERROR(FIND(MID($D99&amp;"",ROW($1:$26),1),"ABCDEFGHIJKLMNOPQRSTUVWXYZabcdefghijklmnopqrstuvwxyz .,")))&gt;0)),"Last Name, ","")&amp;IF(OR(LEN($E99)&gt;1,AND($E99&lt;&gt;"",SUMPRODUCT(--(ROW($1:$1)&lt;=LEN($E99&amp;"")),--ISERROR(FIND(MID($E99&amp;"",ROW($1:$1),1),"ABCDEFGHIJKLMNOPQRSTUVWXYZabcdefghijklmnopqrstuvwxyz .,")))&gt;0)),"Middle Initial, ","")&amp;IF(OR($F99="",LEN($F99)&gt;75),"Address, ","")&amp;IF(OR($H99="",LEN($H99)&gt;30),"City, ","")&amp;IF(AND($K99="US",OR($I99="",LEN($I99)&lt;&gt;2)),"State, ","")&amp;IF($J99="","ZIP, ","")&amp;IF(OR($K99="",AND($K99&lt;&gt;"US",$K99&lt;&gt;"CA")),"Country, ","")&amp;IF(OR($L99="",AND($L99&lt;&gt;"",OR(NOT(ISNUMBER($L99)),$L99&lt;=DATE(1900,1,1),$L99&gt;TODAY()))),"Birthdate, ","")&amp;IF(AND($N99&lt;&gt;"",NOT(IFERROR(AND(ISNUMBER(SEARCH("@",$N99)),ISNUMBER(SEARCH(".",$N99,SEARCH("@",$N99)+2))),FALSE))),"Email, ","")&amp;IF(OR(AND($B99&lt;&gt;"",$O99=""),AND($O99&lt;&gt;"",$O99&lt;&gt;"Spouse or Common Law Spouse",$O99&lt;&gt;"Domestic Partner",$O99&lt;&gt;"Child",$O99&lt;&gt;"Other",$O99&lt;&gt;"Estate",$O99&lt;&gt;"Unknown")),"Dependent Relationship, ","")&amp;IF($AA99&lt;&gt;"","Household, ","")&amp;IF(OR($P99="",AND($P99&lt;&gt;"",OR(NOT(ISNUMBER($P99)),$P99&lt;=DATE(1900,1,1)))),"Eligibility Date, ","")&amp;IF(OR(AND($R99="Terminated",$Q99=""),AND($Q99&lt;&gt;"",OR(NOT(ISNUMBER($Q99)),$Q99&lt;=DATE(1900,1,1))),AND(ISNUMBER($P99),ISNUMBER($Q99),$Q99&lt;$P99)),"Termination Date, ","")&amp;IF(OR($R99="",AND($R99&lt;&gt;"Active",$R99&lt;&gt;"Terminated"),AND('START HERE'!$C$8="Terminations Only",$R99&lt;&gt;"Terminated")),"Status, ","")&amp;IF($S99="","Plan Name, ","")&amp;IF($T99="","Coverage Level, ","")&amp;IF(AND($U99&lt;&gt;"",OR(NOT(ISNUMBER($U99)),$U99&lt;0)),"Funding, ","")&amp;IF(AND($A99&lt;&gt;"",$S99&lt;&gt;"",COUNTIFS($A$2:$A$501,$A99,$B$2:$B$501,$B99,$S$2:$S$501,$S99)&gt;1),"Duplicate Row, ",""))</f>
        <v/>
      </c>
      <c r="AF99">
        <f>IF(COUNTA($A99:$U99)=0,"",$Y99&amp;$Z99&amp;$AA99&amp;$AB99&amp;$AC99)</f>
        <v/>
      </c>
      <c r="AG99">
        <f>IF($N99="","",LOWER(TRIM($N99)))</f>
        <v/>
      </c>
      <c r="AH99">
        <f>IF($A99="","",COUNTIFS($A$2:$A$501,$A99,$AI$2:$AI$501,1))</f>
        <v/>
      </c>
      <c r="AI99">
        <f>IF(COUNTA($A99:$U99)=0,"",--($AF99&lt;&gt;""))</f>
        <v/>
      </c>
      <c r="AJ99">
        <f>IF(COUNTA($A99:$U99)=0,"",--($AD99&lt;&gt;""))</f>
        <v/>
      </c>
    </row>
    <row r="100" ht="20" customHeight="1">
      <c r="A100" s="80" t="n"/>
      <c r="B100" s="80" t="n"/>
      <c r="C100" s="81" t="n"/>
      <c r="D100" s="81" t="n"/>
      <c r="E100" s="80" t="n"/>
      <c r="F100" s="81" t="n"/>
      <c r="G100" s="81" t="n"/>
      <c r="H100" s="81" t="n"/>
      <c r="I100" s="80" t="n"/>
      <c r="J100" s="80" t="n"/>
      <c r="K100" s="80" t="n"/>
      <c r="L100" s="82" t="n"/>
      <c r="M100" s="80" t="n"/>
      <c r="N100" s="80" t="n"/>
      <c r="O100" s="80" t="n"/>
      <c r="P100" s="82" t="n"/>
      <c r="Q100" s="82" t="n"/>
      <c r="R100" s="80" t="n"/>
      <c r="S100" s="80" t="n"/>
      <c r="T100" s="80" t="n"/>
      <c r="U100" s="83" t="n"/>
      <c r="V100">
        <f>IF($A100="","",IF($A100=$A99,$V99,IF($V99="",0,1-$V99)))</f>
        <v/>
      </c>
      <c r="W100">
        <f>IF($B100&lt;&gt;"",$B100,$A100)</f>
        <v/>
      </c>
      <c r="X100">
        <f>IF(COUNTA($A100:$U100)=0,"",IF(OR($B100&lt;&gt;"",$O100&lt;&gt;""),"Dependent","Employee"))</f>
        <v/>
      </c>
      <c r="Y100">
        <f>IF(COUNTA($A100:$U100)=0,"",IF($A100="","Employee SSN is required; ","")&amp;IF($C100="","First Name is required; ","")&amp;IF(LEN($C100&amp;"")&gt;19,"First Name exceeds 19 characters; ","")&amp;IF(AND($C100&lt;&gt;"",SUMPRODUCT(--(ROW($1:$19)&lt;=LEN($C100&amp;"")),--ISERROR(FIND(MID($C100&amp;"",ROW($1:$19),1),"ABCDEFGHIJKLMNOPQRSTUVWXYZabcdefghijklmnopqrstuvwxyz .,")))&gt;0),"First Name contains unsupported or encoded characters; use plain A-Z letters only; ","")&amp;IF($D100="","Last Name is required; ","")&amp;IF(LEN($D100&amp;"")&gt;26,"Last Name exceeds 26 characters; ","")&amp;IF(AND($D100&lt;&gt;"",SUMPRODUCT(--(ROW($1:$26)&lt;=LEN($D100&amp;"")),--ISERROR(FIND(MID($D100&amp;"",ROW($1:$26),1),"ABCDEFGHIJKLMNOPQRSTUVWXYZabcdefghijklmnopqrstuvwxyz .,")))&gt;0),"Last Name contains unsupported or encoded characters; use plain A-Z letters only; ","")&amp;IF(LEN($E100&amp;"")&gt;1,"Middle Initial may contain only one character; ","")&amp;IF(AND($E100&lt;&gt;"",SUMPRODUCT(--(ROW($1:$1)&lt;=LEN($E100&amp;"")),--ISERROR(FIND(MID($E100&amp;"",ROW($1:$1),1),"ABCDEFGHIJKLMNOPQRSTUVWXYZabcdefghijklmnopqrstuvwxyz .,")))&gt;0),"Middle Initial must be a plain A-Z letter; ","")&amp;IF($F100="","Address is required; ","")&amp;IF(LEN($F100&amp;"")&gt;75,"Address exceeds 75 characters; ","")&amp;IF(LEN($G100&amp;"")&gt;75,"Address 2 exceeds 75 characters; ","")&amp;IF($H100="","City is required; ","")&amp;IF(LEN($H100&amp;"")&gt;30,"City exceeds 30 characters; ","")&amp;IF($K100="","Country is required; ","")&amp;IF(AND($K100&lt;&gt;"",$K100&lt;&gt;"US",$K100&lt;&gt;"CA"),"Country must be US or CA; ","")&amp;IF(AND($K100="US",OR($I100="",LEN($I100&amp;"")&lt;&gt;2)),"Use a 2-letter state code; ","")&amp;IF($J100="","ZIP or postal code is required; ","")&amp;IF(AND($K100="US",$J100&lt;&gt;"",NOT(IFERROR(OR(AND(LEN($J100&amp;"")=5,ISNUMBER(--($J100&amp;""))),AND(LEN($J100&amp;"")=9,ISNUMBER(--($J100&amp;""))),AND(LEN($J100&amp;"")=10,MID($J100&amp;"",6,1)="-",ISNUMBER(--SUBSTITUTE($J100&amp;"","-","")))),FALSE))),"US ZIP must be 5 or 9 digits, with an optional ZIP+4 hyphen; ","")&amp;IF(AND($N100&lt;&gt;"",NOT(IFERROR(AND(ISNUMBER(SEARCH("@",$N100)),ISNUMBER(SEARCH(".",$N100,SEARCH("@",$N100)+2))),FALSE))),"Email format appears invalid; ","")&amp;IF(AND($O100&lt;&gt;"",$B100=""),"Dependent SSN is required for every dependent; ","")&amp;IF(AND($B100&lt;&gt;"",$O100=""),"Dependent Relationship is required when Dependent SSN is entered; ","")&amp;IF(AND($O100&lt;&gt;"",$O100&lt;&gt;"Spouse or Common Law Spouse",$O100&lt;&gt;"Domestic Partner",$O100&lt;&gt;"Child",$O100&lt;&gt;"Other",$O100&lt;&gt;"Estate",$O100&lt;&gt;"Unknown"),"Dependent Relationship must use one of the approved options; ",""))</f>
        <v/>
      </c>
      <c r="Z100">
        <f>IF(COUNTA($A100:$U100)=0,"",IF(AND($A100&lt;&gt;"",NOT(IFERROR(AND(LEN($A100&amp;"")=9,ISNUMBER(--($A100&amp;""))),FALSE))),"Employee SSN must contain exactly 9 digits; ","")&amp;IF(AND($A100&lt;&gt;"",OR($A100="123456789",$A100="987654321",$A100="012345678",$A100=REPT(LEFT($A100&amp;"",1),9))),"Employee SSN appears to be a placeholder; ","")&amp;IF(AND($B100&lt;&gt;"",NOT(IFERROR(AND(LEN($B100&amp;"")=9,ISNUMBER(--($B100&amp;""))),FALSE))),"Dependent SSN must contain exactly 9 digits; ","")&amp;IF(AND($B100&lt;&gt;"",OR($B100="123456789",$B100="987654321",$B100="012345678",$B100=REPT(LEFT($B100&amp;"",1),9))),"Dependent SSN appears to be a placeholder; ","")&amp;IF(AND($A100&lt;&gt;"",$B100&lt;&gt;"",$A100&amp;""=$B100&amp;""),"Dependent SSN cannot match Employee SSN; ","")&amp;IF(AND($W100&lt;&gt;"",OR(COUNTIFS($W$2:$W$501,$W100,$C$2:$C$501,"&lt;&gt;"&amp;$C100)&gt;0,COUNTIFS($W$2:$W$501,$W100,$D$2:$D$501,"&lt;&gt;"&amp;$D100)&gt;0,COUNTIFS($W$2:$W$501,$W100,$L$2:$L$501,"&lt;&gt;"&amp;$L100)&gt;0)),"The same SSN is associated with a different name or birthdate; ",""))</f>
        <v/>
      </c>
      <c r="AA100">
        <f>IF(COUNTA($A100:$U100)=0,"",IF(AND($A100&lt;&gt;"",$S100&lt;&gt;"",COUNTIFS($A$2:$A$501,$A100,$S$2:$S$501,$S100,$B$2:$B$501,"",$O$2:$O$501,"")=0),"Add an employee row for this household and plan; ","")&amp;IF(AND($X100="Dependent",COUNTIFS($A$2:$A100,$A100,$S$2:$S100,$S100,$B$2:$B100,"",$O$2:$O100,"")=0),"Place the employee row before dependent rows for this plan; ","")&amp;IF(AND($X100="Dependent",COUNTIFS($A$2:$A$501,$A100,$S$2:$S$501,$S100,$B$2:$B$501,"",$O$2:$O$501,"")&gt;0,IFERROR(OR($P100&lt;&gt;LOOKUP(2,1/(($A$2:$A$501=$A100)*($S$2:$S$501=$S100)*($B$2:$B$501="")*($O$2:$O$501="")),$P$2:$P$501),$Q100&lt;&gt;LOOKUP(2,1/(($A$2:$A$501=$A100)*($S$2:$S$501=$S100)*($B$2:$B$501="")*($O$2:$O$501="")),$Q$2:$Q$501),$R100&lt;&gt;LOOKUP(2,1/(($A$2:$A$501=$A100)*($S$2:$S$501=$S100)*($B$2:$B$501="")*($O$2:$O$501="")),$R$2:$R$501),$T100&lt;&gt;LOOKUP(2,1/(($A$2:$A$501=$A100)*($S$2:$S$501=$S100)*($B$2:$B$501="")*($O$2:$O$501="")),$T$2:$T$501),$U100&lt;&gt;LOOKUP(2,1/(($A$2:$A$501=$A100)*($S$2:$S$501=$S100)*($B$2:$B$501="")*($O$2:$O$501="")),$U$2:$U$501)),FALSE)),"Dependent row does not match the employee row for eligibility, status, coverage level, or funding; ",""))</f>
        <v/>
      </c>
      <c r="AB100">
        <f>IF(COUNTA($A100:$U100)=0,"",IF($L100="","Birthdate is required; ","")&amp;IF(AND($L100&lt;&gt;"",OR(NOT(ISNUMBER($L100)),$L100&lt;=DATE(1900,1,1),$L100&gt;TODAY())),"Birthdate must be an exact valid past date; ","")&amp;IF($P100="","Eligibility Date is required; ","")&amp;IF(AND($P100&lt;&gt;"",OR(NOT(ISNUMBER($P100)),$P100&lt;=DATE(1900,1,1))),"Eligibility Date must be a valid date; ","")&amp;IF(AND($R100="Terminated",$Q100=""),"Termination Date is required when Status is Terminated; ","")&amp;IF(AND($Q100&lt;&gt;"",OR(NOT(ISNUMBER($Q100)),$Q100&lt;=DATE(1900,1,1))),"Termination Date must be a valid date; ","")&amp;IF(AND(ISNUMBER($P100),ISNUMBER($Q100),$Q100&lt;$P100),"Termination Date cannot be before Eligibility Date; ","")&amp;IF($R100="","Status is required; ","")&amp;IF(AND($R100&lt;&gt;"",$R100&lt;&gt;"Active",$R100&lt;&gt;"Terminated"),"Status must be Active or Terminated; ","")&amp;IF(AND('START HERE'!$C$8="Terminations Only",$R100&lt;&gt;"Terminated"),"Terminations Only files must contain terminated records; ",""))</f>
        <v/>
      </c>
      <c r="AC100">
        <f>IF(COUNTA($A100:$U100)=0,"",IF($S100="","Plan Name is required; ","")&amp;IF($T100="","Benefit Coverage Level is required; ","")&amp;IF(AND($U100&lt;&gt;"",OR(NOT(ISNUMBER($U100)),$U100&lt;0)),"Plan Funding Amount must be a nonnegative number; ","")&amp;IF(AND($A100&lt;&gt;"",$S100&lt;&gt;"",COUNTIFS($A$2:$A$501,$A100,$B$2:$B$501,$B100,$S$2:$S$501,$S100)&gt;1),"Duplicate participant and plan row; ",""))</f>
        <v/>
      </c>
      <c r="AD100">
        <f>IF(COUNTA($A100:$U100)=0,"",IF(AND($X100="Employee",$M100="",$N100=""),"No employee phone or email provided; ","")&amp;IF(AND($R100="Active",$Q100&lt;&gt;""),"Active record includes a Termination Date; confirm this is intentional; ","")&amp;IF(AND($B100&lt;&gt;"",$B100&amp;""&lt;&gt;$A100&amp;"",COUNTIF($A$2:$A$501,$B100)&gt;0),"Dependent SSN also appears as an Employee SSN elsewhere; confirm dual-employee coverage is intentional; ","")&amp;IF(AND($B100&lt;&gt;"",COUNTIF($B$2:$B$501,$B100)&gt;COUNTIFS($A$2:$A$501,$A100,$B$2:$B$501,$B100)),"Dependent SSN appears under more than one employee; confirm duplicate family coverage is intentional; ","")&amp;IF(AND(ROW()&gt;2,$A100&lt;&gt;"",$A100&lt;&gt;$A99,COUNTIF($A$2:$A99,$A100)&gt;0),"This household appears in more than one section of the census; keep the family together; ","")&amp;IF(OR(AND($C100&lt;&gt;"",LEN($C100&amp;"")&lt;&gt;LEN(TRIM($C100&amp;""))),AND($D100&lt;&gt;"",LEN($D100&amp;"")&lt;&gt;LEN(TRIM($D100&amp;""))),AND($E100&lt;&gt;"",LEN($E100&amp;"")&lt;&gt;LEN(TRIM($E100&amp;""))),AND($F100&lt;&gt;"",LEN($F100&amp;"")&lt;&gt;LEN(TRIM($F100&amp;""))),AND($G100&lt;&gt;"",LEN($G100&amp;"")&lt;&gt;LEN(TRIM($G100&amp;""))),AND($H100&lt;&gt;"",LEN($H100&amp;"")&lt;&gt;LEN(TRIM($H100&amp;""))),AND($I100&lt;&gt;"",LEN($I100&amp;"")&lt;&gt;LEN(TRIM($I100&amp;""))),AND($J100&lt;&gt;"",LEN($J100&amp;"")&lt;&gt;LEN(TRIM($J100&amp;""))),AND($K100&lt;&gt;"",LEN($K100&amp;"")&lt;&gt;LEN(TRIM($K100&amp;""))),AND($M100&lt;&gt;"",LEN($M100&amp;"")&lt;&gt;LEN(TRIM($M100&amp;""))),AND($N100&lt;&gt;"",LEN($N100&amp;"")&lt;&gt;LEN(TRIM($N100&amp;""))),AND($O100&lt;&gt;"",LEN($O100&amp;"")&lt;&gt;LEN(TRIM($O100&amp;""))),AND($R100&lt;&gt;"",LEN($R100&amp;"")&lt;&gt;LEN(TRIM($R100&amp;""))),AND($S100&lt;&gt;"",LEN($S100&amp;"")&lt;&gt;LEN(TRIM($S100&amp;""))),AND($T100&lt;&gt;"",LEN($T100&amp;"")&lt;&gt;LEN(TRIM($T100&amp;"")))),"Remove leading or trailing spaces from text fields; ","")&amp;IF(OR(AND(LEN($C100)&gt;1,OR(EXACT($C100,UPPER($C100)),EXACT($C100,LOWER($C100)))),AND(LEN($D100)&gt;1,OR(EXACT($D100,UPPER($D100)),EXACT($D100,LOWER($D100)))),AND(LEN($H100)&gt;1,OR(EXACT($H100,UPPER($H100)),EXACT($H100,LOWER($H100))))),"Review capitalization in First Name, Last Name, or City; ","")&amp;IF(AND($N100&lt;&gt;"",NOT(EXACT($N100,LOWER($N100)))),"Email will be standardized to lowercase in the clean output; ","")&amp;IF(AND(OR('START HERE'!$C$8="Initial Enrollment",'START HERE'!$C$8="Open Enrollment"),$R100="Terminated"),"A terminated row is included in an initial or open enrollment file; confirm this is intentional; ",""))</f>
        <v/>
      </c>
      <c r="AE100">
        <f>IF(COUNTA($A100:$U100)=0,"",IF(OR($A100="",AND($A100&lt;&gt;"",NOT(IFERROR(AND(LEN($A100&amp;"")=9,ISNUMBER(--($A100&amp;""))),FALSE))),AND($A100&lt;&gt;"",OR($A100="123456789",$A100="987654321",$A100="012345678",$A100=REPT(LEFT($A100&amp;"",1),9)))),"Employee SSN, ","")&amp;IF(OR(AND($O100&lt;&gt;"",$B100=""),AND($B100&lt;&gt;"",OR(NOT(IFERROR(AND(LEN($B100&amp;"")=9,ISNUMBER(--($B100&amp;""))),FALSE)),$B100=$A100,$B100="123456789",$B100="987654321",$B100="012345678",$B100=REPT(LEFT($B100&amp;"",1),9)))),"Dependent SSN, ","")&amp;IF(OR($C100="",LEN($C100)&gt;19,AND($C100&lt;&gt;"",SUMPRODUCT(--(ROW($1:$19)&lt;=LEN($C100&amp;"")),--ISERROR(FIND(MID($C100&amp;"",ROW($1:$19),1),"ABCDEFGHIJKLMNOPQRSTUVWXYZabcdefghijklmnopqrstuvwxyz .,")))&gt;0)),"First Name, ","")&amp;IF(OR($D100="",LEN($D100)&gt;26,AND($D100&lt;&gt;"",SUMPRODUCT(--(ROW($1:$26)&lt;=LEN($D100&amp;"")),--ISERROR(FIND(MID($D100&amp;"",ROW($1:$26),1),"ABCDEFGHIJKLMNOPQRSTUVWXYZabcdefghijklmnopqrstuvwxyz .,")))&gt;0)),"Last Name, ","")&amp;IF(OR(LEN($E100)&gt;1,AND($E100&lt;&gt;"",SUMPRODUCT(--(ROW($1:$1)&lt;=LEN($E100&amp;"")),--ISERROR(FIND(MID($E100&amp;"",ROW($1:$1),1),"ABCDEFGHIJKLMNOPQRSTUVWXYZabcdefghijklmnopqrstuvwxyz .,")))&gt;0)),"Middle Initial, ","")&amp;IF(OR($F100="",LEN($F100)&gt;75),"Address, ","")&amp;IF(OR($H100="",LEN($H100)&gt;30),"City, ","")&amp;IF(AND($K100="US",OR($I100="",LEN($I100)&lt;&gt;2)),"State, ","")&amp;IF($J100="","ZIP, ","")&amp;IF(OR($K100="",AND($K100&lt;&gt;"US",$K100&lt;&gt;"CA")),"Country, ","")&amp;IF(OR($L100="",AND($L100&lt;&gt;"",OR(NOT(ISNUMBER($L100)),$L100&lt;=DATE(1900,1,1),$L100&gt;TODAY()))),"Birthdate, ","")&amp;IF(AND($N100&lt;&gt;"",NOT(IFERROR(AND(ISNUMBER(SEARCH("@",$N100)),ISNUMBER(SEARCH(".",$N100,SEARCH("@",$N100)+2))),FALSE))),"Email, ","")&amp;IF(OR(AND($B100&lt;&gt;"",$O100=""),AND($O100&lt;&gt;"",$O100&lt;&gt;"Spouse or Common Law Spouse",$O100&lt;&gt;"Domestic Partner",$O100&lt;&gt;"Child",$O100&lt;&gt;"Other",$O100&lt;&gt;"Estate",$O100&lt;&gt;"Unknown")),"Dependent Relationship, ","")&amp;IF($AA100&lt;&gt;"","Household, ","")&amp;IF(OR($P100="",AND($P100&lt;&gt;"",OR(NOT(ISNUMBER($P100)),$P100&lt;=DATE(1900,1,1)))),"Eligibility Date, ","")&amp;IF(OR(AND($R100="Terminated",$Q100=""),AND($Q100&lt;&gt;"",OR(NOT(ISNUMBER($Q100)),$Q100&lt;=DATE(1900,1,1))),AND(ISNUMBER($P100),ISNUMBER($Q100),$Q100&lt;$P100)),"Termination Date, ","")&amp;IF(OR($R100="",AND($R100&lt;&gt;"Active",$R100&lt;&gt;"Terminated"),AND('START HERE'!$C$8="Terminations Only",$R100&lt;&gt;"Terminated")),"Status, ","")&amp;IF($S100="","Plan Name, ","")&amp;IF($T100="","Coverage Level, ","")&amp;IF(AND($U100&lt;&gt;"",OR(NOT(ISNUMBER($U100)),$U100&lt;0)),"Funding, ","")&amp;IF(AND($A100&lt;&gt;"",$S100&lt;&gt;"",COUNTIFS($A$2:$A$501,$A100,$B$2:$B$501,$B100,$S$2:$S$501,$S100)&gt;1),"Duplicate Row, ",""))</f>
        <v/>
      </c>
      <c r="AF100">
        <f>IF(COUNTA($A100:$U100)=0,"",$Y100&amp;$Z100&amp;$AA100&amp;$AB100&amp;$AC100)</f>
        <v/>
      </c>
      <c r="AG100">
        <f>IF($N100="","",LOWER(TRIM($N100)))</f>
        <v/>
      </c>
      <c r="AH100">
        <f>IF($A100="","",COUNTIFS($A$2:$A$501,$A100,$AI$2:$AI$501,1))</f>
        <v/>
      </c>
      <c r="AI100">
        <f>IF(COUNTA($A100:$U100)=0,"",--($AF100&lt;&gt;""))</f>
        <v/>
      </c>
      <c r="AJ100">
        <f>IF(COUNTA($A100:$U100)=0,"",--($AD100&lt;&gt;""))</f>
        <v/>
      </c>
    </row>
    <row r="101" ht="20" customHeight="1">
      <c r="A101" s="80" t="n"/>
      <c r="B101" s="80" t="n"/>
      <c r="C101" s="81" t="n"/>
      <c r="D101" s="81" t="n"/>
      <c r="E101" s="80" t="n"/>
      <c r="F101" s="81" t="n"/>
      <c r="G101" s="81" t="n"/>
      <c r="H101" s="81" t="n"/>
      <c r="I101" s="80" t="n"/>
      <c r="J101" s="80" t="n"/>
      <c r="K101" s="80" t="n"/>
      <c r="L101" s="82" t="n"/>
      <c r="M101" s="80" t="n"/>
      <c r="N101" s="80" t="n"/>
      <c r="O101" s="80" t="n"/>
      <c r="P101" s="82" t="n"/>
      <c r="Q101" s="82" t="n"/>
      <c r="R101" s="80" t="n"/>
      <c r="S101" s="80" t="n"/>
      <c r="T101" s="80" t="n"/>
      <c r="U101" s="83" t="n"/>
      <c r="V101">
        <f>IF($A101="","",IF($A101=$A100,$V100,IF($V100="",0,1-$V100)))</f>
        <v/>
      </c>
      <c r="W101">
        <f>IF($B101&lt;&gt;"",$B101,$A101)</f>
        <v/>
      </c>
      <c r="X101">
        <f>IF(COUNTA($A101:$U101)=0,"",IF(OR($B101&lt;&gt;"",$O101&lt;&gt;""),"Dependent","Employee"))</f>
        <v/>
      </c>
      <c r="Y101">
        <f>IF(COUNTA($A101:$U101)=0,"",IF($A101="","Employee SSN is required; ","")&amp;IF($C101="","First Name is required; ","")&amp;IF(LEN($C101&amp;"")&gt;19,"First Name exceeds 19 characters; ","")&amp;IF(AND($C101&lt;&gt;"",SUMPRODUCT(--(ROW($1:$19)&lt;=LEN($C101&amp;"")),--ISERROR(FIND(MID($C101&amp;"",ROW($1:$19),1),"ABCDEFGHIJKLMNOPQRSTUVWXYZabcdefghijklmnopqrstuvwxyz .,")))&gt;0),"First Name contains unsupported or encoded characters; use plain A-Z letters only; ","")&amp;IF($D101="","Last Name is required; ","")&amp;IF(LEN($D101&amp;"")&gt;26,"Last Name exceeds 26 characters; ","")&amp;IF(AND($D101&lt;&gt;"",SUMPRODUCT(--(ROW($1:$26)&lt;=LEN($D101&amp;"")),--ISERROR(FIND(MID($D101&amp;"",ROW($1:$26),1),"ABCDEFGHIJKLMNOPQRSTUVWXYZabcdefghijklmnopqrstuvwxyz .,")))&gt;0),"Last Name contains unsupported or encoded characters; use plain A-Z letters only; ","")&amp;IF(LEN($E101&amp;"")&gt;1,"Middle Initial may contain only one character; ","")&amp;IF(AND($E101&lt;&gt;"",SUMPRODUCT(--(ROW($1:$1)&lt;=LEN($E101&amp;"")),--ISERROR(FIND(MID($E101&amp;"",ROW($1:$1),1),"ABCDEFGHIJKLMNOPQRSTUVWXYZabcdefghijklmnopqrstuvwxyz .,")))&gt;0),"Middle Initial must be a plain A-Z letter; ","")&amp;IF($F101="","Address is required; ","")&amp;IF(LEN($F101&amp;"")&gt;75,"Address exceeds 75 characters; ","")&amp;IF(LEN($G101&amp;"")&gt;75,"Address 2 exceeds 75 characters; ","")&amp;IF($H101="","City is required; ","")&amp;IF(LEN($H101&amp;"")&gt;30,"City exceeds 30 characters; ","")&amp;IF($K101="","Country is required; ","")&amp;IF(AND($K101&lt;&gt;"",$K101&lt;&gt;"US",$K101&lt;&gt;"CA"),"Country must be US or CA; ","")&amp;IF(AND($K101="US",OR($I101="",LEN($I101&amp;"")&lt;&gt;2)),"Use a 2-letter state code; ","")&amp;IF($J101="","ZIP or postal code is required; ","")&amp;IF(AND($K101="US",$J101&lt;&gt;"",NOT(IFERROR(OR(AND(LEN($J101&amp;"")=5,ISNUMBER(--($J101&amp;""))),AND(LEN($J101&amp;"")=9,ISNUMBER(--($J101&amp;""))),AND(LEN($J101&amp;"")=10,MID($J101&amp;"",6,1)="-",ISNUMBER(--SUBSTITUTE($J101&amp;"","-","")))),FALSE))),"US ZIP must be 5 or 9 digits, with an optional ZIP+4 hyphen; ","")&amp;IF(AND($N101&lt;&gt;"",NOT(IFERROR(AND(ISNUMBER(SEARCH("@",$N101)),ISNUMBER(SEARCH(".",$N101,SEARCH("@",$N101)+2))),FALSE))),"Email format appears invalid; ","")&amp;IF(AND($O101&lt;&gt;"",$B101=""),"Dependent SSN is required for every dependent; ","")&amp;IF(AND($B101&lt;&gt;"",$O101=""),"Dependent Relationship is required when Dependent SSN is entered; ","")&amp;IF(AND($O101&lt;&gt;"",$O101&lt;&gt;"Spouse or Common Law Spouse",$O101&lt;&gt;"Domestic Partner",$O101&lt;&gt;"Child",$O101&lt;&gt;"Other",$O101&lt;&gt;"Estate",$O101&lt;&gt;"Unknown"),"Dependent Relationship must use one of the approved options; ",""))</f>
        <v/>
      </c>
      <c r="Z101">
        <f>IF(COUNTA($A101:$U101)=0,"",IF(AND($A101&lt;&gt;"",NOT(IFERROR(AND(LEN($A101&amp;"")=9,ISNUMBER(--($A101&amp;""))),FALSE))),"Employee SSN must contain exactly 9 digits; ","")&amp;IF(AND($A101&lt;&gt;"",OR($A101="123456789",$A101="987654321",$A101="012345678",$A101=REPT(LEFT($A101&amp;"",1),9))),"Employee SSN appears to be a placeholder; ","")&amp;IF(AND($B101&lt;&gt;"",NOT(IFERROR(AND(LEN($B101&amp;"")=9,ISNUMBER(--($B101&amp;""))),FALSE))),"Dependent SSN must contain exactly 9 digits; ","")&amp;IF(AND($B101&lt;&gt;"",OR($B101="123456789",$B101="987654321",$B101="012345678",$B101=REPT(LEFT($B101&amp;"",1),9))),"Dependent SSN appears to be a placeholder; ","")&amp;IF(AND($A101&lt;&gt;"",$B101&lt;&gt;"",$A101&amp;""=$B101&amp;""),"Dependent SSN cannot match Employee SSN; ","")&amp;IF(AND($W101&lt;&gt;"",OR(COUNTIFS($W$2:$W$501,$W101,$C$2:$C$501,"&lt;&gt;"&amp;$C101)&gt;0,COUNTIFS($W$2:$W$501,$W101,$D$2:$D$501,"&lt;&gt;"&amp;$D101)&gt;0,COUNTIFS($W$2:$W$501,$W101,$L$2:$L$501,"&lt;&gt;"&amp;$L101)&gt;0)),"The same SSN is associated with a different name or birthdate; ",""))</f>
        <v/>
      </c>
      <c r="AA101">
        <f>IF(COUNTA($A101:$U101)=0,"",IF(AND($A101&lt;&gt;"",$S101&lt;&gt;"",COUNTIFS($A$2:$A$501,$A101,$S$2:$S$501,$S101,$B$2:$B$501,"",$O$2:$O$501,"")=0),"Add an employee row for this household and plan; ","")&amp;IF(AND($X101="Dependent",COUNTIFS($A$2:$A101,$A101,$S$2:$S101,$S101,$B$2:$B101,"",$O$2:$O101,"")=0),"Place the employee row before dependent rows for this plan; ","")&amp;IF(AND($X101="Dependent",COUNTIFS($A$2:$A$501,$A101,$S$2:$S$501,$S101,$B$2:$B$501,"",$O$2:$O$501,"")&gt;0,IFERROR(OR($P101&lt;&gt;LOOKUP(2,1/(($A$2:$A$501=$A101)*($S$2:$S$501=$S101)*($B$2:$B$501="")*($O$2:$O$501="")),$P$2:$P$501),$Q101&lt;&gt;LOOKUP(2,1/(($A$2:$A$501=$A101)*($S$2:$S$501=$S101)*($B$2:$B$501="")*($O$2:$O$501="")),$Q$2:$Q$501),$R101&lt;&gt;LOOKUP(2,1/(($A$2:$A$501=$A101)*($S$2:$S$501=$S101)*($B$2:$B$501="")*($O$2:$O$501="")),$R$2:$R$501),$T101&lt;&gt;LOOKUP(2,1/(($A$2:$A$501=$A101)*($S$2:$S$501=$S101)*($B$2:$B$501="")*($O$2:$O$501="")),$T$2:$T$501),$U101&lt;&gt;LOOKUP(2,1/(($A$2:$A$501=$A101)*($S$2:$S$501=$S101)*($B$2:$B$501="")*($O$2:$O$501="")),$U$2:$U$501)),FALSE)),"Dependent row does not match the employee row for eligibility, status, coverage level, or funding; ",""))</f>
        <v/>
      </c>
      <c r="AB101">
        <f>IF(COUNTA($A101:$U101)=0,"",IF($L101="","Birthdate is required; ","")&amp;IF(AND($L101&lt;&gt;"",OR(NOT(ISNUMBER($L101)),$L101&lt;=DATE(1900,1,1),$L101&gt;TODAY())),"Birthdate must be an exact valid past date; ","")&amp;IF($P101="","Eligibility Date is required; ","")&amp;IF(AND($P101&lt;&gt;"",OR(NOT(ISNUMBER($P101)),$P101&lt;=DATE(1900,1,1))),"Eligibility Date must be a valid date; ","")&amp;IF(AND($R101="Terminated",$Q101=""),"Termination Date is required when Status is Terminated; ","")&amp;IF(AND($Q101&lt;&gt;"",OR(NOT(ISNUMBER($Q101)),$Q101&lt;=DATE(1900,1,1))),"Termination Date must be a valid date; ","")&amp;IF(AND(ISNUMBER($P101),ISNUMBER($Q101),$Q101&lt;$P101),"Termination Date cannot be before Eligibility Date; ","")&amp;IF($R101="","Status is required; ","")&amp;IF(AND($R101&lt;&gt;"",$R101&lt;&gt;"Active",$R101&lt;&gt;"Terminated"),"Status must be Active or Terminated; ","")&amp;IF(AND('START HERE'!$C$8="Terminations Only",$R101&lt;&gt;"Terminated"),"Terminations Only files must contain terminated records; ",""))</f>
        <v/>
      </c>
      <c r="AC101">
        <f>IF(COUNTA($A101:$U101)=0,"",IF($S101="","Plan Name is required; ","")&amp;IF($T101="","Benefit Coverage Level is required; ","")&amp;IF(AND($U101&lt;&gt;"",OR(NOT(ISNUMBER($U101)),$U101&lt;0)),"Plan Funding Amount must be a nonnegative number; ","")&amp;IF(AND($A101&lt;&gt;"",$S101&lt;&gt;"",COUNTIFS($A$2:$A$501,$A101,$B$2:$B$501,$B101,$S$2:$S$501,$S101)&gt;1),"Duplicate participant and plan row; ",""))</f>
        <v/>
      </c>
      <c r="AD101">
        <f>IF(COUNTA($A101:$U101)=0,"",IF(AND($X101="Employee",$M101="",$N101=""),"No employee phone or email provided; ","")&amp;IF(AND($R101="Active",$Q101&lt;&gt;""),"Active record includes a Termination Date; confirm this is intentional; ","")&amp;IF(AND($B101&lt;&gt;"",$B101&amp;""&lt;&gt;$A101&amp;"",COUNTIF($A$2:$A$501,$B101)&gt;0),"Dependent SSN also appears as an Employee SSN elsewhere; confirm dual-employee coverage is intentional; ","")&amp;IF(AND($B101&lt;&gt;"",COUNTIF($B$2:$B$501,$B101)&gt;COUNTIFS($A$2:$A$501,$A101,$B$2:$B$501,$B101)),"Dependent SSN appears under more than one employee; confirm duplicate family coverage is intentional; ","")&amp;IF(AND(ROW()&gt;2,$A101&lt;&gt;"",$A101&lt;&gt;$A100,COUNTIF($A$2:$A100,$A101)&gt;0),"This household appears in more than one section of the census; keep the family together; ","")&amp;IF(OR(AND($C101&lt;&gt;"",LEN($C101&amp;"")&lt;&gt;LEN(TRIM($C101&amp;""))),AND($D101&lt;&gt;"",LEN($D101&amp;"")&lt;&gt;LEN(TRIM($D101&amp;""))),AND($E101&lt;&gt;"",LEN($E101&amp;"")&lt;&gt;LEN(TRIM($E101&amp;""))),AND($F101&lt;&gt;"",LEN($F101&amp;"")&lt;&gt;LEN(TRIM($F101&amp;""))),AND($G101&lt;&gt;"",LEN($G101&amp;"")&lt;&gt;LEN(TRIM($G101&amp;""))),AND($H101&lt;&gt;"",LEN($H101&amp;"")&lt;&gt;LEN(TRIM($H101&amp;""))),AND($I101&lt;&gt;"",LEN($I101&amp;"")&lt;&gt;LEN(TRIM($I101&amp;""))),AND($J101&lt;&gt;"",LEN($J101&amp;"")&lt;&gt;LEN(TRIM($J101&amp;""))),AND($K101&lt;&gt;"",LEN($K101&amp;"")&lt;&gt;LEN(TRIM($K101&amp;""))),AND($M101&lt;&gt;"",LEN($M101&amp;"")&lt;&gt;LEN(TRIM($M101&amp;""))),AND($N101&lt;&gt;"",LEN($N101&amp;"")&lt;&gt;LEN(TRIM($N101&amp;""))),AND($O101&lt;&gt;"",LEN($O101&amp;"")&lt;&gt;LEN(TRIM($O101&amp;""))),AND($R101&lt;&gt;"",LEN($R101&amp;"")&lt;&gt;LEN(TRIM($R101&amp;""))),AND($S101&lt;&gt;"",LEN($S101&amp;"")&lt;&gt;LEN(TRIM($S101&amp;""))),AND($T101&lt;&gt;"",LEN($T101&amp;"")&lt;&gt;LEN(TRIM($T101&amp;"")))),"Remove leading or trailing spaces from text fields; ","")&amp;IF(OR(AND(LEN($C101)&gt;1,OR(EXACT($C101,UPPER($C101)),EXACT($C101,LOWER($C101)))),AND(LEN($D101)&gt;1,OR(EXACT($D101,UPPER($D101)),EXACT($D101,LOWER($D101)))),AND(LEN($H101)&gt;1,OR(EXACT($H101,UPPER($H101)),EXACT($H101,LOWER($H101))))),"Review capitalization in First Name, Last Name, or City; ","")&amp;IF(AND($N101&lt;&gt;"",NOT(EXACT($N101,LOWER($N101)))),"Email will be standardized to lowercase in the clean output; ","")&amp;IF(AND(OR('START HERE'!$C$8="Initial Enrollment",'START HERE'!$C$8="Open Enrollment"),$R101="Terminated"),"A terminated row is included in an initial or open enrollment file; confirm this is intentional; ",""))</f>
        <v/>
      </c>
      <c r="AE101">
        <f>IF(COUNTA($A101:$U101)=0,"",IF(OR($A101="",AND($A101&lt;&gt;"",NOT(IFERROR(AND(LEN($A101&amp;"")=9,ISNUMBER(--($A101&amp;""))),FALSE))),AND($A101&lt;&gt;"",OR($A101="123456789",$A101="987654321",$A101="012345678",$A101=REPT(LEFT($A101&amp;"",1),9)))),"Employee SSN, ","")&amp;IF(OR(AND($O101&lt;&gt;"",$B101=""),AND($B101&lt;&gt;"",OR(NOT(IFERROR(AND(LEN($B101&amp;"")=9,ISNUMBER(--($B101&amp;""))),FALSE)),$B101=$A101,$B101="123456789",$B101="987654321",$B101="012345678",$B101=REPT(LEFT($B101&amp;"",1),9)))),"Dependent SSN, ","")&amp;IF(OR($C101="",LEN($C101)&gt;19,AND($C101&lt;&gt;"",SUMPRODUCT(--(ROW($1:$19)&lt;=LEN($C101&amp;"")),--ISERROR(FIND(MID($C101&amp;"",ROW($1:$19),1),"ABCDEFGHIJKLMNOPQRSTUVWXYZabcdefghijklmnopqrstuvwxyz .,")))&gt;0)),"First Name, ","")&amp;IF(OR($D101="",LEN($D101)&gt;26,AND($D101&lt;&gt;"",SUMPRODUCT(--(ROW($1:$26)&lt;=LEN($D101&amp;"")),--ISERROR(FIND(MID($D101&amp;"",ROW($1:$26),1),"ABCDEFGHIJKLMNOPQRSTUVWXYZabcdefghijklmnopqrstuvwxyz .,")))&gt;0)),"Last Name, ","")&amp;IF(OR(LEN($E101)&gt;1,AND($E101&lt;&gt;"",SUMPRODUCT(--(ROW($1:$1)&lt;=LEN($E101&amp;"")),--ISERROR(FIND(MID($E101&amp;"",ROW($1:$1),1),"ABCDEFGHIJKLMNOPQRSTUVWXYZabcdefghijklmnopqrstuvwxyz .,")))&gt;0)),"Middle Initial, ","")&amp;IF(OR($F101="",LEN($F101)&gt;75),"Address, ","")&amp;IF(OR($H101="",LEN($H101)&gt;30),"City, ","")&amp;IF(AND($K101="US",OR($I101="",LEN($I101)&lt;&gt;2)),"State, ","")&amp;IF($J101="","ZIP, ","")&amp;IF(OR($K101="",AND($K101&lt;&gt;"US",$K101&lt;&gt;"CA")),"Country, ","")&amp;IF(OR($L101="",AND($L101&lt;&gt;"",OR(NOT(ISNUMBER($L101)),$L101&lt;=DATE(1900,1,1),$L101&gt;TODAY()))),"Birthdate, ","")&amp;IF(AND($N101&lt;&gt;"",NOT(IFERROR(AND(ISNUMBER(SEARCH("@",$N101)),ISNUMBER(SEARCH(".",$N101,SEARCH("@",$N101)+2))),FALSE))),"Email, ","")&amp;IF(OR(AND($B101&lt;&gt;"",$O101=""),AND($O101&lt;&gt;"",$O101&lt;&gt;"Spouse or Common Law Spouse",$O101&lt;&gt;"Domestic Partner",$O101&lt;&gt;"Child",$O101&lt;&gt;"Other",$O101&lt;&gt;"Estate",$O101&lt;&gt;"Unknown")),"Dependent Relationship, ","")&amp;IF($AA101&lt;&gt;"","Household, ","")&amp;IF(OR($P101="",AND($P101&lt;&gt;"",OR(NOT(ISNUMBER($P101)),$P101&lt;=DATE(1900,1,1)))),"Eligibility Date, ","")&amp;IF(OR(AND($R101="Terminated",$Q101=""),AND($Q101&lt;&gt;"",OR(NOT(ISNUMBER($Q101)),$Q101&lt;=DATE(1900,1,1))),AND(ISNUMBER($P101),ISNUMBER($Q101),$Q101&lt;$P101)),"Termination Date, ","")&amp;IF(OR($R101="",AND($R101&lt;&gt;"Active",$R101&lt;&gt;"Terminated"),AND('START HERE'!$C$8="Terminations Only",$R101&lt;&gt;"Terminated")),"Status, ","")&amp;IF($S101="","Plan Name, ","")&amp;IF($T101="","Coverage Level, ","")&amp;IF(AND($U101&lt;&gt;"",OR(NOT(ISNUMBER($U101)),$U101&lt;0)),"Funding, ","")&amp;IF(AND($A101&lt;&gt;"",$S101&lt;&gt;"",COUNTIFS($A$2:$A$501,$A101,$B$2:$B$501,$B101,$S$2:$S$501,$S101)&gt;1),"Duplicate Row, ",""))</f>
        <v/>
      </c>
      <c r="AF101">
        <f>IF(COUNTA($A101:$U101)=0,"",$Y101&amp;$Z101&amp;$AA101&amp;$AB101&amp;$AC101)</f>
        <v/>
      </c>
      <c r="AG101">
        <f>IF($N101="","",LOWER(TRIM($N101)))</f>
        <v/>
      </c>
      <c r="AH101">
        <f>IF($A101="","",COUNTIFS($A$2:$A$501,$A101,$AI$2:$AI$501,1))</f>
        <v/>
      </c>
      <c r="AI101">
        <f>IF(COUNTA($A101:$U101)=0,"",--($AF101&lt;&gt;""))</f>
        <v/>
      </c>
      <c r="AJ101">
        <f>IF(COUNTA($A101:$U101)=0,"",--($AD101&lt;&gt;""))</f>
        <v/>
      </c>
    </row>
    <row r="102" ht="20" customHeight="1">
      <c r="A102" s="80" t="n"/>
      <c r="B102" s="80" t="n"/>
      <c r="C102" s="81" t="n"/>
      <c r="D102" s="81" t="n"/>
      <c r="E102" s="80" t="n"/>
      <c r="F102" s="81" t="n"/>
      <c r="G102" s="81" t="n"/>
      <c r="H102" s="81" t="n"/>
      <c r="I102" s="80" t="n"/>
      <c r="J102" s="80" t="n"/>
      <c r="K102" s="80" t="n"/>
      <c r="L102" s="82" t="n"/>
      <c r="M102" s="80" t="n"/>
      <c r="N102" s="80" t="n"/>
      <c r="O102" s="80" t="n"/>
      <c r="P102" s="82" t="n"/>
      <c r="Q102" s="82" t="n"/>
      <c r="R102" s="80" t="n"/>
      <c r="S102" s="80" t="n"/>
      <c r="T102" s="80" t="n"/>
      <c r="U102" s="83" t="n"/>
      <c r="V102">
        <f>IF($A102="","",IF($A102=$A101,$V101,IF($V101="",0,1-$V101)))</f>
        <v/>
      </c>
      <c r="W102">
        <f>IF($B102&lt;&gt;"",$B102,$A102)</f>
        <v/>
      </c>
      <c r="X102">
        <f>IF(COUNTA($A102:$U102)=0,"",IF(OR($B102&lt;&gt;"",$O102&lt;&gt;""),"Dependent","Employee"))</f>
        <v/>
      </c>
      <c r="Y102">
        <f>IF(COUNTA($A102:$U102)=0,"",IF($A102="","Employee SSN is required; ","")&amp;IF($C102="","First Name is required; ","")&amp;IF(LEN($C102&amp;"")&gt;19,"First Name exceeds 19 characters; ","")&amp;IF(AND($C102&lt;&gt;"",SUMPRODUCT(--(ROW($1:$19)&lt;=LEN($C102&amp;"")),--ISERROR(FIND(MID($C102&amp;"",ROW($1:$19),1),"ABCDEFGHIJKLMNOPQRSTUVWXYZabcdefghijklmnopqrstuvwxyz .,")))&gt;0),"First Name contains unsupported or encoded characters; use plain A-Z letters only; ","")&amp;IF($D102="","Last Name is required; ","")&amp;IF(LEN($D102&amp;"")&gt;26,"Last Name exceeds 26 characters; ","")&amp;IF(AND($D102&lt;&gt;"",SUMPRODUCT(--(ROW($1:$26)&lt;=LEN($D102&amp;"")),--ISERROR(FIND(MID($D102&amp;"",ROW($1:$26),1),"ABCDEFGHIJKLMNOPQRSTUVWXYZabcdefghijklmnopqrstuvwxyz .,")))&gt;0),"Last Name contains unsupported or encoded characters; use plain A-Z letters only; ","")&amp;IF(LEN($E102&amp;"")&gt;1,"Middle Initial may contain only one character; ","")&amp;IF(AND($E102&lt;&gt;"",SUMPRODUCT(--(ROW($1:$1)&lt;=LEN($E102&amp;"")),--ISERROR(FIND(MID($E102&amp;"",ROW($1:$1),1),"ABCDEFGHIJKLMNOPQRSTUVWXYZabcdefghijklmnopqrstuvwxyz .,")))&gt;0),"Middle Initial must be a plain A-Z letter; ","")&amp;IF($F102="","Address is required; ","")&amp;IF(LEN($F102&amp;"")&gt;75,"Address exceeds 75 characters; ","")&amp;IF(LEN($G102&amp;"")&gt;75,"Address 2 exceeds 75 characters; ","")&amp;IF($H102="","City is required; ","")&amp;IF(LEN($H102&amp;"")&gt;30,"City exceeds 30 characters; ","")&amp;IF($K102="","Country is required; ","")&amp;IF(AND($K102&lt;&gt;"",$K102&lt;&gt;"US",$K102&lt;&gt;"CA"),"Country must be US or CA; ","")&amp;IF(AND($K102="US",OR($I102="",LEN($I102&amp;"")&lt;&gt;2)),"Use a 2-letter state code; ","")&amp;IF($J102="","ZIP or postal code is required; ","")&amp;IF(AND($K102="US",$J102&lt;&gt;"",NOT(IFERROR(OR(AND(LEN($J102&amp;"")=5,ISNUMBER(--($J102&amp;""))),AND(LEN($J102&amp;"")=9,ISNUMBER(--($J102&amp;""))),AND(LEN($J102&amp;"")=10,MID($J102&amp;"",6,1)="-",ISNUMBER(--SUBSTITUTE($J102&amp;"","-","")))),FALSE))),"US ZIP must be 5 or 9 digits, with an optional ZIP+4 hyphen; ","")&amp;IF(AND($N102&lt;&gt;"",NOT(IFERROR(AND(ISNUMBER(SEARCH("@",$N102)),ISNUMBER(SEARCH(".",$N102,SEARCH("@",$N102)+2))),FALSE))),"Email format appears invalid; ","")&amp;IF(AND($O102&lt;&gt;"",$B102=""),"Dependent SSN is required for every dependent; ","")&amp;IF(AND($B102&lt;&gt;"",$O102=""),"Dependent Relationship is required when Dependent SSN is entered; ","")&amp;IF(AND($O102&lt;&gt;"",$O102&lt;&gt;"Spouse or Common Law Spouse",$O102&lt;&gt;"Domestic Partner",$O102&lt;&gt;"Child",$O102&lt;&gt;"Other",$O102&lt;&gt;"Estate",$O102&lt;&gt;"Unknown"),"Dependent Relationship must use one of the approved options; ",""))</f>
        <v/>
      </c>
      <c r="Z102">
        <f>IF(COUNTA($A102:$U102)=0,"",IF(AND($A102&lt;&gt;"",NOT(IFERROR(AND(LEN($A102&amp;"")=9,ISNUMBER(--($A102&amp;""))),FALSE))),"Employee SSN must contain exactly 9 digits; ","")&amp;IF(AND($A102&lt;&gt;"",OR($A102="123456789",$A102="987654321",$A102="012345678",$A102=REPT(LEFT($A102&amp;"",1),9))),"Employee SSN appears to be a placeholder; ","")&amp;IF(AND($B102&lt;&gt;"",NOT(IFERROR(AND(LEN($B102&amp;"")=9,ISNUMBER(--($B102&amp;""))),FALSE))),"Dependent SSN must contain exactly 9 digits; ","")&amp;IF(AND($B102&lt;&gt;"",OR($B102="123456789",$B102="987654321",$B102="012345678",$B102=REPT(LEFT($B102&amp;"",1),9))),"Dependent SSN appears to be a placeholder; ","")&amp;IF(AND($A102&lt;&gt;"",$B102&lt;&gt;"",$A102&amp;""=$B102&amp;""),"Dependent SSN cannot match Employee SSN; ","")&amp;IF(AND($W102&lt;&gt;"",OR(COUNTIFS($W$2:$W$501,$W102,$C$2:$C$501,"&lt;&gt;"&amp;$C102)&gt;0,COUNTIFS($W$2:$W$501,$W102,$D$2:$D$501,"&lt;&gt;"&amp;$D102)&gt;0,COUNTIFS($W$2:$W$501,$W102,$L$2:$L$501,"&lt;&gt;"&amp;$L102)&gt;0)),"The same SSN is associated with a different name or birthdate; ",""))</f>
        <v/>
      </c>
      <c r="AA102">
        <f>IF(COUNTA($A102:$U102)=0,"",IF(AND($A102&lt;&gt;"",$S102&lt;&gt;"",COUNTIFS($A$2:$A$501,$A102,$S$2:$S$501,$S102,$B$2:$B$501,"",$O$2:$O$501,"")=0),"Add an employee row for this household and plan; ","")&amp;IF(AND($X102="Dependent",COUNTIFS($A$2:$A102,$A102,$S$2:$S102,$S102,$B$2:$B102,"",$O$2:$O102,"")=0),"Place the employee row before dependent rows for this plan; ","")&amp;IF(AND($X102="Dependent",COUNTIFS($A$2:$A$501,$A102,$S$2:$S$501,$S102,$B$2:$B$501,"",$O$2:$O$501,"")&gt;0,IFERROR(OR($P102&lt;&gt;LOOKUP(2,1/(($A$2:$A$501=$A102)*($S$2:$S$501=$S102)*($B$2:$B$501="")*($O$2:$O$501="")),$P$2:$P$501),$Q102&lt;&gt;LOOKUP(2,1/(($A$2:$A$501=$A102)*($S$2:$S$501=$S102)*($B$2:$B$501="")*($O$2:$O$501="")),$Q$2:$Q$501),$R102&lt;&gt;LOOKUP(2,1/(($A$2:$A$501=$A102)*($S$2:$S$501=$S102)*($B$2:$B$501="")*($O$2:$O$501="")),$R$2:$R$501),$T102&lt;&gt;LOOKUP(2,1/(($A$2:$A$501=$A102)*($S$2:$S$501=$S102)*($B$2:$B$501="")*($O$2:$O$501="")),$T$2:$T$501),$U102&lt;&gt;LOOKUP(2,1/(($A$2:$A$501=$A102)*($S$2:$S$501=$S102)*($B$2:$B$501="")*($O$2:$O$501="")),$U$2:$U$501)),FALSE)),"Dependent row does not match the employee row for eligibility, status, coverage level, or funding; ",""))</f>
        <v/>
      </c>
      <c r="AB102">
        <f>IF(COUNTA($A102:$U102)=0,"",IF($L102="","Birthdate is required; ","")&amp;IF(AND($L102&lt;&gt;"",OR(NOT(ISNUMBER($L102)),$L102&lt;=DATE(1900,1,1),$L102&gt;TODAY())),"Birthdate must be an exact valid past date; ","")&amp;IF($P102="","Eligibility Date is required; ","")&amp;IF(AND($P102&lt;&gt;"",OR(NOT(ISNUMBER($P102)),$P102&lt;=DATE(1900,1,1))),"Eligibility Date must be a valid date; ","")&amp;IF(AND($R102="Terminated",$Q102=""),"Termination Date is required when Status is Terminated; ","")&amp;IF(AND($Q102&lt;&gt;"",OR(NOT(ISNUMBER($Q102)),$Q102&lt;=DATE(1900,1,1))),"Termination Date must be a valid date; ","")&amp;IF(AND(ISNUMBER($P102),ISNUMBER($Q102),$Q102&lt;$P102),"Termination Date cannot be before Eligibility Date; ","")&amp;IF($R102="","Status is required; ","")&amp;IF(AND($R102&lt;&gt;"",$R102&lt;&gt;"Active",$R102&lt;&gt;"Terminated"),"Status must be Active or Terminated; ","")&amp;IF(AND('START HERE'!$C$8="Terminations Only",$R102&lt;&gt;"Terminated"),"Terminations Only files must contain terminated records; ",""))</f>
        <v/>
      </c>
      <c r="AC102">
        <f>IF(COUNTA($A102:$U102)=0,"",IF($S102="","Plan Name is required; ","")&amp;IF($T102="","Benefit Coverage Level is required; ","")&amp;IF(AND($U102&lt;&gt;"",OR(NOT(ISNUMBER($U102)),$U102&lt;0)),"Plan Funding Amount must be a nonnegative number; ","")&amp;IF(AND($A102&lt;&gt;"",$S102&lt;&gt;"",COUNTIFS($A$2:$A$501,$A102,$B$2:$B$501,$B102,$S$2:$S$501,$S102)&gt;1),"Duplicate participant and plan row; ",""))</f>
        <v/>
      </c>
      <c r="AD102">
        <f>IF(COUNTA($A102:$U102)=0,"",IF(AND($X102="Employee",$M102="",$N102=""),"No employee phone or email provided; ","")&amp;IF(AND($R102="Active",$Q102&lt;&gt;""),"Active record includes a Termination Date; confirm this is intentional; ","")&amp;IF(AND($B102&lt;&gt;"",$B102&amp;""&lt;&gt;$A102&amp;"",COUNTIF($A$2:$A$501,$B102)&gt;0),"Dependent SSN also appears as an Employee SSN elsewhere; confirm dual-employee coverage is intentional; ","")&amp;IF(AND($B102&lt;&gt;"",COUNTIF($B$2:$B$501,$B102)&gt;COUNTIFS($A$2:$A$501,$A102,$B$2:$B$501,$B102)),"Dependent SSN appears under more than one employee; confirm duplicate family coverage is intentional; ","")&amp;IF(AND(ROW()&gt;2,$A102&lt;&gt;"",$A102&lt;&gt;$A101,COUNTIF($A$2:$A101,$A102)&gt;0),"This household appears in more than one section of the census; keep the family together; ","")&amp;IF(OR(AND($C102&lt;&gt;"",LEN($C102&amp;"")&lt;&gt;LEN(TRIM($C102&amp;""))),AND($D102&lt;&gt;"",LEN($D102&amp;"")&lt;&gt;LEN(TRIM($D102&amp;""))),AND($E102&lt;&gt;"",LEN($E102&amp;"")&lt;&gt;LEN(TRIM($E102&amp;""))),AND($F102&lt;&gt;"",LEN($F102&amp;"")&lt;&gt;LEN(TRIM($F102&amp;""))),AND($G102&lt;&gt;"",LEN($G102&amp;"")&lt;&gt;LEN(TRIM($G102&amp;""))),AND($H102&lt;&gt;"",LEN($H102&amp;"")&lt;&gt;LEN(TRIM($H102&amp;""))),AND($I102&lt;&gt;"",LEN($I102&amp;"")&lt;&gt;LEN(TRIM($I102&amp;""))),AND($J102&lt;&gt;"",LEN($J102&amp;"")&lt;&gt;LEN(TRIM($J102&amp;""))),AND($K102&lt;&gt;"",LEN($K102&amp;"")&lt;&gt;LEN(TRIM($K102&amp;""))),AND($M102&lt;&gt;"",LEN($M102&amp;"")&lt;&gt;LEN(TRIM($M102&amp;""))),AND($N102&lt;&gt;"",LEN($N102&amp;"")&lt;&gt;LEN(TRIM($N102&amp;""))),AND($O102&lt;&gt;"",LEN($O102&amp;"")&lt;&gt;LEN(TRIM($O102&amp;""))),AND($R102&lt;&gt;"",LEN($R102&amp;"")&lt;&gt;LEN(TRIM($R102&amp;""))),AND($S102&lt;&gt;"",LEN($S102&amp;"")&lt;&gt;LEN(TRIM($S102&amp;""))),AND($T102&lt;&gt;"",LEN($T102&amp;"")&lt;&gt;LEN(TRIM($T102&amp;"")))),"Remove leading or trailing spaces from text fields; ","")&amp;IF(OR(AND(LEN($C102)&gt;1,OR(EXACT($C102,UPPER($C102)),EXACT($C102,LOWER($C102)))),AND(LEN($D102)&gt;1,OR(EXACT($D102,UPPER($D102)),EXACT($D102,LOWER($D102)))),AND(LEN($H102)&gt;1,OR(EXACT($H102,UPPER($H102)),EXACT($H102,LOWER($H102))))),"Review capitalization in First Name, Last Name, or City; ","")&amp;IF(AND($N102&lt;&gt;"",NOT(EXACT($N102,LOWER($N102)))),"Email will be standardized to lowercase in the clean output; ","")&amp;IF(AND(OR('START HERE'!$C$8="Initial Enrollment",'START HERE'!$C$8="Open Enrollment"),$R102="Terminated"),"A terminated row is included in an initial or open enrollment file; confirm this is intentional; ",""))</f>
        <v/>
      </c>
      <c r="AE102">
        <f>IF(COUNTA($A102:$U102)=0,"",IF(OR($A102="",AND($A102&lt;&gt;"",NOT(IFERROR(AND(LEN($A102&amp;"")=9,ISNUMBER(--($A102&amp;""))),FALSE))),AND($A102&lt;&gt;"",OR($A102="123456789",$A102="987654321",$A102="012345678",$A102=REPT(LEFT($A102&amp;"",1),9)))),"Employee SSN, ","")&amp;IF(OR(AND($O102&lt;&gt;"",$B102=""),AND($B102&lt;&gt;"",OR(NOT(IFERROR(AND(LEN($B102&amp;"")=9,ISNUMBER(--($B102&amp;""))),FALSE)),$B102=$A102,$B102="123456789",$B102="987654321",$B102="012345678",$B102=REPT(LEFT($B102&amp;"",1),9)))),"Dependent SSN, ","")&amp;IF(OR($C102="",LEN($C102)&gt;19,AND($C102&lt;&gt;"",SUMPRODUCT(--(ROW($1:$19)&lt;=LEN($C102&amp;"")),--ISERROR(FIND(MID($C102&amp;"",ROW($1:$19),1),"ABCDEFGHIJKLMNOPQRSTUVWXYZabcdefghijklmnopqrstuvwxyz .,")))&gt;0)),"First Name, ","")&amp;IF(OR($D102="",LEN($D102)&gt;26,AND($D102&lt;&gt;"",SUMPRODUCT(--(ROW($1:$26)&lt;=LEN($D102&amp;"")),--ISERROR(FIND(MID($D102&amp;"",ROW($1:$26),1),"ABCDEFGHIJKLMNOPQRSTUVWXYZabcdefghijklmnopqrstuvwxyz .,")))&gt;0)),"Last Name, ","")&amp;IF(OR(LEN($E102)&gt;1,AND($E102&lt;&gt;"",SUMPRODUCT(--(ROW($1:$1)&lt;=LEN($E102&amp;"")),--ISERROR(FIND(MID($E102&amp;"",ROW($1:$1),1),"ABCDEFGHIJKLMNOPQRSTUVWXYZabcdefghijklmnopqrstuvwxyz .,")))&gt;0)),"Middle Initial, ","")&amp;IF(OR($F102="",LEN($F102)&gt;75),"Address, ","")&amp;IF(OR($H102="",LEN($H102)&gt;30),"City, ","")&amp;IF(AND($K102="US",OR($I102="",LEN($I102)&lt;&gt;2)),"State, ","")&amp;IF($J102="","ZIP, ","")&amp;IF(OR($K102="",AND($K102&lt;&gt;"US",$K102&lt;&gt;"CA")),"Country, ","")&amp;IF(OR($L102="",AND($L102&lt;&gt;"",OR(NOT(ISNUMBER($L102)),$L102&lt;=DATE(1900,1,1),$L102&gt;TODAY()))),"Birthdate, ","")&amp;IF(AND($N102&lt;&gt;"",NOT(IFERROR(AND(ISNUMBER(SEARCH("@",$N102)),ISNUMBER(SEARCH(".",$N102,SEARCH("@",$N102)+2))),FALSE))),"Email, ","")&amp;IF(OR(AND($B102&lt;&gt;"",$O102=""),AND($O102&lt;&gt;"",$O102&lt;&gt;"Spouse or Common Law Spouse",$O102&lt;&gt;"Domestic Partner",$O102&lt;&gt;"Child",$O102&lt;&gt;"Other",$O102&lt;&gt;"Estate",$O102&lt;&gt;"Unknown")),"Dependent Relationship, ","")&amp;IF($AA102&lt;&gt;"","Household, ","")&amp;IF(OR($P102="",AND($P102&lt;&gt;"",OR(NOT(ISNUMBER($P102)),$P102&lt;=DATE(1900,1,1)))),"Eligibility Date, ","")&amp;IF(OR(AND($R102="Terminated",$Q102=""),AND($Q102&lt;&gt;"",OR(NOT(ISNUMBER($Q102)),$Q102&lt;=DATE(1900,1,1))),AND(ISNUMBER($P102),ISNUMBER($Q102),$Q102&lt;$P102)),"Termination Date, ","")&amp;IF(OR($R102="",AND($R102&lt;&gt;"Active",$R102&lt;&gt;"Terminated"),AND('START HERE'!$C$8="Terminations Only",$R102&lt;&gt;"Terminated")),"Status, ","")&amp;IF($S102="","Plan Name, ","")&amp;IF($T102="","Coverage Level, ","")&amp;IF(AND($U102&lt;&gt;"",OR(NOT(ISNUMBER($U102)),$U102&lt;0)),"Funding, ","")&amp;IF(AND($A102&lt;&gt;"",$S102&lt;&gt;"",COUNTIFS($A$2:$A$501,$A102,$B$2:$B$501,$B102,$S$2:$S$501,$S102)&gt;1),"Duplicate Row, ",""))</f>
        <v/>
      </c>
      <c r="AF102">
        <f>IF(COUNTA($A102:$U102)=0,"",$Y102&amp;$Z102&amp;$AA102&amp;$AB102&amp;$AC102)</f>
        <v/>
      </c>
      <c r="AG102">
        <f>IF($N102="","",LOWER(TRIM($N102)))</f>
        <v/>
      </c>
      <c r="AH102">
        <f>IF($A102="","",COUNTIFS($A$2:$A$501,$A102,$AI$2:$AI$501,1))</f>
        <v/>
      </c>
      <c r="AI102">
        <f>IF(COUNTA($A102:$U102)=0,"",--($AF102&lt;&gt;""))</f>
        <v/>
      </c>
      <c r="AJ102">
        <f>IF(COUNTA($A102:$U102)=0,"",--($AD102&lt;&gt;""))</f>
        <v/>
      </c>
    </row>
    <row r="103" ht="20" customHeight="1">
      <c r="A103" s="80" t="n"/>
      <c r="B103" s="80" t="n"/>
      <c r="C103" s="81" t="n"/>
      <c r="D103" s="81" t="n"/>
      <c r="E103" s="80" t="n"/>
      <c r="F103" s="81" t="n"/>
      <c r="G103" s="81" t="n"/>
      <c r="H103" s="81" t="n"/>
      <c r="I103" s="80" t="n"/>
      <c r="J103" s="80" t="n"/>
      <c r="K103" s="80" t="n"/>
      <c r="L103" s="82" t="n"/>
      <c r="M103" s="80" t="n"/>
      <c r="N103" s="80" t="n"/>
      <c r="O103" s="80" t="n"/>
      <c r="P103" s="82" t="n"/>
      <c r="Q103" s="82" t="n"/>
      <c r="R103" s="80" t="n"/>
      <c r="S103" s="80" t="n"/>
      <c r="T103" s="80" t="n"/>
      <c r="U103" s="83" t="n"/>
      <c r="V103">
        <f>IF($A103="","",IF($A103=$A102,$V102,IF($V102="",0,1-$V102)))</f>
        <v/>
      </c>
      <c r="W103">
        <f>IF($B103&lt;&gt;"",$B103,$A103)</f>
        <v/>
      </c>
      <c r="X103">
        <f>IF(COUNTA($A103:$U103)=0,"",IF(OR($B103&lt;&gt;"",$O103&lt;&gt;""),"Dependent","Employee"))</f>
        <v/>
      </c>
      <c r="Y103">
        <f>IF(COUNTA($A103:$U103)=0,"",IF($A103="","Employee SSN is required; ","")&amp;IF($C103="","First Name is required; ","")&amp;IF(LEN($C103&amp;"")&gt;19,"First Name exceeds 19 characters; ","")&amp;IF(AND($C103&lt;&gt;"",SUMPRODUCT(--(ROW($1:$19)&lt;=LEN($C103&amp;"")),--ISERROR(FIND(MID($C103&amp;"",ROW($1:$19),1),"ABCDEFGHIJKLMNOPQRSTUVWXYZabcdefghijklmnopqrstuvwxyz .,")))&gt;0),"First Name contains unsupported or encoded characters; use plain A-Z letters only; ","")&amp;IF($D103="","Last Name is required; ","")&amp;IF(LEN($D103&amp;"")&gt;26,"Last Name exceeds 26 characters; ","")&amp;IF(AND($D103&lt;&gt;"",SUMPRODUCT(--(ROW($1:$26)&lt;=LEN($D103&amp;"")),--ISERROR(FIND(MID($D103&amp;"",ROW($1:$26),1),"ABCDEFGHIJKLMNOPQRSTUVWXYZabcdefghijklmnopqrstuvwxyz .,")))&gt;0),"Last Name contains unsupported or encoded characters; use plain A-Z letters only; ","")&amp;IF(LEN($E103&amp;"")&gt;1,"Middle Initial may contain only one character; ","")&amp;IF(AND($E103&lt;&gt;"",SUMPRODUCT(--(ROW($1:$1)&lt;=LEN($E103&amp;"")),--ISERROR(FIND(MID($E103&amp;"",ROW($1:$1),1),"ABCDEFGHIJKLMNOPQRSTUVWXYZabcdefghijklmnopqrstuvwxyz .,")))&gt;0),"Middle Initial must be a plain A-Z letter; ","")&amp;IF($F103="","Address is required; ","")&amp;IF(LEN($F103&amp;"")&gt;75,"Address exceeds 75 characters; ","")&amp;IF(LEN($G103&amp;"")&gt;75,"Address 2 exceeds 75 characters; ","")&amp;IF($H103="","City is required; ","")&amp;IF(LEN($H103&amp;"")&gt;30,"City exceeds 30 characters; ","")&amp;IF($K103="","Country is required; ","")&amp;IF(AND($K103&lt;&gt;"",$K103&lt;&gt;"US",$K103&lt;&gt;"CA"),"Country must be US or CA; ","")&amp;IF(AND($K103="US",OR($I103="",LEN($I103&amp;"")&lt;&gt;2)),"Use a 2-letter state code; ","")&amp;IF($J103="","ZIP or postal code is required; ","")&amp;IF(AND($K103="US",$J103&lt;&gt;"",NOT(IFERROR(OR(AND(LEN($J103&amp;"")=5,ISNUMBER(--($J103&amp;""))),AND(LEN($J103&amp;"")=9,ISNUMBER(--($J103&amp;""))),AND(LEN($J103&amp;"")=10,MID($J103&amp;"",6,1)="-",ISNUMBER(--SUBSTITUTE($J103&amp;"","-","")))),FALSE))),"US ZIP must be 5 or 9 digits, with an optional ZIP+4 hyphen; ","")&amp;IF(AND($N103&lt;&gt;"",NOT(IFERROR(AND(ISNUMBER(SEARCH("@",$N103)),ISNUMBER(SEARCH(".",$N103,SEARCH("@",$N103)+2))),FALSE))),"Email format appears invalid; ","")&amp;IF(AND($O103&lt;&gt;"",$B103=""),"Dependent SSN is required for every dependent; ","")&amp;IF(AND($B103&lt;&gt;"",$O103=""),"Dependent Relationship is required when Dependent SSN is entered; ","")&amp;IF(AND($O103&lt;&gt;"",$O103&lt;&gt;"Spouse or Common Law Spouse",$O103&lt;&gt;"Domestic Partner",$O103&lt;&gt;"Child",$O103&lt;&gt;"Other",$O103&lt;&gt;"Estate",$O103&lt;&gt;"Unknown"),"Dependent Relationship must use one of the approved options; ",""))</f>
        <v/>
      </c>
      <c r="Z103">
        <f>IF(COUNTA($A103:$U103)=0,"",IF(AND($A103&lt;&gt;"",NOT(IFERROR(AND(LEN($A103&amp;"")=9,ISNUMBER(--($A103&amp;""))),FALSE))),"Employee SSN must contain exactly 9 digits; ","")&amp;IF(AND($A103&lt;&gt;"",OR($A103="123456789",$A103="987654321",$A103="012345678",$A103=REPT(LEFT($A103&amp;"",1),9))),"Employee SSN appears to be a placeholder; ","")&amp;IF(AND($B103&lt;&gt;"",NOT(IFERROR(AND(LEN($B103&amp;"")=9,ISNUMBER(--($B103&amp;""))),FALSE))),"Dependent SSN must contain exactly 9 digits; ","")&amp;IF(AND($B103&lt;&gt;"",OR($B103="123456789",$B103="987654321",$B103="012345678",$B103=REPT(LEFT($B103&amp;"",1),9))),"Dependent SSN appears to be a placeholder; ","")&amp;IF(AND($A103&lt;&gt;"",$B103&lt;&gt;"",$A103&amp;""=$B103&amp;""),"Dependent SSN cannot match Employee SSN; ","")&amp;IF(AND($W103&lt;&gt;"",OR(COUNTIFS($W$2:$W$501,$W103,$C$2:$C$501,"&lt;&gt;"&amp;$C103)&gt;0,COUNTIFS($W$2:$W$501,$W103,$D$2:$D$501,"&lt;&gt;"&amp;$D103)&gt;0,COUNTIFS($W$2:$W$501,$W103,$L$2:$L$501,"&lt;&gt;"&amp;$L103)&gt;0)),"The same SSN is associated with a different name or birthdate; ",""))</f>
        <v/>
      </c>
      <c r="AA103">
        <f>IF(COUNTA($A103:$U103)=0,"",IF(AND($A103&lt;&gt;"",$S103&lt;&gt;"",COUNTIFS($A$2:$A$501,$A103,$S$2:$S$501,$S103,$B$2:$B$501,"",$O$2:$O$501,"")=0),"Add an employee row for this household and plan; ","")&amp;IF(AND($X103="Dependent",COUNTIFS($A$2:$A103,$A103,$S$2:$S103,$S103,$B$2:$B103,"",$O$2:$O103,"")=0),"Place the employee row before dependent rows for this plan; ","")&amp;IF(AND($X103="Dependent",COUNTIFS($A$2:$A$501,$A103,$S$2:$S$501,$S103,$B$2:$B$501,"",$O$2:$O$501,"")&gt;0,IFERROR(OR($P103&lt;&gt;LOOKUP(2,1/(($A$2:$A$501=$A103)*($S$2:$S$501=$S103)*($B$2:$B$501="")*($O$2:$O$501="")),$P$2:$P$501),$Q103&lt;&gt;LOOKUP(2,1/(($A$2:$A$501=$A103)*($S$2:$S$501=$S103)*($B$2:$B$501="")*($O$2:$O$501="")),$Q$2:$Q$501),$R103&lt;&gt;LOOKUP(2,1/(($A$2:$A$501=$A103)*($S$2:$S$501=$S103)*($B$2:$B$501="")*($O$2:$O$501="")),$R$2:$R$501),$T103&lt;&gt;LOOKUP(2,1/(($A$2:$A$501=$A103)*($S$2:$S$501=$S103)*($B$2:$B$501="")*($O$2:$O$501="")),$T$2:$T$501),$U103&lt;&gt;LOOKUP(2,1/(($A$2:$A$501=$A103)*($S$2:$S$501=$S103)*($B$2:$B$501="")*($O$2:$O$501="")),$U$2:$U$501)),FALSE)),"Dependent row does not match the employee row for eligibility, status, coverage level, or funding; ",""))</f>
        <v/>
      </c>
      <c r="AB103">
        <f>IF(COUNTA($A103:$U103)=0,"",IF($L103="","Birthdate is required; ","")&amp;IF(AND($L103&lt;&gt;"",OR(NOT(ISNUMBER($L103)),$L103&lt;=DATE(1900,1,1),$L103&gt;TODAY())),"Birthdate must be an exact valid past date; ","")&amp;IF($P103="","Eligibility Date is required; ","")&amp;IF(AND($P103&lt;&gt;"",OR(NOT(ISNUMBER($P103)),$P103&lt;=DATE(1900,1,1))),"Eligibility Date must be a valid date; ","")&amp;IF(AND($R103="Terminated",$Q103=""),"Termination Date is required when Status is Terminated; ","")&amp;IF(AND($Q103&lt;&gt;"",OR(NOT(ISNUMBER($Q103)),$Q103&lt;=DATE(1900,1,1))),"Termination Date must be a valid date; ","")&amp;IF(AND(ISNUMBER($P103),ISNUMBER($Q103),$Q103&lt;$P103),"Termination Date cannot be before Eligibility Date; ","")&amp;IF($R103="","Status is required; ","")&amp;IF(AND($R103&lt;&gt;"",$R103&lt;&gt;"Active",$R103&lt;&gt;"Terminated"),"Status must be Active or Terminated; ","")&amp;IF(AND('START HERE'!$C$8="Terminations Only",$R103&lt;&gt;"Terminated"),"Terminations Only files must contain terminated records; ",""))</f>
        <v/>
      </c>
      <c r="AC103">
        <f>IF(COUNTA($A103:$U103)=0,"",IF($S103="","Plan Name is required; ","")&amp;IF($T103="","Benefit Coverage Level is required; ","")&amp;IF(AND($U103&lt;&gt;"",OR(NOT(ISNUMBER($U103)),$U103&lt;0)),"Plan Funding Amount must be a nonnegative number; ","")&amp;IF(AND($A103&lt;&gt;"",$S103&lt;&gt;"",COUNTIFS($A$2:$A$501,$A103,$B$2:$B$501,$B103,$S$2:$S$501,$S103)&gt;1),"Duplicate participant and plan row; ",""))</f>
        <v/>
      </c>
      <c r="AD103">
        <f>IF(COUNTA($A103:$U103)=0,"",IF(AND($X103="Employee",$M103="",$N103=""),"No employee phone or email provided; ","")&amp;IF(AND($R103="Active",$Q103&lt;&gt;""),"Active record includes a Termination Date; confirm this is intentional; ","")&amp;IF(AND($B103&lt;&gt;"",$B103&amp;""&lt;&gt;$A103&amp;"",COUNTIF($A$2:$A$501,$B103)&gt;0),"Dependent SSN also appears as an Employee SSN elsewhere; confirm dual-employee coverage is intentional; ","")&amp;IF(AND($B103&lt;&gt;"",COUNTIF($B$2:$B$501,$B103)&gt;COUNTIFS($A$2:$A$501,$A103,$B$2:$B$501,$B103)),"Dependent SSN appears under more than one employee; confirm duplicate family coverage is intentional; ","")&amp;IF(AND(ROW()&gt;2,$A103&lt;&gt;"",$A103&lt;&gt;$A102,COUNTIF($A$2:$A102,$A103)&gt;0),"This household appears in more than one section of the census; keep the family together; ","")&amp;IF(OR(AND($C103&lt;&gt;"",LEN($C103&amp;"")&lt;&gt;LEN(TRIM($C103&amp;""))),AND($D103&lt;&gt;"",LEN($D103&amp;"")&lt;&gt;LEN(TRIM($D103&amp;""))),AND($E103&lt;&gt;"",LEN($E103&amp;"")&lt;&gt;LEN(TRIM($E103&amp;""))),AND($F103&lt;&gt;"",LEN($F103&amp;"")&lt;&gt;LEN(TRIM($F103&amp;""))),AND($G103&lt;&gt;"",LEN($G103&amp;"")&lt;&gt;LEN(TRIM($G103&amp;""))),AND($H103&lt;&gt;"",LEN($H103&amp;"")&lt;&gt;LEN(TRIM($H103&amp;""))),AND($I103&lt;&gt;"",LEN($I103&amp;"")&lt;&gt;LEN(TRIM($I103&amp;""))),AND($J103&lt;&gt;"",LEN($J103&amp;"")&lt;&gt;LEN(TRIM($J103&amp;""))),AND($K103&lt;&gt;"",LEN($K103&amp;"")&lt;&gt;LEN(TRIM($K103&amp;""))),AND($M103&lt;&gt;"",LEN($M103&amp;"")&lt;&gt;LEN(TRIM($M103&amp;""))),AND($N103&lt;&gt;"",LEN($N103&amp;"")&lt;&gt;LEN(TRIM($N103&amp;""))),AND($O103&lt;&gt;"",LEN($O103&amp;"")&lt;&gt;LEN(TRIM($O103&amp;""))),AND($R103&lt;&gt;"",LEN($R103&amp;"")&lt;&gt;LEN(TRIM($R103&amp;""))),AND($S103&lt;&gt;"",LEN($S103&amp;"")&lt;&gt;LEN(TRIM($S103&amp;""))),AND($T103&lt;&gt;"",LEN($T103&amp;"")&lt;&gt;LEN(TRIM($T103&amp;"")))),"Remove leading or trailing spaces from text fields; ","")&amp;IF(OR(AND(LEN($C103)&gt;1,OR(EXACT($C103,UPPER($C103)),EXACT($C103,LOWER($C103)))),AND(LEN($D103)&gt;1,OR(EXACT($D103,UPPER($D103)),EXACT($D103,LOWER($D103)))),AND(LEN($H103)&gt;1,OR(EXACT($H103,UPPER($H103)),EXACT($H103,LOWER($H103))))),"Review capitalization in First Name, Last Name, or City; ","")&amp;IF(AND($N103&lt;&gt;"",NOT(EXACT($N103,LOWER($N103)))),"Email will be standardized to lowercase in the clean output; ","")&amp;IF(AND(OR('START HERE'!$C$8="Initial Enrollment",'START HERE'!$C$8="Open Enrollment"),$R103="Terminated"),"A terminated row is included in an initial or open enrollment file; confirm this is intentional; ",""))</f>
        <v/>
      </c>
      <c r="AE103">
        <f>IF(COUNTA($A103:$U103)=0,"",IF(OR($A103="",AND($A103&lt;&gt;"",NOT(IFERROR(AND(LEN($A103&amp;"")=9,ISNUMBER(--($A103&amp;""))),FALSE))),AND($A103&lt;&gt;"",OR($A103="123456789",$A103="987654321",$A103="012345678",$A103=REPT(LEFT($A103&amp;"",1),9)))),"Employee SSN, ","")&amp;IF(OR(AND($O103&lt;&gt;"",$B103=""),AND($B103&lt;&gt;"",OR(NOT(IFERROR(AND(LEN($B103&amp;"")=9,ISNUMBER(--($B103&amp;""))),FALSE)),$B103=$A103,$B103="123456789",$B103="987654321",$B103="012345678",$B103=REPT(LEFT($B103&amp;"",1),9)))),"Dependent SSN, ","")&amp;IF(OR($C103="",LEN($C103)&gt;19,AND($C103&lt;&gt;"",SUMPRODUCT(--(ROW($1:$19)&lt;=LEN($C103&amp;"")),--ISERROR(FIND(MID($C103&amp;"",ROW($1:$19),1),"ABCDEFGHIJKLMNOPQRSTUVWXYZabcdefghijklmnopqrstuvwxyz .,")))&gt;0)),"First Name, ","")&amp;IF(OR($D103="",LEN($D103)&gt;26,AND($D103&lt;&gt;"",SUMPRODUCT(--(ROW($1:$26)&lt;=LEN($D103&amp;"")),--ISERROR(FIND(MID($D103&amp;"",ROW($1:$26),1),"ABCDEFGHIJKLMNOPQRSTUVWXYZabcdefghijklmnopqrstuvwxyz .,")))&gt;0)),"Last Name, ","")&amp;IF(OR(LEN($E103)&gt;1,AND($E103&lt;&gt;"",SUMPRODUCT(--(ROW($1:$1)&lt;=LEN($E103&amp;"")),--ISERROR(FIND(MID($E103&amp;"",ROW($1:$1),1),"ABCDEFGHIJKLMNOPQRSTUVWXYZabcdefghijklmnopqrstuvwxyz .,")))&gt;0)),"Middle Initial, ","")&amp;IF(OR($F103="",LEN($F103)&gt;75),"Address, ","")&amp;IF(OR($H103="",LEN($H103)&gt;30),"City, ","")&amp;IF(AND($K103="US",OR($I103="",LEN($I103)&lt;&gt;2)),"State, ","")&amp;IF($J103="","ZIP, ","")&amp;IF(OR($K103="",AND($K103&lt;&gt;"US",$K103&lt;&gt;"CA")),"Country, ","")&amp;IF(OR($L103="",AND($L103&lt;&gt;"",OR(NOT(ISNUMBER($L103)),$L103&lt;=DATE(1900,1,1),$L103&gt;TODAY()))),"Birthdate, ","")&amp;IF(AND($N103&lt;&gt;"",NOT(IFERROR(AND(ISNUMBER(SEARCH("@",$N103)),ISNUMBER(SEARCH(".",$N103,SEARCH("@",$N103)+2))),FALSE))),"Email, ","")&amp;IF(OR(AND($B103&lt;&gt;"",$O103=""),AND($O103&lt;&gt;"",$O103&lt;&gt;"Spouse or Common Law Spouse",$O103&lt;&gt;"Domestic Partner",$O103&lt;&gt;"Child",$O103&lt;&gt;"Other",$O103&lt;&gt;"Estate",$O103&lt;&gt;"Unknown")),"Dependent Relationship, ","")&amp;IF($AA103&lt;&gt;"","Household, ","")&amp;IF(OR($P103="",AND($P103&lt;&gt;"",OR(NOT(ISNUMBER($P103)),$P103&lt;=DATE(1900,1,1)))),"Eligibility Date, ","")&amp;IF(OR(AND($R103="Terminated",$Q103=""),AND($Q103&lt;&gt;"",OR(NOT(ISNUMBER($Q103)),$Q103&lt;=DATE(1900,1,1))),AND(ISNUMBER($P103),ISNUMBER($Q103),$Q103&lt;$P103)),"Termination Date, ","")&amp;IF(OR($R103="",AND($R103&lt;&gt;"Active",$R103&lt;&gt;"Terminated"),AND('START HERE'!$C$8="Terminations Only",$R103&lt;&gt;"Terminated")),"Status, ","")&amp;IF($S103="","Plan Name, ","")&amp;IF($T103="","Coverage Level, ","")&amp;IF(AND($U103&lt;&gt;"",OR(NOT(ISNUMBER($U103)),$U103&lt;0)),"Funding, ","")&amp;IF(AND($A103&lt;&gt;"",$S103&lt;&gt;"",COUNTIFS($A$2:$A$501,$A103,$B$2:$B$501,$B103,$S$2:$S$501,$S103)&gt;1),"Duplicate Row, ",""))</f>
        <v/>
      </c>
      <c r="AF103">
        <f>IF(COUNTA($A103:$U103)=0,"",$Y103&amp;$Z103&amp;$AA103&amp;$AB103&amp;$AC103)</f>
        <v/>
      </c>
      <c r="AG103">
        <f>IF($N103="","",LOWER(TRIM($N103)))</f>
        <v/>
      </c>
      <c r="AH103">
        <f>IF($A103="","",COUNTIFS($A$2:$A$501,$A103,$AI$2:$AI$501,1))</f>
        <v/>
      </c>
      <c r="AI103">
        <f>IF(COUNTA($A103:$U103)=0,"",--($AF103&lt;&gt;""))</f>
        <v/>
      </c>
      <c r="AJ103">
        <f>IF(COUNTA($A103:$U103)=0,"",--($AD103&lt;&gt;""))</f>
        <v/>
      </c>
    </row>
    <row r="104" ht="20" customHeight="1">
      <c r="A104" s="80" t="n"/>
      <c r="B104" s="80" t="n"/>
      <c r="C104" s="81" t="n"/>
      <c r="D104" s="81" t="n"/>
      <c r="E104" s="80" t="n"/>
      <c r="F104" s="81" t="n"/>
      <c r="G104" s="81" t="n"/>
      <c r="H104" s="81" t="n"/>
      <c r="I104" s="80" t="n"/>
      <c r="J104" s="80" t="n"/>
      <c r="K104" s="80" t="n"/>
      <c r="L104" s="82" t="n"/>
      <c r="M104" s="80" t="n"/>
      <c r="N104" s="80" t="n"/>
      <c r="O104" s="80" t="n"/>
      <c r="P104" s="82" t="n"/>
      <c r="Q104" s="82" t="n"/>
      <c r="R104" s="80" t="n"/>
      <c r="S104" s="80" t="n"/>
      <c r="T104" s="80" t="n"/>
      <c r="U104" s="83" t="n"/>
      <c r="V104">
        <f>IF($A104="","",IF($A104=$A103,$V103,IF($V103="",0,1-$V103)))</f>
        <v/>
      </c>
      <c r="W104">
        <f>IF($B104&lt;&gt;"",$B104,$A104)</f>
        <v/>
      </c>
      <c r="X104">
        <f>IF(COUNTA($A104:$U104)=0,"",IF(OR($B104&lt;&gt;"",$O104&lt;&gt;""),"Dependent","Employee"))</f>
        <v/>
      </c>
      <c r="Y104">
        <f>IF(COUNTA($A104:$U104)=0,"",IF($A104="","Employee SSN is required; ","")&amp;IF($C104="","First Name is required; ","")&amp;IF(LEN($C104&amp;"")&gt;19,"First Name exceeds 19 characters; ","")&amp;IF(AND($C104&lt;&gt;"",SUMPRODUCT(--(ROW($1:$19)&lt;=LEN($C104&amp;"")),--ISERROR(FIND(MID($C104&amp;"",ROW($1:$19),1),"ABCDEFGHIJKLMNOPQRSTUVWXYZabcdefghijklmnopqrstuvwxyz .,")))&gt;0),"First Name contains unsupported or encoded characters; use plain A-Z letters only; ","")&amp;IF($D104="","Last Name is required; ","")&amp;IF(LEN($D104&amp;"")&gt;26,"Last Name exceeds 26 characters; ","")&amp;IF(AND($D104&lt;&gt;"",SUMPRODUCT(--(ROW($1:$26)&lt;=LEN($D104&amp;"")),--ISERROR(FIND(MID($D104&amp;"",ROW($1:$26),1),"ABCDEFGHIJKLMNOPQRSTUVWXYZabcdefghijklmnopqrstuvwxyz .,")))&gt;0),"Last Name contains unsupported or encoded characters; use plain A-Z letters only; ","")&amp;IF(LEN($E104&amp;"")&gt;1,"Middle Initial may contain only one character; ","")&amp;IF(AND($E104&lt;&gt;"",SUMPRODUCT(--(ROW($1:$1)&lt;=LEN($E104&amp;"")),--ISERROR(FIND(MID($E104&amp;"",ROW($1:$1),1),"ABCDEFGHIJKLMNOPQRSTUVWXYZabcdefghijklmnopqrstuvwxyz .,")))&gt;0),"Middle Initial must be a plain A-Z letter; ","")&amp;IF($F104="","Address is required; ","")&amp;IF(LEN($F104&amp;"")&gt;75,"Address exceeds 75 characters; ","")&amp;IF(LEN($G104&amp;"")&gt;75,"Address 2 exceeds 75 characters; ","")&amp;IF($H104="","City is required; ","")&amp;IF(LEN($H104&amp;"")&gt;30,"City exceeds 30 characters; ","")&amp;IF($K104="","Country is required; ","")&amp;IF(AND($K104&lt;&gt;"",$K104&lt;&gt;"US",$K104&lt;&gt;"CA"),"Country must be US or CA; ","")&amp;IF(AND($K104="US",OR($I104="",LEN($I104&amp;"")&lt;&gt;2)),"Use a 2-letter state code; ","")&amp;IF($J104="","ZIP or postal code is required; ","")&amp;IF(AND($K104="US",$J104&lt;&gt;"",NOT(IFERROR(OR(AND(LEN($J104&amp;"")=5,ISNUMBER(--($J104&amp;""))),AND(LEN($J104&amp;"")=9,ISNUMBER(--($J104&amp;""))),AND(LEN($J104&amp;"")=10,MID($J104&amp;"",6,1)="-",ISNUMBER(--SUBSTITUTE($J104&amp;"","-","")))),FALSE))),"US ZIP must be 5 or 9 digits, with an optional ZIP+4 hyphen; ","")&amp;IF(AND($N104&lt;&gt;"",NOT(IFERROR(AND(ISNUMBER(SEARCH("@",$N104)),ISNUMBER(SEARCH(".",$N104,SEARCH("@",$N104)+2))),FALSE))),"Email format appears invalid; ","")&amp;IF(AND($O104&lt;&gt;"",$B104=""),"Dependent SSN is required for every dependent; ","")&amp;IF(AND($B104&lt;&gt;"",$O104=""),"Dependent Relationship is required when Dependent SSN is entered; ","")&amp;IF(AND($O104&lt;&gt;"",$O104&lt;&gt;"Spouse or Common Law Spouse",$O104&lt;&gt;"Domestic Partner",$O104&lt;&gt;"Child",$O104&lt;&gt;"Other",$O104&lt;&gt;"Estate",$O104&lt;&gt;"Unknown"),"Dependent Relationship must use one of the approved options; ",""))</f>
        <v/>
      </c>
      <c r="Z104">
        <f>IF(COUNTA($A104:$U104)=0,"",IF(AND($A104&lt;&gt;"",NOT(IFERROR(AND(LEN($A104&amp;"")=9,ISNUMBER(--($A104&amp;""))),FALSE))),"Employee SSN must contain exactly 9 digits; ","")&amp;IF(AND($A104&lt;&gt;"",OR($A104="123456789",$A104="987654321",$A104="012345678",$A104=REPT(LEFT($A104&amp;"",1),9))),"Employee SSN appears to be a placeholder; ","")&amp;IF(AND($B104&lt;&gt;"",NOT(IFERROR(AND(LEN($B104&amp;"")=9,ISNUMBER(--($B104&amp;""))),FALSE))),"Dependent SSN must contain exactly 9 digits; ","")&amp;IF(AND($B104&lt;&gt;"",OR($B104="123456789",$B104="987654321",$B104="012345678",$B104=REPT(LEFT($B104&amp;"",1),9))),"Dependent SSN appears to be a placeholder; ","")&amp;IF(AND($A104&lt;&gt;"",$B104&lt;&gt;"",$A104&amp;""=$B104&amp;""),"Dependent SSN cannot match Employee SSN; ","")&amp;IF(AND($W104&lt;&gt;"",OR(COUNTIFS($W$2:$W$501,$W104,$C$2:$C$501,"&lt;&gt;"&amp;$C104)&gt;0,COUNTIFS($W$2:$W$501,$W104,$D$2:$D$501,"&lt;&gt;"&amp;$D104)&gt;0,COUNTIFS($W$2:$W$501,$W104,$L$2:$L$501,"&lt;&gt;"&amp;$L104)&gt;0)),"The same SSN is associated with a different name or birthdate; ",""))</f>
        <v/>
      </c>
      <c r="AA104">
        <f>IF(COUNTA($A104:$U104)=0,"",IF(AND($A104&lt;&gt;"",$S104&lt;&gt;"",COUNTIFS($A$2:$A$501,$A104,$S$2:$S$501,$S104,$B$2:$B$501,"",$O$2:$O$501,"")=0),"Add an employee row for this household and plan; ","")&amp;IF(AND($X104="Dependent",COUNTIFS($A$2:$A104,$A104,$S$2:$S104,$S104,$B$2:$B104,"",$O$2:$O104,"")=0),"Place the employee row before dependent rows for this plan; ","")&amp;IF(AND($X104="Dependent",COUNTIFS($A$2:$A$501,$A104,$S$2:$S$501,$S104,$B$2:$B$501,"",$O$2:$O$501,"")&gt;0,IFERROR(OR($P104&lt;&gt;LOOKUP(2,1/(($A$2:$A$501=$A104)*($S$2:$S$501=$S104)*($B$2:$B$501="")*($O$2:$O$501="")),$P$2:$P$501),$Q104&lt;&gt;LOOKUP(2,1/(($A$2:$A$501=$A104)*($S$2:$S$501=$S104)*($B$2:$B$501="")*($O$2:$O$501="")),$Q$2:$Q$501),$R104&lt;&gt;LOOKUP(2,1/(($A$2:$A$501=$A104)*($S$2:$S$501=$S104)*($B$2:$B$501="")*($O$2:$O$501="")),$R$2:$R$501),$T104&lt;&gt;LOOKUP(2,1/(($A$2:$A$501=$A104)*($S$2:$S$501=$S104)*($B$2:$B$501="")*($O$2:$O$501="")),$T$2:$T$501),$U104&lt;&gt;LOOKUP(2,1/(($A$2:$A$501=$A104)*($S$2:$S$501=$S104)*($B$2:$B$501="")*($O$2:$O$501="")),$U$2:$U$501)),FALSE)),"Dependent row does not match the employee row for eligibility, status, coverage level, or funding; ",""))</f>
        <v/>
      </c>
      <c r="AB104">
        <f>IF(COUNTA($A104:$U104)=0,"",IF($L104="","Birthdate is required; ","")&amp;IF(AND($L104&lt;&gt;"",OR(NOT(ISNUMBER($L104)),$L104&lt;=DATE(1900,1,1),$L104&gt;TODAY())),"Birthdate must be an exact valid past date; ","")&amp;IF($P104="","Eligibility Date is required; ","")&amp;IF(AND($P104&lt;&gt;"",OR(NOT(ISNUMBER($P104)),$P104&lt;=DATE(1900,1,1))),"Eligibility Date must be a valid date; ","")&amp;IF(AND($R104="Terminated",$Q104=""),"Termination Date is required when Status is Terminated; ","")&amp;IF(AND($Q104&lt;&gt;"",OR(NOT(ISNUMBER($Q104)),$Q104&lt;=DATE(1900,1,1))),"Termination Date must be a valid date; ","")&amp;IF(AND(ISNUMBER($P104),ISNUMBER($Q104),$Q104&lt;$P104),"Termination Date cannot be before Eligibility Date; ","")&amp;IF($R104="","Status is required; ","")&amp;IF(AND($R104&lt;&gt;"",$R104&lt;&gt;"Active",$R104&lt;&gt;"Terminated"),"Status must be Active or Terminated; ","")&amp;IF(AND('START HERE'!$C$8="Terminations Only",$R104&lt;&gt;"Terminated"),"Terminations Only files must contain terminated records; ",""))</f>
        <v/>
      </c>
      <c r="AC104">
        <f>IF(COUNTA($A104:$U104)=0,"",IF($S104="","Plan Name is required; ","")&amp;IF($T104="","Benefit Coverage Level is required; ","")&amp;IF(AND($U104&lt;&gt;"",OR(NOT(ISNUMBER($U104)),$U104&lt;0)),"Plan Funding Amount must be a nonnegative number; ","")&amp;IF(AND($A104&lt;&gt;"",$S104&lt;&gt;"",COUNTIFS($A$2:$A$501,$A104,$B$2:$B$501,$B104,$S$2:$S$501,$S104)&gt;1),"Duplicate participant and plan row; ",""))</f>
        <v/>
      </c>
      <c r="AD104">
        <f>IF(COUNTA($A104:$U104)=0,"",IF(AND($X104="Employee",$M104="",$N104=""),"No employee phone or email provided; ","")&amp;IF(AND($R104="Active",$Q104&lt;&gt;""),"Active record includes a Termination Date; confirm this is intentional; ","")&amp;IF(AND($B104&lt;&gt;"",$B104&amp;""&lt;&gt;$A104&amp;"",COUNTIF($A$2:$A$501,$B104)&gt;0),"Dependent SSN also appears as an Employee SSN elsewhere; confirm dual-employee coverage is intentional; ","")&amp;IF(AND($B104&lt;&gt;"",COUNTIF($B$2:$B$501,$B104)&gt;COUNTIFS($A$2:$A$501,$A104,$B$2:$B$501,$B104)),"Dependent SSN appears under more than one employee; confirm duplicate family coverage is intentional; ","")&amp;IF(AND(ROW()&gt;2,$A104&lt;&gt;"",$A104&lt;&gt;$A103,COUNTIF($A$2:$A103,$A104)&gt;0),"This household appears in more than one section of the census; keep the family together; ","")&amp;IF(OR(AND($C104&lt;&gt;"",LEN($C104&amp;"")&lt;&gt;LEN(TRIM($C104&amp;""))),AND($D104&lt;&gt;"",LEN($D104&amp;"")&lt;&gt;LEN(TRIM($D104&amp;""))),AND($E104&lt;&gt;"",LEN($E104&amp;"")&lt;&gt;LEN(TRIM($E104&amp;""))),AND($F104&lt;&gt;"",LEN($F104&amp;"")&lt;&gt;LEN(TRIM($F104&amp;""))),AND($G104&lt;&gt;"",LEN($G104&amp;"")&lt;&gt;LEN(TRIM($G104&amp;""))),AND($H104&lt;&gt;"",LEN($H104&amp;"")&lt;&gt;LEN(TRIM($H104&amp;""))),AND($I104&lt;&gt;"",LEN($I104&amp;"")&lt;&gt;LEN(TRIM($I104&amp;""))),AND($J104&lt;&gt;"",LEN($J104&amp;"")&lt;&gt;LEN(TRIM($J104&amp;""))),AND($K104&lt;&gt;"",LEN($K104&amp;"")&lt;&gt;LEN(TRIM($K104&amp;""))),AND($M104&lt;&gt;"",LEN($M104&amp;"")&lt;&gt;LEN(TRIM($M104&amp;""))),AND($N104&lt;&gt;"",LEN($N104&amp;"")&lt;&gt;LEN(TRIM($N104&amp;""))),AND($O104&lt;&gt;"",LEN($O104&amp;"")&lt;&gt;LEN(TRIM($O104&amp;""))),AND($R104&lt;&gt;"",LEN($R104&amp;"")&lt;&gt;LEN(TRIM($R104&amp;""))),AND($S104&lt;&gt;"",LEN($S104&amp;"")&lt;&gt;LEN(TRIM($S104&amp;""))),AND($T104&lt;&gt;"",LEN($T104&amp;"")&lt;&gt;LEN(TRIM($T104&amp;"")))),"Remove leading or trailing spaces from text fields; ","")&amp;IF(OR(AND(LEN($C104)&gt;1,OR(EXACT($C104,UPPER($C104)),EXACT($C104,LOWER($C104)))),AND(LEN($D104)&gt;1,OR(EXACT($D104,UPPER($D104)),EXACT($D104,LOWER($D104)))),AND(LEN($H104)&gt;1,OR(EXACT($H104,UPPER($H104)),EXACT($H104,LOWER($H104))))),"Review capitalization in First Name, Last Name, or City; ","")&amp;IF(AND($N104&lt;&gt;"",NOT(EXACT($N104,LOWER($N104)))),"Email will be standardized to lowercase in the clean output; ","")&amp;IF(AND(OR('START HERE'!$C$8="Initial Enrollment",'START HERE'!$C$8="Open Enrollment"),$R104="Terminated"),"A terminated row is included in an initial or open enrollment file; confirm this is intentional; ",""))</f>
        <v/>
      </c>
      <c r="AE104">
        <f>IF(COUNTA($A104:$U104)=0,"",IF(OR($A104="",AND($A104&lt;&gt;"",NOT(IFERROR(AND(LEN($A104&amp;"")=9,ISNUMBER(--($A104&amp;""))),FALSE))),AND($A104&lt;&gt;"",OR($A104="123456789",$A104="987654321",$A104="012345678",$A104=REPT(LEFT($A104&amp;"",1),9)))),"Employee SSN, ","")&amp;IF(OR(AND($O104&lt;&gt;"",$B104=""),AND($B104&lt;&gt;"",OR(NOT(IFERROR(AND(LEN($B104&amp;"")=9,ISNUMBER(--($B104&amp;""))),FALSE)),$B104=$A104,$B104="123456789",$B104="987654321",$B104="012345678",$B104=REPT(LEFT($B104&amp;"",1),9)))),"Dependent SSN, ","")&amp;IF(OR($C104="",LEN($C104)&gt;19,AND($C104&lt;&gt;"",SUMPRODUCT(--(ROW($1:$19)&lt;=LEN($C104&amp;"")),--ISERROR(FIND(MID($C104&amp;"",ROW($1:$19),1),"ABCDEFGHIJKLMNOPQRSTUVWXYZabcdefghijklmnopqrstuvwxyz .,")))&gt;0)),"First Name, ","")&amp;IF(OR($D104="",LEN($D104)&gt;26,AND($D104&lt;&gt;"",SUMPRODUCT(--(ROW($1:$26)&lt;=LEN($D104&amp;"")),--ISERROR(FIND(MID($D104&amp;"",ROW($1:$26),1),"ABCDEFGHIJKLMNOPQRSTUVWXYZabcdefghijklmnopqrstuvwxyz .,")))&gt;0)),"Last Name, ","")&amp;IF(OR(LEN($E104)&gt;1,AND($E104&lt;&gt;"",SUMPRODUCT(--(ROW($1:$1)&lt;=LEN($E104&amp;"")),--ISERROR(FIND(MID($E104&amp;"",ROW($1:$1),1),"ABCDEFGHIJKLMNOPQRSTUVWXYZabcdefghijklmnopqrstuvwxyz .,")))&gt;0)),"Middle Initial, ","")&amp;IF(OR($F104="",LEN($F104)&gt;75),"Address, ","")&amp;IF(OR($H104="",LEN($H104)&gt;30),"City, ","")&amp;IF(AND($K104="US",OR($I104="",LEN($I104)&lt;&gt;2)),"State, ","")&amp;IF($J104="","ZIP, ","")&amp;IF(OR($K104="",AND($K104&lt;&gt;"US",$K104&lt;&gt;"CA")),"Country, ","")&amp;IF(OR($L104="",AND($L104&lt;&gt;"",OR(NOT(ISNUMBER($L104)),$L104&lt;=DATE(1900,1,1),$L104&gt;TODAY()))),"Birthdate, ","")&amp;IF(AND($N104&lt;&gt;"",NOT(IFERROR(AND(ISNUMBER(SEARCH("@",$N104)),ISNUMBER(SEARCH(".",$N104,SEARCH("@",$N104)+2))),FALSE))),"Email, ","")&amp;IF(OR(AND($B104&lt;&gt;"",$O104=""),AND($O104&lt;&gt;"",$O104&lt;&gt;"Spouse or Common Law Spouse",$O104&lt;&gt;"Domestic Partner",$O104&lt;&gt;"Child",$O104&lt;&gt;"Other",$O104&lt;&gt;"Estate",$O104&lt;&gt;"Unknown")),"Dependent Relationship, ","")&amp;IF($AA104&lt;&gt;"","Household, ","")&amp;IF(OR($P104="",AND($P104&lt;&gt;"",OR(NOT(ISNUMBER($P104)),$P104&lt;=DATE(1900,1,1)))),"Eligibility Date, ","")&amp;IF(OR(AND($R104="Terminated",$Q104=""),AND($Q104&lt;&gt;"",OR(NOT(ISNUMBER($Q104)),$Q104&lt;=DATE(1900,1,1))),AND(ISNUMBER($P104),ISNUMBER($Q104),$Q104&lt;$P104)),"Termination Date, ","")&amp;IF(OR($R104="",AND($R104&lt;&gt;"Active",$R104&lt;&gt;"Terminated"),AND('START HERE'!$C$8="Terminations Only",$R104&lt;&gt;"Terminated")),"Status, ","")&amp;IF($S104="","Plan Name, ","")&amp;IF($T104="","Coverage Level, ","")&amp;IF(AND($U104&lt;&gt;"",OR(NOT(ISNUMBER($U104)),$U104&lt;0)),"Funding, ","")&amp;IF(AND($A104&lt;&gt;"",$S104&lt;&gt;"",COUNTIFS($A$2:$A$501,$A104,$B$2:$B$501,$B104,$S$2:$S$501,$S104)&gt;1),"Duplicate Row, ",""))</f>
        <v/>
      </c>
      <c r="AF104">
        <f>IF(COUNTA($A104:$U104)=0,"",$Y104&amp;$Z104&amp;$AA104&amp;$AB104&amp;$AC104)</f>
        <v/>
      </c>
      <c r="AG104">
        <f>IF($N104="","",LOWER(TRIM($N104)))</f>
        <v/>
      </c>
      <c r="AH104">
        <f>IF($A104="","",COUNTIFS($A$2:$A$501,$A104,$AI$2:$AI$501,1))</f>
        <v/>
      </c>
      <c r="AI104">
        <f>IF(COUNTA($A104:$U104)=0,"",--($AF104&lt;&gt;""))</f>
        <v/>
      </c>
      <c r="AJ104">
        <f>IF(COUNTA($A104:$U104)=0,"",--($AD104&lt;&gt;""))</f>
        <v/>
      </c>
    </row>
    <row r="105" ht="20" customHeight="1">
      <c r="A105" s="80" t="n"/>
      <c r="B105" s="80" t="n"/>
      <c r="C105" s="81" t="n"/>
      <c r="D105" s="81" t="n"/>
      <c r="E105" s="80" t="n"/>
      <c r="F105" s="81" t="n"/>
      <c r="G105" s="81" t="n"/>
      <c r="H105" s="81" t="n"/>
      <c r="I105" s="80" t="n"/>
      <c r="J105" s="80" t="n"/>
      <c r="K105" s="80" t="n"/>
      <c r="L105" s="82" t="n"/>
      <c r="M105" s="80" t="n"/>
      <c r="N105" s="80" t="n"/>
      <c r="O105" s="80" t="n"/>
      <c r="P105" s="82" t="n"/>
      <c r="Q105" s="82" t="n"/>
      <c r="R105" s="80" t="n"/>
      <c r="S105" s="80" t="n"/>
      <c r="T105" s="80" t="n"/>
      <c r="U105" s="83" t="n"/>
      <c r="V105">
        <f>IF($A105="","",IF($A105=$A104,$V104,IF($V104="",0,1-$V104)))</f>
        <v/>
      </c>
      <c r="W105">
        <f>IF($B105&lt;&gt;"",$B105,$A105)</f>
        <v/>
      </c>
      <c r="X105">
        <f>IF(COUNTA($A105:$U105)=0,"",IF(OR($B105&lt;&gt;"",$O105&lt;&gt;""),"Dependent","Employee"))</f>
        <v/>
      </c>
      <c r="Y105">
        <f>IF(COUNTA($A105:$U105)=0,"",IF($A105="","Employee SSN is required; ","")&amp;IF($C105="","First Name is required; ","")&amp;IF(LEN($C105&amp;"")&gt;19,"First Name exceeds 19 characters; ","")&amp;IF(AND($C105&lt;&gt;"",SUMPRODUCT(--(ROW($1:$19)&lt;=LEN($C105&amp;"")),--ISERROR(FIND(MID($C105&amp;"",ROW($1:$19),1),"ABCDEFGHIJKLMNOPQRSTUVWXYZabcdefghijklmnopqrstuvwxyz .,")))&gt;0),"First Name contains unsupported or encoded characters; use plain A-Z letters only; ","")&amp;IF($D105="","Last Name is required; ","")&amp;IF(LEN($D105&amp;"")&gt;26,"Last Name exceeds 26 characters; ","")&amp;IF(AND($D105&lt;&gt;"",SUMPRODUCT(--(ROW($1:$26)&lt;=LEN($D105&amp;"")),--ISERROR(FIND(MID($D105&amp;"",ROW($1:$26),1),"ABCDEFGHIJKLMNOPQRSTUVWXYZabcdefghijklmnopqrstuvwxyz .,")))&gt;0),"Last Name contains unsupported or encoded characters; use plain A-Z letters only; ","")&amp;IF(LEN($E105&amp;"")&gt;1,"Middle Initial may contain only one character; ","")&amp;IF(AND($E105&lt;&gt;"",SUMPRODUCT(--(ROW($1:$1)&lt;=LEN($E105&amp;"")),--ISERROR(FIND(MID($E105&amp;"",ROW($1:$1),1),"ABCDEFGHIJKLMNOPQRSTUVWXYZabcdefghijklmnopqrstuvwxyz .,")))&gt;0),"Middle Initial must be a plain A-Z letter; ","")&amp;IF($F105="","Address is required; ","")&amp;IF(LEN($F105&amp;"")&gt;75,"Address exceeds 75 characters; ","")&amp;IF(LEN($G105&amp;"")&gt;75,"Address 2 exceeds 75 characters; ","")&amp;IF($H105="","City is required; ","")&amp;IF(LEN($H105&amp;"")&gt;30,"City exceeds 30 characters; ","")&amp;IF($K105="","Country is required; ","")&amp;IF(AND($K105&lt;&gt;"",$K105&lt;&gt;"US",$K105&lt;&gt;"CA"),"Country must be US or CA; ","")&amp;IF(AND($K105="US",OR($I105="",LEN($I105&amp;"")&lt;&gt;2)),"Use a 2-letter state code; ","")&amp;IF($J105="","ZIP or postal code is required; ","")&amp;IF(AND($K105="US",$J105&lt;&gt;"",NOT(IFERROR(OR(AND(LEN($J105&amp;"")=5,ISNUMBER(--($J105&amp;""))),AND(LEN($J105&amp;"")=9,ISNUMBER(--($J105&amp;""))),AND(LEN($J105&amp;"")=10,MID($J105&amp;"",6,1)="-",ISNUMBER(--SUBSTITUTE($J105&amp;"","-","")))),FALSE))),"US ZIP must be 5 or 9 digits, with an optional ZIP+4 hyphen; ","")&amp;IF(AND($N105&lt;&gt;"",NOT(IFERROR(AND(ISNUMBER(SEARCH("@",$N105)),ISNUMBER(SEARCH(".",$N105,SEARCH("@",$N105)+2))),FALSE))),"Email format appears invalid; ","")&amp;IF(AND($O105&lt;&gt;"",$B105=""),"Dependent SSN is required for every dependent; ","")&amp;IF(AND($B105&lt;&gt;"",$O105=""),"Dependent Relationship is required when Dependent SSN is entered; ","")&amp;IF(AND($O105&lt;&gt;"",$O105&lt;&gt;"Spouse or Common Law Spouse",$O105&lt;&gt;"Domestic Partner",$O105&lt;&gt;"Child",$O105&lt;&gt;"Other",$O105&lt;&gt;"Estate",$O105&lt;&gt;"Unknown"),"Dependent Relationship must use one of the approved options; ",""))</f>
        <v/>
      </c>
      <c r="Z105">
        <f>IF(COUNTA($A105:$U105)=0,"",IF(AND($A105&lt;&gt;"",NOT(IFERROR(AND(LEN($A105&amp;"")=9,ISNUMBER(--($A105&amp;""))),FALSE))),"Employee SSN must contain exactly 9 digits; ","")&amp;IF(AND($A105&lt;&gt;"",OR($A105="123456789",$A105="987654321",$A105="012345678",$A105=REPT(LEFT($A105&amp;"",1),9))),"Employee SSN appears to be a placeholder; ","")&amp;IF(AND($B105&lt;&gt;"",NOT(IFERROR(AND(LEN($B105&amp;"")=9,ISNUMBER(--($B105&amp;""))),FALSE))),"Dependent SSN must contain exactly 9 digits; ","")&amp;IF(AND($B105&lt;&gt;"",OR($B105="123456789",$B105="987654321",$B105="012345678",$B105=REPT(LEFT($B105&amp;"",1),9))),"Dependent SSN appears to be a placeholder; ","")&amp;IF(AND($A105&lt;&gt;"",$B105&lt;&gt;"",$A105&amp;""=$B105&amp;""),"Dependent SSN cannot match Employee SSN; ","")&amp;IF(AND($W105&lt;&gt;"",OR(COUNTIFS($W$2:$W$501,$W105,$C$2:$C$501,"&lt;&gt;"&amp;$C105)&gt;0,COUNTIFS($W$2:$W$501,$W105,$D$2:$D$501,"&lt;&gt;"&amp;$D105)&gt;0,COUNTIFS($W$2:$W$501,$W105,$L$2:$L$501,"&lt;&gt;"&amp;$L105)&gt;0)),"The same SSN is associated with a different name or birthdate; ",""))</f>
        <v/>
      </c>
      <c r="AA105">
        <f>IF(COUNTA($A105:$U105)=0,"",IF(AND($A105&lt;&gt;"",$S105&lt;&gt;"",COUNTIFS($A$2:$A$501,$A105,$S$2:$S$501,$S105,$B$2:$B$501,"",$O$2:$O$501,"")=0),"Add an employee row for this household and plan; ","")&amp;IF(AND($X105="Dependent",COUNTIFS($A$2:$A105,$A105,$S$2:$S105,$S105,$B$2:$B105,"",$O$2:$O105,"")=0),"Place the employee row before dependent rows for this plan; ","")&amp;IF(AND($X105="Dependent",COUNTIFS($A$2:$A$501,$A105,$S$2:$S$501,$S105,$B$2:$B$501,"",$O$2:$O$501,"")&gt;0,IFERROR(OR($P105&lt;&gt;LOOKUP(2,1/(($A$2:$A$501=$A105)*($S$2:$S$501=$S105)*($B$2:$B$501="")*($O$2:$O$501="")),$P$2:$P$501),$Q105&lt;&gt;LOOKUP(2,1/(($A$2:$A$501=$A105)*($S$2:$S$501=$S105)*($B$2:$B$501="")*($O$2:$O$501="")),$Q$2:$Q$501),$R105&lt;&gt;LOOKUP(2,1/(($A$2:$A$501=$A105)*($S$2:$S$501=$S105)*($B$2:$B$501="")*($O$2:$O$501="")),$R$2:$R$501),$T105&lt;&gt;LOOKUP(2,1/(($A$2:$A$501=$A105)*($S$2:$S$501=$S105)*($B$2:$B$501="")*($O$2:$O$501="")),$T$2:$T$501),$U105&lt;&gt;LOOKUP(2,1/(($A$2:$A$501=$A105)*($S$2:$S$501=$S105)*($B$2:$B$501="")*($O$2:$O$501="")),$U$2:$U$501)),FALSE)),"Dependent row does not match the employee row for eligibility, status, coverage level, or funding; ",""))</f>
        <v/>
      </c>
      <c r="AB105">
        <f>IF(COUNTA($A105:$U105)=0,"",IF($L105="","Birthdate is required; ","")&amp;IF(AND($L105&lt;&gt;"",OR(NOT(ISNUMBER($L105)),$L105&lt;=DATE(1900,1,1),$L105&gt;TODAY())),"Birthdate must be an exact valid past date; ","")&amp;IF($P105="","Eligibility Date is required; ","")&amp;IF(AND($P105&lt;&gt;"",OR(NOT(ISNUMBER($P105)),$P105&lt;=DATE(1900,1,1))),"Eligibility Date must be a valid date; ","")&amp;IF(AND($R105="Terminated",$Q105=""),"Termination Date is required when Status is Terminated; ","")&amp;IF(AND($Q105&lt;&gt;"",OR(NOT(ISNUMBER($Q105)),$Q105&lt;=DATE(1900,1,1))),"Termination Date must be a valid date; ","")&amp;IF(AND(ISNUMBER($P105),ISNUMBER($Q105),$Q105&lt;$P105),"Termination Date cannot be before Eligibility Date; ","")&amp;IF($R105="","Status is required; ","")&amp;IF(AND($R105&lt;&gt;"",$R105&lt;&gt;"Active",$R105&lt;&gt;"Terminated"),"Status must be Active or Terminated; ","")&amp;IF(AND('START HERE'!$C$8="Terminations Only",$R105&lt;&gt;"Terminated"),"Terminations Only files must contain terminated records; ",""))</f>
        <v/>
      </c>
      <c r="AC105">
        <f>IF(COUNTA($A105:$U105)=0,"",IF($S105="","Plan Name is required; ","")&amp;IF($T105="","Benefit Coverage Level is required; ","")&amp;IF(AND($U105&lt;&gt;"",OR(NOT(ISNUMBER($U105)),$U105&lt;0)),"Plan Funding Amount must be a nonnegative number; ","")&amp;IF(AND($A105&lt;&gt;"",$S105&lt;&gt;"",COUNTIFS($A$2:$A$501,$A105,$B$2:$B$501,$B105,$S$2:$S$501,$S105)&gt;1),"Duplicate participant and plan row; ",""))</f>
        <v/>
      </c>
      <c r="AD105">
        <f>IF(COUNTA($A105:$U105)=0,"",IF(AND($X105="Employee",$M105="",$N105=""),"No employee phone or email provided; ","")&amp;IF(AND($R105="Active",$Q105&lt;&gt;""),"Active record includes a Termination Date; confirm this is intentional; ","")&amp;IF(AND($B105&lt;&gt;"",$B105&amp;""&lt;&gt;$A105&amp;"",COUNTIF($A$2:$A$501,$B105)&gt;0),"Dependent SSN also appears as an Employee SSN elsewhere; confirm dual-employee coverage is intentional; ","")&amp;IF(AND($B105&lt;&gt;"",COUNTIF($B$2:$B$501,$B105)&gt;COUNTIFS($A$2:$A$501,$A105,$B$2:$B$501,$B105)),"Dependent SSN appears under more than one employee; confirm duplicate family coverage is intentional; ","")&amp;IF(AND(ROW()&gt;2,$A105&lt;&gt;"",$A105&lt;&gt;$A104,COUNTIF($A$2:$A104,$A105)&gt;0),"This household appears in more than one section of the census; keep the family together; ","")&amp;IF(OR(AND($C105&lt;&gt;"",LEN($C105&amp;"")&lt;&gt;LEN(TRIM($C105&amp;""))),AND($D105&lt;&gt;"",LEN($D105&amp;"")&lt;&gt;LEN(TRIM($D105&amp;""))),AND($E105&lt;&gt;"",LEN($E105&amp;"")&lt;&gt;LEN(TRIM($E105&amp;""))),AND($F105&lt;&gt;"",LEN($F105&amp;"")&lt;&gt;LEN(TRIM($F105&amp;""))),AND($G105&lt;&gt;"",LEN($G105&amp;"")&lt;&gt;LEN(TRIM($G105&amp;""))),AND($H105&lt;&gt;"",LEN($H105&amp;"")&lt;&gt;LEN(TRIM($H105&amp;""))),AND($I105&lt;&gt;"",LEN($I105&amp;"")&lt;&gt;LEN(TRIM($I105&amp;""))),AND($J105&lt;&gt;"",LEN($J105&amp;"")&lt;&gt;LEN(TRIM($J105&amp;""))),AND($K105&lt;&gt;"",LEN($K105&amp;"")&lt;&gt;LEN(TRIM($K105&amp;""))),AND($M105&lt;&gt;"",LEN($M105&amp;"")&lt;&gt;LEN(TRIM($M105&amp;""))),AND($N105&lt;&gt;"",LEN($N105&amp;"")&lt;&gt;LEN(TRIM($N105&amp;""))),AND($O105&lt;&gt;"",LEN($O105&amp;"")&lt;&gt;LEN(TRIM($O105&amp;""))),AND($R105&lt;&gt;"",LEN($R105&amp;"")&lt;&gt;LEN(TRIM($R105&amp;""))),AND($S105&lt;&gt;"",LEN($S105&amp;"")&lt;&gt;LEN(TRIM($S105&amp;""))),AND($T105&lt;&gt;"",LEN($T105&amp;"")&lt;&gt;LEN(TRIM($T105&amp;"")))),"Remove leading or trailing spaces from text fields; ","")&amp;IF(OR(AND(LEN($C105)&gt;1,OR(EXACT($C105,UPPER($C105)),EXACT($C105,LOWER($C105)))),AND(LEN($D105)&gt;1,OR(EXACT($D105,UPPER($D105)),EXACT($D105,LOWER($D105)))),AND(LEN($H105)&gt;1,OR(EXACT($H105,UPPER($H105)),EXACT($H105,LOWER($H105))))),"Review capitalization in First Name, Last Name, or City; ","")&amp;IF(AND($N105&lt;&gt;"",NOT(EXACT($N105,LOWER($N105)))),"Email will be standardized to lowercase in the clean output; ","")&amp;IF(AND(OR('START HERE'!$C$8="Initial Enrollment",'START HERE'!$C$8="Open Enrollment"),$R105="Terminated"),"A terminated row is included in an initial or open enrollment file; confirm this is intentional; ",""))</f>
        <v/>
      </c>
      <c r="AE105">
        <f>IF(COUNTA($A105:$U105)=0,"",IF(OR($A105="",AND($A105&lt;&gt;"",NOT(IFERROR(AND(LEN($A105&amp;"")=9,ISNUMBER(--($A105&amp;""))),FALSE))),AND($A105&lt;&gt;"",OR($A105="123456789",$A105="987654321",$A105="012345678",$A105=REPT(LEFT($A105&amp;"",1),9)))),"Employee SSN, ","")&amp;IF(OR(AND($O105&lt;&gt;"",$B105=""),AND($B105&lt;&gt;"",OR(NOT(IFERROR(AND(LEN($B105&amp;"")=9,ISNUMBER(--($B105&amp;""))),FALSE)),$B105=$A105,$B105="123456789",$B105="987654321",$B105="012345678",$B105=REPT(LEFT($B105&amp;"",1),9)))),"Dependent SSN, ","")&amp;IF(OR($C105="",LEN($C105)&gt;19,AND($C105&lt;&gt;"",SUMPRODUCT(--(ROW($1:$19)&lt;=LEN($C105&amp;"")),--ISERROR(FIND(MID($C105&amp;"",ROW($1:$19),1),"ABCDEFGHIJKLMNOPQRSTUVWXYZabcdefghijklmnopqrstuvwxyz .,")))&gt;0)),"First Name, ","")&amp;IF(OR($D105="",LEN($D105)&gt;26,AND($D105&lt;&gt;"",SUMPRODUCT(--(ROW($1:$26)&lt;=LEN($D105&amp;"")),--ISERROR(FIND(MID($D105&amp;"",ROW($1:$26),1),"ABCDEFGHIJKLMNOPQRSTUVWXYZabcdefghijklmnopqrstuvwxyz .,")))&gt;0)),"Last Name, ","")&amp;IF(OR(LEN($E105)&gt;1,AND($E105&lt;&gt;"",SUMPRODUCT(--(ROW($1:$1)&lt;=LEN($E105&amp;"")),--ISERROR(FIND(MID($E105&amp;"",ROW($1:$1),1),"ABCDEFGHIJKLMNOPQRSTUVWXYZabcdefghijklmnopqrstuvwxyz .,")))&gt;0)),"Middle Initial, ","")&amp;IF(OR($F105="",LEN($F105)&gt;75),"Address, ","")&amp;IF(OR($H105="",LEN($H105)&gt;30),"City, ","")&amp;IF(AND($K105="US",OR($I105="",LEN($I105)&lt;&gt;2)),"State, ","")&amp;IF($J105="","ZIP, ","")&amp;IF(OR($K105="",AND($K105&lt;&gt;"US",$K105&lt;&gt;"CA")),"Country, ","")&amp;IF(OR($L105="",AND($L105&lt;&gt;"",OR(NOT(ISNUMBER($L105)),$L105&lt;=DATE(1900,1,1),$L105&gt;TODAY()))),"Birthdate, ","")&amp;IF(AND($N105&lt;&gt;"",NOT(IFERROR(AND(ISNUMBER(SEARCH("@",$N105)),ISNUMBER(SEARCH(".",$N105,SEARCH("@",$N105)+2))),FALSE))),"Email, ","")&amp;IF(OR(AND($B105&lt;&gt;"",$O105=""),AND($O105&lt;&gt;"",$O105&lt;&gt;"Spouse or Common Law Spouse",$O105&lt;&gt;"Domestic Partner",$O105&lt;&gt;"Child",$O105&lt;&gt;"Other",$O105&lt;&gt;"Estate",$O105&lt;&gt;"Unknown")),"Dependent Relationship, ","")&amp;IF($AA105&lt;&gt;"","Household, ","")&amp;IF(OR($P105="",AND($P105&lt;&gt;"",OR(NOT(ISNUMBER($P105)),$P105&lt;=DATE(1900,1,1)))),"Eligibility Date, ","")&amp;IF(OR(AND($R105="Terminated",$Q105=""),AND($Q105&lt;&gt;"",OR(NOT(ISNUMBER($Q105)),$Q105&lt;=DATE(1900,1,1))),AND(ISNUMBER($P105),ISNUMBER($Q105),$Q105&lt;$P105)),"Termination Date, ","")&amp;IF(OR($R105="",AND($R105&lt;&gt;"Active",$R105&lt;&gt;"Terminated"),AND('START HERE'!$C$8="Terminations Only",$R105&lt;&gt;"Terminated")),"Status, ","")&amp;IF($S105="","Plan Name, ","")&amp;IF($T105="","Coverage Level, ","")&amp;IF(AND($U105&lt;&gt;"",OR(NOT(ISNUMBER($U105)),$U105&lt;0)),"Funding, ","")&amp;IF(AND($A105&lt;&gt;"",$S105&lt;&gt;"",COUNTIFS($A$2:$A$501,$A105,$B$2:$B$501,$B105,$S$2:$S$501,$S105)&gt;1),"Duplicate Row, ",""))</f>
        <v/>
      </c>
      <c r="AF105">
        <f>IF(COUNTA($A105:$U105)=0,"",$Y105&amp;$Z105&amp;$AA105&amp;$AB105&amp;$AC105)</f>
        <v/>
      </c>
      <c r="AG105">
        <f>IF($N105="","",LOWER(TRIM($N105)))</f>
        <v/>
      </c>
      <c r="AH105">
        <f>IF($A105="","",COUNTIFS($A$2:$A$501,$A105,$AI$2:$AI$501,1))</f>
        <v/>
      </c>
      <c r="AI105">
        <f>IF(COUNTA($A105:$U105)=0,"",--($AF105&lt;&gt;""))</f>
        <v/>
      </c>
      <c r="AJ105">
        <f>IF(COUNTA($A105:$U105)=0,"",--($AD105&lt;&gt;""))</f>
        <v/>
      </c>
    </row>
    <row r="106" ht="20" customHeight="1">
      <c r="A106" s="80" t="n"/>
      <c r="B106" s="80" t="n"/>
      <c r="C106" s="81" t="n"/>
      <c r="D106" s="81" t="n"/>
      <c r="E106" s="80" t="n"/>
      <c r="F106" s="81" t="n"/>
      <c r="G106" s="81" t="n"/>
      <c r="H106" s="81" t="n"/>
      <c r="I106" s="80" t="n"/>
      <c r="J106" s="80" t="n"/>
      <c r="K106" s="80" t="n"/>
      <c r="L106" s="82" t="n"/>
      <c r="M106" s="80" t="n"/>
      <c r="N106" s="80" t="n"/>
      <c r="O106" s="80" t="n"/>
      <c r="P106" s="82" t="n"/>
      <c r="Q106" s="82" t="n"/>
      <c r="R106" s="80" t="n"/>
      <c r="S106" s="80" t="n"/>
      <c r="T106" s="80" t="n"/>
      <c r="U106" s="83" t="n"/>
      <c r="V106">
        <f>IF($A106="","",IF($A106=$A105,$V105,IF($V105="",0,1-$V105)))</f>
        <v/>
      </c>
      <c r="W106">
        <f>IF($B106&lt;&gt;"",$B106,$A106)</f>
        <v/>
      </c>
      <c r="X106">
        <f>IF(COUNTA($A106:$U106)=0,"",IF(OR($B106&lt;&gt;"",$O106&lt;&gt;""),"Dependent","Employee"))</f>
        <v/>
      </c>
      <c r="Y106">
        <f>IF(COUNTA($A106:$U106)=0,"",IF($A106="","Employee SSN is required; ","")&amp;IF($C106="","First Name is required; ","")&amp;IF(LEN($C106&amp;"")&gt;19,"First Name exceeds 19 characters; ","")&amp;IF(AND($C106&lt;&gt;"",SUMPRODUCT(--(ROW($1:$19)&lt;=LEN($C106&amp;"")),--ISERROR(FIND(MID($C106&amp;"",ROW($1:$19),1),"ABCDEFGHIJKLMNOPQRSTUVWXYZabcdefghijklmnopqrstuvwxyz .,")))&gt;0),"First Name contains unsupported or encoded characters; use plain A-Z letters only; ","")&amp;IF($D106="","Last Name is required; ","")&amp;IF(LEN($D106&amp;"")&gt;26,"Last Name exceeds 26 characters; ","")&amp;IF(AND($D106&lt;&gt;"",SUMPRODUCT(--(ROW($1:$26)&lt;=LEN($D106&amp;"")),--ISERROR(FIND(MID($D106&amp;"",ROW($1:$26),1),"ABCDEFGHIJKLMNOPQRSTUVWXYZabcdefghijklmnopqrstuvwxyz .,")))&gt;0),"Last Name contains unsupported or encoded characters; use plain A-Z letters only; ","")&amp;IF(LEN($E106&amp;"")&gt;1,"Middle Initial may contain only one character; ","")&amp;IF(AND($E106&lt;&gt;"",SUMPRODUCT(--(ROW($1:$1)&lt;=LEN($E106&amp;"")),--ISERROR(FIND(MID($E106&amp;"",ROW($1:$1),1),"ABCDEFGHIJKLMNOPQRSTUVWXYZabcdefghijklmnopqrstuvwxyz .,")))&gt;0),"Middle Initial must be a plain A-Z letter; ","")&amp;IF($F106="","Address is required; ","")&amp;IF(LEN($F106&amp;"")&gt;75,"Address exceeds 75 characters; ","")&amp;IF(LEN($G106&amp;"")&gt;75,"Address 2 exceeds 75 characters; ","")&amp;IF($H106="","City is required; ","")&amp;IF(LEN($H106&amp;"")&gt;30,"City exceeds 30 characters; ","")&amp;IF($K106="","Country is required; ","")&amp;IF(AND($K106&lt;&gt;"",$K106&lt;&gt;"US",$K106&lt;&gt;"CA"),"Country must be US or CA; ","")&amp;IF(AND($K106="US",OR($I106="",LEN($I106&amp;"")&lt;&gt;2)),"Use a 2-letter state code; ","")&amp;IF($J106="","ZIP or postal code is required; ","")&amp;IF(AND($K106="US",$J106&lt;&gt;"",NOT(IFERROR(OR(AND(LEN($J106&amp;"")=5,ISNUMBER(--($J106&amp;""))),AND(LEN($J106&amp;"")=9,ISNUMBER(--($J106&amp;""))),AND(LEN($J106&amp;"")=10,MID($J106&amp;"",6,1)="-",ISNUMBER(--SUBSTITUTE($J106&amp;"","-","")))),FALSE))),"US ZIP must be 5 or 9 digits, with an optional ZIP+4 hyphen; ","")&amp;IF(AND($N106&lt;&gt;"",NOT(IFERROR(AND(ISNUMBER(SEARCH("@",$N106)),ISNUMBER(SEARCH(".",$N106,SEARCH("@",$N106)+2))),FALSE))),"Email format appears invalid; ","")&amp;IF(AND($O106&lt;&gt;"",$B106=""),"Dependent SSN is required for every dependent; ","")&amp;IF(AND($B106&lt;&gt;"",$O106=""),"Dependent Relationship is required when Dependent SSN is entered; ","")&amp;IF(AND($O106&lt;&gt;"",$O106&lt;&gt;"Spouse or Common Law Spouse",$O106&lt;&gt;"Domestic Partner",$O106&lt;&gt;"Child",$O106&lt;&gt;"Other",$O106&lt;&gt;"Estate",$O106&lt;&gt;"Unknown"),"Dependent Relationship must use one of the approved options; ",""))</f>
        <v/>
      </c>
      <c r="Z106">
        <f>IF(COUNTA($A106:$U106)=0,"",IF(AND($A106&lt;&gt;"",NOT(IFERROR(AND(LEN($A106&amp;"")=9,ISNUMBER(--($A106&amp;""))),FALSE))),"Employee SSN must contain exactly 9 digits; ","")&amp;IF(AND($A106&lt;&gt;"",OR($A106="123456789",$A106="987654321",$A106="012345678",$A106=REPT(LEFT($A106&amp;"",1),9))),"Employee SSN appears to be a placeholder; ","")&amp;IF(AND($B106&lt;&gt;"",NOT(IFERROR(AND(LEN($B106&amp;"")=9,ISNUMBER(--($B106&amp;""))),FALSE))),"Dependent SSN must contain exactly 9 digits; ","")&amp;IF(AND($B106&lt;&gt;"",OR($B106="123456789",$B106="987654321",$B106="012345678",$B106=REPT(LEFT($B106&amp;"",1),9))),"Dependent SSN appears to be a placeholder; ","")&amp;IF(AND($A106&lt;&gt;"",$B106&lt;&gt;"",$A106&amp;""=$B106&amp;""),"Dependent SSN cannot match Employee SSN; ","")&amp;IF(AND($W106&lt;&gt;"",OR(COUNTIFS($W$2:$W$501,$W106,$C$2:$C$501,"&lt;&gt;"&amp;$C106)&gt;0,COUNTIFS($W$2:$W$501,$W106,$D$2:$D$501,"&lt;&gt;"&amp;$D106)&gt;0,COUNTIFS($W$2:$W$501,$W106,$L$2:$L$501,"&lt;&gt;"&amp;$L106)&gt;0)),"The same SSN is associated with a different name or birthdate; ",""))</f>
        <v/>
      </c>
      <c r="AA106">
        <f>IF(COUNTA($A106:$U106)=0,"",IF(AND($A106&lt;&gt;"",$S106&lt;&gt;"",COUNTIFS($A$2:$A$501,$A106,$S$2:$S$501,$S106,$B$2:$B$501,"",$O$2:$O$501,"")=0),"Add an employee row for this household and plan; ","")&amp;IF(AND($X106="Dependent",COUNTIFS($A$2:$A106,$A106,$S$2:$S106,$S106,$B$2:$B106,"",$O$2:$O106,"")=0),"Place the employee row before dependent rows for this plan; ","")&amp;IF(AND($X106="Dependent",COUNTIFS($A$2:$A$501,$A106,$S$2:$S$501,$S106,$B$2:$B$501,"",$O$2:$O$501,"")&gt;0,IFERROR(OR($P106&lt;&gt;LOOKUP(2,1/(($A$2:$A$501=$A106)*($S$2:$S$501=$S106)*($B$2:$B$501="")*($O$2:$O$501="")),$P$2:$P$501),$Q106&lt;&gt;LOOKUP(2,1/(($A$2:$A$501=$A106)*($S$2:$S$501=$S106)*($B$2:$B$501="")*($O$2:$O$501="")),$Q$2:$Q$501),$R106&lt;&gt;LOOKUP(2,1/(($A$2:$A$501=$A106)*($S$2:$S$501=$S106)*($B$2:$B$501="")*($O$2:$O$501="")),$R$2:$R$501),$T106&lt;&gt;LOOKUP(2,1/(($A$2:$A$501=$A106)*($S$2:$S$501=$S106)*($B$2:$B$501="")*($O$2:$O$501="")),$T$2:$T$501),$U106&lt;&gt;LOOKUP(2,1/(($A$2:$A$501=$A106)*($S$2:$S$501=$S106)*($B$2:$B$501="")*($O$2:$O$501="")),$U$2:$U$501)),FALSE)),"Dependent row does not match the employee row for eligibility, status, coverage level, or funding; ",""))</f>
        <v/>
      </c>
      <c r="AB106">
        <f>IF(COUNTA($A106:$U106)=0,"",IF($L106="","Birthdate is required; ","")&amp;IF(AND($L106&lt;&gt;"",OR(NOT(ISNUMBER($L106)),$L106&lt;=DATE(1900,1,1),$L106&gt;TODAY())),"Birthdate must be an exact valid past date; ","")&amp;IF($P106="","Eligibility Date is required; ","")&amp;IF(AND($P106&lt;&gt;"",OR(NOT(ISNUMBER($P106)),$P106&lt;=DATE(1900,1,1))),"Eligibility Date must be a valid date; ","")&amp;IF(AND($R106="Terminated",$Q106=""),"Termination Date is required when Status is Terminated; ","")&amp;IF(AND($Q106&lt;&gt;"",OR(NOT(ISNUMBER($Q106)),$Q106&lt;=DATE(1900,1,1))),"Termination Date must be a valid date; ","")&amp;IF(AND(ISNUMBER($P106),ISNUMBER($Q106),$Q106&lt;$P106),"Termination Date cannot be before Eligibility Date; ","")&amp;IF($R106="","Status is required; ","")&amp;IF(AND($R106&lt;&gt;"",$R106&lt;&gt;"Active",$R106&lt;&gt;"Terminated"),"Status must be Active or Terminated; ","")&amp;IF(AND('START HERE'!$C$8="Terminations Only",$R106&lt;&gt;"Terminated"),"Terminations Only files must contain terminated records; ",""))</f>
        <v/>
      </c>
      <c r="AC106">
        <f>IF(COUNTA($A106:$U106)=0,"",IF($S106="","Plan Name is required; ","")&amp;IF($T106="","Benefit Coverage Level is required; ","")&amp;IF(AND($U106&lt;&gt;"",OR(NOT(ISNUMBER($U106)),$U106&lt;0)),"Plan Funding Amount must be a nonnegative number; ","")&amp;IF(AND($A106&lt;&gt;"",$S106&lt;&gt;"",COUNTIFS($A$2:$A$501,$A106,$B$2:$B$501,$B106,$S$2:$S$501,$S106)&gt;1),"Duplicate participant and plan row; ",""))</f>
        <v/>
      </c>
      <c r="AD106">
        <f>IF(COUNTA($A106:$U106)=0,"",IF(AND($X106="Employee",$M106="",$N106=""),"No employee phone or email provided; ","")&amp;IF(AND($R106="Active",$Q106&lt;&gt;""),"Active record includes a Termination Date; confirm this is intentional; ","")&amp;IF(AND($B106&lt;&gt;"",$B106&amp;""&lt;&gt;$A106&amp;"",COUNTIF($A$2:$A$501,$B106)&gt;0),"Dependent SSN also appears as an Employee SSN elsewhere; confirm dual-employee coverage is intentional; ","")&amp;IF(AND($B106&lt;&gt;"",COUNTIF($B$2:$B$501,$B106)&gt;COUNTIFS($A$2:$A$501,$A106,$B$2:$B$501,$B106)),"Dependent SSN appears under more than one employee; confirm duplicate family coverage is intentional; ","")&amp;IF(AND(ROW()&gt;2,$A106&lt;&gt;"",$A106&lt;&gt;$A105,COUNTIF($A$2:$A105,$A106)&gt;0),"This household appears in more than one section of the census; keep the family together; ","")&amp;IF(OR(AND($C106&lt;&gt;"",LEN($C106&amp;"")&lt;&gt;LEN(TRIM($C106&amp;""))),AND($D106&lt;&gt;"",LEN($D106&amp;"")&lt;&gt;LEN(TRIM($D106&amp;""))),AND($E106&lt;&gt;"",LEN($E106&amp;"")&lt;&gt;LEN(TRIM($E106&amp;""))),AND($F106&lt;&gt;"",LEN($F106&amp;"")&lt;&gt;LEN(TRIM($F106&amp;""))),AND($G106&lt;&gt;"",LEN($G106&amp;"")&lt;&gt;LEN(TRIM($G106&amp;""))),AND($H106&lt;&gt;"",LEN($H106&amp;"")&lt;&gt;LEN(TRIM($H106&amp;""))),AND($I106&lt;&gt;"",LEN($I106&amp;"")&lt;&gt;LEN(TRIM($I106&amp;""))),AND($J106&lt;&gt;"",LEN($J106&amp;"")&lt;&gt;LEN(TRIM($J106&amp;""))),AND($K106&lt;&gt;"",LEN($K106&amp;"")&lt;&gt;LEN(TRIM($K106&amp;""))),AND($M106&lt;&gt;"",LEN($M106&amp;"")&lt;&gt;LEN(TRIM($M106&amp;""))),AND($N106&lt;&gt;"",LEN($N106&amp;"")&lt;&gt;LEN(TRIM($N106&amp;""))),AND($O106&lt;&gt;"",LEN($O106&amp;"")&lt;&gt;LEN(TRIM($O106&amp;""))),AND($R106&lt;&gt;"",LEN($R106&amp;"")&lt;&gt;LEN(TRIM($R106&amp;""))),AND($S106&lt;&gt;"",LEN($S106&amp;"")&lt;&gt;LEN(TRIM($S106&amp;""))),AND($T106&lt;&gt;"",LEN($T106&amp;"")&lt;&gt;LEN(TRIM($T106&amp;"")))),"Remove leading or trailing spaces from text fields; ","")&amp;IF(OR(AND(LEN($C106)&gt;1,OR(EXACT($C106,UPPER($C106)),EXACT($C106,LOWER($C106)))),AND(LEN($D106)&gt;1,OR(EXACT($D106,UPPER($D106)),EXACT($D106,LOWER($D106)))),AND(LEN($H106)&gt;1,OR(EXACT($H106,UPPER($H106)),EXACT($H106,LOWER($H106))))),"Review capitalization in First Name, Last Name, or City; ","")&amp;IF(AND($N106&lt;&gt;"",NOT(EXACT($N106,LOWER($N106)))),"Email will be standardized to lowercase in the clean output; ","")&amp;IF(AND(OR('START HERE'!$C$8="Initial Enrollment",'START HERE'!$C$8="Open Enrollment"),$R106="Terminated"),"A terminated row is included in an initial or open enrollment file; confirm this is intentional; ",""))</f>
        <v/>
      </c>
      <c r="AE106">
        <f>IF(COUNTA($A106:$U106)=0,"",IF(OR($A106="",AND($A106&lt;&gt;"",NOT(IFERROR(AND(LEN($A106&amp;"")=9,ISNUMBER(--($A106&amp;""))),FALSE))),AND($A106&lt;&gt;"",OR($A106="123456789",$A106="987654321",$A106="012345678",$A106=REPT(LEFT($A106&amp;"",1),9)))),"Employee SSN, ","")&amp;IF(OR(AND($O106&lt;&gt;"",$B106=""),AND($B106&lt;&gt;"",OR(NOT(IFERROR(AND(LEN($B106&amp;"")=9,ISNUMBER(--($B106&amp;""))),FALSE)),$B106=$A106,$B106="123456789",$B106="987654321",$B106="012345678",$B106=REPT(LEFT($B106&amp;"",1),9)))),"Dependent SSN, ","")&amp;IF(OR($C106="",LEN($C106)&gt;19,AND($C106&lt;&gt;"",SUMPRODUCT(--(ROW($1:$19)&lt;=LEN($C106&amp;"")),--ISERROR(FIND(MID($C106&amp;"",ROW($1:$19),1),"ABCDEFGHIJKLMNOPQRSTUVWXYZabcdefghijklmnopqrstuvwxyz .,")))&gt;0)),"First Name, ","")&amp;IF(OR($D106="",LEN($D106)&gt;26,AND($D106&lt;&gt;"",SUMPRODUCT(--(ROW($1:$26)&lt;=LEN($D106&amp;"")),--ISERROR(FIND(MID($D106&amp;"",ROW($1:$26),1),"ABCDEFGHIJKLMNOPQRSTUVWXYZabcdefghijklmnopqrstuvwxyz .,")))&gt;0)),"Last Name, ","")&amp;IF(OR(LEN($E106)&gt;1,AND($E106&lt;&gt;"",SUMPRODUCT(--(ROW($1:$1)&lt;=LEN($E106&amp;"")),--ISERROR(FIND(MID($E106&amp;"",ROW($1:$1),1),"ABCDEFGHIJKLMNOPQRSTUVWXYZabcdefghijklmnopqrstuvwxyz .,")))&gt;0)),"Middle Initial, ","")&amp;IF(OR($F106="",LEN($F106)&gt;75),"Address, ","")&amp;IF(OR($H106="",LEN($H106)&gt;30),"City, ","")&amp;IF(AND($K106="US",OR($I106="",LEN($I106)&lt;&gt;2)),"State, ","")&amp;IF($J106="","ZIP, ","")&amp;IF(OR($K106="",AND($K106&lt;&gt;"US",$K106&lt;&gt;"CA")),"Country, ","")&amp;IF(OR($L106="",AND($L106&lt;&gt;"",OR(NOT(ISNUMBER($L106)),$L106&lt;=DATE(1900,1,1),$L106&gt;TODAY()))),"Birthdate, ","")&amp;IF(AND($N106&lt;&gt;"",NOT(IFERROR(AND(ISNUMBER(SEARCH("@",$N106)),ISNUMBER(SEARCH(".",$N106,SEARCH("@",$N106)+2))),FALSE))),"Email, ","")&amp;IF(OR(AND($B106&lt;&gt;"",$O106=""),AND($O106&lt;&gt;"",$O106&lt;&gt;"Spouse or Common Law Spouse",$O106&lt;&gt;"Domestic Partner",$O106&lt;&gt;"Child",$O106&lt;&gt;"Other",$O106&lt;&gt;"Estate",$O106&lt;&gt;"Unknown")),"Dependent Relationship, ","")&amp;IF($AA106&lt;&gt;"","Household, ","")&amp;IF(OR($P106="",AND($P106&lt;&gt;"",OR(NOT(ISNUMBER($P106)),$P106&lt;=DATE(1900,1,1)))),"Eligibility Date, ","")&amp;IF(OR(AND($R106="Terminated",$Q106=""),AND($Q106&lt;&gt;"",OR(NOT(ISNUMBER($Q106)),$Q106&lt;=DATE(1900,1,1))),AND(ISNUMBER($P106),ISNUMBER($Q106),$Q106&lt;$P106)),"Termination Date, ","")&amp;IF(OR($R106="",AND($R106&lt;&gt;"Active",$R106&lt;&gt;"Terminated"),AND('START HERE'!$C$8="Terminations Only",$R106&lt;&gt;"Terminated")),"Status, ","")&amp;IF($S106="","Plan Name, ","")&amp;IF($T106="","Coverage Level, ","")&amp;IF(AND($U106&lt;&gt;"",OR(NOT(ISNUMBER($U106)),$U106&lt;0)),"Funding, ","")&amp;IF(AND($A106&lt;&gt;"",$S106&lt;&gt;"",COUNTIFS($A$2:$A$501,$A106,$B$2:$B$501,$B106,$S$2:$S$501,$S106)&gt;1),"Duplicate Row, ",""))</f>
        <v/>
      </c>
      <c r="AF106">
        <f>IF(COUNTA($A106:$U106)=0,"",$Y106&amp;$Z106&amp;$AA106&amp;$AB106&amp;$AC106)</f>
        <v/>
      </c>
      <c r="AG106">
        <f>IF($N106="","",LOWER(TRIM($N106)))</f>
        <v/>
      </c>
      <c r="AH106">
        <f>IF($A106="","",COUNTIFS($A$2:$A$501,$A106,$AI$2:$AI$501,1))</f>
        <v/>
      </c>
      <c r="AI106">
        <f>IF(COUNTA($A106:$U106)=0,"",--($AF106&lt;&gt;""))</f>
        <v/>
      </c>
      <c r="AJ106">
        <f>IF(COUNTA($A106:$U106)=0,"",--($AD106&lt;&gt;""))</f>
        <v/>
      </c>
    </row>
    <row r="107" ht="20" customHeight="1">
      <c r="A107" s="80" t="n"/>
      <c r="B107" s="80" t="n"/>
      <c r="C107" s="81" t="n"/>
      <c r="D107" s="81" t="n"/>
      <c r="E107" s="80" t="n"/>
      <c r="F107" s="81" t="n"/>
      <c r="G107" s="81" t="n"/>
      <c r="H107" s="81" t="n"/>
      <c r="I107" s="80" t="n"/>
      <c r="J107" s="80" t="n"/>
      <c r="K107" s="80" t="n"/>
      <c r="L107" s="82" t="n"/>
      <c r="M107" s="80" t="n"/>
      <c r="N107" s="80" t="n"/>
      <c r="O107" s="80" t="n"/>
      <c r="P107" s="82" t="n"/>
      <c r="Q107" s="82" t="n"/>
      <c r="R107" s="80" t="n"/>
      <c r="S107" s="80" t="n"/>
      <c r="T107" s="80" t="n"/>
      <c r="U107" s="83" t="n"/>
      <c r="V107">
        <f>IF($A107="","",IF($A107=$A106,$V106,IF($V106="",0,1-$V106)))</f>
        <v/>
      </c>
      <c r="W107">
        <f>IF($B107&lt;&gt;"",$B107,$A107)</f>
        <v/>
      </c>
      <c r="X107">
        <f>IF(COUNTA($A107:$U107)=0,"",IF(OR($B107&lt;&gt;"",$O107&lt;&gt;""),"Dependent","Employee"))</f>
        <v/>
      </c>
      <c r="Y107">
        <f>IF(COUNTA($A107:$U107)=0,"",IF($A107="","Employee SSN is required; ","")&amp;IF($C107="","First Name is required; ","")&amp;IF(LEN($C107&amp;"")&gt;19,"First Name exceeds 19 characters; ","")&amp;IF(AND($C107&lt;&gt;"",SUMPRODUCT(--(ROW($1:$19)&lt;=LEN($C107&amp;"")),--ISERROR(FIND(MID($C107&amp;"",ROW($1:$19),1),"ABCDEFGHIJKLMNOPQRSTUVWXYZabcdefghijklmnopqrstuvwxyz .,")))&gt;0),"First Name contains unsupported or encoded characters; use plain A-Z letters only; ","")&amp;IF($D107="","Last Name is required; ","")&amp;IF(LEN($D107&amp;"")&gt;26,"Last Name exceeds 26 characters; ","")&amp;IF(AND($D107&lt;&gt;"",SUMPRODUCT(--(ROW($1:$26)&lt;=LEN($D107&amp;"")),--ISERROR(FIND(MID($D107&amp;"",ROW($1:$26),1),"ABCDEFGHIJKLMNOPQRSTUVWXYZabcdefghijklmnopqrstuvwxyz .,")))&gt;0),"Last Name contains unsupported or encoded characters; use plain A-Z letters only; ","")&amp;IF(LEN($E107&amp;"")&gt;1,"Middle Initial may contain only one character; ","")&amp;IF(AND($E107&lt;&gt;"",SUMPRODUCT(--(ROW($1:$1)&lt;=LEN($E107&amp;"")),--ISERROR(FIND(MID($E107&amp;"",ROW($1:$1),1),"ABCDEFGHIJKLMNOPQRSTUVWXYZabcdefghijklmnopqrstuvwxyz .,")))&gt;0),"Middle Initial must be a plain A-Z letter; ","")&amp;IF($F107="","Address is required; ","")&amp;IF(LEN($F107&amp;"")&gt;75,"Address exceeds 75 characters; ","")&amp;IF(LEN($G107&amp;"")&gt;75,"Address 2 exceeds 75 characters; ","")&amp;IF($H107="","City is required; ","")&amp;IF(LEN($H107&amp;"")&gt;30,"City exceeds 30 characters; ","")&amp;IF($K107="","Country is required; ","")&amp;IF(AND($K107&lt;&gt;"",$K107&lt;&gt;"US",$K107&lt;&gt;"CA"),"Country must be US or CA; ","")&amp;IF(AND($K107="US",OR($I107="",LEN($I107&amp;"")&lt;&gt;2)),"Use a 2-letter state code; ","")&amp;IF($J107="","ZIP or postal code is required; ","")&amp;IF(AND($K107="US",$J107&lt;&gt;"",NOT(IFERROR(OR(AND(LEN($J107&amp;"")=5,ISNUMBER(--($J107&amp;""))),AND(LEN($J107&amp;"")=9,ISNUMBER(--($J107&amp;""))),AND(LEN($J107&amp;"")=10,MID($J107&amp;"",6,1)="-",ISNUMBER(--SUBSTITUTE($J107&amp;"","-","")))),FALSE))),"US ZIP must be 5 or 9 digits, with an optional ZIP+4 hyphen; ","")&amp;IF(AND($N107&lt;&gt;"",NOT(IFERROR(AND(ISNUMBER(SEARCH("@",$N107)),ISNUMBER(SEARCH(".",$N107,SEARCH("@",$N107)+2))),FALSE))),"Email format appears invalid; ","")&amp;IF(AND($O107&lt;&gt;"",$B107=""),"Dependent SSN is required for every dependent; ","")&amp;IF(AND($B107&lt;&gt;"",$O107=""),"Dependent Relationship is required when Dependent SSN is entered; ","")&amp;IF(AND($O107&lt;&gt;"",$O107&lt;&gt;"Spouse or Common Law Spouse",$O107&lt;&gt;"Domestic Partner",$O107&lt;&gt;"Child",$O107&lt;&gt;"Other",$O107&lt;&gt;"Estate",$O107&lt;&gt;"Unknown"),"Dependent Relationship must use one of the approved options; ",""))</f>
        <v/>
      </c>
      <c r="Z107">
        <f>IF(COUNTA($A107:$U107)=0,"",IF(AND($A107&lt;&gt;"",NOT(IFERROR(AND(LEN($A107&amp;"")=9,ISNUMBER(--($A107&amp;""))),FALSE))),"Employee SSN must contain exactly 9 digits; ","")&amp;IF(AND($A107&lt;&gt;"",OR($A107="123456789",$A107="987654321",$A107="012345678",$A107=REPT(LEFT($A107&amp;"",1),9))),"Employee SSN appears to be a placeholder; ","")&amp;IF(AND($B107&lt;&gt;"",NOT(IFERROR(AND(LEN($B107&amp;"")=9,ISNUMBER(--($B107&amp;""))),FALSE))),"Dependent SSN must contain exactly 9 digits; ","")&amp;IF(AND($B107&lt;&gt;"",OR($B107="123456789",$B107="987654321",$B107="012345678",$B107=REPT(LEFT($B107&amp;"",1),9))),"Dependent SSN appears to be a placeholder; ","")&amp;IF(AND($A107&lt;&gt;"",$B107&lt;&gt;"",$A107&amp;""=$B107&amp;""),"Dependent SSN cannot match Employee SSN; ","")&amp;IF(AND($W107&lt;&gt;"",OR(COUNTIFS($W$2:$W$501,$W107,$C$2:$C$501,"&lt;&gt;"&amp;$C107)&gt;0,COUNTIFS($W$2:$W$501,$W107,$D$2:$D$501,"&lt;&gt;"&amp;$D107)&gt;0,COUNTIFS($W$2:$W$501,$W107,$L$2:$L$501,"&lt;&gt;"&amp;$L107)&gt;0)),"The same SSN is associated with a different name or birthdate; ",""))</f>
        <v/>
      </c>
      <c r="AA107">
        <f>IF(COUNTA($A107:$U107)=0,"",IF(AND($A107&lt;&gt;"",$S107&lt;&gt;"",COUNTIFS($A$2:$A$501,$A107,$S$2:$S$501,$S107,$B$2:$B$501,"",$O$2:$O$501,"")=0),"Add an employee row for this household and plan; ","")&amp;IF(AND($X107="Dependent",COUNTIFS($A$2:$A107,$A107,$S$2:$S107,$S107,$B$2:$B107,"",$O$2:$O107,"")=0),"Place the employee row before dependent rows for this plan; ","")&amp;IF(AND($X107="Dependent",COUNTIFS($A$2:$A$501,$A107,$S$2:$S$501,$S107,$B$2:$B$501,"",$O$2:$O$501,"")&gt;0,IFERROR(OR($P107&lt;&gt;LOOKUP(2,1/(($A$2:$A$501=$A107)*($S$2:$S$501=$S107)*($B$2:$B$501="")*($O$2:$O$501="")),$P$2:$P$501),$Q107&lt;&gt;LOOKUP(2,1/(($A$2:$A$501=$A107)*($S$2:$S$501=$S107)*($B$2:$B$501="")*($O$2:$O$501="")),$Q$2:$Q$501),$R107&lt;&gt;LOOKUP(2,1/(($A$2:$A$501=$A107)*($S$2:$S$501=$S107)*($B$2:$B$501="")*($O$2:$O$501="")),$R$2:$R$501),$T107&lt;&gt;LOOKUP(2,1/(($A$2:$A$501=$A107)*($S$2:$S$501=$S107)*($B$2:$B$501="")*($O$2:$O$501="")),$T$2:$T$501),$U107&lt;&gt;LOOKUP(2,1/(($A$2:$A$501=$A107)*($S$2:$S$501=$S107)*($B$2:$B$501="")*($O$2:$O$501="")),$U$2:$U$501)),FALSE)),"Dependent row does not match the employee row for eligibility, status, coverage level, or funding; ",""))</f>
        <v/>
      </c>
      <c r="AB107">
        <f>IF(COUNTA($A107:$U107)=0,"",IF($L107="","Birthdate is required; ","")&amp;IF(AND($L107&lt;&gt;"",OR(NOT(ISNUMBER($L107)),$L107&lt;=DATE(1900,1,1),$L107&gt;TODAY())),"Birthdate must be an exact valid past date; ","")&amp;IF($P107="","Eligibility Date is required; ","")&amp;IF(AND($P107&lt;&gt;"",OR(NOT(ISNUMBER($P107)),$P107&lt;=DATE(1900,1,1))),"Eligibility Date must be a valid date; ","")&amp;IF(AND($R107="Terminated",$Q107=""),"Termination Date is required when Status is Terminated; ","")&amp;IF(AND($Q107&lt;&gt;"",OR(NOT(ISNUMBER($Q107)),$Q107&lt;=DATE(1900,1,1))),"Termination Date must be a valid date; ","")&amp;IF(AND(ISNUMBER($P107),ISNUMBER($Q107),$Q107&lt;$P107),"Termination Date cannot be before Eligibility Date; ","")&amp;IF($R107="","Status is required; ","")&amp;IF(AND($R107&lt;&gt;"",$R107&lt;&gt;"Active",$R107&lt;&gt;"Terminated"),"Status must be Active or Terminated; ","")&amp;IF(AND('START HERE'!$C$8="Terminations Only",$R107&lt;&gt;"Terminated"),"Terminations Only files must contain terminated records; ",""))</f>
        <v/>
      </c>
      <c r="AC107">
        <f>IF(COUNTA($A107:$U107)=0,"",IF($S107="","Plan Name is required; ","")&amp;IF($T107="","Benefit Coverage Level is required; ","")&amp;IF(AND($U107&lt;&gt;"",OR(NOT(ISNUMBER($U107)),$U107&lt;0)),"Plan Funding Amount must be a nonnegative number; ","")&amp;IF(AND($A107&lt;&gt;"",$S107&lt;&gt;"",COUNTIFS($A$2:$A$501,$A107,$B$2:$B$501,$B107,$S$2:$S$501,$S107)&gt;1),"Duplicate participant and plan row; ",""))</f>
        <v/>
      </c>
      <c r="AD107">
        <f>IF(COUNTA($A107:$U107)=0,"",IF(AND($X107="Employee",$M107="",$N107=""),"No employee phone or email provided; ","")&amp;IF(AND($R107="Active",$Q107&lt;&gt;""),"Active record includes a Termination Date; confirm this is intentional; ","")&amp;IF(AND($B107&lt;&gt;"",$B107&amp;""&lt;&gt;$A107&amp;"",COUNTIF($A$2:$A$501,$B107)&gt;0),"Dependent SSN also appears as an Employee SSN elsewhere; confirm dual-employee coverage is intentional; ","")&amp;IF(AND($B107&lt;&gt;"",COUNTIF($B$2:$B$501,$B107)&gt;COUNTIFS($A$2:$A$501,$A107,$B$2:$B$501,$B107)),"Dependent SSN appears under more than one employee; confirm duplicate family coverage is intentional; ","")&amp;IF(AND(ROW()&gt;2,$A107&lt;&gt;"",$A107&lt;&gt;$A106,COUNTIF($A$2:$A106,$A107)&gt;0),"This household appears in more than one section of the census; keep the family together; ","")&amp;IF(OR(AND($C107&lt;&gt;"",LEN($C107&amp;"")&lt;&gt;LEN(TRIM($C107&amp;""))),AND($D107&lt;&gt;"",LEN($D107&amp;"")&lt;&gt;LEN(TRIM($D107&amp;""))),AND($E107&lt;&gt;"",LEN($E107&amp;"")&lt;&gt;LEN(TRIM($E107&amp;""))),AND($F107&lt;&gt;"",LEN($F107&amp;"")&lt;&gt;LEN(TRIM($F107&amp;""))),AND($G107&lt;&gt;"",LEN($G107&amp;"")&lt;&gt;LEN(TRIM($G107&amp;""))),AND($H107&lt;&gt;"",LEN($H107&amp;"")&lt;&gt;LEN(TRIM($H107&amp;""))),AND($I107&lt;&gt;"",LEN($I107&amp;"")&lt;&gt;LEN(TRIM($I107&amp;""))),AND($J107&lt;&gt;"",LEN($J107&amp;"")&lt;&gt;LEN(TRIM($J107&amp;""))),AND($K107&lt;&gt;"",LEN($K107&amp;"")&lt;&gt;LEN(TRIM($K107&amp;""))),AND($M107&lt;&gt;"",LEN($M107&amp;"")&lt;&gt;LEN(TRIM($M107&amp;""))),AND($N107&lt;&gt;"",LEN($N107&amp;"")&lt;&gt;LEN(TRIM($N107&amp;""))),AND($O107&lt;&gt;"",LEN($O107&amp;"")&lt;&gt;LEN(TRIM($O107&amp;""))),AND($R107&lt;&gt;"",LEN($R107&amp;"")&lt;&gt;LEN(TRIM($R107&amp;""))),AND($S107&lt;&gt;"",LEN($S107&amp;"")&lt;&gt;LEN(TRIM($S107&amp;""))),AND($T107&lt;&gt;"",LEN($T107&amp;"")&lt;&gt;LEN(TRIM($T107&amp;"")))),"Remove leading or trailing spaces from text fields; ","")&amp;IF(OR(AND(LEN($C107)&gt;1,OR(EXACT($C107,UPPER($C107)),EXACT($C107,LOWER($C107)))),AND(LEN($D107)&gt;1,OR(EXACT($D107,UPPER($D107)),EXACT($D107,LOWER($D107)))),AND(LEN($H107)&gt;1,OR(EXACT($H107,UPPER($H107)),EXACT($H107,LOWER($H107))))),"Review capitalization in First Name, Last Name, or City; ","")&amp;IF(AND($N107&lt;&gt;"",NOT(EXACT($N107,LOWER($N107)))),"Email will be standardized to lowercase in the clean output; ","")&amp;IF(AND(OR('START HERE'!$C$8="Initial Enrollment",'START HERE'!$C$8="Open Enrollment"),$R107="Terminated"),"A terminated row is included in an initial or open enrollment file; confirm this is intentional; ",""))</f>
        <v/>
      </c>
      <c r="AE107">
        <f>IF(COUNTA($A107:$U107)=0,"",IF(OR($A107="",AND($A107&lt;&gt;"",NOT(IFERROR(AND(LEN($A107&amp;"")=9,ISNUMBER(--($A107&amp;""))),FALSE))),AND($A107&lt;&gt;"",OR($A107="123456789",$A107="987654321",$A107="012345678",$A107=REPT(LEFT($A107&amp;"",1),9)))),"Employee SSN, ","")&amp;IF(OR(AND($O107&lt;&gt;"",$B107=""),AND($B107&lt;&gt;"",OR(NOT(IFERROR(AND(LEN($B107&amp;"")=9,ISNUMBER(--($B107&amp;""))),FALSE)),$B107=$A107,$B107="123456789",$B107="987654321",$B107="012345678",$B107=REPT(LEFT($B107&amp;"",1),9)))),"Dependent SSN, ","")&amp;IF(OR($C107="",LEN($C107)&gt;19,AND($C107&lt;&gt;"",SUMPRODUCT(--(ROW($1:$19)&lt;=LEN($C107&amp;"")),--ISERROR(FIND(MID($C107&amp;"",ROW($1:$19),1),"ABCDEFGHIJKLMNOPQRSTUVWXYZabcdefghijklmnopqrstuvwxyz .,")))&gt;0)),"First Name, ","")&amp;IF(OR($D107="",LEN($D107)&gt;26,AND($D107&lt;&gt;"",SUMPRODUCT(--(ROW($1:$26)&lt;=LEN($D107&amp;"")),--ISERROR(FIND(MID($D107&amp;"",ROW($1:$26),1),"ABCDEFGHIJKLMNOPQRSTUVWXYZabcdefghijklmnopqrstuvwxyz .,")))&gt;0)),"Last Name, ","")&amp;IF(OR(LEN($E107)&gt;1,AND($E107&lt;&gt;"",SUMPRODUCT(--(ROW($1:$1)&lt;=LEN($E107&amp;"")),--ISERROR(FIND(MID($E107&amp;"",ROW($1:$1),1),"ABCDEFGHIJKLMNOPQRSTUVWXYZabcdefghijklmnopqrstuvwxyz .,")))&gt;0)),"Middle Initial, ","")&amp;IF(OR($F107="",LEN($F107)&gt;75),"Address, ","")&amp;IF(OR($H107="",LEN($H107)&gt;30),"City, ","")&amp;IF(AND($K107="US",OR($I107="",LEN($I107)&lt;&gt;2)),"State, ","")&amp;IF($J107="","ZIP, ","")&amp;IF(OR($K107="",AND($K107&lt;&gt;"US",$K107&lt;&gt;"CA")),"Country, ","")&amp;IF(OR($L107="",AND($L107&lt;&gt;"",OR(NOT(ISNUMBER($L107)),$L107&lt;=DATE(1900,1,1),$L107&gt;TODAY()))),"Birthdate, ","")&amp;IF(AND($N107&lt;&gt;"",NOT(IFERROR(AND(ISNUMBER(SEARCH("@",$N107)),ISNUMBER(SEARCH(".",$N107,SEARCH("@",$N107)+2))),FALSE))),"Email, ","")&amp;IF(OR(AND($B107&lt;&gt;"",$O107=""),AND($O107&lt;&gt;"",$O107&lt;&gt;"Spouse or Common Law Spouse",$O107&lt;&gt;"Domestic Partner",$O107&lt;&gt;"Child",$O107&lt;&gt;"Other",$O107&lt;&gt;"Estate",$O107&lt;&gt;"Unknown")),"Dependent Relationship, ","")&amp;IF($AA107&lt;&gt;"","Household, ","")&amp;IF(OR($P107="",AND($P107&lt;&gt;"",OR(NOT(ISNUMBER($P107)),$P107&lt;=DATE(1900,1,1)))),"Eligibility Date, ","")&amp;IF(OR(AND($R107="Terminated",$Q107=""),AND($Q107&lt;&gt;"",OR(NOT(ISNUMBER($Q107)),$Q107&lt;=DATE(1900,1,1))),AND(ISNUMBER($P107),ISNUMBER($Q107),$Q107&lt;$P107)),"Termination Date, ","")&amp;IF(OR($R107="",AND($R107&lt;&gt;"Active",$R107&lt;&gt;"Terminated"),AND('START HERE'!$C$8="Terminations Only",$R107&lt;&gt;"Terminated")),"Status, ","")&amp;IF($S107="","Plan Name, ","")&amp;IF($T107="","Coverage Level, ","")&amp;IF(AND($U107&lt;&gt;"",OR(NOT(ISNUMBER($U107)),$U107&lt;0)),"Funding, ","")&amp;IF(AND($A107&lt;&gt;"",$S107&lt;&gt;"",COUNTIFS($A$2:$A$501,$A107,$B$2:$B$501,$B107,$S$2:$S$501,$S107)&gt;1),"Duplicate Row, ",""))</f>
        <v/>
      </c>
      <c r="AF107">
        <f>IF(COUNTA($A107:$U107)=0,"",$Y107&amp;$Z107&amp;$AA107&amp;$AB107&amp;$AC107)</f>
        <v/>
      </c>
      <c r="AG107">
        <f>IF($N107="","",LOWER(TRIM($N107)))</f>
        <v/>
      </c>
      <c r="AH107">
        <f>IF($A107="","",COUNTIFS($A$2:$A$501,$A107,$AI$2:$AI$501,1))</f>
        <v/>
      </c>
      <c r="AI107">
        <f>IF(COUNTA($A107:$U107)=0,"",--($AF107&lt;&gt;""))</f>
        <v/>
      </c>
      <c r="AJ107">
        <f>IF(COUNTA($A107:$U107)=0,"",--($AD107&lt;&gt;""))</f>
        <v/>
      </c>
    </row>
    <row r="108" ht="20" customHeight="1">
      <c r="A108" s="80" t="n"/>
      <c r="B108" s="80" t="n"/>
      <c r="C108" s="81" t="n"/>
      <c r="D108" s="81" t="n"/>
      <c r="E108" s="80" t="n"/>
      <c r="F108" s="81" t="n"/>
      <c r="G108" s="81" t="n"/>
      <c r="H108" s="81" t="n"/>
      <c r="I108" s="80" t="n"/>
      <c r="J108" s="80" t="n"/>
      <c r="K108" s="80" t="n"/>
      <c r="L108" s="82" t="n"/>
      <c r="M108" s="80" t="n"/>
      <c r="N108" s="80" t="n"/>
      <c r="O108" s="80" t="n"/>
      <c r="P108" s="82" t="n"/>
      <c r="Q108" s="82" t="n"/>
      <c r="R108" s="80" t="n"/>
      <c r="S108" s="80" t="n"/>
      <c r="T108" s="80" t="n"/>
      <c r="U108" s="83" t="n"/>
      <c r="V108">
        <f>IF($A108="","",IF($A108=$A107,$V107,IF($V107="",0,1-$V107)))</f>
        <v/>
      </c>
      <c r="W108">
        <f>IF($B108&lt;&gt;"",$B108,$A108)</f>
        <v/>
      </c>
      <c r="X108">
        <f>IF(COUNTA($A108:$U108)=0,"",IF(OR($B108&lt;&gt;"",$O108&lt;&gt;""),"Dependent","Employee"))</f>
        <v/>
      </c>
      <c r="Y108">
        <f>IF(COUNTA($A108:$U108)=0,"",IF($A108="","Employee SSN is required; ","")&amp;IF($C108="","First Name is required; ","")&amp;IF(LEN($C108&amp;"")&gt;19,"First Name exceeds 19 characters; ","")&amp;IF(AND($C108&lt;&gt;"",SUMPRODUCT(--(ROW($1:$19)&lt;=LEN($C108&amp;"")),--ISERROR(FIND(MID($C108&amp;"",ROW($1:$19),1),"ABCDEFGHIJKLMNOPQRSTUVWXYZabcdefghijklmnopqrstuvwxyz .,")))&gt;0),"First Name contains unsupported or encoded characters; use plain A-Z letters only; ","")&amp;IF($D108="","Last Name is required; ","")&amp;IF(LEN($D108&amp;"")&gt;26,"Last Name exceeds 26 characters; ","")&amp;IF(AND($D108&lt;&gt;"",SUMPRODUCT(--(ROW($1:$26)&lt;=LEN($D108&amp;"")),--ISERROR(FIND(MID($D108&amp;"",ROW($1:$26),1),"ABCDEFGHIJKLMNOPQRSTUVWXYZabcdefghijklmnopqrstuvwxyz .,")))&gt;0),"Last Name contains unsupported or encoded characters; use plain A-Z letters only; ","")&amp;IF(LEN($E108&amp;"")&gt;1,"Middle Initial may contain only one character; ","")&amp;IF(AND($E108&lt;&gt;"",SUMPRODUCT(--(ROW($1:$1)&lt;=LEN($E108&amp;"")),--ISERROR(FIND(MID($E108&amp;"",ROW($1:$1),1),"ABCDEFGHIJKLMNOPQRSTUVWXYZabcdefghijklmnopqrstuvwxyz .,")))&gt;0),"Middle Initial must be a plain A-Z letter; ","")&amp;IF($F108="","Address is required; ","")&amp;IF(LEN($F108&amp;"")&gt;75,"Address exceeds 75 characters; ","")&amp;IF(LEN($G108&amp;"")&gt;75,"Address 2 exceeds 75 characters; ","")&amp;IF($H108="","City is required; ","")&amp;IF(LEN($H108&amp;"")&gt;30,"City exceeds 30 characters; ","")&amp;IF($K108="","Country is required; ","")&amp;IF(AND($K108&lt;&gt;"",$K108&lt;&gt;"US",$K108&lt;&gt;"CA"),"Country must be US or CA; ","")&amp;IF(AND($K108="US",OR($I108="",LEN($I108&amp;"")&lt;&gt;2)),"Use a 2-letter state code; ","")&amp;IF($J108="","ZIP or postal code is required; ","")&amp;IF(AND($K108="US",$J108&lt;&gt;"",NOT(IFERROR(OR(AND(LEN($J108&amp;"")=5,ISNUMBER(--($J108&amp;""))),AND(LEN($J108&amp;"")=9,ISNUMBER(--($J108&amp;""))),AND(LEN($J108&amp;"")=10,MID($J108&amp;"",6,1)="-",ISNUMBER(--SUBSTITUTE($J108&amp;"","-","")))),FALSE))),"US ZIP must be 5 or 9 digits, with an optional ZIP+4 hyphen; ","")&amp;IF(AND($N108&lt;&gt;"",NOT(IFERROR(AND(ISNUMBER(SEARCH("@",$N108)),ISNUMBER(SEARCH(".",$N108,SEARCH("@",$N108)+2))),FALSE))),"Email format appears invalid; ","")&amp;IF(AND($O108&lt;&gt;"",$B108=""),"Dependent SSN is required for every dependent; ","")&amp;IF(AND($B108&lt;&gt;"",$O108=""),"Dependent Relationship is required when Dependent SSN is entered; ","")&amp;IF(AND($O108&lt;&gt;"",$O108&lt;&gt;"Spouse or Common Law Spouse",$O108&lt;&gt;"Domestic Partner",$O108&lt;&gt;"Child",$O108&lt;&gt;"Other",$O108&lt;&gt;"Estate",$O108&lt;&gt;"Unknown"),"Dependent Relationship must use one of the approved options; ",""))</f>
        <v/>
      </c>
      <c r="Z108">
        <f>IF(COUNTA($A108:$U108)=0,"",IF(AND($A108&lt;&gt;"",NOT(IFERROR(AND(LEN($A108&amp;"")=9,ISNUMBER(--($A108&amp;""))),FALSE))),"Employee SSN must contain exactly 9 digits; ","")&amp;IF(AND($A108&lt;&gt;"",OR($A108="123456789",$A108="987654321",$A108="012345678",$A108=REPT(LEFT($A108&amp;"",1),9))),"Employee SSN appears to be a placeholder; ","")&amp;IF(AND($B108&lt;&gt;"",NOT(IFERROR(AND(LEN($B108&amp;"")=9,ISNUMBER(--($B108&amp;""))),FALSE))),"Dependent SSN must contain exactly 9 digits; ","")&amp;IF(AND($B108&lt;&gt;"",OR($B108="123456789",$B108="987654321",$B108="012345678",$B108=REPT(LEFT($B108&amp;"",1),9))),"Dependent SSN appears to be a placeholder; ","")&amp;IF(AND($A108&lt;&gt;"",$B108&lt;&gt;"",$A108&amp;""=$B108&amp;""),"Dependent SSN cannot match Employee SSN; ","")&amp;IF(AND($W108&lt;&gt;"",OR(COUNTIFS($W$2:$W$501,$W108,$C$2:$C$501,"&lt;&gt;"&amp;$C108)&gt;0,COUNTIFS($W$2:$W$501,$W108,$D$2:$D$501,"&lt;&gt;"&amp;$D108)&gt;0,COUNTIFS($W$2:$W$501,$W108,$L$2:$L$501,"&lt;&gt;"&amp;$L108)&gt;0)),"The same SSN is associated with a different name or birthdate; ",""))</f>
        <v/>
      </c>
      <c r="AA108">
        <f>IF(COUNTA($A108:$U108)=0,"",IF(AND($A108&lt;&gt;"",$S108&lt;&gt;"",COUNTIFS($A$2:$A$501,$A108,$S$2:$S$501,$S108,$B$2:$B$501,"",$O$2:$O$501,"")=0),"Add an employee row for this household and plan; ","")&amp;IF(AND($X108="Dependent",COUNTIFS($A$2:$A108,$A108,$S$2:$S108,$S108,$B$2:$B108,"",$O$2:$O108,"")=0),"Place the employee row before dependent rows for this plan; ","")&amp;IF(AND($X108="Dependent",COUNTIFS($A$2:$A$501,$A108,$S$2:$S$501,$S108,$B$2:$B$501,"",$O$2:$O$501,"")&gt;0,IFERROR(OR($P108&lt;&gt;LOOKUP(2,1/(($A$2:$A$501=$A108)*($S$2:$S$501=$S108)*($B$2:$B$501="")*($O$2:$O$501="")),$P$2:$P$501),$Q108&lt;&gt;LOOKUP(2,1/(($A$2:$A$501=$A108)*($S$2:$S$501=$S108)*($B$2:$B$501="")*($O$2:$O$501="")),$Q$2:$Q$501),$R108&lt;&gt;LOOKUP(2,1/(($A$2:$A$501=$A108)*($S$2:$S$501=$S108)*($B$2:$B$501="")*($O$2:$O$501="")),$R$2:$R$501),$T108&lt;&gt;LOOKUP(2,1/(($A$2:$A$501=$A108)*($S$2:$S$501=$S108)*($B$2:$B$501="")*($O$2:$O$501="")),$T$2:$T$501),$U108&lt;&gt;LOOKUP(2,1/(($A$2:$A$501=$A108)*($S$2:$S$501=$S108)*($B$2:$B$501="")*($O$2:$O$501="")),$U$2:$U$501)),FALSE)),"Dependent row does not match the employee row for eligibility, status, coverage level, or funding; ",""))</f>
        <v/>
      </c>
      <c r="AB108">
        <f>IF(COUNTA($A108:$U108)=0,"",IF($L108="","Birthdate is required; ","")&amp;IF(AND($L108&lt;&gt;"",OR(NOT(ISNUMBER($L108)),$L108&lt;=DATE(1900,1,1),$L108&gt;TODAY())),"Birthdate must be an exact valid past date; ","")&amp;IF($P108="","Eligibility Date is required; ","")&amp;IF(AND($P108&lt;&gt;"",OR(NOT(ISNUMBER($P108)),$P108&lt;=DATE(1900,1,1))),"Eligibility Date must be a valid date; ","")&amp;IF(AND($R108="Terminated",$Q108=""),"Termination Date is required when Status is Terminated; ","")&amp;IF(AND($Q108&lt;&gt;"",OR(NOT(ISNUMBER($Q108)),$Q108&lt;=DATE(1900,1,1))),"Termination Date must be a valid date; ","")&amp;IF(AND(ISNUMBER($P108),ISNUMBER($Q108),$Q108&lt;$P108),"Termination Date cannot be before Eligibility Date; ","")&amp;IF($R108="","Status is required; ","")&amp;IF(AND($R108&lt;&gt;"",$R108&lt;&gt;"Active",$R108&lt;&gt;"Terminated"),"Status must be Active or Terminated; ","")&amp;IF(AND('START HERE'!$C$8="Terminations Only",$R108&lt;&gt;"Terminated"),"Terminations Only files must contain terminated records; ",""))</f>
        <v/>
      </c>
      <c r="AC108">
        <f>IF(COUNTA($A108:$U108)=0,"",IF($S108="","Plan Name is required; ","")&amp;IF($T108="","Benefit Coverage Level is required; ","")&amp;IF(AND($U108&lt;&gt;"",OR(NOT(ISNUMBER($U108)),$U108&lt;0)),"Plan Funding Amount must be a nonnegative number; ","")&amp;IF(AND($A108&lt;&gt;"",$S108&lt;&gt;"",COUNTIFS($A$2:$A$501,$A108,$B$2:$B$501,$B108,$S$2:$S$501,$S108)&gt;1),"Duplicate participant and plan row; ",""))</f>
        <v/>
      </c>
      <c r="AD108">
        <f>IF(COUNTA($A108:$U108)=0,"",IF(AND($X108="Employee",$M108="",$N108=""),"No employee phone or email provided; ","")&amp;IF(AND($R108="Active",$Q108&lt;&gt;""),"Active record includes a Termination Date; confirm this is intentional; ","")&amp;IF(AND($B108&lt;&gt;"",$B108&amp;""&lt;&gt;$A108&amp;"",COUNTIF($A$2:$A$501,$B108)&gt;0),"Dependent SSN also appears as an Employee SSN elsewhere; confirm dual-employee coverage is intentional; ","")&amp;IF(AND($B108&lt;&gt;"",COUNTIF($B$2:$B$501,$B108)&gt;COUNTIFS($A$2:$A$501,$A108,$B$2:$B$501,$B108)),"Dependent SSN appears under more than one employee; confirm duplicate family coverage is intentional; ","")&amp;IF(AND(ROW()&gt;2,$A108&lt;&gt;"",$A108&lt;&gt;$A107,COUNTIF($A$2:$A107,$A108)&gt;0),"This household appears in more than one section of the census; keep the family together; ","")&amp;IF(OR(AND($C108&lt;&gt;"",LEN($C108&amp;"")&lt;&gt;LEN(TRIM($C108&amp;""))),AND($D108&lt;&gt;"",LEN($D108&amp;"")&lt;&gt;LEN(TRIM($D108&amp;""))),AND($E108&lt;&gt;"",LEN($E108&amp;"")&lt;&gt;LEN(TRIM($E108&amp;""))),AND($F108&lt;&gt;"",LEN($F108&amp;"")&lt;&gt;LEN(TRIM($F108&amp;""))),AND($G108&lt;&gt;"",LEN($G108&amp;"")&lt;&gt;LEN(TRIM($G108&amp;""))),AND($H108&lt;&gt;"",LEN($H108&amp;"")&lt;&gt;LEN(TRIM($H108&amp;""))),AND($I108&lt;&gt;"",LEN($I108&amp;"")&lt;&gt;LEN(TRIM($I108&amp;""))),AND($J108&lt;&gt;"",LEN($J108&amp;"")&lt;&gt;LEN(TRIM($J108&amp;""))),AND($K108&lt;&gt;"",LEN($K108&amp;"")&lt;&gt;LEN(TRIM($K108&amp;""))),AND($M108&lt;&gt;"",LEN($M108&amp;"")&lt;&gt;LEN(TRIM($M108&amp;""))),AND($N108&lt;&gt;"",LEN($N108&amp;"")&lt;&gt;LEN(TRIM($N108&amp;""))),AND($O108&lt;&gt;"",LEN($O108&amp;"")&lt;&gt;LEN(TRIM($O108&amp;""))),AND($R108&lt;&gt;"",LEN($R108&amp;"")&lt;&gt;LEN(TRIM($R108&amp;""))),AND($S108&lt;&gt;"",LEN($S108&amp;"")&lt;&gt;LEN(TRIM($S108&amp;""))),AND($T108&lt;&gt;"",LEN($T108&amp;"")&lt;&gt;LEN(TRIM($T108&amp;"")))),"Remove leading or trailing spaces from text fields; ","")&amp;IF(OR(AND(LEN($C108)&gt;1,OR(EXACT($C108,UPPER($C108)),EXACT($C108,LOWER($C108)))),AND(LEN($D108)&gt;1,OR(EXACT($D108,UPPER($D108)),EXACT($D108,LOWER($D108)))),AND(LEN($H108)&gt;1,OR(EXACT($H108,UPPER($H108)),EXACT($H108,LOWER($H108))))),"Review capitalization in First Name, Last Name, or City; ","")&amp;IF(AND($N108&lt;&gt;"",NOT(EXACT($N108,LOWER($N108)))),"Email will be standardized to lowercase in the clean output; ","")&amp;IF(AND(OR('START HERE'!$C$8="Initial Enrollment",'START HERE'!$C$8="Open Enrollment"),$R108="Terminated"),"A terminated row is included in an initial or open enrollment file; confirm this is intentional; ",""))</f>
        <v/>
      </c>
      <c r="AE108">
        <f>IF(COUNTA($A108:$U108)=0,"",IF(OR($A108="",AND($A108&lt;&gt;"",NOT(IFERROR(AND(LEN($A108&amp;"")=9,ISNUMBER(--($A108&amp;""))),FALSE))),AND($A108&lt;&gt;"",OR($A108="123456789",$A108="987654321",$A108="012345678",$A108=REPT(LEFT($A108&amp;"",1),9)))),"Employee SSN, ","")&amp;IF(OR(AND($O108&lt;&gt;"",$B108=""),AND($B108&lt;&gt;"",OR(NOT(IFERROR(AND(LEN($B108&amp;"")=9,ISNUMBER(--($B108&amp;""))),FALSE)),$B108=$A108,$B108="123456789",$B108="987654321",$B108="012345678",$B108=REPT(LEFT($B108&amp;"",1),9)))),"Dependent SSN, ","")&amp;IF(OR($C108="",LEN($C108)&gt;19,AND($C108&lt;&gt;"",SUMPRODUCT(--(ROW($1:$19)&lt;=LEN($C108&amp;"")),--ISERROR(FIND(MID($C108&amp;"",ROW($1:$19),1),"ABCDEFGHIJKLMNOPQRSTUVWXYZabcdefghijklmnopqrstuvwxyz .,")))&gt;0)),"First Name, ","")&amp;IF(OR($D108="",LEN($D108)&gt;26,AND($D108&lt;&gt;"",SUMPRODUCT(--(ROW($1:$26)&lt;=LEN($D108&amp;"")),--ISERROR(FIND(MID($D108&amp;"",ROW($1:$26),1),"ABCDEFGHIJKLMNOPQRSTUVWXYZabcdefghijklmnopqrstuvwxyz .,")))&gt;0)),"Last Name, ","")&amp;IF(OR(LEN($E108)&gt;1,AND($E108&lt;&gt;"",SUMPRODUCT(--(ROW($1:$1)&lt;=LEN($E108&amp;"")),--ISERROR(FIND(MID($E108&amp;"",ROW($1:$1),1),"ABCDEFGHIJKLMNOPQRSTUVWXYZabcdefghijklmnopqrstuvwxyz .,")))&gt;0)),"Middle Initial, ","")&amp;IF(OR($F108="",LEN($F108)&gt;75),"Address, ","")&amp;IF(OR($H108="",LEN($H108)&gt;30),"City, ","")&amp;IF(AND($K108="US",OR($I108="",LEN($I108)&lt;&gt;2)),"State, ","")&amp;IF($J108="","ZIP, ","")&amp;IF(OR($K108="",AND($K108&lt;&gt;"US",$K108&lt;&gt;"CA")),"Country, ","")&amp;IF(OR($L108="",AND($L108&lt;&gt;"",OR(NOT(ISNUMBER($L108)),$L108&lt;=DATE(1900,1,1),$L108&gt;TODAY()))),"Birthdate, ","")&amp;IF(AND($N108&lt;&gt;"",NOT(IFERROR(AND(ISNUMBER(SEARCH("@",$N108)),ISNUMBER(SEARCH(".",$N108,SEARCH("@",$N108)+2))),FALSE))),"Email, ","")&amp;IF(OR(AND($B108&lt;&gt;"",$O108=""),AND($O108&lt;&gt;"",$O108&lt;&gt;"Spouse or Common Law Spouse",$O108&lt;&gt;"Domestic Partner",$O108&lt;&gt;"Child",$O108&lt;&gt;"Other",$O108&lt;&gt;"Estate",$O108&lt;&gt;"Unknown")),"Dependent Relationship, ","")&amp;IF($AA108&lt;&gt;"","Household, ","")&amp;IF(OR($P108="",AND($P108&lt;&gt;"",OR(NOT(ISNUMBER($P108)),$P108&lt;=DATE(1900,1,1)))),"Eligibility Date, ","")&amp;IF(OR(AND($R108="Terminated",$Q108=""),AND($Q108&lt;&gt;"",OR(NOT(ISNUMBER($Q108)),$Q108&lt;=DATE(1900,1,1))),AND(ISNUMBER($P108),ISNUMBER($Q108),$Q108&lt;$P108)),"Termination Date, ","")&amp;IF(OR($R108="",AND($R108&lt;&gt;"Active",$R108&lt;&gt;"Terminated"),AND('START HERE'!$C$8="Terminations Only",$R108&lt;&gt;"Terminated")),"Status, ","")&amp;IF($S108="","Plan Name, ","")&amp;IF($T108="","Coverage Level, ","")&amp;IF(AND($U108&lt;&gt;"",OR(NOT(ISNUMBER($U108)),$U108&lt;0)),"Funding, ","")&amp;IF(AND($A108&lt;&gt;"",$S108&lt;&gt;"",COUNTIFS($A$2:$A$501,$A108,$B$2:$B$501,$B108,$S$2:$S$501,$S108)&gt;1),"Duplicate Row, ",""))</f>
        <v/>
      </c>
      <c r="AF108">
        <f>IF(COUNTA($A108:$U108)=0,"",$Y108&amp;$Z108&amp;$AA108&amp;$AB108&amp;$AC108)</f>
        <v/>
      </c>
      <c r="AG108">
        <f>IF($N108="","",LOWER(TRIM($N108)))</f>
        <v/>
      </c>
      <c r="AH108">
        <f>IF($A108="","",COUNTIFS($A$2:$A$501,$A108,$AI$2:$AI$501,1))</f>
        <v/>
      </c>
      <c r="AI108">
        <f>IF(COUNTA($A108:$U108)=0,"",--($AF108&lt;&gt;""))</f>
        <v/>
      </c>
      <c r="AJ108">
        <f>IF(COUNTA($A108:$U108)=0,"",--($AD108&lt;&gt;""))</f>
        <v/>
      </c>
    </row>
    <row r="109" ht="20" customHeight="1">
      <c r="A109" s="80" t="n"/>
      <c r="B109" s="80" t="n"/>
      <c r="C109" s="81" t="n"/>
      <c r="D109" s="81" t="n"/>
      <c r="E109" s="80" t="n"/>
      <c r="F109" s="81" t="n"/>
      <c r="G109" s="81" t="n"/>
      <c r="H109" s="81" t="n"/>
      <c r="I109" s="80" t="n"/>
      <c r="J109" s="80" t="n"/>
      <c r="K109" s="80" t="n"/>
      <c r="L109" s="82" t="n"/>
      <c r="M109" s="80" t="n"/>
      <c r="N109" s="80" t="n"/>
      <c r="O109" s="80" t="n"/>
      <c r="P109" s="82" t="n"/>
      <c r="Q109" s="82" t="n"/>
      <c r="R109" s="80" t="n"/>
      <c r="S109" s="80" t="n"/>
      <c r="T109" s="80" t="n"/>
      <c r="U109" s="83" t="n"/>
      <c r="V109">
        <f>IF($A109="","",IF($A109=$A108,$V108,IF($V108="",0,1-$V108)))</f>
        <v/>
      </c>
      <c r="W109">
        <f>IF($B109&lt;&gt;"",$B109,$A109)</f>
        <v/>
      </c>
      <c r="X109">
        <f>IF(COUNTA($A109:$U109)=0,"",IF(OR($B109&lt;&gt;"",$O109&lt;&gt;""),"Dependent","Employee"))</f>
        <v/>
      </c>
      <c r="Y109">
        <f>IF(COUNTA($A109:$U109)=0,"",IF($A109="","Employee SSN is required; ","")&amp;IF($C109="","First Name is required; ","")&amp;IF(LEN($C109&amp;"")&gt;19,"First Name exceeds 19 characters; ","")&amp;IF(AND($C109&lt;&gt;"",SUMPRODUCT(--(ROW($1:$19)&lt;=LEN($C109&amp;"")),--ISERROR(FIND(MID($C109&amp;"",ROW($1:$19),1),"ABCDEFGHIJKLMNOPQRSTUVWXYZabcdefghijklmnopqrstuvwxyz .,")))&gt;0),"First Name contains unsupported or encoded characters; use plain A-Z letters only; ","")&amp;IF($D109="","Last Name is required; ","")&amp;IF(LEN($D109&amp;"")&gt;26,"Last Name exceeds 26 characters; ","")&amp;IF(AND($D109&lt;&gt;"",SUMPRODUCT(--(ROW($1:$26)&lt;=LEN($D109&amp;"")),--ISERROR(FIND(MID($D109&amp;"",ROW($1:$26),1),"ABCDEFGHIJKLMNOPQRSTUVWXYZabcdefghijklmnopqrstuvwxyz .,")))&gt;0),"Last Name contains unsupported or encoded characters; use plain A-Z letters only; ","")&amp;IF(LEN($E109&amp;"")&gt;1,"Middle Initial may contain only one character; ","")&amp;IF(AND($E109&lt;&gt;"",SUMPRODUCT(--(ROW($1:$1)&lt;=LEN($E109&amp;"")),--ISERROR(FIND(MID($E109&amp;"",ROW($1:$1),1),"ABCDEFGHIJKLMNOPQRSTUVWXYZabcdefghijklmnopqrstuvwxyz .,")))&gt;0),"Middle Initial must be a plain A-Z letter; ","")&amp;IF($F109="","Address is required; ","")&amp;IF(LEN($F109&amp;"")&gt;75,"Address exceeds 75 characters; ","")&amp;IF(LEN($G109&amp;"")&gt;75,"Address 2 exceeds 75 characters; ","")&amp;IF($H109="","City is required; ","")&amp;IF(LEN($H109&amp;"")&gt;30,"City exceeds 30 characters; ","")&amp;IF($K109="","Country is required; ","")&amp;IF(AND($K109&lt;&gt;"",$K109&lt;&gt;"US",$K109&lt;&gt;"CA"),"Country must be US or CA; ","")&amp;IF(AND($K109="US",OR($I109="",LEN($I109&amp;"")&lt;&gt;2)),"Use a 2-letter state code; ","")&amp;IF($J109="","ZIP or postal code is required; ","")&amp;IF(AND($K109="US",$J109&lt;&gt;"",NOT(IFERROR(OR(AND(LEN($J109&amp;"")=5,ISNUMBER(--($J109&amp;""))),AND(LEN($J109&amp;"")=9,ISNUMBER(--($J109&amp;""))),AND(LEN($J109&amp;"")=10,MID($J109&amp;"",6,1)="-",ISNUMBER(--SUBSTITUTE($J109&amp;"","-","")))),FALSE))),"US ZIP must be 5 or 9 digits, with an optional ZIP+4 hyphen; ","")&amp;IF(AND($N109&lt;&gt;"",NOT(IFERROR(AND(ISNUMBER(SEARCH("@",$N109)),ISNUMBER(SEARCH(".",$N109,SEARCH("@",$N109)+2))),FALSE))),"Email format appears invalid; ","")&amp;IF(AND($O109&lt;&gt;"",$B109=""),"Dependent SSN is required for every dependent; ","")&amp;IF(AND($B109&lt;&gt;"",$O109=""),"Dependent Relationship is required when Dependent SSN is entered; ","")&amp;IF(AND($O109&lt;&gt;"",$O109&lt;&gt;"Spouse or Common Law Spouse",$O109&lt;&gt;"Domestic Partner",$O109&lt;&gt;"Child",$O109&lt;&gt;"Other",$O109&lt;&gt;"Estate",$O109&lt;&gt;"Unknown"),"Dependent Relationship must use one of the approved options; ",""))</f>
        <v/>
      </c>
      <c r="Z109">
        <f>IF(COUNTA($A109:$U109)=0,"",IF(AND($A109&lt;&gt;"",NOT(IFERROR(AND(LEN($A109&amp;"")=9,ISNUMBER(--($A109&amp;""))),FALSE))),"Employee SSN must contain exactly 9 digits; ","")&amp;IF(AND($A109&lt;&gt;"",OR($A109="123456789",$A109="987654321",$A109="012345678",$A109=REPT(LEFT($A109&amp;"",1),9))),"Employee SSN appears to be a placeholder; ","")&amp;IF(AND($B109&lt;&gt;"",NOT(IFERROR(AND(LEN($B109&amp;"")=9,ISNUMBER(--($B109&amp;""))),FALSE))),"Dependent SSN must contain exactly 9 digits; ","")&amp;IF(AND($B109&lt;&gt;"",OR($B109="123456789",$B109="987654321",$B109="012345678",$B109=REPT(LEFT($B109&amp;"",1),9))),"Dependent SSN appears to be a placeholder; ","")&amp;IF(AND($A109&lt;&gt;"",$B109&lt;&gt;"",$A109&amp;""=$B109&amp;""),"Dependent SSN cannot match Employee SSN; ","")&amp;IF(AND($W109&lt;&gt;"",OR(COUNTIFS($W$2:$W$501,$W109,$C$2:$C$501,"&lt;&gt;"&amp;$C109)&gt;0,COUNTIFS($W$2:$W$501,$W109,$D$2:$D$501,"&lt;&gt;"&amp;$D109)&gt;0,COUNTIFS($W$2:$W$501,$W109,$L$2:$L$501,"&lt;&gt;"&amp;$L109)&gt;0)),"The same SSN is associated with a different name or birthdate; ",""))</f>
        <v/>
      </c>
      <c r="AA109">
        <f>IF(COUNTA($A109:$U109)=0,"",IF(AND($A109&lt;&gt;"",$S109&lt;&gt;"",COUNTIFS($A$2:$A$501,$A109,$S$2:$S$501,$S109,$B$2:$B$501,"",$O$2:$O$501,"")=0),"Add an employee row for this household and plan; ","")&amp;IF(AND($X109="Dependent",COUNTIFS($A$2:$A109,$A109,$S$2:$S109,$S109,$B$2:$B109,"",$O$2:$O109,"")=0),"Place the employee row before dependent rows for this plan; ","")&amp;IF(AND($X109="Dependent",COUNTIFS($A$2:$A$501,$A109,$S$2:$S$501,$S109,$B$2:$B$501,"",$O$2:$O$501,"")&gt;0,IFERROR(OR($P109&lt;&gt;LOOKUP(2,1/(($A$2:$A$501=$A109)*($S$2:$S$501=$S109)*($B$2:$B$501="")*($O$2:$O$501="")),$P$2:$P$501),$Q109&lt;&gt;LOOKUP(2,1/(($A$2:$A$501=$A109)*($S$2:$S$501=$S109)*($B$2:$B$501="")*($O$2:$O$501="")),$Q$2:$Q$501),$R109&lt;&gt;LOOKUP(2,1/(($A$2:$A$501=$A109)*($S$2:$S$501=$S109)*($B$2:$B$501="")*($O$2:$O$501="")),$R$2:$R$501),$T109&lt;&gt;LOOKUP(2,1/(($A$2:$A$501=$A109)*($S$2:$S$501=$S109)*($B$2:$B$501="")*($O$2:$O$501="")),$T$2:$T$501),$U109&lt;&gt;LOOKUP(2,1/(($A$2:$A$501=$A109)*($S$2:$S$501=$S109)*($B$2:$B$501="")*($O$2:$O$501="")),$U$2:$U$501)),FALSE)),"Dependent row does not match the employee row for eligibility, status, coverage level, or funding; ",""))</f>
        <v/>
      </c>
      <c r="AB109">
        <f>IF(COUNTA($A109:$U109)=0,"",IF($L109="","Birthdate is required; ","")&amp;IF(AND($L109&lt;&gt;"",OR(NOT(ISNUMBER($L109)),$L109&lt;=DATE(1900,1,1),$L109&gt;TODAY())),"Birthdate must be an exact valid past date; ","")&amp;IF($P109="","Eligibility Date is required; ","")&amp;IF(AND($P109&lt;&gt;"",OR(NOT(ISNUMBER($P109)),$P109&lt;=DATE(1900,1,1))),"Eligibility Date must be a valid date; ","")&amp;IF(AND($R109="Terminated",$Q109=""),"Termination Date is required when Status is Terminated; ","")&amp;IF(AND($Q109&lt;&gt;"",OR(NOT(ISNUMBER($Q109)),$Q109&lt;=DATE(1900,1,1))),"Termination Date must be a valid date; ","")&amp;IF(AND(ISNUMBER($P109),ISNUMBER($Q109),$Q109&lt;$P109),"Termination Date cannot be before Eligibility Date; ","")&amp;IF($R109="","Status is required; ","")&amp;IF(AND($R109&lt;&gt;"",$R109&lt;&gt;"Active",$R109&lt;&gt;"Terminated"),"Status must be Active or Terminated; ","")&amp;IF(AND('START HERE'!$C$8="Terminations Only",$R109&lt;&gt;"Terminated"),"Terminations Only files must contain terminated records; ",""))</f>
        <v/>
      </c>
      <c r="AC109">
        <f>IF(COUNTA($A109:$U109)=0,"",IF($S109="","Plan Name is required; ","")&amp;IF($T109="","Benefit Coverage Level is required; ","")&amp;IF(AND($U109&lt;&gt;"",OR(NOT(ISNUMBER($U109)),$U109&lt;0)),"Plan Funding Amount must be a nonnegative number; ","")&amp;IF(AND($A109&lt;&gt;"",$S109&lt;&gt;"",COUNTIFS($A$2:$A$501,$A109,$B$2:$B$501,$B109,$S$2:$S$501,$S109)&gt;1),"Duplicate participant and plan row; ",""))</f>
        <v/>
      </c>
      <c r="AD109">
        <f>IF(COUNTA($A109:$U109)=0,"",IF(AND($X109="Employee",$M109="",$N109=""),"No employee phone or email provided; ","")&amp;IF(AND($R109="Active",$Q109&lt;&gt;""),"Active record includes a Termination Date; confirm this is intentional; ","")&amp;IF(AND($B109&lt;&gt;"",$B109&amp;""&lt;&gt;$A109&amp;"",COUNTIF($A$2:$A$501,$B109)&gt;0),"Dependent SSN also appears as an Employee SSN elsewhere; confirm dual-employee coverage is intentional; ","")&amp;IF(AND($B109&lt;&gt;"",COUNTIF($B$2:$B$501,$B109)&gt;COUNTIFS($A$2:$A$501,$A109,$B$2:$B$501,$B109)),"Dependent SSN appears under more than one employee; confirm duplicate family coverage is intentional; ","")&amp;IF(AND(ROW()&gt;2,$A109&lt;&gt;"",$A109&lt;&gt;$A108,COUNTIF($A$2:$A108,$A109)&gt;0),"This household appears in more than one section of the census; keep the family together; ","")&amp;IF(OR(AND($C109&lt;&gt;"",LEN($C109&amp;"")&lt;&gt;LEN(TRIM($C109&amp;""))),AND($D109&lt;&gt;"",LEN($D109&amp;"")&lt;&gt;LEN(TRIM($D109&amp;""))),AND($E109&lt;&gt;"",LEN($E109&amp;"")&lt;&gt;LEN(TRIM($E109&amp;""))),AND($F109&lt;&gt;"",LEN($F109&amp;"")&lt;&gt;LEN(TRIM($F109&amp;""))),AND($G109&lt;&gt;"",LEN($G109&amp;"")&lt;&gt;LEN(TRIM($G109&amp;""))),AND($H109&lt;&gt;"",LEN($H109&amp;"")&lt;&gt;LEN(TRIM($H109&amp;""))),AND($I109&lt;&gt;"",LEN($I109&amp;"")&lt;&gt;LEN(TRIM($I109&amp;""))),AND($J109&lt;&gt;"",LEN($J109&amp;"")&lt;&gt;LEN(TRIM($J109&amp;""))),AND($K109&lt;&gt;"",LEN($K109&amp;"")&lt;&gt;LEN(TRIM($K109&amp;""))),AND($M109&lt;&gt;"",LEN($M109&amp;"")&lt;&gt;LEN(TRIM($M109&amp;""))),AND($N109&lt;&gt;"",LEN($N109&amp;"")&lt;&gt;LEN(TRIM($N109&amp;""))),AND($O109&lt;&gt;"",LEN($O109&amp;"")&lt;&gt;LEN(TRIM($O109&amp;""))),AND($R109&lt;&gt;"",LEN($R109&amp;"")&lt;&gt;LEN(TRIM($R109&amp;""))),AND($S109&lt;&gt;"",LEN($S109&amp;"")&lt;&gt;LEN(TRIM($S109&amp;""))),AND($T109&lt;&gt;"",LEN($T109&amp;"")&lt;&gt;LEN(TRIM($T109&amp;"")))),"Remove leading or trailing spaces from text fields; ","")&amp;IF(OR(AND(LEN($C109)&gt;1,OR(EXACT($C109,UPPER($C109)),EXACT($C109,LOWER($C109)))),AND(LEN($D109)&gt;1,OR(EXACT($D109,UPPER($D109)),EXACT($D109,LOWER($D109)))),AND(LEN($H109)&gt;1,OR(EXACT($H109,UPPER($H109)),EXACT($H109,LOWER($H109))))),"Review capitalization in First Name, Last Name, or City; ","")&amp;IF(AND($N109&lt;&gt;"",NOT(EXACT($N109,LOWER($N109)))),"Email will be standardized to lowercase in the clean output; ","")&amp;IF(AND(OR('START HERE'!$C$8="Initial Enrollment",'START HERE'!$C$8="Open Enrollment"),$R109="Terminated"),"A terminated row is included in an initial or open enrollment file; confirm this is intentional; ",""))</f>
        <v/>
      </c>
      <c r="AE109">
        <f>IF(COUNTA($A109:$U109)=0,"",IF(OR($A109="",AND($A109&lt;&gt;"",NOT(IFERROR(AND(LEN($A109&amp;"")=9,ISNUMBER(--($A109&amp;""))),FALSE))),AND($A109&lt;&gt;"",OR($A109="123456789",$A109="987654321",$A109="012345678",$A109=REPT(LEFT($A109&amp;"",1),9)))),"Employee SSN, ","")&amp;IF(OR(AND($O109&lt;&gt;"",$B109=""),AND($B109&lt;&gt;"",OR(NOT(IFERROR(AND(LEN($B109&amp;"")=9,ISNUMBER(--($B109&amp;""))),FALSE)),$B109=$A109,$B109="123456789",$B109="987654321",$B109="012345678",$B109=REPT(LEFT($B109&amp;"",1),9)))),"Dependent SSN, ","")&amp;IF(OR($C109="",LEN($C109)&gt;19,AND($C109&lt;&gt;"",SUMPRODUCT(--(ROW($1:$19)&lt;=LEN($C109&amp;"")),--ISERROR(FIND(MID($C109&amp;"",ROW($1:$19),1),"ABCDEFGHIJKLMNOPQRSTUVWXYZabcdefghijklmnopqrstuvwxyz .,")))&gt;0)),"First Name, ","")&amp;IF(OR($D109="",LEN($D109)&gt;26,AND($D109&lt;&gt;"",SUMPRODUCT(--(ROW($1:$26)&lt;=LEN($D109&amp;"")),--ISERROR(FIND(MID($D109&amp;"",ROW($1:$26),1),"ABCDEFGHIJKLMNOPQRSTUVWXYZabcdefghijklmnopqrstuvwxyz .,")))&gt;0)),"Last Name, ","")&amp;IF(OR(LEN($E109)&gt;1,AND($E109&lt;&gt;"",SUMPRODUCT(--(ROW($1:$1)&lt;=LEN($E109&amp;"")),--ISERROR(FIND(MID($E109&amp;"",ROW($1:$1),1),"ABCDEFGHIJKLMNOPQRSTUVWXYZabcdefghijklmnopqrstuvwxyz .,")))&gt;0)),"Middle Initial, ","")&amp;IF(OR($F109="",LEN($F109)&gt;75),"Address, ","")&amp;IF(OR($H109="",LEN($H109)&gt;30),"City, ","")&amp;IF(AND($K109="US",OR($I109="",LEN($I109)&lt;&gt;2)),"State, ","")&amp;IF($J109="","ZIP, ","")&amp;IF(OR($K109="",AND($K109&lt;&gt;"US",$K109&lt;&gt;"CA")),"Country, ","")&amp;IF(OR($L109="",AND($L109&lt;&gt;"",OR(NOT(ISNUMBER($L109)),$L109&lt;=DATE(1900,1,1),$L109&gt;TODAY()))),"Birthdate, ","")&amp;IF(AND($N109&lt;&gt;"",NOT(IFERROR(AND(ISNUMBER(SEARCH("@",$N109)),ISNUMBER(SEARCH(".",$N109,SEARCH("@",$N109)+2))),FALSE))),"Email, ","")&amp;IF(OR(AND($B109&lt;&gt;"",$O109=""),AND($O109&lt;&gt;"",$O109&lt;&gt;"Spouse or Common Law Spouse",$O109&lt;&gt;"Domestic Partner",$O109&lt;&gt;"Child",$O109&lt;&gt;"Other",$O109&lt;&gt;"Estate",$O109&lt;&gt;"Unknown")),"Dependent Relationship, ","")&amp;IF($AA109&lt;&gt;"","Household, ","")&amp;IF(OR($P109="",AND($P109&lt;&gt;"",OR(NOT(ISNUMBER($P109)),$P109&lt;=DATE(1900,1,1)))),"Eligibility Date, ","")&amp;IF(OR(AND($R109="Terminated",$Q109=""),AND($Q109&lt;&gt;"",OR(NOT(ISNUMBER($Q109)),$Q109&lt;=DATE(1900,1,1))),AND(ISNUMBER($P109),ISNUMBER($Q109),$Q109&lt;$P109)),"Termination Date, ","")&amp;IF(OR($R109="",AND($R109&lt;&gt;"Active",$R109&lt;&gt;"Terminated"),AND('START HERE'!$C$8="Terminations Only",$R109&lt;&gt;"Terminated")),"Status, ","")&amp;IF($S109="","Plan Name, ","")&amp;IF($T109="","Coverage Level, ","")&amp;IF(AND($U109&lt;&gt;"",OR(NOT(ISNUMBER($U109)),$U109&lt;0)),"Funding, ","")&amp;IF(AND($A109&lt;&gt;"",$S109&lt;&gt;"",COUNTIFS($A$2:$A$501,$A109,$B$2:$B$501,$B109,$S$2:$S$501,$S109)&gt;1),"Duplicate Row, ",""))</f>
        <v/>
      </c>
      <c r="AF109">
        <f>IF(COUNTA($A109:$U109)=0,"",$Y109&amp;$Z109&amp;$AA109&amp;$AB109&amp;$AC109)</f>
        <v/>
      </c>
      <c r="AG109">
        <f>IF($N109="","",LOWER(TRIM($N109)))</f>
        <v/>
      </c>
      <c r="AH109">
        <f>IF($A109="","",COUNTIFS($A$2:$A$501,$A109,$AI$2:$AI$501,1))</f>
        <v/>
      </c>
      <c r="AI109">
        <f>IF(COUNTA($A109:$U109)=0,"",--($AF109&lt;&gt;""))</f>
        <v/>
      </c>
      <c r="AJ109">
        <f>IF(COUNTA($A109:$U109)=0,"",--($AD109&lt;&gt;""))</f>
        <v/>
      </c>
    </row>
    <row r="110" ht="20" customHeight="1">
      <c r="A110" s="80" t="n"/>
      <c r="B110" s="80" t="n"/>
      <c r="C110" s="81" t="n"/>
      <c r="D110" s="81" t="n"/>
      <c r="E110" s="80" t="n"/>
      <c r="F110" s="81" t="n"/>
      <c r="G110" s="81" t="n"/>
      <c r="H110" s="81" t="n"/>
      <c r="I110" s="80" t="n"/>
      <c r="J110" s="80" t="n"/>
      <c r="K110" s="80" t="n"/>
      <c r="L110" s="82" t="n"/>
      <c r="M110" s="80" t="n"/>
      <c r="N110" s="80" t="n"/>
      <c r="O110" s="80" t="n"/>
      <c r="P110" s="82" t="n"/>
      <c r="Q110" s="82" t="n"/>
      <c r="R110" s="80" t="n"/>
      <c r="S110" s="80" t="n"/>
      <c r="T110" s="80" t="n"/>
      <c r="U110" s="83" t="n"/>
      <c r="V110">
        <f>IF($A110="","",IF($A110=$A109,$V109,IF($V109="",0,1-$V109)))</f>
        <v/>
      </c>
      <c r="W110">
        <f>IF($B110&lt;&gt;"",$B110,$A110)</f>
        <v/>
      </c>
      <c r="X110">
        <f>IF(COUNTA($A110:$U110)=0,"",IF(OR($B110&lt;&gt;"",$O110&lt;&gt;""),"Dependent","Employee"))</f>
        <v/>
      </c>
      <c r="Y110">
        <f>IF(COUNTA($A110:$U110)=0,"",IF($A110="","Employee SSN is required; ","")&amp;IF($C110="","First Name is required; ","")&amp;IF(LEN($C110&amp;"")&gt;19,"First Name exceeds 19 characters; ","")&amp;IF(AND($C110&lt;&gt;"",SUMPRODUCT(--(ROW($1:$19)&lt;=LEN($C110&amp;"")),--ISERROR(FIND(MID($C110&amp;"",ROW($1:$19),1),"ABCDEFGHIJKLMNOPQRSTUVWXYZabcdefghijklmnopqrstuvwxyz .,")))&gt;0),"First Name contains unsupported or encoded characters; use plain A-Z letters only; ","")&amp;IF($D110="","Last Name is required; ","")&amp;IF(LEN($D110&amp;"")&gt;26,"Last Name exceeds 26 characters; ","")&amp;IF(AND($D110&lt;&gt;"",SUMPRODUCT(--(ROW($1:$26)&lt;=LEN($D110&amp;"")),--ISERROR(FIND(MID($D110&amp;"",ROW($1:$26),1),"ABCDEFGHIJKLMNOPQRSTUVWXYZabcdefghijklmnopqrstuvwxyz .,")))&gt;0),"Last Name contains unsupported or encoded characters; use plain A-Z letters only; ","")&amp;IF(LEN($E110&amp;"")&gt;1,"Middle Initial may contain only one character; ","")&amp;IF(AND($E110&lt;&gt;"",SUMPRODUCT(--(ROW($1:$1)&lt;=LEN($E110&amp;"")),--ISERROR(FIND(MID($E110&amp;"",ROW($1:$1),1),"ABCDEFGHIJKLMNOPQRSTUVWXYZabcdefghijklmnopqrstuvwxyz .,")))&gt;0),"Middle Initial must be a plain A-Z letter; ","")&amp;IF($F110="","Address is required; ","")&amp;IF(LEN($F110&amp;"")&gt;75,"Address exceeds 75 characters; ","")&amp;IF(LEN($G110&amp;"")&gt;75,"Address 2 exceeds 75 characters; ","")&amp;IF($H110="","City is required; ","")&amp;IF(LEN($H110&amp;"")&gt;30,"City exceeds 30 characters; ","")&amp;IF($K110="","Country is required; ","")&amp;IF(AND($K110&lt;&gt;"",$K110&lt;&gt;"US",$K110&lt;&gt;"CA"),"Country must be US or CA; ","")&amp;IF(AND($K110="US",OR($I110="",LEN($I110&amp;"")&lt;&gt;2)),"Use a 2-letter state code; ","")&amp;IF($J110="","ZIP or postal code is required; ","")&amp;IF(AND($K110="US",$J110&lt;&gt;"",NOT(IFERROR(OR(AND(LEN($J110&amp;"")=5,ISNUMBER(--($J110&amp;""))),AND(LEN($J110&amp;"")=9,ISNUMBER(--($J110&amp;""))),AND(LEN($J110&amp;"")=10,MID($J110&amp;"",6,1)="-",ISNUMBER(--SUBSTITUTE($J110&amp;"","-","")))),FALSE))),"US ZIP must be 5 or 9 digits, with an optional ZIP+4 hyphen; ","")&amp;IF(AND($N110&lt;&gt;"",NOT(IFERROR(AND(ISNUMBER(SEARCH("@",$N110)),ISNUMBER(SEARCH(".",$N110,SEARCH("@",$N110)+2))),FALSE))),"Email format appears invalid; ","")&amp;IF(AND($O110&lt;&gt;"",$B110=""),"Dependent SSN is required for every dependent; ","")&amp;IF(AND($B110&lt;&gt;"",$O110=""),"Dependent Relationship is required when Dependent SSN is entered; ","")&amp;IF(AND($O110&lt;&gt;"",$O110&lt;&gt;"Spouse or Common Law Spouse",$O110&lt;&gt;"Domestic Partner",$O110&lt;&gt;"Child",$O110&lt;&gt;"Other",$O110&lt;&gt;"Estate",$O110&lt;&gt;"Unknown"),"Dependent Relationship must use one of the approved options; ",""))</f>
        <v/>
      </c>
      <c r="Z110">
        <f>IF(COUNTA($A110:$U110)=0,"",IF(AND($A110&lt;&gt;"",NOT(IFERROR(AND(LEN($A110&amp;"")=9,ISNUMBER(--($A110&amp;""))),FALSE))),"Employee SSN must contain exactly 9 digits; ","")&amp;IF(AND($A110&lt;&gt;"",OR($A110="123456789",$A110="987654321",$A110="012345678",$A110=REPT(LEFT($A110&amp;"",1),9))),"Employee SSN appears to be a placeholder; ","")&amp;IF(AND($B110&lt;&gt;"",NOT(IFERROR(AND(LEN($B110&amp;"")=9,ISNUMBER(--($B110&amp;""))),FALSE))),"Dependent SSN must contain exactly 9 digits; ","")&amp;IF(AND($B110&lt;&gt;"",OR($B110="123456789",$B110="987654321",$B110="012345678",$B110=REPT(LEFT($B110&amp;"",1),9))),"Dependent SSN appears to be a placeholder; ","")&amp;IF(AND($A110&lt;&gt;"",$B110&lt;&gt;"",$A110&amp;""=$B110&amp;""),"Dependent SSN cannot match Employee SSN; ","")&amp;IF(AND($W110&lt;&gt;"",OR(COUNTIFS($W$2:$W$501,$W110,$C$2:$C$501,"&lt;&gt;"&amp;$C110)&gt;0,COUNTIFS($W$2:$W$501,$W110,$D$2:$D$501,"&lt;&gt;"&amp;$D110)&gt;0,COUNTIFS($W$2:$W$501,$W110,$L$2:$L$501,"&lt;&gt;"&amp;$L110)&gt;0)),"The same SSN is associated with a different name or birthdate; ",""))</f>
        <v/>
      </c>
      <c r="AA110">
        <f>IF(COUNTA($A110:$U110)=0,"",IF(AND($A110&lt;&gt;"",$S110&lt;&gt;"",COUNTIFS($A$2:$A$501,$A110,$S$2:$S$501,$S110,$B$2:$B$501,"",$O$2:$O$501,"")=0),"Add an employee row for this household and plan; ","")&amp;IF(AND($X110="Dependent",COUNTIFS($A$2:$A110,$A110,$S$2:$S110,$S110,$B$2:$B110,"",$O$2:$O110,"")=0),"Place the employee row before dependent rows for this plan; ","")&amp;IF(AND($X110="Dependent",COUNTIFS($A$2:$A$501,$A110,$S$2:$S$501,$S110,$B$2:$B$501,"",$O$2:$O$501,"")&gt;0,IFERROR(OR($P110&lt;&gt;LOOKUP(2,1/(($A$2:$A$501=$A110)*($S$2:$S$501=$S110)*($B$2:$B$501="")*($O$2:$O$501="")),$P$2:$P$501),$Q110&lt;&gt;LOOKUP(2,1/(($A$2:$A$501=$A110)*($S$2:$S$501=$S110)*($B$2:$B$501="")*($O$2:$O$501="")),$Q$2:$Q$501),$R110&lt;&gt;LOOKUP(2,1/(($A$2:$A$501=$A110)*($S$2:$S$501=$S110)*($B$2:$B$501="")*($O$2:$O$501="")),$R$2:$R$501),$T110&lt;&gt;LOOKUP(2,1/(($A$2:$A$501=$A110)*($S$2:$S$501=$S110)*($B$2:$B$501="")*($O$2:$O$501="")),$T$2:$T$501),$U110&lt;&gt;LOOKUP(2,1/(($A$2:$A$501=$A110)*($S$2:$S$501=$S110)*($B$2:$B$501="")*($O$2:$O$501="")),$U$2:$U$501)),FALSE)),"Dependent row does not match the employee row for eligibility, status, coverage level, or funding; ",""))</f>
        <v/>
      </c>
      <c r="AB110">
        <f>IF(COUNTA($A110:$U110)=0,"",IF($L110="","Birthdate is required; ","")&amp;IF(AND($L110&lt;&gt;"",OR(NOT(ISNUMBER($L110)),$L110&lt;=DATE(1900,1,1),$L110&gt;TODAY())),"Birthdate must be an exact valid past date; ","")&amp;IF($P110="","Eligibility Date is required; ","")&amp;IF(AND($P110&lt;&gt;"",OR(NOT(ISNUMBER($P110)),$P110&lt;=DATE(1900,1,1))),"Eligibility Date must be a valid date; ","")&amp;IF(AND($R110="Terminated",$Q110=""),"Termination Date is required when Status is Terminated; ","")&amp;IF(AND($Q110&lt;&gt;"",OR(NOT(ISNUMBER($Q110)),$Q110&lt;=DATE(1900,1,1))),"Termination Date must be a valid date; ","")&amp;IF(AND(ISNUMBER($P110),ISNUMBER($Q110),$Q110&lt;$P110),"Termination Date cannot be before Eligibility Date; ","")&amp;IF($R110="","Status is required; ","")&amp;IF(AND($R110&lt;&gt;"",$R110&lt;&gt;"Active",$R110&lt;&gt;"Terminated"),"Status must be Active or Terminated; ","")&amp;IF(AND('START HERE'!$C$8="Terminations Only",$R110&lt;&gt;"Terminated"),"Terminations Only files must contain terminated records; ",""))</f>
        <v/>
      </c>
      <c r="AC110">
        <f>IF(COUNTA($A110:$U110)=0,"",IF($S110="","Plan Name is required; ","")&amp;IF($T110="","Benefit Coverage Level is required; ","")&amp;IF(AND($U110&lt;&gt;"",OR(NOT(ISNUMBER($U110)),$U110&lt;0)),"Plan Funding Amount must be a nonnegative number; ","")&amp;IF(AND($A110&lt;&gt;"",$S110&lt;&gt;"",COUNTIFS($A$2:$A$501,$A110,$B$2:$B$501,$B110,$S$2:$S$501,$S110)&gt;1),"Duplicate participant and plan row; ",""))</f>
        <v/>
      </c>
      <c r="AD110">
        <f>IF(COUNTA($A110:$U110)=0,"",IF(AND($X110="Employee",$M110="",$N110=""),"No employee phone or email provided; ","")&amp;IF(AND($R110="Active",$Q110&lt;&gt;""),"Active record includes a Termination Date; confirm this is intentional; ","")&amp;IF(AND($B110&lt;&gt;"",$B110&amp;""&lt;&gt;$A110&amp;"",COUNTIF($A$2:$A$501,$B110)&gt;0),"Dependent SSN also appears as an Employee SSN elsewhere; confirm dual-employee coverage is intentional; ","")&amp;IF(AND($B110&lt;&gt;"",COUNTIF($B$2:$B$501,$B110)&gt;COUNTIFS($A$2:$A$501,$A110,$B$2:$B$501,$B110)),"Dependent SSN appears under more than one employee; confirm duplicate family coverage is intentional; ","")&amp;IF(AND(ROW()&gt;2,$A110&lt;&gt;"",$A110&lt;&gt;$A109,COUNTIF($A$2:$A109,$A110)&gt;0),"This household appears in more than one section of the census; keep the family together; ","")&amp;IF(OR(AND($C110&lt;&gt;"",LEN($C110&amp;"")&lt;&gt;LEN(TRIM($C110&amp;""))),AND($D110&lt;&gt;"",LEN($D110&amp;"")&lt;&gt;LEN(TRIM($D110&amp;""))),AND($E110&lt;&gt;"",LEN($E110&amp;"")&lt;&gt;LEN(TRIM($E110&amp;""))),AND($F110&lt;&gt;"",LEN($F110&amp;"")&lt;&gt;LEN(TRIM($F110&amp;""))),AND($G110&lt;&gt;"",LEN($G110&amp;"")&lt;&gt;LEN(TRIM($G110&amp;""))),AND($H110&lt;&gt;"",LEN($H110&amp;"")&lt;&gt;LEN(TRIM($H110&amp;""))),AND($I110&lt;&gt;"",LEN($I110&amp;"")&lt;&gt;LEN(TRIM($I110&amp;""))),AND($J110&lt;&gt;"",LEN($J110&amp;"")&lt;&gt;LEN(TRIM($J110&amp;""))),AND($K110&lt;&gt;"",LEN($K110&amp;"")&lt;&gt;LEN(TRIM($K110&amp;""))),AND($M110&lt;&gt;"",LEN($M110&amp;"")&lt;&gt;LEN(TRIM($M110&amp;""))),AND($N110&lt;&gt;"",LEN($N110&amp;"")&lt;&gt;LEN(TRIM($N110&amp;""))),AND($O110&lt;&gt;"",LEN($O110&amp;"")&lt;&gt;LEN(TRIM($O110&amp;""))),AND($R110&lt;&gt;"",LEN($R110&amp;"")&lt;&gt;LEN(TRIM($R110&amp;""))),AND($S110&lt;&gt;"",LEN($S110&amp;"")&lt;&gt;LEN(TRIM($S110&amp;""))),AND($T110&lt;&gt;"",LEN($T110&amp;"")&lt;&gt;LEN(TRIM($T110&amp;"")))),"Remove leading or trailing spaces from text fields; ","")&amp;IF(OR(AND(LEN($C110)&gt;1,OR(EXACT($C110,UPPER($C110)),EXACT($C110,LOWER($C110)))),AND(LEN($D110)&gt;1,OR(EXACT($D110,UPPER($D110)),EXACT($D110,LOWER($D110)))),AND(LEN($H110)&gt;1,OR(EXACT($H110,UPPER($H110)),EXACT($H110,LOWER($H110))))),"Review capitalization in First Name, Last Name, or City; ","")&amp;IF(AND($N110&lt;&gt;"",NOT(EXACT($N110,LOWER($N110)))),"Email will be standardized to lowercase in the clean output; ","")&amp;IF(AND(OR('START HERE'!$C$8="Initial Enrollment",'START HERE'!$C$8="Open Enrollment"),$R110="Terminated"),"A terminated row is included in an initial or open enrollment file; confirm this is intentional; ",""))</f>
        <v/>
      </c>
      <c r="AE110">
        <f>IF(COUNTA($A110:$U110)=0,"",IF(OR($A110="",AND($A110&lt;&gt;"",NOT(IFERROR(AND(LEN($A110&amp;"")=9,ISNUMBER(--($A110&amp;""))),FALSE))),AND($A110&lt;&gt;"",OR($A110="123456789",$A110="987654321",$A110="012345678",$A110=REPT(LEFT($A110&amp;"",1),9)))),"Employee SSN, ","")&amp;IF(OR(AND($O110&lt;&gt;"",$B110=""),AND($B110&lt;&gt;"",OR(NOT(IFERROR(AND(LEN($B110&amp;"")=9,ISNUMBER(--($B110&amp;""))),FALSE)),$B110=$A110,$B110="123456789",$B110="987654321",$B110="012345678",$B110=REPT(LEFT($B110&amp;"",1),9)))),"Dependent SSN, ","")&amp;IF(OR($C110="",LEN($C110)&gt;19,AND($C110&lt;&gt;"",SUMPRODUCT(--(ROW($1:$19)&lt;=LEN($C110&amp;"")),--ISERROR(FIND(MID($C110&amp;"",ROW($1:$19),1),"ABCDEFGHIJKLMNOPQRSTUVWXYZabcdefghijklmnopqrstuvwxyz .,")))&gt;0)),"First Name, ","")&amp;IF(OR($D110="",LEN($D110)&gt;26,AND($D110&lt;&gt;"",SUMPRODUCT(--(ROW($1:$26)&lt;=LEN($D110&amp;"")),--ISERROR(FIND(MID($D110&amp;"",ROW($1:$26),1),"ABCDEFGHIJKLMNOPQRSTUVWXYZabcdefghijklmnopqrstuvwxyz .,")))&gt;0)),"Last Name, ","")&amp;IF(OR(LEN($E110)&gt;1,AND($E110&lt;&gt;"",SUMPRODUCT(--(ROW($1:$1)&lt;=LEN($E110&amp;"")),--ISERROR(FIND(MID($E110&amp;"",ROW($1:$1),1),"ABCDEFGHIJKLMNOPQRSTUVWXYZabcdefghijklmnopqrstuvwxyz .,")))&gt;0)),"Middle Initial, ","")&amp;IF(OR($F110="",LEN($F110)&gt;75),"Address, ","")&amp;IF(OR($H110="",LEN($H110)&gt;30),"City, ","")&amp;IF(AND($K110="US",OR($I110="",LEN($I110)&lt;&gt;2)),"State, ","")&amp;IF($J110="","ZIP, ","")&amp;IF(OR($K110="",AND($K110&lt;&gt;"US",$K110&lt;&gt;"CA")),"Country, ","")&amp;IF(OR($L110="",AND($L110&lt;&gt;"",OR(NOT(ISNUMBER($L110)),$L110&lt;=DATE(1900,1,1),$L110&gt;TODAY()))),"Birthdate, ","")&amp;IF(AND($N110&lt;&gt;"",NOT(IFERROR(AND(ISNUMBER(SEARCH("@",$N110)),ISNUMBER(SEARCH(".",$N110,SEARCH("@",$N110)+2))),FALSE))),"Email, ","")&amp;IF(OR(AND($B110&lt;&gt;"",$O110=""),AND($O110&lt;&gt;"",$O110&lt;&gt;"Spouse or Common Law Spouse",$O110&lt;&gt;"Domestic Partner",$O110&lt;&gt;"Child",$O110&lt;&gt;"Other",$O110&lt;&gt;"Estate",$O110&lt;&gt;"Unknown")),"Dependent Relationship, ","")&amp;IF($AA110&lt;&gt;"","Household, ","")&amp;IF(OR($P110="",AND($P110&lt;&gt;"",OR(NOT(ISNUMBER($P110)),$P110&lt;=DATE(1900,1,1)))),"Eligibility Date, ","")&amp;IF(OR(AND($R110="Terminated",$Q110=""),AND($Q110&lt;&gt;"",OR(NOT(ISNUMBER($Q110)),$Q110&lt;=DATE(1900,1,1))),AND(ISNUMBER($P110),ISNUMBER($Q110),$Q110&lt;$P110)),"Termination Date, ","")&amp;IF(OR($R110="",AND($R110&lt;&gt;"Active",$R110&lt;&gt;"Terminated"),AND('START HERE'!$C$8="Terminations Only",$R110&lt;&gt;"Terminated")),"Status, ","")&amp;IF($S110="","Plan Name, ","")&amp;IF($T110="","Coverage Level, ","")&amp;IF(AND($U110&lt;&gt;"",OR(NOT(ISNUMBER($U110)),$U110&lt;0)),"Funding, ","")&amp;IF(AND($A110&lt;&gt;"",$S110&lt;&gt;"",COUNTIFS($A$2:$A$501,$A110,$B$2:$B$501,$B110,$S$2:$S$501,$S110)&gt;1),"Duplicate Row, ",""))</f>
        <v/>
      </c>
      <c r="AF110">
        <f>IF(COUNTA($A110:$U110)=0,"",$Y110&amp;$Z110&amp;$AA110&amp;$AB110&amp;$AC110)</f>
        <v/>
      </c>
      <c r="AG110">
        <f>IF($N110="","",LOWER(TRIM($N110)))</f>
        <v/>
      </c>
      <c r="AH110">
        <f>IF($A110="","",COUNTIFS($A$2:$A$501,$A110,$AI$2:$AI$501,1))</f>
        <v/>
      </c>
      <c r="AI110">
        <f>IF(COUNTA($A110:$U110)=0,"",--($AF110&lt;&gt;""))</f>
        <v/>
      </c>
      <c r="AJ110">
        <f>IF(COUNTA($A110:$U110)=0,"",--($AD110&lt;&gt;""))</f>
        <v/>
      </c>
    </row>
    <row r="111" ht="20" customHeight="1">
      <c r="A111" s="80" t="n"/>
      <c r="B111" s="80" t="n"/>
      <c r="C111" s="81" t="n"/>
      <c r="D111" s="81" t="n"/>
      <c r="E111" s="80" t="n"/>
      <c r="F111" s="81" t="n"/>
      <c r="G111" s="81" t="n"/>
      <c r="H111" s="81" t="n"/>
      <c r="I111" s="80" t="n"/>
      <c r="J111" s="80" t="n"/>
      <c r="K111" s="80" t="n"/>
      <c r="L111" s="82" t="n"/>
      <c r="M111" s="80" t="n"/>
      <c r="N111" s="80" t="n"/>
      <c r="O111" s="80" t="n"/>
      <c r="P111" s="82" t="n"/>
      <c r="Q111" s="82" t="n"/>
      <c r="R111" s="80" t="n"/>
      <c r="S111" s="80" t="n"/>
      <c r="T111" s="80" t="n"/>
      <c r="U111" s="83" t="n"/>
      <c r="V111">
        <f>IF($A111="","",IF($A111=$A110,$V110,IF($V110="",0,1-$V110)))</f>
        <v/>
      </c>
      <c r="W111">
        <f>IF($B111&lt;&gt;"",$B111,$A111)</f>
        <v/>
      </c>
      <c r="X111">
        <f>IF(COUNTA($A111:$U111)=0,"",IF(OR($B111&lt;&gt;"",$O111&lt;&gt;""),"Dependent","Employee"))</f>
        <v/>
      </c>
      <c r="Y111">
        <f>IF(COUNTA($A111:$U111)=0,"",IF($A111="","Employee SSN is required; ","")&amp;IF($C111="","First Name is required; ","")&amp;IF(LEN($C111&amp;"")&gt;19,"First Name exceeds 19 characters; ","")&amp;IF(AND($C111&lt;&gt;"",SUMPRODUCT(--(ROW($1:$19)&lt;=LEN($C111&amp;"")),--ISERROR(FIND(MID($C111&amp;"",ROW($1:$19),1),"ABCDEFGHIJKLMNOPQRSTUVWXYZabcdefghijklmnopqrstuvwxyz .,")))&gt;0),"First Name contains unsupported or encoded characters; use plain A-Z letters only; ","")&amp;IF($D111="","Last Name is required; ","")&amp;IF(LEN($D111&amp;"")&gt;26,"Last Name exceeds 26 characters; ","")&amp;IF(AND($D111&lt;&gt;"",SUMPRODUCT(--(ROW($1:$26)&lt;=LEN($D111&amp;"")),--ISERROR(FIND(MID($D111&amp;"",ROW($1:$26),1),"ABCDEFGHIJKLMNOPQRSTUVWXYZabcdefghijklmnopqrstuvwxyz .,")))&gt;0),"Last Name contains unsupported or encoded characters; use plain A-Z letters only; ","")&amp;IF(LEN($E111&amp;"")&gt;1,"Middle Initial may contain only one character; ","")&amp;IF(AND($E111&lt;&gt;"",SUMPRODUCT(--(ROW($1:$1)&lt;=LEN($E111&amp;"")),--ISERROR(FIND(MID($E111&amp;"",ROW($1:$1),1),"ABCDEFGHIJKLMNOPQRSTUVWXYZabcdefghijklmnopqrstuvwxyz .,")))&gt;0),"Middle Initial must be a plain A-Z letter; ","")&amp;IF($F111="","Address is required; ","")&amp;IF(LEN($F111&amp;"")&gt;75,"Address exceeds 75 characters; ","")&amp;IF(LEN($G111&amp;"")&gt;75,"Address 2 exceeds 75 characters; ","")&amp;IF($H111="","City is required; ","")&amp;IF(LEN($H111&amp;"")&gt;30,"City exceeds 30 characters; ","")&amp;IF($K111="","Country is required; ","")&amp;IF(AND($K111&lt;&gt;"",$K111&lt;&gt;"US",$K111&lt;&gt;"CA"),"Country must be US or CA; ","")&amp;IF(AND($K111="US",OR($I111="",LEN($I111&amp;"")&lt;&gt;2)),"Use a 2-letter state code; ","")&amp;IF($J111="","ZIP or postal code is required; ","")&amp;IF(AND($K111="US",$J111&lt;&gt;"",NOT(IFERROR(OR(AND(LEN($J111&amp;"")=5,ISNUMBER(--($J111&amp;""))),AND(LEN($J111&amp;"")=9,ISNUMBER(--($J111&amp;""))),AND(LEN($J111&amp;"")=10,MID($J111&amp;"",6,1)="-",ISNUMBER(--SUBSTITUTE($J111&amp;"","-","")))),FALSE))),"US ZIP must be 5 or 9 digits, with an optional ZIP+4 hyphen; ","")&amp;IF(AND($N111&lt;&gt;"",NOT(IFERROR(AND(ISNUMBER(SEARCH("@",$N111)),ISNUMBER(SEARCH(".",$N111,SEARCH("@",$N111)+2))),FALSE))),"Email format appears invalid; ","")&amp;IF(AND($O111&lt;&gt;"",$B111=""),"Dependent SSN is required for every dependent; ","")&amp;IF(AND($B111&lt;&gt;"",$O111=""),"Dependent Relationship is required when Dependent SSN is entered; ","")&amp;IF(AND($O111&lt;&gt;"",$O111&lt;&gt;"Spouse or Common Law Spouse",$O111&lt;&gt;"Domestic Partner",$O111&lt;&gt;"Child",$O111&lt;&gt;"Other",$O111&lt;&gt;"Estate",$O111&lt;&gt;"Unknown"),"Dependent Relationship must use one of the approved options; ",""))</f>
        <v/>
      </c>
      <c r="Z111">
        <f>IF(COUNTA($A111:$U111)=0,"",IF(AND($A111&lt;&gt;"",NOT(IFERROR(AND(LEN($A111&amp;"")=9,ISNUMBER(--($A111&amp;""))),FALSE))),"Employee SSN must contain exactly 9 digits; ","")&amp;IF(AND($A111&lt;&gt;"",OR($A111="123456789",$A111="987654321",$A111="012345678",$A111=REPT(LEFT($A111&amp;"",1),9))),"Employee SSN appears to be a placeholder; ","")&amp;IF(AND($B111&lt;&gt;"",NOT(IFERROR(AND(LEN($B111&amp;"")=9,ISNUMBER(--($B111&amp;""))),FALSE))),"Dependent SSN must contain exactly 9 digits; ","")&amp;IF(AND($B111&lt;&gt;"",OR($B111="123456789",$B111="987654321",$B111="012345678",$B111=REPT(LEFT($B111&amp;"",1),9))),"Dependent SSN appears to be a placeholder; ","")&amp;IF(AND($A111&lt;&gt;"",$B111&lt;&gt;"",$A111&amp;""=$B111&amp;""),"Dependent SSN cannot match Employee SSN; ","")&amp;IF(AND($W111&lt;&gt;"",OR(COUNTIFS($W$2:$W$501,$W111,$C$2:$C$501,"&lt;&gt;"&amp;$C111)&gt;0,COUNTIFS($W$2:$W$501,$W111,$D$2:$D$501,"&lt;&gt;"&amp;$D111)&gt;0,COUNTIFS($W$2:$W$501,$W111,$L$2:$L$501,"&lt;&gt;"&amp;$L111)&gt;0)),"The same SSN is associated with a different name or birthdate; ",""))</f>
        <v/>
      </c>
      <c r="AA111">
        <f>IF(COUNTA($A111:$U111)=0,"",IF(AND($A111&lt;&gt;"",$S111&lt;&gt;"",COUNTIFS($A$2:$A$501,$A111,$S$2:$S$501,$S111,$B$2:$B$501,"",$O$2:$O$501,"")=0),"Add an employee row for this household and plan; ","")&amp;IF(AND($X111="Dependent",COUNTIFS($A$2:$A111,$A111,$S$2:$S111,$S111,$B$2:$B111,"",$O$2:$O111,"")=0),"Place the employee row before dependent rows for this plan; ","")&amp;IF(AND($X111="Dependent",COUNTIFS($A$2:$A$501,$A111,$S$2:$S$501,$S111,$B$2:$B$501,"",$O$2:$O$501,"")&gt;0,IFERROR(OR($P111&lt;&gt;LOOKUP(2,1/(($A$2:$A$501=$A111)*($S$2:$S$501=$S111)*($B$2:$B$501="")*($O$2:$O$501="")),$P$2:$P$501),$Q111&lt;&gt;LOOKUP(2,1/(($A$2:$A$501=$A111)*($S$2:$S$501=$S111)*($B$2:$B$501="")*($O$2:$O$501="")),$Q$2:$Q$501),$R111&lt;&gt;LOOKUP(2,1/(($A$2:$A$501=$A111)*($S$2:$S$501=$S111)*($B$2:$B$501="")*($O$2:$O$501="")),$R$2:$R$501),$T111&lt;&gt;LOOKUP(2,1/(($A$2:$A$501=$A111)*($S$2:$S$501=$S111)*($B$2:$B$501="")*($O$2:$O$501="")),$T$2:$T$501),$U111&lt;&gt;LOOKUP(2,1/(($A$2:$A$501=$A111)*($S$2:$S$501=$S111)*($B$2:$B$501="")*($O$2:$O$501="")),$U$2:$U$501)),FALSE)),"Dependent row does not match the employee row for eligibility, status, coverage level, or funding; ",""))</f>
        <v/>
      </c>
      <c r="AB111">
        <f>IF(COUNTA($A111:$U111)=0,"",IF($L111="","Birthdate is required; ","")&amp;IF(AND($L111&lt;&gt;"",OR(NOT(ISNUMBER($L111)),$L111&lt;=DATE(1900,1,1),$L111&gt;TODAY())),"Birthdate must be an exact valid past date; ","")&amp;IF($P111="","Eligibility Date is required; ","")&amp;IF(AND($P111&lt;&gt;"",OR(NOT(ISNUMBER($P111)),$P111&lt;=DATE(1900,1,1))),"Eligibility Date must be a valid date; ","")&amp;IF(AND($R111="Terminated",$Q111=""),"Termination Date is required when Status is Terminated; ","")&amp;IF(AND($Q111&lt;&gt;"",OR(NOT(ISNUMBER($Q111)),$Q111&lt;=DATE(1900,1,1))),"Termination Date must be a valid date; ","")&amp;IF(AND(ISNUMBER($P111),ISNUMBER($Q111),$Q111&lt;$P111),"Termination Date cannot be before Eligibility Date; ","")&amp;IF($R111="","Status is required; ","")&amp;IF(AND($R111&lt;&gt;"",$R111&lt;&gt;"Active",$R111&lt;&gt;"Terminated"),"Status must be Active or Terminated; ","")&amp;IF(AND('START HERE'!$C$8="Terminations Only",$R111&lt;&gt;"Terminated"),"Terminations Only files must contain terminated records; ",""))</f>
        <v/>
      </c>
      <c r="AC111">
        <f>IF(COUNTA($A111:$U111)=0,"",IF($S111="","Plan Name is required; ","")&amp;IF($T111="","Benefit Coverage Level is required; ","")&amp;IF(AND($U111&lt;&gt;"",OR(NOT(ISNUMBER($U111)),$U111&lt;0)),"Plan Funding Amount must be a nonnegative number; ","")&amp;IF(AND($A111&lt;&gt;"",$S111&lt;&gt;"",COUNTIFS($A$2:$A$501,$A111,$B$2:$B$501,$B111,$S$2:$S$501,$S111)&gt;1),"Duplicate participant and plan row; ",""))</f>
        <v/>
      </c>
      <c r="AD111">
        <f>IF(COUNTA($A111:$U111)=0,"",IF(AND($X111="Employee",$M111="",$N111=""),"No employee phone or email provided; ","")&amp;IF(AND($R111="Active",$Q111&lt;&gt;""),"Active record includes a Termination Date; confirm this is intentional; ","")&amp;IF(AND($B111&lt;&gt;"",$B111&amp;""&lt;&gt;$A111&amp;"",COUNTIF($A$2:$A$501,$B111)&gt;0),"Dependent SSN also appears as an Employee SSN elsewhere; confirm dual-employee coverage is intentional; ","")&amp;IF(AND($B111&lt;&gt;"",COUNTIF($B$2:$B$501,$B111)&gt;COUNTIFS($A$2:$A$501,$A111,$B$2:$B$501,$B111)),"Dependent SSN appears under more than one employee; confirm duplicate family coverage is intentional; ","")&amp;IF(AND(ROW()&gt;2,$A111&lt;&gt;"",$A111&lt;&gt;$A110,COUNTIF($A$2:$A110,$A111)&gt;0),"This household appears in more than one section of the census; keep the family together; ","")&amp;IF(OR(AND($C111&lt;&gt;"",LEN($C111&amp;"")&lt;&gt;LEN(TRIM($C111&amp;""))),AND($D111&lt;&gt;"",LEN($D111&amp;"")&lt;&gt;LEN(TRIM($D111&amp;""))),AND($E111&lt;&gt;"",LEN($E111&amp;"")&lt;&gt;LEN(TRIM($E111&amp;""))),AND($F111&lt;&gt;"",LEN($F111&amp;"")&lt;&gt;LEN(TRIM($F111&amp;""))),AND($G111&lt;&gt;"",LEN($G111&amp;"")&lt;&gt;LEN(TRIM($G111&amp;""))),AND($H111&lt;&gt;"",LEN($H111&amp;"")&lt;&gt;LEN(TRIM($H111&amp;""))),AND($I111&lt;&gt;"",LEN($I111&amp;"")&lt;&gt;LEN(TRIM($I111&amp;""))),AND($J111&lt;&gt;"",LEN($J111&amp;"")&lt;&gt;LEN(TRIM($J111&amp;""))),AND($K111&lt;&gt;"",LEN($K111&amp;"")&lt;&gt;LEN(TRIM($K111&amp;""))),AND($M111&lt;&gt;"",LEN($M111&amp;"")&lt;&gt;LEN(TRIM($M111&amp;""))),AND($N111&lt;&gt;"",LEN($N111&amp;"")&lt;&gt;LEN(TRIM($N111&amp;""))),AND($O111&lt;&gt;"",LEN($O111&amp;"")&lt;&gt;LEN(TRIM($O111&amp;""))),AND($R111&lt;&gt;"",LEN($R111&amp;"")&lt;&gt;LEN(TRIM($R111&amp;""))),AND($S111&lt;&gt;"",LEN($S111&amp;"")&lt;&gt;LEN(TRIM($S111&amp;""))),AND($T111&lt;&gt;"",LEN($T111&amp;"")&lt;&gt;LEN(TRIM($T111&amp;"")))),"Remove leading or trailing spaces from text fields; ","")&amp;IF(OR(AND(LEN($C111)&gt;1,OR(EXACT($C111,UPPER($C111)),EXACT($C111,LOWER($C111)))),AND(LEN($D111)&gt;1,OR(EXACT($D111,UPPER($D111)),EXACT($D111,LOWER($D111)))),AND(LEN($H111)&gt;1,OR(EXACT($H111,UPPER($H111)),EXACT($H111,LOWER($H111))))),"Review capitalization in First Name, Last Name, or City; ","")&amp;IF(AND($N111&lt;&gt;"",NOT(EXACT($N111,LOWER($N111)))),"Email will be standardized to lowercase in the clean output; ","")&amp;IF(AND(OR('START HERE'!$C$8="Initial Enrollment",'START HERE'!$C$8="Open Enrollment"),$R111="Terminated"),"A terminated row is included in an initial or open enrollment file; confirm this is intentional; ",""))</f>
        <v/>
      </c>
      <c r="AE111">
        <f>IF(COUNTA($A111:$U111)=0,"",IF(OR($A111="",AND($A111&lt;&gt;"",NOT(IFERROR(AND(LEN($A111&amp;"")=9,ISNUMBER(--($A111&amp;""))),FALSE))),AND($A111&lt;&gt;"",OR($A111="123456789",$A111="987654321",$A111="012345678",$A111=REPT(LEFT($A111&amp;"",1),9)))),"Employee SSN, ","")&amp;IF(OR(AND($O111&lt;&gt;"",$B111=""),AND($B111&lt;&gt;"",OR(NOT(IFERROR(AND(LEN($B111&amp;"")=9,ISNUMBER(--($B111&amp;""))),FALSE)),$B111=$A111,$B111="123456789",$B111="987654321",$B111="012345678",$B111=REPT(LEFT($B111&amp;"",1),9)))),"Dependent SSN, ","")&amp;IF(OR($C111="",LEN($C111)&gt;19,AND($C111&lt;&gt;"",SUMPRODUCT(--(ROW($1:$19)&lt;=LEN($C111&amp;"")),--ISERROR(FIND(MID($C111&amp;"",ROW($1:$19),1),"ABCDEFGHIJKLMNOPQRSTUVWXYZabcdefghijklmnopqrstuvwxyz .,")))&gt;0)),"First Name, ","")&amp;IF(OR($D111="",LEN($D111)&gt;26,AND($D111&lt;&gt;"",SUMPRODUCT(--(ROW($1:$26)&lt;=LEN($D111&amp;"")),--ISERROR(FIND(MID($D111&amp;"",ROW($1:$26),1),"ABCDEFGHIJKLMNOPQRSTUVWXYZabcdefghijklmnopqrstuvwxyz .,")))&gt;0)),"Last Name, ","")&amp;IF(OR(LEN($E111)&gt;1,AND($E111&lt;&gt;"",SUMPRODUCT(--(ROW($1:$1)&lt;=LEN($E111&amp;"")),--ISERROR(FIND(MID($E111&amp;"",ROW($1:$1),1),"ABCDEFGHIJKLMNOPQRSTUVWXYZabcdefghijklmnopqrstuvwxyz .,")))&gt;0)),"Middle Initial, ","")&amp;IF(OR($F111="",LEN($F111)&gt;75),"Address, ","")&amp;IF(OR($H111="",LEN($H111)&gt;30),"City, ","")&amp;IF(AND($K111="US",OR($I111="",LEN($I111)&lt;&gt;2)),"State, ","")&amp;IF($J111="","ZIP, ","")&amp;IF(OR($K111="",AND($K111&lt;&gt;"US",$K111&lt;&gt;"CA")),"Country, ","")&amp;IF(OR($L111="",AND($L111&lt;&gt;"",OR(NOT(ISNUMBER($L111)),$L111&lt;=DATE(1900,1,1),$L111&gt;TODAY()))),"Birthdate, ","")&amp;IF(AND($N111&lt;&gt;"",NOT(IFERROR(AND(ISNUMBER(SEARCH("@",$N111)),ISNUMBER(SEARCH(".",$N111,SEARCH("@",$N111)+2))),FALSE))),"Email, ","")&amp;IF(OR(AND($B111&lt;&gt;"",$O111=""),AND($O111&lt;&gt;"",$O111&lt;&gt;"Spouse or Common Law Spouse",$O111&lt;&gt;"Domestic Partner",$O111&lt;&gt;"Child",$O111&lt;&gt;"Other",$O111&lt;&gt;"Estate",$O111&lt;&gt;"Unknown")),"Dependent Relationship, ","")&amp;IF($AA111&lt;&gt;"","Household, ","")&amp;IF(OR($P111="",AND($P111&lt;&gt;"",OR(NOT(ISNUMBER($P111)),$P111&lt;=DATE(1900,1,1)))),"Eligibility Date, ","")&amp;IF(OR(AND($R111="Terminated",$Q111=""),AND($Q111&lt;&gt;"",OR(NOT(ISNUMBER($Q111)),$Q111&lt;=DATE(1900,1,1))),AND(ISNUMBER($P111),ISNUMBER($Q111),$Q111&lt;$P111)),"Termination Date, ","")&amp;IF(OR($R111="",AND($R111&lt;&gt;"Active",$R111&lt;&gt;"Terminated"),AND('START HERE'!$C$8="Terminations Only",$R111&lt;&gt;"Terminated")),"Status, ","")&amp;IF($S111="","Plan Name, ","")&amp;IF($T111="","Coverage Level, ","")&amp;IF(AND($U111&lt;&gt;"",OR(NOT(ISNUMBER($U111)),$U111&lt;0)),"Funding, ","")&amp;IF(AND($A111&lt;&gt;"",$S111&lt;&gt;"",COUNTIFS($A$2:$A$501,$A111,$B$2:$B$501,$B111,$S$2:$S$501,$S111)&gt;1),"Duplicate Row, ",""))</f>
        <v/>
      </c>
      <c r="AF111">
        <f>IF(COUNTA($A111:$U111)=0,"",$Y111&amp;$Z111&amp;$AA111&amp;$AB111&amp;$AC111)</f>
        <v/>
      </c>
      <c r="AG111">
        <f>IF($N111="","",LOWER(TRIM($N111)))</f>
        <v/>
      </c>
      <c r="AH111">
        <f>IF($A111="","",COUNTIFS($A$2:$A$501,$A111,$AI$2:$AI$501,1))</f>
        <v/>
      </c>
      <c r="AI111">
        <f>IF(COUNTA($A111:$U111)=0,"",--($AF111&lt;&gt;""))</f>
        <v/>
      </c>
      <c r="AJ111">
        <f>IF(COUNTA($A111:$U111)=0,"",--($AD111&lt;&gt;""))</f>
        <v/>
      </c>
    </row>
    <row r="112" ht="20" customHeight="1">
      <c r="A112" s="80" t="n"/>
      <c r="B112" s="80" t="n"/>
      <c r="C112" s="81" t="n"/>
      <c r="D112" s="81" t="n"/>
      <c r="E112" s="80" t="n"/>
      <c r="F112" s="81" t="n"/>
      <c r="G112" s="81" t="n"/>
      <c r="H112" s="81" t="n"/>
      <c r="I112" s="80" t="n"/>
      <c r="J112" s="80" t="n"/>
      <c r="K112" s="80" t="n"/>
      <c r="L112" s="82" t="n"/>
      <c r="M112" s="80" t="n"/>
      <c r="N112" s="80" t="n"/>
      <c r="O112" s="80" t="n"/>
      <c r="P112" s="82" t="n"/>
      <c r="Q112" s="82" t="n"/>
      <c r="R112" s="80" t="n"/>
      <c r="S112" s="80" t="n"/>
      <c r="T112" s="80" t="n"/>
      <c r="U112" s="83" t="n"/>
      <c r="V112">
        <f>IF($A112="","",IF($A112=$A111,$V111,IF($V111="",0,1-$V111)))</f>
        <v/>
      </c>
      <c r="W112">
        <f>IF($B112&lt;&gt;"",$B112,$A112)</f>
        <v/>
      </c>
      <c r="X112">
        <f>IF(COUNTA($A112:$U112)=0,"",IF(OR($B112&lt;&gt;"",$O112&lt;&gt;""),"Dependent","Employee"))</f>
        <v/>
      </c>
      <c r="Y112">
        <f>IF(COUNTA($A112:$U112)=0,"",IF($A112="","Employee SSN is required; ","")&amp;IF($C112="","First Name is required; ","")&amp;IF(LEN($C112&amp;"")&gt;19,"First Name exceeds 19 characters; ","")&amp;IF(AND($C112&lt;&gt;"",SUMPRODUCT(--(ROW($1:$19)&lt;=LEN($C112&amp;"")),--ISERROR(FIND(MID($C112&amp;"",ROW($1:$19),1),"ABCDEFGHIJKLMNOPQRSTUVWXYZabcdefghijklmnopqrstuvwxyz .,")))&gt;0),"First Name contains unsupported or encoded characters; use plain A-Z letters only; ","")&amp;IF($D112="","Last Name is required; ","")&amp;IF(LEN($D112&amp;"")&gt;26,"Last Name exceeds 26 characters; ","")&amp;IF(AND($D112&lt;&gt;"",SUMPRODUCT(--(ROW($1:$26)&lt;=LEN($D112&amp;"")),--ISERROR(FIND(MID($D112&amp;"",ROW($1:$26),1),"ABCDEFGHIJKLMNOPQRSTUVWXYZabcdefghijklmnopqrstuvwxyz .,")))&gt;0),"Last Name contains unsupported or encoded characters; use plain A-Z letters only; ","")&amp;IF(LEN($E112&amp;"")&gt;1,"Middle Initial may contain only one character; ","")&amp;IF(AND($E112&lt;&gt;"",SUMPRODUCT(--(ROW($1:$1)&lt;=LEN($E112&amp;"")),--ISERROR(FIND(MID($E112&amp;"",ROW($1:$1),1),"ABCDEFGHIJKLMNOPQRSTUVWXYZabcdefghijklmnopqrstuvwxyz .,")))&gt;0),"Middle Initial must be a plain A-Z letter; ","")&amp;IF($F112="","Address is required; ","")&amp;IF(LEN($F112&amp;"")&gt;75,"Address exceeds 75 characters; ","")&amp;IF(LEN($G112&amp;"")&gt;75,"Address 2 exceeds 75 characters; ","")&amp;IF($H112="","City is required; ","")&amp;IF(LEN($H112&amp;"")&gt;30,"City exceeds 30 characters; ","")&amp;IF($K112="","Country is required; ","")&amp;IF(AND($K112&lt;&gt;"",$K112&lt;&gt;"US",$K112&lt;&gt;"CA"),"Country must be US or CA; ","")&amp;IF(AND($K112="US",OR($I112="",LEN($I112&amp;"")&lt;&gt;2)),"Use a 2-letter state code; ","")&amp;IF($J112="","ZIP or postal code is required; ","")&amp;IF(AND($K112="US",$J112&lt;&gt;"",NOT(IFERROR(OR(AND(LEN($J112&amp;"")=5,ISNUMBER(--($J112&amp;""))),AND(LEN($J112&amp;"")=9,ISNUMBER(--($J112&amp;""))),AND(LEN($J112&amp;"")=10,MID($J112&amp;"",6,1)="-",ISNUMBER(--SUBSTITUTE($J112&amp;"","-","")))),FALSE))),"US ZIP must be 5 or 9 digits, with an optional ZIP+4 hyphen; ","")&amp;IF(AND($N112&lt;&gt;"",NOT(IFERROR(AND(ISNUMBER(SEARCH("@",$N112)),ISNUMBER(SEARCH(".",$N112,SEARCH("@",$N112)+2))),FALSE))),"Email format appears invalid; ","")&amp;IF(AND($O112&lt;&gt;"",$B112=""),"Dependent SSN is required for every dependent; ","")&amp;IF(AND($B112&lt;&gt;"",$O112=""),"Dependent Relationship is required when Dependent SSN is entered; ","")&amp;IF(AND($O112&lt;&gt;"",$O112&lt;&gt;"Spouse or Common Law Spouse",$O112&lt;&gt;"Domestic Partner",$O112&lt;&gt;"Child",$O112&lt;&gt;"Other",$O112&lt;&gt;"Estate",$O112&lt;&gt;"Unknown"),"Dependent Relationship must use one of the approved options; ",""))</f>
        <v/>
      </c>
      <c r="Z112">
        <f>IF(COUNTA($A112:$U112)=0,"",IF(AND($A112&lt;&gt;"",NOT(IFERROR(AND(LEN($A112&amp;"")=9,ISNUMBER(--($A112&amp;""))),FALSE))),"Employee SSN must contain exactly 9 digits; ","")&amp;IF(AND($A112&lt;&gt;"",OR($A112="123456789",$A112="987654321",$A112="012345678",$A112=REPT(LEFT($A112&amp;"",1),9))),"Employee SSN appears to be a placeholder; ","")&amp;IF(AND($B112&lt;&gt;"",NOT(IFERROR(AND(LEN($B112&amp;"")=9,ISNUMBER(--($B112&amp;""))),FALSE))),"Dependent SSN must contain exactly 9 digits; ","")&amp;IF(AND($B112&lt;&gt;"",OR($B112="123456789",$B112="987654321",$B112="012345678",$B112=REPT(LEFT($B112&amp;"",1),9))),"Dependent SSN appears to be a placeholder; ","")&amp;IF(AND($A112&lt;&gt;"",$B112&lt;&gt;"",$A112&amp;""=$B112&amp;""),"Dependent SSN cannot match Employee SSN; ","")&amp;IF(AND($W112&lt;&gt;"",OR(COUNTIFS($W$2:$W$501,$W112,$C$2:$C$501,"&lt;&gt;"&amp;$C112)&gt;0,COUNTIFS($W$2:$W$501,$W112,$D$2:$D$501,"&lt;&gt;"&amp;$D112)&gt;0,COUNTIFS($W$2:$W$501,$W112,$L$2:$L$501,"&lt;&gt;"&amp;$L112)&gt;0)),"The same SSN is associated with a different name or birthdate; ",""))</f>
        <v/>
      </c>
      <c r="AA112">
        <f>IF(COUNTA($A112:$U112)=0,"",IF(AND($A112&lt;&gt;"",$S112&lt;&gt;"",COUNTIFS($A$2:$A$501,$A112,$S$2:$S$501,$S112,$B$2:$B$501,"",$O$2:$O$501,"")=0),"Add an employee row for this household and plan; ","")&amp;IF(AND($X112="Dependent",COUNTIFS($A$2:$A112,$A112,$S$2:$S112,$S112,$B$2:$B112,"",$O$2:$O112,"")=0),"Place the employee row before dependent rows for this plan; ","")&amp;IF(AND($X112="Dependent",COUNTIFS($A$2:$A$501,$A112,$S$2:$S$501,$S112,$B$2:$B$501,"",$O$2:$O$501,"")&gt;0,IFERROR(OR($P112&lt;&gt;LOOKUP(2,1/(($A$2:$A$501=$A112)*($S$2:$S$501=$S112)*($B$2:$B$501="")*($O$2:$O$501="")),$P$2:$P$501),$Q112&lt;&gt;LOOKUP(2,1/(($A$2:$A$501=$A112)*($S$2:$S$501=$S112)*($B$2:$B$501="")*($O$2:$O$501="")),$Q$2:$Q$501),$R112&lt;&gt;LOOKUP(2,1/(($A$2:$A$501=$A112)*($S$2:$S$501=$S112)*($B$2:$B$501="")*($O$2:$O$501="")),$R$2:$R$501),$T112&lt;&gt;LOOKUP(2,1/(($A$2:$A$501=$A112)*($S$2:$S$501=$S112)*($B$2:$B$501="")*($O$2:$O$501="")),$T$2:$T$501),$U112&lt;&gt;LOOKUP(2,1/(($A$2:$A$501=$A112)*($S$2:$S$501=$S112)*($B$2:$B$501="")*($O$2:$O$501="")),$U$2:$U$501)),FALSE)),"Dependent row does not match the employee row for eligibility, status, coverage level, or funding; ",""))</f>
        <v/>
      </c>
      <c r="AB112">
        <f>IF(COUNTA($A112:$U112)=0,"",IF($L112="","Birthdate is required; ","")&amp;IF(AND($L112&lt;&gt;"",OR(NOT(ISNUMBER($L112)),$L112&lt;=DATE(1900,1,1),$L112&gt;TODAY())),"Birthdate must be an exact valid past date; ","")&amp;IF($P112="","Eligibility Date is required; ","")&amp;IF(AND($P112&lt;&gt;"",OR(NOT(ISNUMBER($P112)),$P112&lt;=DATE(1900,1,1))),"Eligibility Date must be a valid date; ","")&amp;IF(AND($R112="Terminated",$Q112=""),"Termination Date is required when Status is Terminated; ","")&amp;IF(AND($Q112&lt;&gt;"",OR(NOT(ISNUMBER($Q112)),$Q112&lt;=DATE(1900,1,1))),"Termination Date must be a valid date; ","")&amp;IF(AND(ISNUMBER($P112),ISNUMBER($Q112),$Q112&lt;$P112),"Termination Date cannot be before Eligibility Date; ","")&amp;IF($R112="","Status is required; ","")&amp;IF(AND($R112&lt;&gt;"",$R112&lt;&gt;"Active",$R112&lt;&gt;"Terminated"),"Status must be Active or Terminated; ","")&amp;IF(AND('START HERE'!$C$8="Terminations Only",$R112&lt;&gt;"Terminated"),"Terminations Only files must contain terminated records; ",""))</f>
        <v/>
      </c>
      <c r="AC112">
        <f>IF(COUNTA($A112:$U112)=0,"",IF($S112="","Plan Name is required; ","")&amp;IF($T112="","Benefit Coverage Level is required; ","")&amp;IF(AND($U112&lt;&gt;"",OR(NOT(ISNUMBER($U112)),$U112&lt;0)),"Plan Funding Amount must be a nonnegative number; ","")&amp;IF(AND($A112&lt;&gt;"",$S112&lt;&gt;"",COUNTIFS($A$2:$A$501,$A112,$B$2:$B$501,$B112,$S$2:$S$501,$S112)&gt;1),"Duplicate participant and plan row; ",""))</f>
        <v/>
      </c>
      <c r="AD112">
        <f>IF(COUNTA($A112:$U112)=0,"",IF(AND($X112="Employee",$M112="",$N112=""),"No employee phone or email provided; ","")&amp;IF(AND($R112="Active",$Q112&lt;&gt;""),"Active record includes a Termination Date; confirm this is intentional; ","")&amp;IF(AND($B112&lt;&gt;"",$B112&amp;""&lt;&gt;$A112&amp;"",COUNTIF($A$2:$A$501,$B112)&gt;0),"Dependent SSN also appears as an Employee SSN elsewhere; confirm dual-employee coverage is intentional; ","")&amp;IF(AND($B112&lt;&gt;"",COUNTIF($B$2:$B$501,$B112)&gt;COUNTIFS($A$2:$A$501,$A112,$B$2:$B$501,$B112)),"Dependent SSN appears under more than one employee; confirm duplicate family coverage is intentional; ","")&amp;IF(AND(ROW()&gt;2,$A112&lt;&gt;"",$A112&lt;&gt;$A111,COUNTIF($A$2:$A111,$A112)&gt;0),"This household appears in more than one section of the census; keep the family together; ","")&amp;IF(OR(AND($C112&lt;&gt;"",LEN($C112&amp;"")&lt;&gt;LEN(TRIM($C112&amp;""))),AND($D112&lt;&gt;"",LEN($D112&amp;"")&lt;&gt;LEN(TRIM($D112&amp;""))),AND($E112&lt;&gt;"",LEN($E112&amp;"")&lt;&gt;LEN(TRIM($E112&amp;""))),AND($F112&lt;&gt;"",LEN($F112&amp;"")&lt;&gt;LEN(TRIM($F112&amp;""))),AND($G112&lt;&gt;"",LEN($G112&amp;"")&lt;&gt;LEN(TRIM($G112&amp;""))),AND($H112&lt;&gt;"",LEN($H112&amp;"")&lt;&gt;LEN(TRIM($H112&amp;""))),AND($I112&lt;&gt;"",LEN($I112&amp;"")&lt;&gt;LEN(TRIM($I112&amp;""))),AND($J112&lt;&gt;"",LEN($J112&amp;"")&lt;&gt;LEN(TRIM($J112&amp;""))),AND($K112&lt;&gt;"",LEN($K112&amp;"")&lt;&gt;LEN(TRIM($K112&amp;""))),AND($M112&lt;&gt;"",LEN($M112&amp;"")&lt;&gt;LEN(TRIM($M112&amp;""))),AND($N112&lt;&gt;"",LEN($N112&amp;"")&lt;&gt;LEN(TRIM($N112&amp;""))),AND($O112&lt;&gt;"",LEN($O112&amp;"")&lt;&gt;LEN(TRIM($O112&amp;""))),AND($R112&lt;&gt;"",LEN($R112&amp;"")&lt;&gt;LEN(TRIM($R112&amp;""))),AND($S112&lt;&gt;"",LEN($S112&amp;"")&lt;&gt;LEN(TRIM($S112&amp;""))),AND($T112&lt;&gt;"",LEN($T112&amp;"")&lt;&gt;LEN(TRIM($T112&amp;"")))),"Remove leading or trailing spaces from text fields; ","")&amp;IF(OR(AND(LEN($C112)&gt;1,OR(EXACT($C112,UPPER($C112)),EXACT($C112,LOWER($C112)))),AND(LEN($D112)&gt;1,OR(EXACT($D112,UPPER($D112)),EXACT($D112,LOWER($D112)))),AND(LEN($H112)&gt;1,OR(EXACT($H112,UPPER($H112)),EXACT($H112,LOWER($H112))))),"Review capitalization in First Name, Last Name, or City; ","")&amp;IF(AND($N112&lt;&gt;"",NOT(EXACT($N112,LOWER($N112)))),"Email will be standardized to lowercase in the clean output; ","")&amp;IF(AND(OR('START HERE'!$C$8="Initial Enrollment",'START HERE'!$C$8="Open Enrollment"),$R112="Terminated"),"A terminated row is included in an initial or open enrollment file; confirm this is intentional; ",""))</f>
        <v/>
      </c>
      <c r="AE112">
        <f>IF(COUNTA($A112:$U112)=0,"",IF(OR($A112="",AND($A112&lt;&gt;"",NOT(IFERROR(AND(LEN($A112&amp;"")=9,ISNUMBER(--($A112&amp;""))),FALSE))),AND($A112&lt;&gt;"",OR($A112="123456789",$A112="987654321",$A112="012345678",$A112=REPT(LEFT($A112&amp;"",1),9)))),"Employee SSN, ","")&amp;IF(OR(AND($O112&lt;&gt;"",$B112=""),AND($B112&lt;&gt;"",OR(NOT(IFERROR(AND(LEN($B112&amp;"")=9,ISNUMBER(--($B112&amp;""))),FALSE)),$B112=$A112,$B112="123456789",$B112="987654321",$B112="012345678",$B112=REPT(LEFT($B112&amp;"",1),9)))),"Dependent SSN, ","")&amp;IF(OR($C112="",LEN($C112)&gt;19,AND($C112&lt;&gt;"",SUMPRODUCT(--(ROW($1:$19)&lt;=LEN($C112&amp;"")),--ISERROR(FIND(MID($C112&amp;"",ROW($1:$19),1),"ABCDEFGHIJKLMNOPQRSTUVWXYZabcdefghijklmnopqrstuvwxyz .,")))&gt;0)),"First Name, ","")&amp;IF(OR($D112="",LEN($D112)&gt;26,AND($D112&lt;&gt;"",SUMPRODUCT(--(ROW($1:$26)&lt;=LEN($D112&amp;"")),--ISERROR(FIND(MID($D112&amp;"",ROW($1:$26),1),"ABCDEFGHIJKLMNOPQRSTUVWXYZabcdefghijklmnopqrstuvwxyz .,")))&gt;0)),"Last Name, ","")&amp;IF(OR(LEN($E112)&gt;1,AND($E112&lt;&gt;"",SUMPRODUCT(--(ROW($1:$1)&lt;=LEN($E112&amp;"")),--ISERROR(FIND(MID($E112&amp;"",ROW($1:$1),1),"ABCDEFGHIJKLMNOPQRSTUVWXYZabcdefghijklmnopqrstuvwxyz .,")))&gt;0)),"Middle Initial, ","")&amp;IF(OR($F112="",LEN($F112)&gt;75),"Address, ","")&amp;IF(OR($H112="",LEN($H112)&gt;30),"City, ","")&amp;IF(AND($K112="US",OR($I112="",LEN($I112)&lt;&gt;2)),"State, ","")&amp;IF($J112="","ZIP, ","")&amp;IF(OR($K112="",AND($K112&lt;&gt;"US",$K112&lt;&gt;"CA")),"Country, ","")&amp;IF(OR($L112="",AND($L112&lt;&gt;"",OR(NOT(ISNUMBER($L112)),$L112&lt;=DATE(1900,1,1),$L112&gt;TODAY()))),"Birthdate, ","")&amp;IF(AND($N112&lt;&gt;"",NOT(IFERROR(AND(ISNUMBER(SEARCH("@",$N112)),ISNUMBER(SEARCH(".",$N112,SEARCH("@",$N112)+2))),FALSE))),"Email, ","")&amp;IF(OR(AND($B112&lt;&gt;"",$O112=""),AND($O112&lt;&gt;"",$O112&lt;&gt;"Spouse or Common Law Spouse",$O112&lt;&gt;"Domestic Partner",$O112&lt;&gt;"Child",$O112&lt;&gt;"Other",$O112&lt;&gt;"Estate",$O112&lt;&gt;"Unknown")),"Dependent Relationship, ","")&amp;IF($AA112&lt;&gt;"","Household, ","")&amp;IF(OR($P112="",AND($P112&lt;&gt;"",OR(NOT(ISNUMBER($P112)),$P112&lt;=DATE(1900,1,1)))),"Eligibility Date, ","")&amp;IF(OR(AND($R112="Terminated",$Q112=""),AND($Q112&lt;&gt;"",OR(NOT(ISNUMBER($Q112)),$Q112&lt;=DATE(1900,1,1))),AND(ISNUMBER($P112),ISNUMBER($Q112),$Q112&lt;$P112)),"Termination Date, ","")&amp;IF(OR($R112="",AND($R112&lt;&gt;"Active",$R112&lt;&gt;"Terminated"),AND('START HERE'!$C$8="Terminations Only",$R112&lt;&gt;"Terminated")),"Status, ","")&amp;IF($S112="","Plan Name, ","")&amp;IF($T112="","Coverage Level, ","")&amp;IF(AND($U112&lt;&gt;"",OR(NOT(ISNUMBER($U112)),$U112&lt;0)),"Funding, ","")&amp;IF(AND($A112&lt;&gt;"",$S112&lt;&gt;"",COUNTIFS($A$2:$A$501,$A112,$B$2:$B$501,$B112,$S$2:$S$501,$S112)&gt;1),"Duplicate Row, ",""))</f>
        <v/>
      </c>
      <c r="AF112">
        <f>IF(COUNTA($A112:$U112)=0,"",$Y112&amp;$Z112&amp;$AA112&amp;$AB112&amp;$AC112)</f>
        <v/>
      </c>
      <c r="AG112">
        <f>IF($N112="","",LOWER(TRIM($N112)))</f>
        <v/>
      </c>
      <c r="AH112">
        <f>IF($A112="","",COUNTIFS($A$2:$A$501,$A112,$AI$2:$AI$501,1))</f>
        <v/>
      </c>
      <c r="AI112">
        <f>IF(COUNTA($A112:$U112)=0,"",--($AF112&lt;&gt;""))</f>
        <v/>
      </c>
      <c r="AJ112">
        <f>IF(COUNTA($A112:$U112)=0,"",--($AD112&lt;&gt;""))</f>
        <v/>
      </c>
    </row>
    <row r="113" ht="20" customHeight="1">
      <c r="A113" s="80" t="n"/>
      <c r="B113" s="80" t="n"/>
      <c r="C113" s="81" t="n"/>
      <c r="D113" s="81" t="n"/>
      <c r="E113" s="80" t="n"/>
      <c r="F113" s="81" t="n"/>
      <c r="G113" s="81" t="n"/>
      <c r="H113" s="81" t="n"/>
      <c r="I113" s="80" t="n"/>
      <c r="J113" s="80" t="n"/>
      <c r="K113" s="80" t="n"/>
      <c r="L113" s="82" t="n"/>
      <c r="M113" s="80" t="n"/>
      <c r="N113" s="80" t="n"/>
      <c r="O113" s="80" t="n"/>
      <c r="P113" s="82" t="n"/>
      <c r="Q113" s="82" t="n"/>
      <c r="R113" s="80" t="n"/>
      <c r="S113" s="80" t="n"/>
      <c r="T113" s="80" t="n"/>
      <c r="U113" s="83" t="n"/>
      <c r="V113">
        <f>IF($A113="","",IF($A113=$A112,$V112,IF($V112="",0,1-$V112)))</f>
        <v/>
      </c>
      <c r="W113">
        <f>IF($B113&lt;&gt;"",$B113,$A113)</f>
        <v/>
      </c>
      <c r="X113">
        <f>IF(COUNTA($A113:$U113)=0,"",IF(OR($B113&lt;&gt;"",$O113&lt;&gt;""),"Dependent","Employee"))</f>
        <v/>
      </c>
      <c r="Y113">
        <f>IF(COUNTA($A113:$U113)=0,"",IF($A113="","Employee SSN is required; ","")&amp;IF($C113="","First Name is required; ","")&amp;IF(LEN($C113&amp;"")&gt;19,"First Name exceeds 19 characters; ","")&amp;IF(AND($C113&lt;&gt;"",SUMPRODUCT(--(ROW($1:$19)&lt;=LEN($C113&amp;"")),--ISERROR(FIND(MID($C113&amp;"",ROW($1:$19),1),"ABCDEFGHIJKLMNOPQRSTUVWXYZabcdefghijklmnopqrstuvwxyz .,")))&gt;0),"First Name contains unsupported or encoded characters; use plain A-Z letters only; ","")&amp;IF($D113="","Last Name is required; ","")&amp;IF(LEN($D113&amp;"")&gt;26,"Last Name exceeds 26 characters; ","")&amp;IF(AND($D113&lt;&gt;"",SUMPRODUCT(--(ROW($1:$26)&lt;=LEN($D113&amp;"")),--ISERROR(FIND(MID($D113&amp;"",ROW($1:$26),1),"ABCDEFGHIJKLMNOPQRSTUVWXYZabcdefghijklmnopqrstuvwxyz .,")))&gt;0),"Last Name contains unsupported or encoded characters; use plain A-Z letters only; ","")&amp;IF(LEN($E113&amp;"")&gt;1,"Middle Initial may contain only one character; ","")&amp;IF(AND($E113&lt;&gt;"",SUMPRODUCT(--(ROW($1:$1)&lt;=LEN($E113&amp;"")),--ISERROR(FIND(MID($E113&amp;"",ROW($1:$1),1),"ABCDEFGHIJKLMNOPQRSTUVWXYZabcdefghijklmnopqrstuvwxyz .,")))&gt;0),"Middle Initial must be a plain A-Z letter; ","")&amp;IF($F113="","Address is required; ","")&amp;IF(LEN($F113&amp;"")&gt;75,"Address exceeds 75 characters; ","")&amp;IF(LEN($G113&amp;"")&gt;75,"Address 2 exceeds 75 characters; ","")&amp;IF($H113="","City is required; ","")&amp;IF(LEN($H113&amp;"")&gt;30,"City exceeds 30 characters; ","")&amp;IF($K113="","Country is required; ","")&amp;IF(AND($K113&lt;&gt;"",$K113&lt;&gt;"US",$K113&lt;&gt;"CA"),"Country must be US or CA; ","")&amp;IF(AND($K113="US",OR($I113="",LEN($I113&amp;"")&lt;&gt;2)),"Use a 2-letter state code; ","")&amp;IF($J113="","ZIP or postal code is required; ","")&amp;IF(AND($K113="US",$J113&lt;&gt;"",NOT(IFERROR(OR(AND(LEN($J113&amp;"")=5,ISNUMBER(--($J113&amp;""))),AND(LEN($J113&amp;"")=9,ISNUMBER(--($J113&amp;""))),AND(LEN($J113&amp;"")=10,MID($J113&amp;"",6,1)="-",ISNUMBER(--SUBSTITUTE($J113&amp;"","-","")))),FALSE))),"US ZIP must be 5 or 9 digits, with an optional ZIP+4 hyphen; ","")&amp;IF(AND($N113&lt;&gt;"",NOT(IFERROR(AND(ISNUMBER(SEARCH("@",$N113)),ISNUMBER(SEARCH(".",$N113,SEARCH("@",$N113)+2))),FALSE))),"Email format appears invalid; ","")&amp;IF(AND($O113&lt;&gt;"",$B113=""),"Dependent SSN is required for every dependent; ","")&amp;IF(AND($B113&lt;&gt;"",$O113=""),"Dependent Relationship is required when Dependent SSN is entered; ","")&amp;IF(AND($O113&lt;&gt;"",$O113&lt;&gt;"Spouse or Common Law Spouse",$O113&lt;&gt;"Domestic Partner",$O113&lt;&gt;"Child",$O113&lt;&gt;"Other",$O113&lt;&gt;"Estate",$O113&lt;&gt;"Unknown"),"Dependent Relationship must use one of the approved options; ",""))</f>
        <v/>
      </c>
      <c r="Z113">
        <f>IF(COUNTA($A113:$U113)=0,"",IF(AND($A113&lt;&gt;"",NOT(IFERROR(AND(LEN($A113&amp;"")=9,ISNUMBER(--($A113&amp;""))),FALSE))),"Employee SSN must contain exactly 9 digits; ","")&amp;IF(AND($A113&lt;&gt;"",OR($A113="123456789",$A113="987654321",$A113="012345678",$A113=REPT(LEFT($A113&amp;"",1),9))),"Employee SSN appears to be a placeholder; ","")&amp;IF(AND($B113&lt;&gt;"",NOT(IFERROR(AND(LEN($B113&amp;"")=9,ISNUMBER(--($B113&amp;""))),FALSE))),"Dependent SSN must contain exactly 9 digits; ","")&amp;IF(AND($B113&lt;&gt;"",OR($B113="123456789",$B113="987654321",$B113="012345678",$B113=REPT(LEFT($B113&amp;"",1),9))),"Dependent SSN appears to be a placeholder; ","")&amp;IF(AND($A113&lt;&gt;"",$B113&lt;&gt;"",$A113&amp;""=$B113&amp;""),"Dependent SSN cannot match Employee SSN; ","")&amp;IF(AND($W113&lt;&gt;"",OR(COUNTIFS($W$2:$W$501,$W113,$C$2:$C$501,"&lt;&gt;"&amp;$C113)&gt;0,COUNTIFS($W$2:$W$501,$W113,$D$2:$D$501,"&lt;&gt;"&amp;$D113)&gt;0,COUNTIFS($W$2:$W$501,$W113,$L$2:$L$501,"&lt;&gt;"&amp;$L113)&gt;0)),"The same SSN is associated with a different name or birthdate; ",""))</f>
        <v/>
      </c>
      <c r="AA113">
        <f>IF(COUNTA($A113:$U113)=0,"",IF(AND($A113&lt;&gt;"",$S113&lt;&gt;"",COUNTIFS($A$2:$A$501,$A113,$S$2:$S$501,$S113,$B$2:$B$501,"",$O$2:$O$501,"")=0),"Add an employee row for this household and plan; ","")&amp;IF(AND($X113="Dependent",COUNTIFS($A$2:$A113,$A113,$S$2:$S113,$S113,$B$2:$B113,"",$O$2:$O113,"")=0),"Place the employee row before dependent rows for this plan; ","")&amp;IF(AND($X113="Dependent",COUNTIFS($A$2:$A$501,$A113,$S$2:$S$501,$S113,$B$2:$B$501,"",$O$2:$O$501,"")&gt;0,IFERROR(OR($P113&lt;&gt;LOOKUP(2,1/(($A$2:$A$501=$A113)*($S$2:$S$501=$S113)*($B$2:$B$501="")*($O$2:$O$501="")),$P$2:$P$501),$Q113&lt;&gt;LOOKUP(2,1/(($A$2:$A$501=$A113)*($S$2:$S$501=$S113)*($B$2:$B$501="")*($O$2:$O$501="")),$Q$2:$Q$501),$R113&lt;&gt;LOOKUP(2,1/(($A$2:$A$501=$A113)*($S$2:$S$501=$S113)*($B$2:$B$501="")*($O$2:$O$501="")),$R$2:$R$501),$T113&lt;&gt;LOOKUP(2,1/(($A$2:$A$501=$A113)*($S$2:$S$501=$S113)*($B$2:$B$501="")*($O$2:$O$501="")),$T$2:$T$501),$U113&lt;&gt;LOOKUP(2,1/(($A$2:$A$501=$A113)*($S$2:$S$501=$S113)*($B$2:$B$501="")*($O$2:$O$501="")),$U$2:$U$501)),FALSE)),"Dependent row does not match the employee row for eligibility, status, coverage level, or funding; ",""))</f>
        <v/>
      </c>
      <c r="AB113">
        <f>IF(COUNTA($A113:$U113)=0,"",IF($L113="","Birthdate is required; ","")&amp;IF(AND($L113&lt;&gt;"",OR(NOT(ISNUMBER($L113)),$L113&lt;=DATE(1900,1,1),$L113&gt;TODAY())),"Birthdate must be an exact valid past date; ","")&amp;IF($P113="","Eligibility Date is required; ","")&amp;IF(AND($P113&lt;&gt;"",OR(NOT(ISNUMBER($P113)),$P113&lt;=DATE(1900,1,1))),"Eligibility Date must be a valid date; ","")&amp;IF(AND($R113="Terminated",$Q113=""),"Termination Date is required when Status is Terminated; ","")&amp;IF(AND($Q113&lt;&gt;"",OR(NOT(ISNUMBER($Q113)),$Q113&lt;=DATE(1900,1,1))),"Termination Date must be a valid date; ","")&amp;IF(AND(ISNUMBER($P113),ISNUMBER($Q113),$Q113&lt;$P113),"Termination Date cannot be before Eligibility Date; ","")&amp;IF($R113="","Status is required; ","")&amp;IF(AND($R113&lt;&gt;"",$R113&lt;&gt;"Active",$R113&lt;&gt;"Terminated"),"Status must be Active or Terminated; ","")&amp;IF(AND('START HERE'!$C$8="Terminations Only",$R113&lt;&gt;"Terminated"),"Terminations Only files must contain terminated records; ",""))</f>
        <v/>
      </c>
      <c r="AC113">
        <f>IF(COUNTA($A113:$U113)=0,"",IF($S113="","Plan Name is required; ","")&amp;IF($T113="","Benefit Coverage Level is required; ","")&amp;IF(AND($U113&lt;&gt;"",OR(NOT(ISNUMBER($U113)),$U113&lt;0)),"Plan Funding Amount must be a nonnegative number; ","")&amp;IF(AND($A113&lt;&gt;"",$S113&lt;&gt;"",COUNTIFS($A$2:$A$501,$A113,$B$2:$B$501,$B113,$S$2:$S$501,$S113)&gt;1),"Duplicate participant and plan row; ",""))</f>
        <v/>
      </c>
      <c r="AD113">
        <f>IF(COUNTA($A113:$U113)=0,"",IF(AND($X113="Employee",$M113="",$N113=""),"No employee phone or email provided; ","")&amp;IF(AND($R113="Active",$Q113&lt;&gt;""),"Active record includes a Termination Date; confirm this is intentional; ","")&amp;IF(AND($B113&lt;&gt;"",$B113&amp;""&lt;&gt;$A113&amp;"",COUNTIF($A$2:$A$501,$B113)&gt;0),"Dependent SSN also appears as an Employee SSN elsewhere; confirm dual-employee coverage is intentional; ","")&amp;IF(AND($B113&lt;&gt;"",COUNTIF($B$2:$B$501,$B113)&gt;COUNTIFS($A$2:$A$501,$A113,$B$2:$B$501,$B113)),"Dependent SSN appears under more than one employee; confirm duplicate family coverage is intentional; ","")&amp;IF(AND(ROW()&gt;2,$A113&lt;&gt;"",$A113&lt;&gt;$A112,COUNTIF($A$2:$A112,$A113)&gt;0),"This household appears in more than one section of the census; keep the family together; ","")&amp;IF(OR(AND($C113&lt;&gt;"",LEN($C113&amp;"")&lt;&gt;LEN(TRIM($C113&amp;""))),AND($D113&lt;&gt;"",LEN($D113&amp;"")&lt;&gt;LEN(TRIM($D113&amp;""))),AND($E113&lt;&gt;"",LEN($E113&amp;"")&lt;&gt;LEN(TRIM($E113&amp;""))),AND($F113&lt;&gt;"",LEN($F113&amp;"")&lt;&gt;LEN(TRIM($F113&amp;""))),AND($G113&lt;&gt;"",LEN($G113&amp;"")&lt;&gt;LEN(TRIM($G113&amp;""))),AND($H113&lt;&gt;"",LEN($H113&amp;"")&lt;&gt;LEN(TRIM($H113&amp;""))),AND($I113&lt;&gt;"",LEN($I113&amp;"")&lt;&gt;LEN(TRIM($I113&amp;""))),AND($J113&lt;&gt;"",LEN($J113&amp;"")&lt;&gt;LEN(TRIM($J113&amp;""))),AND($K113&lt;&gt;"",LEN($K113&amp;"")&lt;&gt;LEN(TRIM($K113&amp;""))),AND($M113&lt;&gt;"",LEN($M113&amp;"")&lt;&gt;LEN(TRIM($M113&amp;""))),AND($N113&lt;&gt;"",LEN($N113&amp;"")&lt;&gt;LEN(TRIM($N113&amp;""))),AND($O113&lt;&gt;"",LEN($O113&amp;"")&lt;&gt;LEN(TRIM($O113&amp;""))),AND($R113&lt;&gt;"",LEN($R113&amp;"")&lt;&gt;LEN(TRIM($R113&amp;""))),AND($S113&lt;&gt;"",LEN($S113&amp;"")&lt;&gt;LEN(TRIM($S113&amp;""))),AND($T113&lt;&gt;"",LEN($T113&amp;"")&lt;&gt;LEN(TRIM($T113&amp;"")))),"Remove leading or trailing spaces from text fields; ","")&amp;IF(OR(AND(LEN($C113)&gt;1,OR(EXACT($C113,UPPER($C113)),EXACT($C113,LOWER($C113)))),AND(LEN($D113)&gt;1,OR(EXACT($D113,UPPER($D113)),EXACT($D113,LOWER($D113)))),AND(LEN($H113)&gt;1,OR(EXACT($H113,UPPER($H113)),EXACT($H113,LOWER($H113))))),"Review capitalization in First Name, Last Name, or City; ","")&amp;IF(AND($N113&lt;&gt;"",NOT(EXACT($N113,LOWER($N113)))),"Email will be standardized to lowercase in the clean output; ","")&amp;IF(AND(OR('START HERE'!$C$8="Initial Enrollment",'START HERE'!$C$8="Open Enrollment"),$R113="Terminated"),"A terminated row is included in an initial or open enrollment file; confirm this is intentional; ",""))</f>
        <v/>
      </c>
      <c r="AE113">
        <f>IF(COUNTA($A113:$U113)=0,"",IF(OR($A113="",AND($A113&lt;&gt;"",NOT(IFERROR(AND(LEN($A113&amp;"")=9,ISNUMBER(--($A113&amp;""))),FALSE))),AND($A113&lt;&gt;"",OR($A113="123456789",$A113="987654321",$A113="012345678",$A113=REPT(LEFT($A113&amp;"",1),9)))),"Employee SSN, ","")&amp;IF(OR(AND($O113&lt;&gt;"",$B113=""),AND($B113&lt;&gt;"",OR(NOT(IFERROR(AND(LEN($B113&amp;"")=9,ISNUMBER(--($B113&amp;""))),FALSE)),$B113=$A113,$B113="123456789",$B113="987654321",$B113="012345678",$B113=REPT(LEFT($B113&amp;"",1),9)))),"Dependent SSN, ","")&amp;IF(OR($C113="",LEN($C113)&gt;19,AND($C113&lt;&gt;"",SUMPRODUCT(--(ROW($1:$19)&lt;=LEN($C113&amp;"")),--ISERROR(FIND(MID($C113&amp;"",ROW($1:$19),1),"ABCDEFGHIJKLMNOPQRSTUVWXYZabcdefghijklmnopqrstuvwxyz .,")))&gt;0)),"First Name, ","")&amp;IF(OR($D113="",LEN($D113)&gt;26,AND($D113&lt;&gt;"",SUMPRODUCT(--(ROW($1:$26)&lt;=LEN($D113&amp;"")),--ISERROR(FIND(MID($D113&amp;"",ROW($1:$26),1),"ABCDEFGHIJKLMNOPQRSTUVWXYZabcdefghijklmnopqrstuvwxyz .,")))&gt;0)),"Last Name, ","")&amp;IF(OR(LEN($E113)&gt;1,AND($E113&lt;&gt;"",SUMPRODUCT(--(ROW($1:$1)&lt;=LEN($E113&amp;"")),--ISERROR(FIND(MID($E113&amp;"",ROW($1:$1),1),"ABCDEFGHIJKLMNOPQRSTUVWXYZabcdefghijklmnopqrstuvwxyz .,")))&gt;0)),"Middle Initial, ","")&amp;IF(OR($F113="",LEN($F113)&gt;75),"Address, ","")&amp;IF(OR($H113="",LEN($H113)&gt;30),"City, ","")&amp;IF(AND($K113="US",OR($I113="",LEN($I113)&lt;&gt;2)),"State, ","")&amp;IF($J113="","ZIP, ","")&amp;IF(OR($K113="",AND($K113&lt;&gt;"US",$K113&lt;&gt;"CA")),"Country, ","")&amp;IF(OR($L113="",AND($L113&lt;&gt;"",OR(NOT(ISNUMBER($L113)),$L113&lt;=DATE(1900,1,1),$L113&gt;TODAY()))),"Birthdate, ","")&amp;IF(AND($N113&lt;&gt;"",NOT(IFERROR(AND(ISNUMBER(SEARCH("@",$N113)),ISNUMBER(SEARCH(".",$N113,SEARCH("@",$N113)+2))),FALSE))),"Email, ","")&amp;IF(OR(AND($B113&lt;&gt;"",$O113=""),AND($O113&lt;&gt;"",$O113&lt;&gt;"Spouse or Common Law Spouse",$O113&lt;&gt;"Domestic Partner",$O113&lt;&gt;"Child",$O113&lt;&gt;"Other",$O113&lt;&gt;"Estate",$O113&lt;&gt;"Unknown")),"Dependent Relationship, ","")&amp;IF($AA113&lt;&gt;"","Household, ","")&amp;IF(OR($P113="",AND($P113&lt;&gt;"",OR(NOT(ISNUMBER($P113)),$P113&lt;=DATE(1900,1,1)))),"Eligibility Date, ","")&amp;IF(OR(AND($R113="Terminated",$Q113=""),AND($Q113&lt;&gt;"",OR(NOT(ISNUMBER($Q113)),$Q113&lt;=DATE(1900,1,1))),AND(ISNUMBER($P113),ISNUMBER($Q113),$Q113&lt;$P113)),"Termination Date, ","")&amp;IF(OR($R113="",AND($R113&lt;&gt;"Active",$R113&lt;&gt;"Terminated"),AND('START HERE'!$C$8="Terminations Only",$R113&lt;&gt;"Terminated")),"Status, ","")&amp;IF($S113="","Plan Name, ","")&amp;IF($T113="","Coverage Level, ","")&amp;IF(AND($U113&lt;&gt;"",OR(NOT(ISNUMBER($U113)),$U113&lt;0)),"Funding, ","")&amp;IF(AND($A113&lt;&gt;"",$S113&lt;&gt;"",COUNTIFS($A$2:$A$501,$A113,$B$2:$B$501,$B113,$S$2:$S$501,$S113)&gt;1),"Duplicate Row, ",""))</f>
        <v/>
      </c>
      <c r="AF113">
        <f>IF(COUNTA($A113:$U113)=0,"",$Y113&amp;$Z113&amp;$AA113&amp;$AB113&amp;$AC113)</f>
        <v/>
      </c>
      <c r="AG113">
        <f>IF($N113="","",LOWER(TRIM($N113)))</f>
        <v/>
      </c>
      <c r="AH113">
        <f>IF($A113="","",COUNTIFS($A$2:$A$501,$A113,$AI$2:$AI$501,1))</f>
        <v/>
      </c>
      <c r="AI113">
        <f>IF(COUNTA($A113:$U113)=0,"",--($AF113&lt;&gt;""))</f>
        <v/>
      </c>
      <c r="AJ113">
        <f>IF(COUNTA($A113:$U113)=0,"",--($AD113&lt;&gt;""))</f>
        <v/>
      </c>
    </row>
    <row r="114" ht="20" customHeight="1">
      <c r="A114" s="80" t="n"/>
      <c r="B114" s="80" t="n"/>
      <c r="C114" s="81" t="n"/>
      <c r="D114" s="81" t="n"/>
      <c r="E114" s="80" t="n"/>
      <c r="F114" s="81" t="n"/>
      <c r="G114" s="81" t="n"/>
      <c r="H114" s="81" t="n"/>
      <c r="I114" s="80" t="n"/>
      <c r="J114" s="80" t="n"/>
      <c r="K114" s="80" t="n"/>
      <c r="L114" s="82" t="n"/>
      <c r="M114" s="80" t="n"/>
      <c r="N114" s="80" t="n"/>
      <c r="O114" s="80" t="n"/>
      <c r="P114" s="82" t="n"/>
      <c r="Q114" s="82" t="n"/>
      <c r="R114" s="80" t="n"/>
      <c r="S114" s="80" t="n"/>
      <c r="T114" s="80" t="n"/>
      <c r="U114" s="83" t="n"/>
      <c r="V114">
        <f>IF($A114="","",IF($A114=$A113,$V113,IF($V113="",0,1-$V113)))</f>
        <v/>
      </c>
      <c r="W114">
        <f>IF($B114&lt;&gt;"",$B114,$A114)</f>
        <v/>
      </c>
      <c r="X114">
        <f>IF(COUNTA($A114:$U114)=0,"",IF(OR($B114&lt;&gt;"",$O114&lt;&gt;""),"Dependent","Employee"))</f>
        <v/>
      </c>
      <c r="Y114">
        <f>IF(COUNTA($A114:$U114)=0,"",IF($A114="","Employee SSN is required; ","")&amp;IF($C114="","First Name is required; ","")&amp;IF(LEN($C114&amp;"")&gt;19,"First Name exceeds 19 characters; ","")&amp;IF(AND($C114&lt;&gt;"",SUMPRODUCT(--(ROW($1:$19)&lt;=LEN($C114&amp;"")),--ISERROR(FIND(MID($C114&amp;"",ROW($1:$19),1),"ABCDEFGHIJKLMNOPQRSTUVWXYZabcdefghijklmnopqrstuvwxyz .,")))&gt;0),"First Name contains unsupported or encoded characters; use plain A-Z letters only; ","")&amp;IF($D114="","Last Name is required; ","")&amp;IF(LEN($D114&amp;"")&gt;26,"Last Name exceeds 26 characters; ","")&amp;IF(AND($D114&lt;&gt;"",SUMPRODUCT(--(ROW($1:$26)&lt;=LEN($D114&amp;"")),--ISERROR(FIND(MID($D114&amp;"",ROW($1:$26),1),"ABCDEFGHIJKLMNOPQRSTUVWXYZabcdefghijklmnopqrstuvwxyz .,")))&gt;0),"Last Name contains unsupported or encoded characters; use plain A-Z letters only; ","")&amp;IF(LEN($E114&amp;"")&gt;1,"Middle Initial may contain only one character; ","")&amp;IF(AND($E114&lt;&gt;"",SUMPRODUCT(--(ROW($1:$1)&lt;=LEN($E114&amp;"")),--ISERROR(FIND(MID($E114&amp;"",ROW($1:$1),1),"ABCDEFGHIJKLMNOPQRSTUVWXYZabcdefghijklmnopqrstuvwxyz .,")))&gt;0),"Middle Initial must be a plain A-Z letter; ","")&amp;IF($F114="","Address is required; ","")&amp;IF(LEN($F114&amp;"")&gt;75,"Address exceeds 75 characters; ","")&amp;IF(LEN($G114&amp;"")&gt;75,"Address 2 exceeds 75 characters; ","")&amp;IF($H114="","City is required; ","")&amp;IF(LEN($H114&amp;"")&gt;30,"City exceeds 30 characters; ","")&amp;IF($K114="","Country is required; ","")&amp;IF(AND($K114&lt;&gt;"",$K114&lt;&gt;"US",$K114&lt;&gt;"CA"),"Country must be US or CA; ","")&amp;IF(AND($K114="US",OR($I114="",LEN($I114&amp;"")&lt;&gt;2)),"Use a 2-letter state code; ","")&amp;IF($J114="","ZIP or postal code is required; ","")&amp;IF(AND($K114="US",$J114&lt;&gt;"",NOT(IFERROR(OR(AND(LEN($J114&amp;"")=5,ISNUMBER(--($J114&amp;""))),AND(LEN($J114&amp;"")=9,ISNUMBER(--($J114&amp;""))),AND(LEN($J114&amp;"")=10,MID($J114&amp;"",6,1)="-",ISNUMBER(--SUBSTITUTE($J114&amp;"","-","")))),FALSE))),"US ZIP must be 5 or 9 digits, with an optional ZIP+4 hyphen; ","")&amp;IF(AND($N114&lt;&gt;"",NOT(IFERROR(AND(ISNUMBER(SEARCH("@",$N114)),ISNUMBER(SEARCH(".",$N114,SEARCH("@",$N114)+2))),FALSE))),"Email format appears invalid; ","")&amp;IF(AND($O114&lt;&gt;"",$B114=""),"Dependent SSN is required for every dependent; ","")&amp;IF(AND($B114&lt;&gt;"",$O114=""),"Dependent Relationship is required when Dependent SSN is entered; ","")&amp;IF(AND($O114&lt;&gt;"",$O114&lt;&gt;"Spouse or Common Law Spouse",$O114&lt;&gt;"Domestic Partner",$O114&lt;&gt;"Child",$O114&lt;&gt;"Other",$O114&lt;&gt;"Estate",$O114&lt;&gt;"Unknown"),"Dependent Relationship must use one of the approved options; ",""))</f>
        <v/>
      </c>
      <c r="Z114">
        <f>IF(COUNTA($A114:$U114)=0,"",IF(AND($A114&lt;&gt;"",NOT(IFERROR(AND(LEN($A114&amp;"")=9,ISNUMBER(--($A114&amp;""))),FALSE))),"Employee SSN must contain exactly 9 digits; ","")&amp;IF(AND($A114&lt;&gt;"",OR($A114="123456789",$A114="987654321",$A114="012345678",$A114=REPT(LEFT($A114&amp;"",1),9))),"Employee SSN appears to be a placeholder; ","")&amp;IF(AND($B114&lt;&gt;"",NOT(IFERROR(AND(LEN($B114&amp;"")=9,ISNUMBER(--($B114&amp;""))),FALSE))),"Dependent SSN must contain exactly 9 digits; ","")&amp;IF(AND($B114&lt;&gt;"",OR($B114="123456789",$B114="987654321",$B114="012345678",$B114=REPT(LEFT($B114&amp;"",1),9))),"Dependent SSN appears to be a placeholder; ","")&amp;IF(AND($A114&lt;&gt;"",$B114&lt;&gt;"",$A114&amp;""=$B114&amp;""),"Dependent SSN cannot match Employee SSN; ","")&amp;IF(AND($W114&lt;&gt;"",OR(COUNTIFS($W$2:$W$501,$W114,$C$2:$C$501,"&lt;&gt;"&amp;$C114)&gt;0,COUNTIFS($W$2:$W$501,$W114,$D$2:$D$501,"&lt;&gt;"&amp;$D114)&gt;0,COUNTIFS($W$2:$W$501,$W114,$L$2:$L$501,"&lt;&gt;"&amp;$L114)&gt;0)),"The same SSN is associated with a different name or birthdate; ",""))</f>
        <v/>
      </c>
      <c r="AA114">
        <f>IF(COUNTA($A114:$U114)=0,"",IF(AND($A114&lt;&gt;"",$S114&lt;&gt;"",COUNTIFS($A$2:$A$501,$A114,$S$2:$S$501,$S114,$B$2:$B$501,"",$O$2:$O$501,"")=0),"Add an employee row for this household and plan; ","")&amp;IF(AND($X114="Dependent",COUNTIFS($A$2:$A114,$A114,$S$2:$S114,$S114,$B$2:$B114,"",$O$2:$O114,"")=0),"Place the employee row before dependent rows for this plan; ","")&amp;IF(AND($X114="Dependent",COUNTIFS($A$2:$A$501,$A114,$S$2:$S$501,$S114,$B$2:$B$501,"",$O$2:$O$501,"")&gt;0,IFERROR(OR($P114&lt;&gt;LOOKUP(2,1/(($A$2:$A$501=$A114)*($S$2:$S$501=$S114)*($B$2:$B$501="")*($O$2:$O$501="")),$P$2:$P$501),$Q114&lt;&gt;LOOKUP(2,1/(($A$2:$A$501=$A114)*($S$2:$S$501=$S114)*($B$2:$B$501="")*($O$2:$O$501="")),$Q$2:$Q$501),$R114&lt;&gt;LOOKUP(2,1/(($A$2:$A$501=$A114)*($S$2:$S$501=$S114)*($B$2:$B$501="")*($O$2:$O$501="")),$R$2:$R$501),$T114&lt;&gt;LOOKUP(2,1/(($A$2:$A$501=$A114)*($S$2:$S$501=$S114)*($B$2:$B$501="")*($O$2:$O$501="")),$T$2:$T$501),$U114&lt;&gt;LOOKUP(2,1/(($A$2:$A$501=$A114)*($S$2:$S$501=$S114)*($B$2:$B$501="")*($O$2:$O$501="")),$U$2:$U$501)),FALSE)),"Dependent row does not match the employee row for eligibility, status, coverage level, or funding; ",""))</f>
        <v/>
      </c>
      <c r="AB114">
        <f>IF(COUNTA($A114:$U114)=0,"",IF($L114="","Birthdate is required; ","")&amp;IF(AND($L114&lt;&gt;"",OR(NOT(ISNUMBER($L114)),$L114&lt;=DATE(1900,1,1),$L114&gt;TODAY())),"Birthdate must be an exact valid past date; ","")&amp;IF($P114="","Eligibility Date is required; ","")&amp;IF(AND($P114&lt;&gt;"",OR(NOT(ISNUMBER($P114)),$P114&lt;=DATE(1900,1,1))),"Eligibility Date must be a valid date; ","")&amp;IF(AND($R114="Terminated",$Q114=""),"Termination Date is required when Status is Terminated; ","")&amp;IF(AND($Q114&lt;&gt;"",OR(NOT(ISNUMBER($Q114)),$Q114&lt;=DATE(1900,1,1))),"Termination Date must be a valid date; ","")&amp;IF(AND(ISNUMBER($P114),ISNUMBER($Q114),$Q114&lt;$P114),"Termination Date cannot be before Eligibility Date; ","")&amp;IF($R114="","Status is required; ","")&amp;IF(AND($R114&lt;&gt;"",$R114&lt;&gt;"Active",$R114&lt;&gt;"Terminated"),"Status must be Active or Terminated; ","")&amp;IF(AND('START HERE'!$C$8="Terminations Only",$R114&lt;&gt;"Terminated"),"Terminations Only files must contain terminated records; ",""))</f>
        <v/>
      </c>
      <c r="AC114">
        <f>IF(COUNTA($A114:$U114)=0,"",IF($S114="","Plan Name is required; ","")&amp;IF($T114="","Benefit Coverage Level is required; ","")&amp;IF(AND($U114&lt;&gt;"",OR(NOT(ISNUMBER($U114)),$U114&lt;0)),"Plan Funding Amount must be a nonnegative number; ","")&amp;IF(AND($A114&lt;&gt;"",$S114&lt;&gt;"",COUNTIFS($A$2:$A$501,$A114,$B$2:$B$501,$B114,$S$2:$S$501,$S114)&gt;1),"Duplicate participant and plan row; ",""))</f>
        <v/>
      </c>
      <c r="AD114">
        <f>IF(COUNTA($A114:$U114)=0,"",IF(AND($X114="Employee",$M114="",$N114=""),"No employee phone or email provided; ","")&amp;IF(AND($R114="Active",$Q114&lt;&gt;""),"Active record includes a Termination Date; confirm this is intentional; ","")&amp;IF(AND($B114&lt;&gt;"",$B114&amp;""&lt;&gt;$A114&amp;"",COUNTIF($A$2:$A$501,$B114)&gt;0),"Dependent SSN also appears as an Employee SSN elsewhere; confirm dual-employee coverage is intentional; ","")&amp;IF(AND($B114&lt;&gt;"",COUNTIF($B$2:$B$501,$B114)&gt;COUNTIFS($A$2:$A$501,$A114,$B$2:$B$501,$B114)),"Dependent SSN appears under more than one employee; confirm duplicate family coverage is intentional; ","")&amp;IF(AND(ROW()&gt;2,$A114&lt;&gt;"",$A114&lt;&gt;$A113,COUNTIF($A$2:$A113,$A114)&gt;0),"This household appears in more than one section of the census; keep the family together; ","")&amp;IF(OR(AND($C114&lt;&gt;"",LEN($C114&amp;"")&lt;&gt;LEN(TRIM($C114&amp;""))),AND($D114&lt;&gt;"",LEN($D114&amp;"")&lt;&gt;LEN(TRIM($D114&amp;""))),AND($E114&lt;&gt;"",LEN($E114&amp;"")&lt;&gt;LEN(TRIM($E114&amp;""))),AND($F114&lt;&gt;"",LEN($F114&amp;"")&lt;&gt;LEN(TRIM($F114&amp;""))),AND($G114&lt;&gt;"",LEN($G114&amp;"")&lt;&gt;LEN(TRIM($G114&amp;""))),AND($H114&lt;&gt;"",LEN($H114&amp;"")&lt;&gt;LEN(TRIM($H114&amp;""))),AND($I114&lt;&gt;"",LEN($I114&amp;"")&lt;&gt;LEN(TRIM($I114&amp;""))),AND($J114&lt;&gt;"",LEN($J114&amp;"")&lt;&gt;LEN(TRIM($J114&amp;""))),AND($K114&lt;&gt;"",LEN($K114&amp;"")&lt;&gt;LEN(TRIM($K114&amp;""))),AND($M114&lt;&gt;"",LEN($M114&amp;"")&lt;&gt;LEN(TRIM($M114&amp;""))),AND($N114&lt;&gt;"",LEN($N114&amp;"")&lt;&gt;LEN(TRIM($N114&amp;""))),AND($O114&lt;&gt;"",LEN($O114&amp;"")&lt;&gt;LEN(TRIM($O114&amp;""))),AND($R114&lt;&gt;"",LEN($R114&amp;"")&lt;&gt;LEN(TRIM($R114&amp;""))),AND($S114&lt;&gt;"",LEN($S114&amp;"")&lt;&gt;LEN(TRIM($S114&amp;""))),AND($T114&lt;&gt;"",LEN($T114&amp;"")&lt;&gt;LEN(TRIM($T114&amp;"")))),"Remove leading or trailing spaces from text fields; ","")&amp;IF(OR(AND(LEN($C114)&gt;1,OR(EXACT($C114,UPPER($C114)),EXACT($C114,LOWER($C114)))),AND(LEN($D114)&gt;1,OR(EXACT($D114,UPPER($D114)),EXACT($D114,LOWER($D114)))),AND(LEN($H114)&gt;1,OR(EXACT($H114,UPPER($H114)),EXACT($H114,LOWER($H114))))),"Review capitalization in First Name, Last Name, or City; ","")&amp;IF(AND($N114&lt;&gt;"",NOT(EXACT($N114,LOWER($N114)))),"Email will be standardized to lowercase in the clean output; ","")&amp;IF(AND(OR('START HERE'!$C$8="Initial Enrollment",'START HERE'!$C$8="Open Enrollment"),$R114="Terminated"),"A terminated row is included in an initial or open enrollment file; confirm this is intentional; ",""))</f>
        <v/>
      </c>
      <c r="AE114">
        <f>IF(COUNTA($A114:$U114)=0,"",IF(OR($A114="",AND($A114&lt;&gt;"",NOT(IFERROR(AND(LEN($A114&amp;"")=9,ISNUMBER(--($A114&amp;""))),FALSE))),AND($A114&lt;&gt;"",OR($A114="123456789",$A114="987654321",$A114="012345678",$A114=REPT(LEFT($A114&amp;"",1),9)))),"Employee SSN, ","")&amp;IF(OR(AND($O114&lt;&gt;"",$B114=""),AND($B114&lt;&gt;"",OR(NOT(IFERROR(AND(LEN($B114&amp;"")=9,ISNUMBER(--($B114&amp;""))),FALSE)),$B114=$A114,$B114="123456789",$B114="987654321",$B114="012345678",$B114=REPT(LEFT($B114&amp;"",1),9)))),"Dependent SSN, ","")&amp;IF(OR($C114="",LEN($C114)&gt;19,AND($C114&lt;&gt;"",SUMPRODUCT(--(ROW($1:$19)&lt;=LEN($C114&amp;"")),--ISERROR(FIND(MID($C114&amp;"",ROW($1:$19),1),"ABCDEFGHIJKLMNOPQRSTUVWXYZabcdefghijklmnopqrstuvwxyz .,")))&gt;0)),"First Name, ","")&amp;IF(OR($D114="",LEN($D114)&gt;26,AND($D114&lt;&gt;"",SUMPRODUCT(--(ROW($1:$26)&lt;=LEN($D114&amp;"")),--ISERROR(FIND(MID($D114&amp;"",ROW($1:$26),1),"ABCDEFGHIJKLMNOPQRSTUVWXYZabcdefghijklmnopqrstuvwxyz .,")))&gt;0)),"Last Name, ","")&amp;IF(OR(LEN($E114)&gt;1,AND($E114&lt;&gt;"",SUMPRODUCT(--(ROW($1:$1)&lt;=LEN($E114&amp;"")),--ISERROR(FIND(MID($E114&amp;"",ROW($1:$1),1),"ABCDEFGHIJKLMNOPQRSTUVWXYZabcdefghijklmnopqrstuvwxyz .,")))&gt;0)),"Middle Initial, ","")&amp;IF(OR($F114="",LEN($F114)&gt;75),"Address, ","")&amp;IF(OR($H114="",LEN($H114)&gt;30),"City, ","")&amp;IF(AND($K114="US",OR($I114="",LEN($I114)&lt;&gt;2)),"State, ","")&amp;IF($J114="","ZIP, ","")&amp;IF(OR($K114="",AND($K114&lt;&gt;"US",$K114&lt;&gt;"CA")),"Country, ","")&amp;IF(OR($L114="",AND($L114&lt;&gt;"",OR(NOT(ISNUMBER($L114)),$L114&lt;=DATE(1900,1,1),$L114&gt;TODAY()))),"Birthdate, ","")&amp;IF(AND($N114&lt;&gt;"",NOT(IFERROR(AND(ISNUMBER(SEARCH("@",$N114)),ISNUMBER(SEARCH(".",$N114,SEARCH("@",$N114)+2))),FALSE))),"Email, ","")&amp;IF(OR(AND($B114&lt;&gt;"",$O114=""),AND($O114&lt;&gt;"",$O114&lt;&gt;"Spouse or Common Law Spouse",$O114&lt;&gt;"Domestic Partner",$O114&lt;&gt;"Child",$O114&lt;&gt;"Other",$O114&lt;&gt;"Estate",$O114&lt;&gt;"Unknown")),"Dependent Relationship, ","")&amp;IF($AA114&lt;&gt;"","Household, ","")&amp;IF(OR($P114="",AND($P114&lt;&gt;"",OR(NOT(ISNUMBER($P114)),$P114&lt;=DATE(1900,1,1)))),"Eligibility Date, ","")&amp;IF(OR(AND($R114="Terminated",$Q114=""),AND($Q114&lt;&gt;"",OR(NOT(ISNUMBER($Q114)),$Q114&lt;=DATE(1900,1,1))),AND(ISNUMBER($P114),ISNUMBER($Q114),$Q114&lt;$P114)),"Termination Date, ","")&amp;IF(OR($R114="",AND($R114&lt;&gt;"Active",$R114&lt;&gt;"Terminated"),AND('START HERE'!$C$8="Terminations Only",$R114&lt;&gt;"Terminated")),"Status, ","")&amp;IF($S114="","Plan Name, ","")&amp;IF($T114="","Coverage Level, ","")&amp;IF(AND($U114&lt;&gt;"",OR(NOT(ISNUMBER($U114)),$U114&lt;0)),"Funding, ","")&amp;IF(AND($A114&lt;&gt;"",$S114&lt;&gt;"",COUNTIFS($A$2:$A$501,$A114,$B$2:$B$501,$B114,$S$2:$S$501,$S114)&gt;1),"Duplicate Row, ",""))</f>
        <v/>
      </c>
      <c r="AF114">
        <f>IF(COUNTA($A114:$U114)=0,"",$Y114&amp;$Z114&amp;$AA114&amp;$AB114&amp;$AC114)</f>
        <v/>
      </c>
      <c r="AG114">
        <f>IF($N114="","",LOWER(TRIM($N114)))</f>
        <v/>
      </c>
      <c r="AH114">
        <f>IF($A114="","",COUNTIFS($A$2:$A$501,$A114,$AI$2:$AI$501,1))</f>
        <v/>
      </c>
      <c r="AI114">
        <f>IF(COUNTA($A114:$U114)=0,"",--($AF114&lt;&gt;""))</f>
        <v/>
      </c>
      <c r="AJ114">
        <f>IF(COUNTA($A114:$U114)=0,"",--($AD114&lt;&gt;""))</f>
        <v/>
      </c>
    </row>
    <row r="115" ht="20" customHeight="1">
      <c r="A115" s="80" t="n"/>
      <c r="B115" s="80" t="n"/>
      <c r="C115" s="81" t="n"/>
      <c r="D115" s="81" t="n"/>
      <c r="E115" s="80" t="n"/>
      <c r="F115" s="81" t="n"/>
      <c r="G115" s="81" t="n"/>
      <c r="H115" s="81" t="n"/>
      <c r="I115" s="80" t="n"/>
      <c r="J115" s="80" t="n"/>
      <c r="K115" s="80" t="n"/>
      <c r="L115" s="82" t="n"/>
      <c r="M115" s="80" t="n"/>
      <c r="N115" s="80" t="n"/>
      <c r="O115" s="80" t="n"/>
      <c r="P115" s="82" t="n"/>
      <c r="Q115" s="82" t="n"/>
      <c r="R115" s="80" t="n"/>
      <c r="S115" s="80" t="n"/>
      <c r="T115" s="80" t="n"/>
      <c r="U115" s="83" t="n"/>
      <c r="V115">
        <f>IF($A115="","",IF($A115=$A114,$V114,IF($V114="",0,1-$V114)))</f>
        <v/>
      </c>
      <c r="W115">
        <f>IF($B115&lt;&gt;"",$B115,$A115)</f>
        <v/>
      </c>
      <c r="X115">
        <f>IF(COUNTA($A115:$U115)=0,"",IF(OR($B115&lt;&gt;"",$O115&lt;&gt;""),"Dependent","Employee"))</f>
        <v/>
      </c>
      <c r="Y115">
        <f>IF(COUNTA($A115:$U115)=0,"",IF($A115="","Employee SSN is required; ","")&amp;IF($C115="","First Name is required; ","")&amp;IF(LEN($C115&amp;"")&gt;19,"First Name exceeds 19 characters; ","")&amp;IF(AND($C115&lt;&gt;"",SUMPRODUCT(--(ROW($1:$19)&lt;=LEN($C115&amp;"")),--ISERROR(FIND(MID($C115&amp;"",ROW($1:$19),1),"ABCDEFGHIJKLMNOPQRSTUVWXYZabcdefghijklmnopqrstuvwxyz .,")))&gt;0),"First Name contains unsupported or encoded characters; use plain A-Z letters only; ","")&amp;IF($D115="","Last Name is required; ","")&amp;IF(LEN($D115&amp;"")&gt;26,"Last Name exceeds 26 characters; ","")&amp;IF(AND($D115&lt;&gt;"",SUMPRODUCT(--(ROW($1:$26)&lt;=LEN($D115&amp;"")),--ISERROR(FIND(MID($D115&amp;"",ROW($1:$26),1),"ABCDEFGHIJKLMNOPQRSTUVWXYZabcdefghijklmnopqrstuvwxyz .,")))&gt;0),"Last Name contains unsupported or encoded characters; use plain A-Z letters only; ","")&amp;IF(LEN($E115&amp;"")&gt;1,"Middle Initial may contain only one character; ","")&amp;IF(AND($E115&lt;&gt;"",SUMPRODUCT(--(ROW($1:$1)&lt;=LEN($E115&amp;"")),--ISERROR(FIND(MID($E115&amp;"",ROW($1:$1),1),"ABCDEFGHIJKLMNOPQRSTUVWXYZabcdefghijklmnopqrstuvwxyz .,")))&gt;0),"Middle Initial must be a plain A-Z letter; ","")&amp;IF($F115="","Address is required; ","")&amp;IF(LEN($F115&amp;"")&gt;75,"Address exceeds 75 characters; ","")&amp;IF(LEN($G115&amp;"")&gt;75,"Address 2 exceeds 75 characters; ","")&amp;IF($H115="","City is required; ","")&amp;IF(LEN($H115&amp;"")&gt;30,"City exceeds 30 characters; ","")&amp;IF($K115="","Country is required; ","")&amp;IF(AND($K115&lt;&gt;"",$K115&lt;&gt;"US",$K115&lt;&gt;"CA"),"Country must be US or CA; ","")&amp;IF(AND($K115="US",OR($I115="",LEN($I115&amp;"")&lt;&gt;2)),"Use a 2-letter state code; ","")&amp;IF($J115="","ZIP or postal code is required; ","")&amp;IF(AND($K115="US",$J115&lt;&gt;"",NOT(IFERROR(OR(AND(LEN($J115&amp;"")=5,ISNUMBER(--($J115&amp;""))),AND(LEN($J115&amp;"")=9,ISNUMBER(--($J115&amp;""))),AND(LEN($J115&amp;"")=10,MID($J115&amp;"",6,1)="-",ISNUMBER(--SUBSTITUTE($J115&amp;"","-","")))),FALSE))),"US ZIP must be 5 or 9 digits, with an optional ZIP+4 hyphen; ","")&amp;IF(AND($N115&lt;&gt;"",NOT(IFERROR(AND(ISNUMBER(SEARCH("@",$N115)),ISNUMBER(SEARCH(".",$N115,SEARCH("@",$N115)+2))),FALSE))),"Email format appears invalid; ","")&amp;IF(AND($O115&lt;&gt;"",$B115=""),"Dependent SSN is required for every dependent; ","")&amp;IF(AND($B115&lt;&gt;"",$O115=""),"Dependent Relationship is required when Dependent SSN is entered; ","")&amp;IF(AND($O115&lt;&gt;"",$O115&lt;&gt;"Spouse or Common Law Spouse",$O115&lt;&gt;"Domestic Partner",$O115&lt;&gt;"Child",$O115&lt;&gt;"Other",$O115&lt;&gt;"Estate",$O115&lt;&gt;"Unknown"),"Dependent Relationship must use one of the approved options; ",""))</f>
        <v/>
      </c>
      <c r="Z115">
        <f>IF(COUNTA($A115:$U115)=0,"",IF(AND($A115&lt;&gt;"",NOT(IFERROR(AND(LEN($A115&amp;"")=9,ISNUMBER(--($A115&amp;""))),FALSE))),"Employee SSN must contain exactly 9 digits; ","")&amp;IF(AND($A115&lt;&gt;"",OR($A115="123456789",$A115="987654321",$A115="012345678",$A115=REPT(LEFT($A115&amp;"",1),9))),"Employee SSN appears to be a placeholder; ","")&amp;IF(AND($B115&lt;&gt;"",NOT(IFERROR(AND(LEN($B115&amp;"")=9,ISNUMBER(--($B115&amp;""))),FALSE))),"Dependent SSN must contain exactly 9 digits; ","")&amp;IF(AND($B115&lt;&gt;"",OR($B115="123456789",$B115="987654321",$B115="012345678",$B115=REPT(LEFT($B115&amp;"",1),9))),"Dependent SSN appears to be a placeholder; ","")&amp;IF(AND($A115&lt;&gt;"",$B115&lt;&gt;"",$A115&amp;""=$B115&amp;""),"Dependent SSN cannot match Employee SSN; ","")&amp;IF(AND($W115&lt;&gt;"",OR(COUNTIFS($W$2:$W$501,$W115,$C$2:$C$501,"&lt;&gt;"&amp;$C115)&gt;0,COUNTIFS($W$2:$W$501,$W115,$D$2:$D$501,"&lt;&gt;"&amp;$D115)&gt;0,COUNTIFS($W$2:$W$501,$W115,$L$2:$L$501,"&lt;&gt;"&amp;$L115)&gt;0)),"The same SSN is associated with a different name or birthdate; ",""))</f>
        <v/>
      </c>
      <c r="AA115">
        <f>IF(COUNTA($A115:$U115)=0,"",IF(AND($A115&lt;&gt;"",$S115&lt;&gt;"",COUNTIFS($A$2:$A$501,$A115,$S$2:$S$501,$S115,$B$2:$B$501,"",$O$2:$O$501,"")=0),"Add an employee row for this household and plan; ","")&amp;IF(AND($X115="Dependent",COUNTIFS($A$2:$A115,$A115,$S$2:$S115,$S115,$B$2:$B115,"",$O$2:$O115,"")=0),"Place the employee row before dependent rows for this plan; ","")&amp;IF(AND($X115="Dependent",COUNTIFS($A$2:$A$501,$A115,$S$2:$S$501,$S115,$B$2:$B$501,"",$O$2:$O$501,"")&gt;0,IFERROR(OR($P115&lt;&gt;LOOKUP(2,1/(($A$2:$A$501=$A115)*($S$2:$S$501=$S115)*($B$2:$B$501="")*($O$2:$O$501="")),$P$2:$P$501),$Q115&lt;&gt;LOOKUP(2,1/(($A$2:$A$501=$A115)*($S$2:$S$501=$S115)*($B$2:$B$501="")*($O$2:$O$501="")),$Q$2:$Q$501),$R115&lt;&gt;LOOKUP(2,1/(($A$2:$A$501=$A115)*($S$2:$S$501=$S115)*($B$2:$B$501="")*($O$2:$O$501="")),$R$2:$R$501),$T115&lt;&gt;LOOKUP(2,1/(($A$2:$A$501=$A115)*($S$2:$S$501=$S115)*($B$2:$B$501="")*($O$2:$O$501="")),$T$2:$T$501),$U115&lt;&gt;LOOKUP(2,1/(($A$2:$A$501=$A115)*($S$2:$S$501=$S115)*($B$2:$B$501="")*($O$2:$O$501="")),$U$2:$U$501)),FALSE)),"Dependent row does not match the employee row for eligibility, status, coverage level, or funding; ",""))</f>
        <v/>
      </c>
      <c r="AB115">
        <f>IF(COUNTA($A115:$U115)=0,"",IF($L115="","Birthdate is required; ","")&amp;IF(AND($L115&lt;&gt;"",OR(NOT(ISNUMBER($L115)),$L115&lt;=DATE(1900,1,1),$L115&gt;TODAY())),"Birthdate must be an exact valid past date; ","")&amp;IF($P115="","Eligibility Date is required; ","")&amp;IF(AND($P115&lt;&gt;"",OR(NOT(ISNUMBER($P115)),$P115&lt;=DATE(1900,1,1))),"Eligibility Date must be a valid date; ","")&amp;IF(AND($R115="Terminated",$Q115=""),"Termination Date is required when Status is Terminated; ","")&amp;IF(AND($Q115&lt;&gt;"",OR(NOT(ISNUMBER($Q115)),$Q115&lt;=DATE(1900,1,1))),"Termination Date must be a valid date; ","")&amp;IF(AND(ISNUMBER($P115),ISNUMBER($Q115),$Q115&lt;$P115),"Termination Date cannot be before Eligibility Date; ","")&amp;IF($R115="","Status is required; ","")&amp;IF(AND($R115&lt;&gt;"",$R115&lt;&gt;"Active",$R115&lt;&gt;"Terminated"),"Status must be Active or Terminated; ","")&amp;IF(AND('START HERE'!$C$8="Terminations Only",$R115&lt;&gt;"Terminated"),"Terminations Only files must contain terminated records; ",""))</f>
        <v/>
      </c>
      <c r="AC115">
        <f>IF(COUNTA($A115:$U115)=0,"",IF($S115="","Plan Name is required; ","")&amp;IF($T115="","Benefit Coverage Level is required; ","")&amp;IF(AND($U115&lt;&gt;"",OR(NOT(ISNUMBER($U115)),$U115&lt;0)),"Plan Funding Amount must be a nonnegative number; ","")&amp;IF(AND($A115&lt;&gt;"",$S115&lt;&gt;"",COUNTIFS($A$2:$A$501,$A115,$B$2:$B$501,$B115,$S$2:$S$501,$S115)&gt;1),"Duplicate participant and plan row; ",""))</f>
        <v/>
      </c>
      <c r="AD115">
        <f>IF(COUNTA($A115:$U115)=0,"",IF(AND($X115="Employee",$M115="",$N115=""),"No employee phone or email provided; ","")&amp;IF(AND($R115="Active",$Q115&lt;&gt;""),"Active record includes a Termination Date; confirm this is intentional; ","")&amp;IF(AND($B115&lt;&gt;"",$B115&amp;""&lt;&gt;$A115&amp;"",COUNTIF($A$2:$A$501,$B115)&gt;0),"Dependent SSN also appears as an Employee SSN elsewhere; confirm dual-employee coverage is intentional; ","")&amp;IF(AND($B115&lt;&gt;"",COUNTIF($B$2:$B$501,$B115)&gt;COUNTIFS($A$2:$A$501,$A115,$B$2:$B$501,$B115)),"Dependent SSN appears under more than one employee; confirm duplicate family coverage is intentional; ","")&amp;IF(AND(ROW()&gt;2,$A115&lt;&gt;"",$A115&lt;&gt;$A114,COUNTIF($A$2:$A114,$A115)&gt;0),"This household appears in more than one section of the census; keep the family together; ","")&amp;IF(OR(AND($C115&lt;&gt;"",LEN($C115&amp;"")&lt;&gt;LEN(TRIM($C115&amp;""))),AND($D115&lt;&gt;"",LEN($D115&amp;"")&lt;&gt;LEN(TRIM($D115&amp;""))),AND($E115&lt;&gt;"",LEN($E115&amp;"")&lt;&gt;LEN(TRIM($E115&amp;""))),AND($F115&lt;&gt;"",LEN($F115&amp;"")&lt;&gt;LEN(TRIM($F115&amp;""))),AND($G115&lt;&gt;"",LEN($G115&amp;"")&lt;&gt;LEN(TRIM($G115&amp;""))),AND($H115&lt;&gt;"",LEN($H115&amp;"")&lt;&gt;LEN(TRIM($H115&amp;""))),AND($I115&lt;&gt;"",LEN($I115&amp;"")&lt;&gt;LEN(TRIM($I115&amp;""))),AND($J115&lt;&gt;"",LEN($J115&amp;"")&lt;&gt;LEN(TRIM($J115&amp;""))),AND($K115&lt;&gt;"",LEN($K115&amp;"")&lt;&gt;LEN(TRIM($K115&amp;""))),AND($M115&lt;&gt;"",LEN($M115&amp;"")&lt;&gt;LEN(TRIM($M115&amp;""))),AND($N115&lt;&gt;"",LEN($N115&amp;"")&lt;&gt;LEN(TRIM($N115&amp;""))),AND($O115&lt;&gt;"",LEN($O115&amp;"")&lt;&gt;LEN(TRIM($O115&amp;""))),AND($R115&lt;&gt;"",LEN($R115&amp;"")&lt;&gt;LEN(TRIM($R115&amp;""))),AND($S115&lt;&gt;"",LEN($S115&amp;"")&lt;&gt;LEN(TRIM($S115&amp;""))),AND($T115&lt;&gt;"",LEN($T115&amp;"")&lt;&gt;LEN(TRIM($T115&amp;"")))),"Remove leading or trailing spaces from text fields; ","")&amp;IF(OR(AND(LEN($C115)&gt;1,OR(EXACT($C115,UPPER($C115)),EXACT($C115,LOWER($C115)))),AND(LEN($D115)&gt;1,OR(EXACT($D115,UPPER($D115)),EXACT($D115,LOWER($D115)))),AND(LEN($H115)&gt;1,OR(EXACT($H115,UPPER($H115)),EXACT($H115,LOWER($H115))))),"Review capitalization in First Name, Last Name, or City; ","")&amp;IF(AND($N115&lt;&gt;"",NOT(EXACT($N115,LOWER($N115)))),"Email will be standardized to lowercase in the clean output; ","")&amp;IF(AND(OR('START HERE'!$C$8="Initial Enrollment",'START HERE'!$C$8="Open Enrollment"),$R115="Terminated"),"A terminated row is included in an initial or open enrollment file; confirm this is intentional; ",""))</f>
        <v/>
      </c>
      <c r="AE115">
        <f>IF(COUNTA($A115:$U115)=0,"",IF(OR($A115="",AND($A115&lt;&gt;"",NOT(IFERROR(AND(LEN($A115&amp;"")=9,ISNUMBER(--($A115&amp;""))),FALSE))),AND($A115&lt;&gt;"",OR($A115="123456789",$A115="987654321",$A115="012345678",$A115=REPT(LEFT($A115&amp;"",1),9)))),"Employee SSN, ","")&amp;IF(OR(AND($O115&lt;&gt;"",$B115=""),AND($B115&lt;&gt;"",OR(NOT(IFERROR(AND(LEN($B115&amp;"")=9,ISNUMBER(--($B115&amp;""))),FALSE)),$B115=$A115,$B115="123456789",$B115="987654321",$B115="012345678",$B115=REPT(LEFT($B115&amp;"",1),9)))),"Dependent SSN, ","")&amp;IF(OR($C115="",LEN($C115)&gt;19,AND($C115&lt;&gt;"",SUMPRODUCT(--(ROW($1:$19)&lt;=LEN($C115&amp;"")),--ISERROR(FIND(MID($C115&amp;"",ROW($1:$19),1),"ABCDEFGHIJKLMNOPQRSTUVWXYZabcdefghijklmnopqrstuvwxyz .,")))&gt;0)),"First Name, ","")&amp;IF(OR($D115="",LEN($D115)&gt;26,AND($D115&lt;&gt;"",SUMPRODUCT(--(ROW($1:$26)&lt;=LEN($D115&amp;"")),--ISERROR(FIND(MID($D115&amp;"",ROW($1:$26),1),"ABCDEFGHIJKLMNOPQRSTUVWXYZabcdefghijklmnopqrstuvwxyz .,")))&gt;0)),"Last Name, ","")&amp;IF(OR(LEN($E115)&gt;1,AND($E115&lt;&gt;"",SUMPRODUCT(--(ROW($1:$1)&lt;=LEN($E115&amp;"")),--ISERROR(FIND(MID($E115&amp;"",ROW($1:$1),1),"ABCDEFGHIJKLMNOPQRSTUVWXYZabcdefghijklmnopqrstuvwxyz .,")))&gt;0)),"Middle Initial, ","")&amp;IF(OR($F115="",LEN($F115)&gt;75),"Address, ","")&amp;IF(OR($H115="",LEN($H115)&gt;30),"City, ","")&amp;IF(AND($K115="US",OR($I115="",LEN($I115)&lt;&gt;2)),"State, ","")&amp;IF($J115="","ZIP, ","")&amp;IF(OR($K115="",AND($K115&lt;&gt;"US",$K115&lt;&gt;"CA")),"Country, ","")&amp;IF(OR($L115="",AND($L115&lt;&gt;"",OR(NOT(ISNUMBER($L115)),$L115&lt;=DATE(1900,1,1),$L115&gt;TODAY()))),"Birthdate, ","")&amp;IF(AND($N115&lt;&gt;"",NOT(IFERROR(AND(ISNUMBER(SEARCH("@",$N115)),ISNUMBER(SEARCH(".",$N115,SEARCH("@",$N115)+2))),FALSE))),"Email, ","")&amp;IF(OR(AND($B115&lt;&gt;"",$O115=""),AND($O115&lt;&gt;"",$O115&lt;&gt;"Spouse or Common Law Spouse",$O115&lt;&gt;"Domestic Partner",$O115&lt;&gt;"Child",$O115&lt;&gt;"Other",$O115&lt;&gt;"Estate",$O115&lt;&gt;"Unknown")),"Dependent Relationship, ","")&amp;IF($AA115&lt;&gt;"","Household, ","")&amp;IF(OR($P115="",AND($P115&lt;&gt;"",OR(NOT(ISNUMBER($P115)),$P115&lt;=DATE(1900,1,1)))),"Eligibility Date, ","")&amp;IF(OR(AND($R115="Terminated",$Q115=""),AND($Q115&lt;&gt;"",OR(NOT(ISNUMBER($Q115)),$Q115&lt;=DATE(1900,1,1))),AND(ISNUMBER($P115),ISNUMBER($Q115),$Q115&lt;$P115)),"Termination Date, ","")&amp;IF(OR($R115="",AND($R115&lt;&gt;"Active",$R115&lt;&gt;"Terminated"),AND('START HERE'!$C$8="Terminations Only",$R115&lt;&gt;"Terminated")),"Status, ","")&amp;IF($S115="","Plan Name, ","")&amp;IF($T115="","Coverage Level, ","")&amp;IF(AND($U115&lt;&gt;"",OR(NOT(ISNUMBER($U115)),$U115&lt;0)),"Funding, ","")&amp;IF(AND($A115&lt;&gt;"",$S115&lt;&gt;"",COUNTIFS($A$2:$A$501,$A115,$B$2:$B$501,$B115,$S$2:$S$501,$S115)&gt;1),"Duplicate Row, ",""))</f>
        <v/>
      </c>
      <c r="AF115">
        <f>IF(COUNTA($A115:$U115)=0,"",$Y115&amp;$Z115&amp;$AA115&amp;$AB115&amp;$AC115)</f>
        <v/>
      </c>
      <c r="AG115">
        <f>IF($N115="","",LOWER(TRIM($N115)))</f>
        <v/>
      </c>
      <c r="AH115">
        <f>IF($A115="","",COUNTIFS($A$2:$A$501,$A115,$AI$2:$AI$501,1))</f>
        <v/>
      </c>
      <c r="AI115">
        <f>IF(COUNTA($A115:$U115)=0,"",--($AF115&lt;&gt;""))</f>
        <v/>
      </c>
      <c r="AJ115">
        <f>IF(COUNTA($A115:$U115)=0,"",--($AD115&lt;&gt;""))</f>
        <v/>
      </c>
    </row>
    <row r="116" ht="20" customHeight="1">
      <c r="A116" s="80" t="n"/>
      <c r="B116" s="80" t="n"/>
      <c r="C116" s="81" t="n"/>
      <c r="D116" s="81" t="n"/>
      <c r="E116" s="80" t="n"/>
      <c r="F116" s="81" t="n"/>
      <c r="G116" s="81" t="n"/>
      <c r="H116" s="81" t="n"/>
      <c r="I116" s="80" t="n"/>
      <c r="J116" s="80" t="n"/>
      <c r="K116" s="80" t="n"/>
      <c r="L116" s="82" t="n"/>
      <c r="M116" s="80" t="n"/>
      <c r="N116" s="80" t="n"/>
      <c r="O116" s="80" t="n"/>
      <c r="P116" s="82" t="n"/>
      <c r="Q116" s="82" t="n"/>
      <c r="R116" s="80" t="n"/>
      <c r="S116" s="80" t="n"/>
      <c r="T116" s="80" t="n"/>
      <c r="U116" s="83" t="n"/>
      <c r="V116">
        <f>IF($A116="","",IF($A116=$A115,$V115,IF($V115="",0,1-$V115)))</f>
        <v/>
      </c>
      <c r="W116">
        <f>IF($B116&lt;&gt;"",$B116,$A116)</f>
        <v/>
      </c>
      <c r="X116">
        <f>IF(COUNTA($A116:$U116)=0,"",IF(OR($B116&lt;&gt;"",$O116&lt;&gt;""),"Dependent","Employee"))</f>
        <v/>
      </c>
      <c r="Y116">
        <f>IF(COUNTA($A116:$U116)=0,"",IF($A116="","Employee SSN is required; ","")&amp;IF($C116="","First Name is required; ","")&amp;IF(LEN($C116&amp;"")&gt;19,"First Name exceeds 19 characters; ","")&amp;IF(AND($C116&lt;&gt;"",SUMPRODUCT(--(ROW($1:$19)&lt;=LEN($C116&amp;"")),--ISERROR(FIND(MID($C116&amp;"",ROW($1:$19),1),"ABCDEFGHIJKLMNOPQRSTUVWXYZabcdefghijklmnopqrstuvwxyz .,")))&gt;0),"First Name contains unsupported or encoded characters; use plain A-Z letters only; ","")&amp;IF($D116="","Last Name is required; ","")&amp;IF(LEN($D116&amp;"")&gt;26,"Last Name exceeds 26 characters; ","")&amp;IF(AND($D116&lt;&gt;"",SUMPRODUCT(--(ROW($1:$26)&lt;=LEN($D116&amp;"")),--ISERROR(FIND(MID($D116&amp;"",ROW($1:$26),1),"ABCDEFGHIJKLMNOPQRSTUVWXYZabcdefghijklmnopqrstuvwxyz .,")))&gt;0),"Last Name contains unsupported or encoded characters; use plain A-Z letters only; ","")&amp;IF(LEN($E116&amp;"")&gt;1,"Middle Initial may contain only one character; ","")&amp;IF(AND($E116&lt;&gt;"",SUMPRODUCT(--(ROW($1:$1)&lt;=LEN($E116&amp;"")),--ISERROR(FIND(MID($E116&amp;"",ROW($1:$1),1),"ABCDEFGHIJKLMNOPQRSTUVWXYZabcdefghijklmnopqrstuvwxyz .,")))&gt;0),"Middle Initial must be a plain A-Z letter; ","")&amp;IF($F116="","Address is required; ","")&amp;IF(LEN($F116&amp;"")&gt;75,"Address exceeds 75 characters; ","")&amp;IF(LEN($G116&amp;"")&gt;75,"Address 2 exceeds 75 characters; ","")&amp;IF($H116="","City is required; ","")&amp;IF(LEN($H116&amp;"")&gt;30,"City exceeds 30 characters; ","")&amp;IF($K116="","Country is required; ","")&amp;IF(AND($K116&lt;&gt;"",$K116&lt;&gt;"US",$K116&lt;&gt;"CA"),"Country must be US or CA; ","")&amp;IF(AND($K116="US",OR($I116="",LEN($I116&amp;"")&lt;&gt;2)),"Use a 2-letter state code; ","")&amp;IF($J116="","ZIP or postal code is required; ","")&amp;IF(AND($K116="US",$J116&lt;&gt;"",NOT(IFERROR(OR(AND(LEN($J116&amp;"")=5,ISNUMBER(--($J116&amp;""))),AND(LEN($J116&amp;"")=9,ISNUMBER(--($J116&amp;""))),AND(LEN($J116&amp;"")=10,MID($J116&amp;"",6,1)="-",ISNUMBER(--SUBSTITUTE($J116&amp;"","-","")))),FALSE))),"US ZIP must be 5 or 9 digits, with an optional ZIP+4 hyphen; ","")&amp;IF(AND($N116&lt;&gt;"",NOT(IFERROR(AND(ISNUMBER(SEARCH("@",$N116)),ISNUMBER(SEARCH(".",$N116,SEARCH("@",$N116)+2))),FALSE))),"Email format appears invalid; ","")&amp;IF(AND($O116&lt;&gt;"",$B116=""),"Dependent SSN is required for every dependent; ","")&amp;IF(AND($B116&lt;&gt;"",$O116=""),"Dependent Relationship is required when Dependent SSN is entered; ","")&amp;IF(AND($O116&lt;&gt;"",$O116&lt;&gt;"Spouse or Common Law Spouse",$O116&lt;&gt;"Domestic Partner",$O116&lt;&gt;"Child",$O116&lt;&gt;"Other",$O116&lt;&gt;"Estate",$O116&lt;&gt;"Unknown"),"Dependent Relationship must use one of the approved options; ",""))</f>
        <v/>
      </c>
      <c r="Z116">
        <f>IF(COUNTA($A116:$U116)=0,"",IF(AND($A116&lt;&gt;"",NOT(IFERROR(AND(LEN($A116&amp;"")=9,ISNUMBER(--($A116&amp;""))),FALSE))),"Employee SSN must contain exactly 9 digits; ","")&amp;IF(AND($A116&lt;&gt;"",OR($A116="123456789",$A116="987654321",$A116="012345678",$A116=REPT(LEFT($A116&amp;"",1),9))),"Employee SSN appears to be a placeholder; ","")&amp;IF(AND($B116&lt;&gt;"",NOT(IFERROR(AND(LEN($B116&amp;"")=9,ISNUMBER(--($B116&amp;""))),FALSE))),"Dependent SSN must contain exactly 9 digits; ","")&amp;IF(AND($B116&lt;&gt;"",OR($B116="123456789",$B116="987654321",$B116="012345678",$B116=REPT(LEFT($B116&amp;"",1),9))),"Dependent SSN appears to be a placeholder; ","")&amp;IF(AND($A116&lt;&gt;"",$B116&lt;&gt;"",$A116&amp;""=$B116&amp;""),"Dependent SSN cannot match Employee SSN; ","")&amp;IF(AND($W116&lt;&gt;"",OR(COUNTIFS($W$2:$W$501,$W116,$C$2:$C$501,"&lt;&gt;"&amp;$C116)&gt;0,COUNTIFS($W$2:$W$501,$W116,$D$2:$D$501,"&lt;&gt;"&amp;$D116)&gt;0,COUNTIFS($W$2:$W$501,$W116,$L$2:$L$501,"&lt;&gt;"&amp;$L116)&gt;0)),"The same SSN is associated with a different name or birthdate; ",""))</f>
        <v/>
      </c>
      <c r="AA116">
        <f>IF(COUNTA($A116:$U116)=0,"",IF(AND($A116&lt;&gt;"",$S116&lt;&gt;"",COUNTIFS($A$2:$A$501,$A116,$S$2:$S$501,$S116,$B$2:$B$501,"",$O$2:$O$501,"")=0),"Add an employee row for this household and plan; ","")&amp;IF(AND($X116="Dependent",COUNTIFS($A$2:$A116,$A116,$S$2:$S116,$S116,$B$2:$B116,"",$O$2:$O116,"")=0),"Place the employee row before dependent rows for this plan; ","")&amp;IF(AND($X116="Dependent",COUNTIFS($A$2:$A$501,$A116,$S$2:$S$501,$S116,$B$2:$B$501,"",$O$2:$O$501,"")&gt;0,IFERROR(OR($P116&lt;&gt;LOOKUP(2,1/(($A$2:$A$501=$A116)*($S$2:$S$501=$S116)*($B$2:$B$501="")*($O$2:$O$501="")),$P$2:$P$501),$Q116&lt;&gt;LOOKUP(2,1/(($A$2:$A$501=$A116)*($S$2:$S$501=$S116)*($B$2:$B$501="")*($O$2:$O$501="")),$Q$2:$Q$501),$R116&lt;&gt;LOOKUP(2,1/(($A$2:$A$501=$A116)*($S$2:$S$501=$S116)*($B$2:$B$501="")*($O$2:$O$501="")),$R$2:$R$501),$T116&lt;&gt;LOOKUP(2,1/(($A$2:$A$501=$A116)*($S$2:$S$501=$S116)*($B$2:$B$501="")*($O$2:$O$501="")),$T$2:$T$501),$U116&lt;&gt;LOOKUP(2,1/(($A$2:$A$501=$A116)*($S$2:$S$501=$S116)*($B$2:$B$501="")*($O$2:$O$501="")),$U$2:$U$501)),FALSE)),"Dependent row does not match the employee row for eligibility, status, coverage level, or funding; ",""))</f>
        <v/>
      </c>
      <c r="AB116">
        <f>IF(COUNTA($A116:$U116)=0,"",IF($L116="","Birthdate is required; ","")&amp;IF(AND($L116&lt;&gt;"",OR(NOT(ISNUMBER($L116)),$L116&lt;=DATE(1900,1,1),$L116&gt;TODAY())),"Birthdate must be an exact valid past date; ","")&amp;IF($P116="","Eligibility Date is required; ","")&amp;IF(AND($P116&lt;&gt;"",OR(NOT(ISNUMBER($P116)),$P116&lt;=DATE(1900,1,1))),"Eligibility Date must be a valid date; ","")&amp;IF(AND($R116="Terminated",$Q116=""),"Termination Date is required when Status is Terminated; ","")&amp;IF(AND($Q116&lt;&gt;"",OR(NOT(ISNUMBER($Q116)),$Q116&lt;=DATE(1900,1,1))),"Termination Date must be a valid date; ","")&amp;IF(AND(ISNUMBER($P116),ISNUMBER($Q116),$Q116&lt;$P116),"Termination Date cannot be before Eligibility Date; ","")&amp;IF($R116="","Status is required; ","")&amp;IF(AND($R116&lt;&gt;"",$R116&lt;&gt;"Active",$R116&lt;&gt;"Terminated"),"Status must be Active or Terminated; ","")&amp;IF(AND('START HERE'!$C$8="Terminations Only",$R116&lt;&gt;"Terminated"),"Terminations Only files must contain terminated records; ",""))</f>
        <v/>
      </c>
      <c r="AC116">
        <f>IF(COUNTA($A116:$U116)=0,"",IF($S116="","Plan Name is required; ","")&amp;IF($T116="","Benefit Coverage Level is required; ","")&amp;IF(AND($U116&lt;&gt;"",OR(NOT(ISNUMBER($U116)),$U116&lt;0)),"Plan Funding Amount must be a nonnegative number; ","")&amp;IF(AND($A116&lt;&gt;"",$S116&lt;&gt;"",COUNTIFS($A$2:$A$501,$A116,$B$2:$B$501,$B116,$S$2:$S$501,$S116)&gt;1),"Duplicate participant and plan row; ",""))</f>
        <v/>
      </c>
      <c r="AD116">
        <f>IF(COUNTA($A116:$U116)=0,"",IF(AND($X116="Employee",$M116="",$N116=""),"No employee phone or email provided; ","")&amp;IF(AND($R116="Active",$Q116&lt;&gt;""),"Active record includes a Termination Date; confirm this is intentional; ","")&amp;IF(AND($B116&lt;&gt;"",$B116&amp;""&lt;&gt;$A116&amp;"",COUNTIF($A$2:$A$501,$B116)&gt;0),"Dependent SSN also appears as an Employee SSN elsewhere; confirm dual-employee coverage is intentional; ","")&amp;IF(AND($B116&lt;&gt;"",COUNTIF($B$2:$B$501,$B116)&gt;COUNTIFS($A$2:$A$501,$A116,$B$2:$B$501,$B116)),"Dependent SSN appears under more than one employee; confirm duplicate family coverage is intentional; ","")&amp;IF(AND(ROW()&gt;2,$A116&lt;&gt;"",$A116&lt;&gt;$A115,COUNTIF($A$2:$A115,$A116)&gt;0),"This household appears in more than one section of the census; keep the family together; ","")&amp;IF(OR(AND($C116&lt;&gt;"",LEN($C116&amp;"")&lt;&gt;LEN(TRIM($C116&amp;""))),AND($D116&lt;&gt;"",LEN($D116&amp;"")&lt;&gt;LEN(TRIM($D116&amp;""))),AND($E116&lt;&gt;"",LEN($E116&amp;"")&lt;&gt;LEN(TRIM($E116&amp;""))),AND($F116&lt;&gt;"",LEN($F116&amp;"")&lt;&gt;LEN(TRIM($F116&amp;""))),AND($G116&lt;&gt;"",LEN($G116&amp;"")&lt;&gt;LEN(TRIM($G116&amp;""))),AND($H116&lt;&gt;"",LEN($H116&amp;"")&lt;&gt;LEN(TRIM($H116&amp;""))),AND($I116&lt;&gt;"",LEN($I116&amp;"")&lt;&gt;LEN(TRIM($I116&amp;""))),AND($J116&lt;&gt;"",LEN($J116&amp;"")&lt;&gt;LEN(TRIM($J116&amp;""))),AND($K116&lt;&gt;"",LEN($K116&amp;"")&lt;&gt;LEN(TRIM($K116&amp;""))),AND($M116&lt;&gt;"",LEN($M116&amp;"")&lt;&gt;LEN(TRIM($M116&amp;""))),AND($N116&lt;&gt;"",LEN($N116&amp;"")&lt;&gt;LEN(TRIM($N116&amp;""))),AND($O116&lt;&gt;"",LEN($O116&amp;"")&lt;&gt;LEN(TRIM($O116&amp;""))),AND($R116&lt;&gt;"",LEN($R116&amp;"")&lt;&gt;LEN(TRIM($R116&amp;""))),AND($S116&lt;&gt;"",LEN($S116&amp;"")&lt;&gt;LEN(TRIM($S116&amp;""))),AND($T116&lt;&gt;"",LEN($T116&amp;"")&lt;&gt;LEN(TRIM($T116&amp;"")))),"Remove leading or trailing spaces from text fields; ","")&amp;IF(OR(AND(LEN($C116)&gt;1,OR(EXACT($C116,UPPER($C116)),EXACT($C116,LOWER($C116)))),AND(LEN($D116)&gt;1,OR(EXACT($D116,UPPER($D116)),EXACT($D116,LOWER($D116)))),AND(LEN($H116)&gt;1,OR(EXACT($H116,UPPER($H116)),EXACT($H116,LOWER($H116))))),"Review capitalization in First Name, Last Name, or City; ","")&amp;IF(AND($N116&lt;&gt;"",NOT(EXACT($N116,LOWER($N116)))),"Email will be standardized to lowercase in the clean output; ","")&amp;IF(AND(OR('START HERE'!$C$8="Initial Enrollment",'START HERE'!$C$8="Open Enrollment"),$R116="Terminated"),"A terminated row is included in an initial or open enrollment file; confirm this is intentional; ",""))</f>
        <v/>
      </c>
      <c r="AE116">
        <f>IF(COUNTA($A116:$U116)=0,"",IF(OR($A116="",AND($A116&lt;&gt;"",NOT(IFERROR(AND(LEN($A116&amp;"")=9,ISNUMBER(--($A116&amp;""))),FALSE))),AND($A116&lt;&gt;"",OR($A116="123456789",$A116="987654321",$A116="012345678",$A116=REPT(LEFT($A116&amp;"",1),9)))),"Employee SSN, ","")&amp;IF(OR(AND($O116&lt;&gt;"",$B116=""),AND($B116&lt;&gt;"",OR(NOT(IFERROR(AND(LEN($B116&amp;"")=9,ISNUMBER(--($B116&amp;""))),FALSE)),$B116=$A116,$B116="123456789",$B116="987654321",$B116="012345678",$B116=REPT(LEFT($B116&amp;"",1),9)))),"Dependent SSN, ","")&amp;IF(OR($C116="",LEN($C116)&gt;19,AND($C116&lt;&gt;"",SUMPRODUCT(--(ROW($1:$19)&lt;=LEN($C116&amp;"")),--ISERROR(FIND(MID($C116&amp;"",ROW($1:$19),1),"ABCDEFGHIJKLMNOPQRSTUVWXYZabcdefghijklmnopqrstuvwxyz .,")))&gt;0)),"First Name, ","")&amp;IF(OR($D116="",LEN($D116)&gt;26,AND($D116&lt;&gt;"",SUMPRODUCT(--(ROW($1:$26)&lt;=LEN($D116&amp;"")),--ISERROR(FIND(MID($D116&amp;"",ROW($1:$26),1),"ABCDEFGHIJKLMNOPQRSTUVWXYZabcdefghijklmnopqrstuvwxyz .,")))&gt;0)),"Last Name, ","")&amp;IF(OR(LEN($E116)&gt;1,AND($E116&lt;&gt;"",SUMPRODUCT(--(ROW($1:$1)&lt;=LEN($E116&amp;"")),--ISERROR(FIND(MID($E116&amp;"",ROW($1:$1),1),"ABCDEFGHIJKLMNOPQRSTUVWXYZabcdefghijklmnopqrstuvwxyz .,")))&gt;0)),"Middle Initial, ","")&amp;IF(OR($F116="",LEN($F116)&gt;75),"Address, ","")&amp;IF(OR($H116="",LEN($H116)&gt;30),"City, ","")&amp;IF(AND($K116="US",OR($I116="",LEN($I116)&lt;&gt;2)),"State, ","")&amp;IF($J116="","ZIP, ","")&amp;IF(OR($K116="",AND($K116&lt;&gt;"US",$K116&lt;&gt;"CA")),"Country, ","")&amp;IF(OR($L116="",AND($L116&lt;&gt;"",OR(NOT(ISNUMBER($L116)),$L116&lt;=DATE(1900,1,1),$L116&gt;TODAY()))),"Birthdate, ","")&amp;IF(AND($N116&lt;&gt;"",NOT(IFERROR(AND(ISNUMBER(SEARCH("@",$N116)),ISNUMBER(SEARCH(".",$N116,SEARCH("@",$N116)+2))),FALSE))),"Email, ","")&amp;IF(OR(AND($B116&lt;&gt;"",$O116=""),AND($O116&lt;&gt;"",$O116&lt;&gt;"Spouse or Common Law Spouse",$O116&lt;&gt;"Domestic Partner",$O116&lt;&gt;"Child",$O116&lt;&gt;"Other",$O116&lt;&gt;"Estate",$O116&lt;&gt;"Unknown")),"Dependent Relationship, ","")&amp;IF($AA116&lt;&gt;"","Household, ","")&amp;IF(OR($P116="",AND($P116&lt;&gt;"",OR(NOT(ISNUMBER($P116)),$P116&lt;=DATE(1900,1,1)))),"Eligibility Date, ","")&amp;IF(OR(AND($R116="Terminated",$Q116=""),AND($Q116&lt;&gt;"",OR(NOT(ISNUMBER($Q116)),$Q116&lt;=DATE(1900,1,1))),AND(ISNUMBER($P116),ISNUMBER($Q116),$Q116&lt;$P116)),"Termination Date, ","")&amp;IF(OR($R116="",AND($R116&lt;&gt;"Active",$R116&lt;&gt;"Terminated"),AND('START HERE'!$C$8="Terminations Only",$R116&lt;&gt;"Terminated")),"Status, ","")&amp;IF($S116="","Plan Name, ","")&amp;IF($T116="","Coverage Level, ","")&amp;IF(AND($U116&lt;&gt;"",OR(NOT(ISNUMBER($U116)),$U116&lt;0)),"Funding, ","")&amp;IF(AND($A116&lt;&gt;"",$S116&lt;&gt;"",COUNTIFS($A$2:$A$501,$A116,$B$2:$B$501,$B116,$S$2:$S$501,$S116)&gt;1),"Duplicate Row, ",""))</f>
        <v/>
      </c>
      <c r="AF116">
        <f>IF(COUNTA($A116:$U116)=0,"",$Y116&amp;$Z116&amp;$AA116&amp;$AB116&amp;$AC116)</f>
        <v/>
      </c>
      <c r="AG116">
        <f>IF($N116="","",LOWER(TRIM($N116)))</f>
        <v/>
      </c>
      <c r="AH116">
        <f>IF($A116="","",COUNTIFS($A$2:$A$501,$A116,$AI$2:$AI$501,1))</f>
        <v/>
      </c>
      <c r="AI116">
        <f>IF(COUNTA($A116:$U116)=0,"",--($AF116&lt;&gt;""))</f>
        <v/>
      </c>
      <c r="AJ116">
        <f>IF(COUNTA($A116:$U116)=0,"",--($AD116&lt;&gt;""))</f>
        <v/>
      </c>
    </row>
    <row r="117" ht="20" customHeight="1">
      <c r="A117" s="80" t="n"/>
      <c r="B117" s="80" t="n"/>
      <c r="C117" s="81" t="n"/>
      <c r="D117" s="81" t="n"/>
      <c r="E117" s="80" t="n"/>
      <c r="F117" s="81" t="n"/>
      <c r="G117" s="81" t="n"/>
      <c r="H117" s="81" t="n"/>
      <c r="I117" s="80" t="n"/>
      <c r="J117" s="80" t="n"/>
      <c r="K117" s="80" t="n"/>
      <c r="L117" s="82" t="n"/>
      <c r="M117" s="80" t="n"/>
      <c r="N117" s="80" t="n"/>
      <c r="O117" s="80" t="n"/>
      <c r="P117" s="82" t="n"/>
      <c r="Q117" s="82" t="n"/>
      <c r="R117" s="80" t="n"/>
      <c r="S117" s="80" t="n"/>
      <c r="T117" s="80" t="n"/>
      <c r="U117" s="83" t="n"/>
      <c r="V117">
        <f>IF($A117="","",IF($A117=$A116,$V116,IF($V116="",0,1-$V116)))</f>
        <v/>
      </c>
      <c r="W117">
        <f>IF($B117&lt;&gt;"",$B117,$A117)</f>
        <v/>
      </c>
      <c r="X117">
        <f>IF(COUNTA($A117:$U117)=0,"",IF(OR($B117&lt;&gt;"",$O117&lt;&gt;""),"Dependent","Employee"))</f>
        <v/>
      </c>
      <c r="Y117">
        <f>IF(COUNTA($A117:$U117)=0,"",IF($A117="","Employee SSN is required; ","")&amp;IF($C117="","First Name is required; ","")&amp;IF(LEN($C117&amp;"")&gt;19,"First Name exceeds 19 characters; ","")&amp;IF(AND($C117&lt;&gt;"",SUMPRODUCT(--(ROW($1:$19)&lt;=LEN($C117&amp;"")),--ISERROR(FIND(MID($C117&amp;"",ROW($1:$19),1),"ABCDEFGHIJKLMNOPQRSTUVWXYZabcdefghijklmnopqrstuvwxyz .,")))&gt;0),"First Name contains unsupported or encoded characters; use plain A-Z letters only; ","")&amp;IF($D117="","Last Name is required; ","")&amp;IF(LEN($D117&amp;"")&gt;26,"Last Name exceeds 26 characters; ","")&amp;IF(AND($D117&lt;&gt;"",SUMPRODUCT(--(ROW($1:$26)&lt;=LEN($D117&amp;"")),--ISERROR(FIND(MID($D117&amp;"",ROW($1:$26),1),"ABCDEFGHIJKLMNOPQRSTUVWXYZabcdefghijklmnopqrstuvwxyz .,")))&gt;0),"Last Name contains unsupported or encoded characters; use plain A-Z letters only; ","")&amp;IF(LEN($E117&amp;"")&gt;1,"Middle Initial may contain only one character; ","")&amp;IF(AND($E117&lt;&gt;"",SUMPRODUCT(--(ROW($1:$1)&lt;=LEN($E117&amp;"")),--ISERROR(FIND(MID($E117&amp;"",ROW($1:$1),1),"ABCDEFGHIJKLMNOPQRSTUVWXYZabcdefghijklmnopqrstuvwxyz .,")))&gt;0),"Middle Initial must be a plain A-Z letter; ","")&amp;IF($F117="","Address is required; ","")&amp;IF(LEN($F117&amp;"")&gt;75,"Address exceeds 75 characters; ","")&amp;IF(LEN($G117&amp;"")&gt;75,"Address 2 exceeds 75 characters; ","")&amp;IF($H117="","City is required; ","")&amp;IF(LEN($H117&amp;"")&gt;30,"City exceeds 30 characters; ","")&amp;IF($K117="","Country is required; ","")&amp;IF(AND($K117&lt;&gt;"",$K117&lt;&gt;"US",$K117&lt;&gt;"CA"),"Country must be US or CA; ","")&amp;IF(AND($K117="US",OR($I117="",LEN($I117&amp;"")&lt;&gt;2)),"Use a 2-letter state code; ","")&amp;IF($J117="","ZIP or postal code is required; ","")&amp;IF(AND($K117="US",$J117&lt;&gt;"",NOT(IFERROR(OR(AND(LEN($J117&amp;"")=5,ISNUMBER(--($J117&amp;""))),AND(LEN($J117&amp;"")=9,ISNUMBER(--($J117&amp;""))),AND(LEN($J117&amp;"")=10,MID($J117&amp;"",6,1)="-",ISNUMBER(--SUBSTITUTE($J117&amp;"","-","")))),FALSE))),"US ZIP must be 5 or 9 digits, with an optional ZIP+4 hyphen; ","")&amp;IF(AND($N117&lt;&gt;"",NOT(IFERROR(AND(ISNUMBER(SEARCH("@",$N117)),ISNUMBER(SEARCH(".",$N117,SEARCH("@",$N117)+2))),FALSE))),"Email format appears invalid; ","")&amp;IF(AND($O117&lt;&gt;"",$B117=""),"Dependent SSN is required for every dependent; ","")&amp;IF(AND($B117&lt;&gt;"",$O117=""),"Dependent Relationship is required when Dependent SSN is entered; ","")&amp;IF(AND($O117&lt;&gt;"",$O117&lt;&gt;"Spouse or Common Law Spouse",$O117&lt;&gt;"Domestic Partner",$O117&lt;&gt;"Child",$O117&lt;&gt;"Other",$O117&lt;&gt;"Estate",$O117&lt;&gt;"Unknown"),"Dependent Relationship must use one of the approved options; ",""))</f>
        <v/>
      </c>
      <c r="Z117">
        <f>IF(COUNTA($A117:$U117)=0,"",IF(AND($A117&lt;&gt;"",NOT(IFERROR(AND(LEN($A117&amp;"")=9,ISNUMBER(--($A117&amp;""))),FALSE))),"Employee SSN must contain exactly 9 digits; ","")&amp;IF(AND($A117&lt;&gt;"",OR($A117="123456789",$A117="987654321",$A117="012345678",$A117=REPT(LEFT($A117&amp;"",1),9))),"Employee SSN appears to be a placeholder; ","")&amp;IF(AND($B117&lt;&gt;"",NOT(IFERROR(AND(LEN($B117&amp;"")=9,ISNUMBER(--($B117&amp;""))),FALSE))),"Dependent SSN must contain exactly 9 digits; ","")&amp;IF(AND($B117&lt;&gt;"",OR($B117="123456789",$B117="987654321",$B117="012345678",$B117=REPT(LEFT($B117&amp;"",1),9))),"Dependent SSN appears to be a placeholder; ","")&amp;IF(AND($A117&lt;&gt;"",$B117&lt;&gt;"",$A117&amp;""=$B117&amp;""),"Dependent SSN cannot match Employee SSN; ","")&amp;IF(AND($W117&lt;&gt;"",OR(COUNTIFS($W$2:$W$501,$W117,$C$2:$C$501,"&lt;&gt;"&amp;$C117)&gt;0,COUNTIFS($W$2:$W$501,$W117,$D$2:$D$501,"&lt;&gt;"&amp;$D117)&gt;0,COUNTIFS($W$2:$W$501,$W117,$L$2:$L$501,"&lt;&gt;"&amp;$L117)&gt;0)),"The same SSN is associated with a different name or birthdate; ",""))</f>
        <v/>
      </c>
      <c r="AA117">
        <f>IF(COUNTA($A117:$U117)=0,"",IF(AND($A117&lt;&gt;"",$S117&lt;&gt;"",COUNTIFS($A$2:$A$501,$A117,$S$2:$S$501,$S117,$B$2:$B$501,"",$O$2:$O$501,"")=0),"Add an employee row for this household and plan; ","")&amp;IF(AND($X117="Dependent",COUNTIFS($A$2:$A117,$A117,$S$2:$S117,$S117,$B$2:$B117,"",$O$2:$O117,"")=0),"Place the employee row before dependent rows for this plan; ","")&amp;IF(AND($X117="Dependent",COUNTIFS($A$2:$A$501,$A117,$S$2:$S$501,$S117,$B$2:$B$501,"",$O$2:$O$501,"")&gt;0,IFERROR(OR($P117&lt;&gt;LOOKUP(2,1/(($A$2:$A$501=$A117)*($S$2:$S$501=$S117)*($B$2:$B$501="")*($O$2:$O$501="")),$P$2:$P$501),$Q117&lt;&gt;LOOKUP(2,1/(($A$2:$A$501=$A117)*($S$2:$S$501=$S117)*($B$2:$B$501="")*($O$2:$O$501="")),$Q$2:$Q$501),$R117&lt;&gt;LOOKUP(2,1/(($A$2:$A$501=$A117)*($S$2:$S$501=$S117)*($B$2:$B$501="")*($O$2:$O$501="")),$R$2:$R$501),$T117&lt;&gt;LOOKUP(2,1/(($A$2:$A$501=$A117)*($S$2:$S$501=$S117)*($B$2:$B$501="")*($O$2:$O$501="")),$T$2:$T$501),$U117&lt;&gt;LOOKUP(2,1/(($A$2:$A$501=$A117)*($S$2:$S$501=$S117)*($B$2:$B$501="")*($O$2:$O$501="")),$U$2:$U$501)),FALSE)),"Dependent row does not match the employee row for eligibility, status, coverage level, or funding; ",""))</f>
        <v/>
      </c>
      <c r="AB117">
        <f>IF(COUNTA($A117:$U117)=0,"",IF($L117="","Birthdate is required; ","")&amp;IF(AND($L117&lt;&gt;"",OR(NOT(ISNUMBER($L117)),$L117&lt;=DATE(1900,1,1),$L117&gt;TODAY())),"Birthdate must be an exact valid past date; ","")&amp;IF($P117="","Eligibility Date is required; ","")&amp;IF(AND($P117&lt;&gt;"",OR(NOT(ISNUMBER($P117)),$P117&lt;=DATE(1900,1,1))),"Eligibility Date must be a valid date; ","")&amp;IF(AND($R117="Terminated",$Q117=""),"Termination Date is required when Status is Terminated; ","")&amp;IF(AND($Q117&lt;&gt;"",OR(NOT(ISNUMBER($Q117)),$Q117&lt;=DATE(1900,1,1))),"Termination Date must be a valid date; ","")&amp;IF(AND(ISNUMBER($P117),ISNUMBER($Q117),$Q117&lt;$P117),"Termination Date cannot be before Eligibility Date; ","")&amp;IF($R117="","Status is required; ","")&amp;IF(AND($R117&lt;&gt;"",$R117&lt;&gt;"Active",$R117&lt;&gt;"Terminated"),"Status must be Active or Terminated; ","")&amp;IF(AND('START HERE'!$C$8="Terminations Only",$R117&lt;&gt;"Terminated"),"Terminations Only files must contain terminated records; ",""))</f>
        <v/>
      </c>
      <c r="AC117">
        <f>IF(COUNTA($A117:$U117)=0,"",IF($S117="","Plan Name is required; ","")&amp;IF($T117="","Benefit Coverage Level is required; ","")&amp;IF(AND($U117&lt;&gt;"",OR(NOT(ISNUMBER($U117)),$U117&lt;0)),"Plan Funding Amount must be a nonnegative number; ","")&amp;IF(AND($A117&lt;&gt;"",$S117&lt;&gt;"",COUNTIFS($A$2:$A$501,$A117,$B$2:$B$501,$B117,$S$2:$S$501,$S117)&gt;1),"Duplicate participant and plan row; ",""))</f>
        <v/>
      </c>
      <c r="AD117">
        <f>IF(COUNTA($A117:$U117)=0,"",IF(AND($X117="Employee",$M117="",$N117=""),"No employee phone or email provided; ","")&amp;IF(AND($R117="Active",$Q117&lt;&gt;""),"Active record includes a Termination Date; confirm this is intentional; ","")&amp;IF(AND($B117&lt;&gt;"",$B117&amp;""&lt;&gt;$A117&amp;"",COUNTIF($A$2:$A$501,$B117)&gt;0),"Dependent SSN also appears as an Employee SSN elsewhere; confirm dual-employee coverage is intentional; ","")&amp;IF(AND($B117&lt;&gt;"",COUNTIF($B$2:$B$501,$B117)&gt;COUNTIFS($A$2:$A$501,$A117,$B$2:$B$501,$B117)),"Dependent SSN appears under more than one employee; confirm duplicate family coverage is intentional; ","")&amp;IF(AND(ROW()&gt;2,$A117&lt;&gt;"",$A117&lt;&gt;$A116,COUNTIF($A$2:$A116,$A117)&gt;0),"This household appears in more than one section of the census; keep the family together; ","")&amp;IF(OR(AND($C117&lt;&gt;"",LEN($C117&amp;"")&lt;&gt;LEN(TRIM($C117&amp;""))),AND($D117&lt;&gt;"",LEN($D117&amp;"")&lt;&gt;LEN(TRIM($D117&amp;""))),AND($E117&lt;&gt;"",LEN($E117&amp;"")&lt;&gt;LEN(TRIM($E117&amp;""))),AND($F117&lt;&gt;"",LEN($F117&amp;"")&lt;&gt;LEN(TRIM($F117&amp;""))),AND($G117&lt;&gt;"",LEN($G117&amp;"")&lt;&gt;LEN(TRIM($G117&amp;""))),AND($H117&lt;&gt;"",LEN($H117&amp;"")&lt;&gt;LEN(TRIM($H117&amp;""))),AND($I117&lt;&gt;"",LEN($I117&amp;"")&lt;&gt;LEN(TRIM($I117&amp;""))),AND($J117&lt;&gt;"",LEN($J117&amp;"")&lt;&gt;LEN(TRIM($J117&amp;""))),AND($K117&lt;&gt;"",LEN($K117&amp;"")&lt;&gt;LEN(TRIM($K117&amp;""))),AND($M117&lt;&gt;"",LEN($M117&amp;"")&lt;&gt;LEN(TRIM($M117&amp;""))),AND($N117&lt;&gt;"",LEN($N117&amp;"")&lt;&gt;LEN(TRIM($N117&amp;""))),AND($O117&lt;&gt;"",LEN($O117&amp;"")&lt;&gt;LEN(TRIM($O117&amp;""))),AND($R117&lt;&gt;"",LEN($R117&amp;"")&lt;&gt;LEN(TRIM($R117&amp;""))),AND($S117&lt;&gt;"",LEN($S117&amp;"")&lt;&gt;LEN(TRIM($S117&amp;""))),AND($T117&lt;&gt;"",LEN($T117&amp;"")&lt;&gt;LEN(TRIM($T117&amp;"")))),"Remove leading or trailing spaces from text fields; ","")&amp;IF(OR(AND(LEN($C117)&gt;1,OR(EXACT($C117,UPPER($C117)),EXACT($C117,LOWER($C117)))),AND(LEN($D117)&gt;1,OR(EXACT($D117,UPPER($D117)),EXACT($D117,LOWER($D117)))),AND(LEN($H117)&gt;1,OR(EXACT($H117,UPPER($H117)),EXACT($H117,LOWER($H117))))),"Review capitalization in First Name, Last Name, or City; ","")&amp;IF(AND($N117&lt;&gt;"",NOT(EXACT($N117,LOWER($N117)))),"Email will be standardized to lowercase in the clean output; ","")&amp;IF(AND(OR('START HERE'!$C$8="Initial Enrollment",'START HERE'!$C$8="Open Enrollment"),$R117="Terminated"),"A terminated row is included in an initial or open enrollment file; confirm this is intentional; ",""))</f>
        <v/>
      </c>
      <c r="AE117">
        <f>IF(COUNTA($A117:$U117)=0,"",IF(OR($A117="",AND($A117&lt;&gt;"",NOT(IFERROR(AND(LEN($A117&amp;"")=9,ISNUMBER(--($A117&amp;""))),FALSE))),AND($A117&lt;&gt;"",OR($A117="123456789",$A117="987654321",$A117="012345678",$A117=REPT(LEFT($A117&amp;"",1),9)))),"Employee SSN, ","")&amp;IF(OR(AND($O117&lt;&gt;"",$B117=""),AND($B117&lt;&gt;"",OR(NOT(IFERROR(AND(LEN($B117&amp;"")=9,ISNUMBER(--($B117&amp;""))),FALSE)),$B117=$A117,$B117="123456789",$B117="987654321",$B117="012345678",$B117=REPT(LEFT($B117&amp;"",1),9)))),"Dependent SSN, ","")&amp;IF(OR($C117="",LEN($C117)&gt;19,AND($C117&lt;&gt;"",SUMPRODUCT(--(ROW($1:$19)&lt;=LEN($C117&amp;"")),--ISERROR(FIND(MID($C117&amp;"",ROW($1:$19),1),"ABCDEFGHIJKLMNOPQRSTUVWXYZabcdefghijklmnopqrstuvwxyz .,")))&gt;0)),"First Name, ","")&amp;IF(OR($D117="",LEN($D117)&gt;26,AND($D117&lt;&gt;"",SUMPRODUCT(--(ROW($1:$26)&lt;=LEN($D117&amp;"")),--ISERROR(FIND(MID($D117&amp;"",ROW($1:$26),1),"ABCDEFGHIJKLMNOPQRSTUVWXYZabcdefghijklmnopqrstuvwxyz .,")))&gt;0)),"Last Name, ","")&amp;IF(OR(LEN($E117)&gt;1,AND($E117&lt;&gt;"",SUMPRODUCT(--(ROW($1:$1)&lt;=LEN($E117&amp;"")),--ISERROR(FIND(MID($E117&amp;"",ROW($1:$1),1),"ABCDEFGHIJKLMNOPQRSTUVWXYZabcdefghijklmnopqrstuvwxyz .,")))&gt;0)),"Middle Initial, ","")&amp;IF(OR($F117="",LEN($F117)&gt;75),"Address, ","")&amp;IF(OR($H117="",LEN($H117)&gt;30),"City, ","")&amp;IF(AND($K117="US",OR($I117="",LEN($I117)&lt;&gt;2)),"State, ","")&amp;IF($J117="","ZIP, ","")&amp;IF(OR($K117="",AND($K117&lt;&gt;"US",$K117&lt;&gt;"CA")),"Country, ","")&amp;IF(OR($L117="",AND($L117&lt;&gt;"",OR(NOT(ISNUMBER($L117)),$L117&lt;=DATE(1900,1,1),$L117&gt;TODAY()))),"Birthdate, ","")&amp;IF(AND($N117&lt;&gt;"",NOT(IFERROR(AND(ISNUMBER(SEARCH("@",$N117)),ISNUMBER(SEARCH(".",$N117,SEARCH("@",$N117)+2))),FALSE))),"Email, ","")&amp;IF(OR(AND($B117&lt;&gt;"",$O117=""),AND($O117&lt;&gt;"",$O117&lt;&gt;"Spouse or Common Law Spouse",$O117&lt;&gt;"Domestic Partner",$O117&lt;&gt;"Child",$O117&lt;&gt;"Other",$O117&lt;&gt;"Estate",$O117&lt;&gt;"Unknown")),"Dependent Relationship, ","")&amp;IF($AA117&lt;&gt;"","Household, ","")&amp;IF(OR($P117="",AND($P117&lt;&gt;"",OR(NOT(ISNUMBER($P117)),$P117&lt;=DATE(1900,1,1)))),"Eligibility Date, ","")&amp;IF(OR(AND($R117="Terminated",$Q117=""),AND($Q117&lt;&gt;"",OR(NOT(ISNUMBER($Q117)),$Q117&lt;=DATE(1900,1,1))),AND(ISNUMBER($P117),ISNUMBER($Q117),$Q117&lt;$P117)),"Termination Date, ","")&amp;IF(OR($R117="",AND($R117&lt;&gt;"Active",$R117&lt;&gt;"Terminated"),AND('START HERE'!$C$8="Terminations Only",$R117&lt;&gt;"Terminated")),"Status, ","")&amp;IF($S117="","Plan Name, ","")&amp;IF($T117="","Coverage Level, ","")&amp;IF(AND($U117&lt;&gt;"",OR(NOT(ISNUMBER($U117)),$U117&lt;0)),"Funding, ","")&amp;IF(AND($A117&lt;&gt;"",$S117&lt;&gt;"",COUNTIFS($A$2:$A$501,$A117,$B$2:$B$501,$B117,$S$2:$S$501,$S117)&gt;1),"Duplicate Row, ",""))</f>
        <v/>
      </c>
      <c r="AF117">
        <f>IF(COUNTA($A117:$U117)=0,"",$Y117&amp;$Z117&amp;$AA117&amp;$AB117&amp;$AC117)</f>
        <v/>
      </c>
      <c r="AG117">
        <f>IF($N117="","",LOWER(TRIM($N117)))</f>
        <v/>
      </c>
      <c r="AH117">
        <f>IF($A117="","",COUNTIFS($A$2:$A$501,$A117,$AI$2:$AI$501,1))</f>
        <v/>
      </c>
      <c r="AI117">
        <f>IF(COUNTA($A117:$U117)=0,"",--($AF117&lt;&gt;""))</f>
        <v/>
      </c>
      <c r="AJ117">
        <f>IF(COUNTA($A117:$U117)=0,"",--($AD117&lt;&gt;""))</f>
        <v/>
      </c>
    </row>
    <row r="118" ht="20" customHeight="1">
      <c r="A118" s="80" t="n"/>
      <c r="B118" s="80" t="n"/>
      <c r="C118" s="81" t="n"/>
      <c r="D118" s="81" t="n"/>
      <c r="E118" s="80" t="n"/>
      <c r="F118" s="81" t="n"/>
      <c r="G118" s="81" t="n"/>
      <c r="H118" s="81" t="n"/>
      <c r="I118" s="80" t="n"/>
      <c r="J118" s="80" t="n"/>
      <c r="K118" s="80" t="n"/>
      <c r="L118" s="82" t="n"/>
      <c r="M118" s="80" t="n"/>
      <c r="N118" s="80" t="n"/>
      <c r="O118" s="80" t="n"/>
      <c r="P118" s="82" t="n"/>
      <c r="Q118" s="82" t="n"/>
      <c r="R118" s="80" t="n"/>
      <c r="S118" s="80" t="n"/>
      <c r="T118" s="80" t="n"/>
      <c r="U118" s="83" t="n"/>
      <c r="V118">
        <f>IF($A118="","",IF($A118=$A117,$V117,IF($V117="",0,1-$V117)))</f>
        <v/>
      </c>
      <c r="W118">
        <f>IF($B118&lt;&gt;"",$B118,$A118)</f>
        <v/>
      </c>
      <c r="X118">
        <f>IF(COUNTA($A118:$U118)=0,"",IF(OR($B118&lt;&gt;"",$O118&lt;&gt;""),"Dependent","Employee"))</f>
        <v/>
      </c>
      <c r="Y118">
        <f>IF(COUNTA($A118:$U118)=0,"",IF($A118="","Employee SSN is required; ","")&amp;IF($C118="","First Name is required; ","")&amp;IF(LEN($C118&amp;"")&gt;19,"First Name exceeds 19 characters; ","")&amp;IF(AND($C118&lt;&gt;"",SUMPRODUCT(--(ROW($1:$19)&lt;=LEN($C118&amp;"")),--ISERROR(FIND(MID($C118&amp;"",ROW($1:$19),1),"ABCDEFGHIJKLMNOPQRSTUVWXYZabcdefghijklmnopqrstuvwxyz .,")))&gt;0),"First Name contains unsupported or encoded characters; use plain A-Z letters only; ","")&amp;IF($D118="","Last Name is required; ","")&amp;IF(LEN($D118&amp;"")&gt;26,"Last Name exceeds 26 characters; ","")&amp;IF(AND($D118&lt;&gt;"",SUMPRODUCT(--(ROW($1:$26)&lt;=LEN($D118&amp;"")),--ISERROR(FIND(MID($D118&amp;"",ROW($1:$26),1),"ABCDEFGHIJKLMNOPQRSTUVWXYZabcdefghijklmnopqrstuvwxyz .,")))&gt;0),"Last Name contains unsupported or encoded characters; use plain A-Z letters only; ","")&amp;IF(LEN($E118&amp;"")&gt;1,"Middle Initial may contain only one character; ","")&amp;IF(AND($E118&lt;&gt;"",SUMPRODUCT(--(ROW($1:$1)&lt;=LEN($E118&amp;"")),--ISERROR(FIND(MID($E118&amp;"",ROW($1:$1),1),"ABCDEFGHIJKLMNOPQRSTUVWXYZabcdefghijklmnopqrstuvwxyz .,")))&gt;0),"Middle Initial must be a plain A-Z letter; ","")&amp;IF($F118="","Address is required; ","")&amp;IF(LEN($F118&amp;"")&gt;75,"Address exceeds 75 characters; ","")&amp;IF(LEN($G118&amp;"")&gt;75,"Address 2 exceeds 75 characters; ","")&amp;IF($H118="","City is required; ","")&amp;IF(LEN($H118&amp;"")&gt;30,"City exceeds 30 characters; ","")&amp;IF($K118="","Country is required; ","")&amp;IF(AND($K118&lt;&gt;"",$K118&lt;&gt;"US",$K118&lt;&gt;"CA"),"Country must be US or CA; ","")&amp;IF(AND($K118="US",OR($I118="",LEN($I118&amp;"")&lt;&gt;2)),"Use a 2-letter state code; ","")&amp;IF($J118="","ZIP or postal code is required; ","")&amp;IF(AND($K118="US",$J118&lt;&gt;"",NOT(IFERROR(OR(AND(LEN($J118&amp;"")=5,ISNUMBER(--($J118&amp;""))),AND(LEN($J118&amp;"")=9,ISNUMBER(--($J118&amp;""))),AND(LEN($J118&amp;"")=10,MID($J118&amp;"",6,1)="-",ISNUMBER(--SUBSTITUTE($J118&amp;"","-","")))),FALSE))),"US ZIP must be 5 or 9 digits, with an optional ZIP+4 hyphen; ","")&amp;IF(AND($N118&lt;&gt;"",NOT(IFERROR(AND(ISNUMBER(SEARCH("@",$N118)),ISNUMBER(SEARCH(".",$N118,SEARCH("@",$N118)+2))),FALSE))),"Email format appears invalid; ","")&amp;IF(AND($O118&lt;&gt;"",$B118=""),"Dependent SSN is required for every dependent; ","")&amp;IF(AND($B118&lt;&gt;"",$O118=""),"Dependent Relationship is required when Dependent SSN is entered; ","")&amp;IF(AND($O118&lt;&gt;"",$O118&lt;&gt;"Spouse or Common Law Spouse",$O118&lt;&gt;"Domestic Partner",$O118&lt;&gt;"Child",$O118&lt;&gt;"Other",$O118&lt;&gt;"Estate",$O118&lt;&gt;"Unknown"),"Dependent Relationship must use one of the approved options; ",""))</f>
        <v/>
      </c>
      <c r="Z118">
        <f>IF(COUNTA($A118:$U118)=0,"",IF(AND($A118&lt;&gt;"",NOT(IFERROR(AND(LEN($A118&amp;"")=9,ISNUMBER(--($A118&amp;""))),FALSE))),"Employee SSN must contain exactly 9 digits; ","")&amp;IF(AND($A118&lt;&gt;"",OR($A118="123456789",$A118="987654321",$A118="012345678",$A118=REPT(LEFT($A118&amp;"",1),9))),"Employee SSN appears to be a placeholder; ","")&amp;IF(AND($B118&lt;&gt;"",NOT(IFERROR(AND(LEN($B118&amp;"")=9,ISNUMBER(--($B118&amp;""))),FALSE))),"Dependent SSN must contain exactly 9 digits; ","")&amp;IF(AND($B118&lt;&gt;"",OR($B118="123456789",$B118="987654321",$B118="012345678",$B118=REPT(LEFT($B118&amp;"",1),9))),"Dependent SSN appears to be a placeholder; ","")&amp;IF(AND($A118&lt;&gt;"",$B118&lt;&gt;"",$A118&amp;""=$B118&amp;""),"Dependent SSN cannot match Employee SSN; ","")&amp;IF(AND($W118&lt;&gt;"",OR(COUNTIFS($W$2:$W$501,$W118,$C$2:$C$501,"&lt;&gt;"&amp;$C118)&gt;0,COUNTIFS($W$2:$W$501,$W118,$D$2:$D$501,"&lt;&gt;"&amp;$D118)&gt;0,COUNTIFS($W$2:$W$501,$W118,$L$2:$L$501,"&lt;&gt;"&amp;$L118)&gt;0)),"The same SSN is associated with a different name or birthdate; ",""))</f>
        <v/>
      </c>
      <c r="AA118">
        <f>IF(COUNTA($A118:$U118)=0,"",IF(AND($A118&lt;&gt;"",$S118&lt;&gt;"",COUNTIFS($A$2:$A$501,$A118,$S$2:$S$501,$S118,$B$2:$B$501,"",$O$2:$O$501,"")=0),"Add an employee row for this household and plan; ","")&amp;IF(AND($X118="Dependent",COUNTIFS($A$2:$A118,$A118,$S$2:$S118,$S118,$B$2:$B118,"",$O$2:$O118,"")=0),"Place the employee row before dependent rows for this plan; ","")&amp;IF(AND($X118="Dependent",COUNTIFS($A$2:$A$501,$A118,$S$2:$S$501,$S118,$B$2:$B$501,"",$O$2:$O$501,"")&gt;0,IFERROR(OR($P118&lt;&gt;LOOKUP(2,1/(($A$2:$A$501=$A118)*($S$2:$S$501=$S118)*($B$2:$B$501="")*($O$2:$O$501="")),$P$2:$P$501),$Q118&lt;&gt;LOOKUP(2,1/(($A$2:$A$501=$A118)*($S$2:$S$501=$S118)*($B$2:$B$501="")*($O$2:$O$501="")),$Q$2:$Q$501),$R118&lt;&gt;LOOKUP(2,1/(($A$2:$A$501=$A118)*($S$2:$S$501=$S118)*($B$2:$B$501="")*($O$2:$O$501="")),$R$2:$R$501),$T118&lt;&gt;LOOKUP(2,1/(($A$2:$A$501=$A118)*($S$2:$S$501=$S118)*($B$2:$B$501="")*($O$2:$O$501="")),$T$2:$T$501),$U118&lt;&gt;LOOKUP(2,1/(($A$2:$A$501=$A118)*($S$2:$S$501=$S118)*($B$2:$B$501="")*($O$2:$O$501="")),$U$2:$U$501)),FALSE)),"Dependent row does not match the employee row for eligibility, status, coverage level, or funding; ",""))</f>
        <v/>
      </c>
      <c r="AB118">
        <f>IF(COUNTA($A118:$U118)=0,"",IF($L118="","Birthdate is required; ","")&amp;IF(AND($L118&lt;&gt;"",OR(NOT(ISNUMBER($L118)),$L118&lt;=DATE(1900,1,1),$L118&gt;TODAY())),"Birthdate must be an exact valid past date; ","")&amp;IF($P118="","Eligibility Date is required; ","")&amp;IF(AND($P118&lt;&gt;"",OR(NOT(ISNUMBER($P118)),$P118&lt;=DATE(1900,1,1))),"Eligibility Date must be a valid date; ","")&amp;IF(AND($R118="Terminated",$Q118=""),"Termination Date is required when Status is Terminated; ","")&amp;IF(AND($Q118&lt;&gt;"",OR(NOT(ISNUMBER($Q118)),$Q118&lt;=DATE(1900,1,1))),"Termination Date must be a valid date; ","")&amp;IF(AND(ISNUMBER($P118),ISNUMBER($Q118),$Q118&lt;$P118),"Termination Date cannot be before Eligibility Date; ","")&amp;IF($R118="","Status is required; ","")&amp;IF(AND($R118&lt;&gt;"",$R118&lt;&gt;"Active",$R118&lt;&gt;"Terminated"),"Status must be Active or Terminated; ","")&amp;IF(AND('START HERE'!$C$8="Terminations Only",$R118&lt;&gt;"Terminated"),"Terminations Only files must contain terminated records; ",""))</f>
        <v/>
      </c>
      <c r="AC118">
        <f>IF(COUNTA($A118:$U118)=0,"",IF($S118="","Plan Name is required; ","")&amp;IF($T118="","Benefit Coverage Level is required; ","")&amp;IF(AND($U118&lt;&gt;"",OR(NOT(ISNUMBER($U118)),$U118&lt;0)),"Plan Funding Amount must be a nonnegative number; ","")&amp;IF(AND($A118&lt;&gt;"",$S118&lt;&gt;"",COUNTIFS($A$2:$A$501,$A118,$B$2:$B$501,$B118,$S$2:$S$501,$S118)&gt;1),"Duplicate participant and plan row; ",""))</f>
        <v/>
      </c>
      <c r="AD118">
        <f>IF(COUNTA($A118:$U118)=0,"",IF(AND($X118="Employee",$M118="",$N118=""),"No employee phone or email provided; ","")&amp;IF(AND($R118="Active",$Q118&lt;&gt;""),"Active record includes a Termination Date; confirm this is intentional; ","")&amp;IF(AND($B118&lt;&gt;"",$B118&amp;""&lt;&gt;$A118&amp;"",COUNTIF($A$2:$A$501,$B118)&gt;0),"Dependent SSN also appears as an Employee SSN elsewhere; confirm dual-employee coverage is intentional; ","")&amp;IF(AND($B118&lt;&gt;"",COUNTIF($B$2:$B$501,$B118)&gt;COUNTIFS($A$2:$A$501,$A118,$B$2:$B$501,$B118)),"Dependent SSN appears under more than one employee; confirm duplicate family coverage is intentional; ","")&amp;IF(AND(ROW()&gt;2,$A118&lt;&gt;"",$A118&lt;&gt;$A117,COUNTIF($A$2:$A117,$A118)&gt;0),"This household appears in more than one section of the census; keep the family together; ","")&amp;IF(OR(AND($C118&lt;&gt;"",LEN($C118&amp;"")&lt;&gt;LEN(TRIM($C118&amp;""))),AND($D118&lt;&gt;"",LEN($D118&amp;"")&lt;&gt;LEN(TRIM($D118&amp;""))),AND($E118&lt;&gt;"",LEN($E118&amp;"")&lt;&gt;LEN(TRIM($E118&amp;""))),AND($F118&lt;&gt;"",LEN($F118&amp;"")&lt;&gt;LEN(TRIM($F118&amp;""))),AND($G118&lt;&gt;"",LEN($G118&amp;"")&lt;&gt;LEN(TRIM($G118&amp;""))),AND($H118&lt;&gt;"",LEN($H118&amp;"")&lt;&gt;LEN(TRIM($H118&amp;""))),AND($I118&lt;&gt;"",LEN($I118&amp;"")&lt;&gt;LEN(TRIM($I118&amp;""))),AND($J118&lt;&gt;"",LEN($J118&amp;"")&lt;&gt;LEN(TRIM($J118&amp;""))),AND($K118&lt;&gt;"",LEN($K118&amp;"")&lt;&gt;LEN(TRIM($K118&amp;""))),AND($M118&lt;&gt;"",LEN($M118&amp;"")&lt;&gt;LEN(TRIM($M118&amp;""))),AND($N118&lt;&gt;"",LEN($N118&amp;"")&lt;&gt;LEN(TRIM($N118&amp;""))),AND($O118&lt;&gt;"",LEN($O118&amp;"")&lt;&gt;LEN(TRIM($O118&amp;""))),AND($R118&lt;&gt;"",LEN($R118&amp;"")&lt;&gt;LEN(TRIM($R118&amp;""))),AND($S118&lt;&gt;"",LEN($S118&amp;"")&lt;&gt;LEN(TRIM($S118&amp;""))),AND($T118&lt;&gt;"",LEN($T118&amp;"")&lt;&gt;LEN(TRIM($T118&amp;"")))),"Remove leading or trailing spaces from text fields; ","")&amp;IF(OR(AND(LEN($C118)&gt;1,OR(EXACT($C118,UPPER($C118)),EXACT($C118,LOWER($C118)))),AND(LEN($D118)&gt;1,OR(EXACT($D118,UPPER($D118)),EXACT($D118,LOWER($D118)))),AND(LEN($H118)&gt;1,OR(EXACT($H118,UPPER($H118)),EXACT($H118,LOWER($H118))))),"Review capitalization in First Name, Last Name, or City; ","")&amp;IF(AND($N118&lt;&gt;"",NOT(EXACT($N118,LOWER($N118)))),"Email will be standardized to lowercase in the clean output; ","")&amp;IF(AND(OR('START HERE'!$C$8="Initial Enrollment",'START HERE'!$C$8="Open Enrollment"),$R118="Terminated"),"A terminated row is included in an initial or open enrollment file; confirm this is intentional; ",""))</f>
        <v/>
      </c>
      <c r="AE118">
        <f>IF(COUNTA($A118:$U118)=0,"",IF(OR($A118="",AND($A118&lt;&gt;"",NOT(IFERROR(AND(LEN($A118&amp;"")=9,ISNUMBER(--($A118&amp;""))),FALSE))),AND($A118&lt;&gt;"",OR($A118="123456789",$A118="987654321",$A118="012345678",$A118=REPT(LEFT($A118&amp;"",1),9)))),"Employee SSN, ","")&amp;IF(OR(AND($O118&lt;&gt;"",$B118=""),AND($B118&lt;&gt;"",OR(NOT(IFERROR(AND(LEN($B118&amp;"")=9,ISNUMBER(--($B118&amp;""))),FALSE)),$B118=$A118,$B118="123456789",$B118="987654321",$B118="012345678",$B118=REPT(LEFT($B118&amp;"",1),9)))),"Dependent SSN, ","")&amp;IF(OR($C118="",LEN($C118)&gt;19,AND($C118&lt;&gt;"",SUMPRODUCT(--(ROW($1:$19)&lt;=LEN($C118&amp;"")),--ISERROR(FIND(MID($C118&amp;"",ROW($1:$19),1),"ABCDEFGHIJKLMNOPQRSTUVWXYZabcdefghijklmnopqrstuvwxyz .,")))&gt;0)),"First Name, ","")&amp;IF(OR($D118="",LEN($D118)&gt;26,AND($D118&lt;&gt;"",SUMPRODUCT(--(ROW($1:$26)&lt;=LEN($D118&amp;"")),--ISERROR(FIND(MID($D118&amp;"",ROW($1:$26),1),"ABCDEFGHIJKLMNOPQRSTUVWXYZabcdefghijklmnopqrstuvwxyz .,")))&gt;0)),"Last Name, ","")&amp;IF(OR(LEN($E118)&gt;1,AND($E118&lt;&gt;"",SUMPRODUCT(--(ROW($1:$1)&lt;=LEN($E118&amp;"")),--ISERROR(FIND(MID($E118&amp;"",ROW($1:$1),1),"ABCDEFGHIJKLMNOPQRSTUVWXYZabcdefghijklmnopqrstuvwxyz .,")))&gt;0)),"Middle Initial, ","")&amp;IF(OR($F118="",LEN($F118)&gt;75),"Address, ","")&amp;IF(OR($H118="",LEN($H118)&gt;30),"City, ","")&amp;IF(AND($K118="US",OR($I118="",LEN($I118)&lt;&gt;2)),"State, ","")&amp;IF($J118="","ZIP, ","")&amp;IF(OR($K118="",AND($K118&lt;&gt;"US",$K118&lt;&gt;"CA")),"Country, ","")&amp;IF(OR($L118="",AND($L118&lt;&gt;"",OR(NOT(ISNUMBER($L118)),$L118&lt;=DATE(1900,1,1),$L118&gt;TODAY()))),"Birthdate, ","")&amp;IF(AND($N118&lt;&gt;"",NOT(IFERROR(AND(ISNUMBER(SEARCH("@",$N118)),ISNUMBER(SEARCH(".",$N118,SEARCH("@",$N118)+2))),FALSE))),"Email, ","")&amp;IF(OR(AND($B118&lt;&gt;"",$O118=""),AND($O118&lt;&gt;"",$O118&lt;&gt;"Spouse or Common Law Spouse",$O118&lt;&gt;"Domestic Partner",$O118&lt;&gt;"Child",$O118&lt;&gt;"Other",$O118&lt;&gt;"Estate",$O118&lt;&gt;"Unknown")),"Dependent Relationship, ","")&amp;IF($AA118&lt;&gt;"","Household, ","")&amp;IF(OR($P118="",AND($P118&lt;&gt;"",OR(NOT(ISNUMBER($P118)),$P118&lt;=DATE(1900,1,1)))),"Eligibility Date, ","")&amp;IF(OR(AND($R118="Terminated",$Q118=""),AND($Q118&lt;&gt;"",OR(NOT(ISNUMBER($Q118)),$Q118&lt;=DATE(1900,1,1))),AND(ISNUMBER($P118),ISNUMBER($Q118),$Q118&lt;$P118)),"Termination Date, ","")&amp;IF(OR($R118="",AND($R118&lt;&gt;"Active",$R118&lt;&gt;"Terminated"),AND('START HERE'!$C$8="Terminations Only",$R118&lt;&gt;"Terminated")),"Status, ","")&amp;IF($S118="","Plan Name, ","")&amp;IF($T118="","Coverage Level, ","")&amp;IF(AND($U118&lt;&gt;"",OR(NOT(ISNUMBER($U118)),$U118&lt;0)),"Funding, ","")&amp;IF(AND($A118&lt;&gt;"",$S118&lt;&gt;"",COUNTIFS($A$2:$A$501,$A118,$B$2:$B$501,$B118,$S$2:$S$501,$S118)&gt;1),"Duplicate Row, ",""))</f>
        <v/>
      </c>
      <c r="AF118">
        <f>IF(COUNTA($A118:$U118)=0,"",$Y118&amp;$Z118&amp;$AA118&amp;$AB118&amp;$AC118)</f>
        <v/>
      </c>
      <c r="AG118">
        <f>IF($N118="","",LOWER(TRIM($N118)))</f>
        <v/>
      </c>
      <c r="AH118">
        <f>IF($A118="","",COUNTIFS($A$2:$A$501,$A118,$AI$2:$AI$501,1))</f>
        <v/>
      </c>
      <c r="AI118">
        <f>IF(COUNTA($A118:$U118)=0,"",--($AF118&lt;&gt;""))</f>
        <v/>
      </c>
      <c r="AJ118">
        <f>IF(COUNTA($A118:$U118)=0,"",--($AD118&lt;&gt;""))</f>
        <v/>
      </c>
    </row>
    <row r="119" ht="20" customHeight="1">
      <c r="A119" s="80" t="n"/>
      <c r="B119" s="80" t="n"/>
      <c r="C119" s="81" t="n"/>
      <c r="D119" s="81" t="n"/>
      <c r="E119" s="80" t="n"/>
      <c r="F119" s="81" t="n"/>
      <c r="G119" s="81" t="n"/>
      <c r="H119" s="81" t="n"/>
      <c r="I119" s="80" t="n"/>
      <c r="J119" s="80" t="n"/>
      <c r="K119" s="80" t="n"/>
      <c r="L119" s="82" t="n"/>
      <c r="M119" s="80" t="n"/>
      <c r="N119" s="80" t="n"/>
      <c r="O119" s="80" t="n"/>
      <c r="P119" s="82" t="n"/>
      <c r="Q119" s="82" t="n"/>
      <c r="R119" s="80" t="n"/>
      <c r="S119" s="80" t="n"/>
      <c r="T119" s="80" t="n"/>
      <c r="U119" s="83" t="n"/>
      <c r="V119">
        <f>IF($A119="","",IF($A119=$A118,$V118,IF($V118="",0,1-$V118)))</f>
        <v/>
      </c>
      <c r="W119">
        <f>IF($B119&lt;&gt;"",$B119,$A119)</f>
        <v/>
      </c>
      <c r="X119">
        <f>IF(COUNTA($A119:$U119)=0,"",IF(OR($B119&lt;&gt;"",$O119&lt;&gt;""),"Dependent","Employee"))</f>
        <v/>
      </c>
      <c r="Y119">
        <f>IF(COUNTA($A119:$U119)=0,"",IF($A119="","Employee SSN is required; ","")&amp;IF($C119="","First Name is required; ","")&amp;IF(LEN($C119&amp;"")&gt;19,"First Name exceeds 19 characters; ","")&amp;IF(AND($C119&lt;&gt;"",SUMPRODUCT(--(ROW($1:$19)&lt;=LEN($C119&amp;"")),--ISERROR(FIND(MID($C119&amp;"",ROW($1:$19),1),"ABCDEFGHIJKLMNOPQRSTUVWXYZabcdefghijklmnopqrstuvwxyz .,")))&gt;0),"First Name contains unsupported or encoded characters; use plain A-Z letters only; ","")&amp;IF($D119="","Last Name is required; ","")&amp;IF(LEN($D119&amp;"")&gt;26,"Last Name exceeds 26 characters; ","")&amp;IF(AND($D119&lt;&gt;"",SUMPRODUCT(--(ROW($1:$26)&lt;=LEN($D119&amp;"")),--ISERROR(FIND(MID($D119&amp;"",ROW($1:$26),1),"ABCDEFGHIJKLMNOPQRSTUVWXYZabcdefghijklmnopqrstuvwxyz .,")))&gt;0),"Last Name contains unsupported or encoded characters; use plain A-Z letters only; ","")&amp;IF(LEN($E119&amp;"")&gt;1,"Middle Initial may contain only one character; ","")&amp;IF(AND($E119&lt;&gt;"",SUMPRODUCT(--(ROW($1:$1)&lt;=LEN($E119&amp;"")),--ISERROR(FIND(MID($E119&amp;"",ROW($1:$1),1),"ABCDEFGHIJKLMNOPQRSTUVWXYZabcdefghijklmnopqrstuvwxyz .,")))&gt;0),"Middle Initial must be a plain A-Z letter; ","")&amp;IF($F119="","Address is required; ","")&amp;IF(LEN($F119&amp;"")&gt;75,"Address exceeds 75 characters; ","")&amp;IF(LEN($G119&amp;"")&gt;75,"Address 2 exceeds 75 characters; ","")&amp;IF($H119="","City is required; ","")&amp;IF(LEN($H119&amp;"")&gt;30,"City exceeds 30 characters; ","")&amp;IF($K119="","Country is required; ","")&amp;IF(AND($K119&lt;&gt;"",$K119&lt;&gt;"US",$K119&lt;&gt;"CA"),"Country must be US or CA; ","")&amp;IF(AND($K119="US",OR($I119="",LEN($I119&amp;"")&lt;&gt;2)),"Use a 2-letter state code; ","")&amp;IF($J119="","ZIP or postal code is required; ","")&amp;IF(AND($K119="US",$J119&lt;&gt;"",NOT(IFERROR(OR(AND(LEN($J119&amp;"")=5,ISNUMBER(--($J119&amp;""))),AND(LEN($J119&amp;"")=9,ISNUMBER(--($J119&amp;""))),AND(LEN($J119&amp;"")=10,MID($J119&amp;"",6,1)="-",ISNUMBER(--SUBSTITUTE($J119&amp;"","-","")))),FALSE))),"US ZIP must be 5 or 9 digits, with an optional ZIP+4 hyphen; ","")&amp;IF(AND($N119&lt;&gt;"",NOT(IFERROR(AND(ISNUMBER(SEARCH("@",$N119)),ISNUMBER(SEARCH(".",$N119,SEARCH("@",$N119)+2))),FALSE))),"Email format appears invalid; ","")&amp;IF(AND($O119&lt;&gt;"",$B119=""),"Dependent SSN is required for every dependent; ","")&amp;IF(AND($B119&lt;&gt;"",$O119=""),"Dependent Relationship is required when Dependent SSN is entered; ","")&amp;IF(AND($O119&lt;&gt;"",$O119&lt;&gt;"Spouse or Common Law Spouse",$O119&lt;&gt;"Domestic Partner",$O119&lt;&gt;"Child",$O119&lt;&gt;"Other",$O119&lt;&gt;"Estate",$O119&lt;&gt;"Unknown"),"Dependent Relationship must use one of the approved options; ",""))</f>
        <v/>
      </c>
      <c r="Z119">
        <f>IF(COUNTA($A119:$U119)=0,"",IF(AND($A119&lt;&gt;"",NOT(IFERROR(AND(LEN($A119&amp;"")=9,ISNUMBER(--($A119&amp;""))),FALSE))),"Employee SSN must contain exactly 9 digits; ","")&amp;IF(AND($A119&lt;&gt;"",OR($A119="123456789",$A119="987654321",$A119="012345678",$A119=REPT(LEFT($A119&amp;"",1),9))),"Employee SSN appears to be a placeholder; ","")&amp;IF(AND($B119&lt;&gt;"",NOT(IFERROR(AND(LEN($B119&amp;"")=9,ISNUMBER(--($B119&amp;""))),FALSE))),"Dependent SSN must contain exactly 9 digits; ","")&amp;IF(AND($B119&lt;&gt;"",OR($B119="123456789",$B119="987654321",$B119="012345678",$B119=REPT(LEFT($B119&amp;"",1),9))),"Dependent SSN appears to be a placeholder; ","")&amp;IF(AND($A119&lt;&gt;"",$B119&lt;&gt;"",$A119&amp;""=$B119&amp;""),"Dependent SSN cannot match Employee SSN; ","")&amp;IF(AND($W119&lt;&gt;"",OR(COUNTIFS($W$2:$W$501,$W119,$C$2:$C$501,"&lt;&gt;"&amp;$C119)&gt;0,COUNTIFS($W$2:$W$501,$W119,$D$2:$D$501,"&lt;&gt;"&amp;$D119)&gt;0,COUNTIFS($W$2:$W$501,$W119,$L$2:$L$501,"&lt;&gt;"&amp;$L119)&gt;0)),"The same SSN is associated with a different name or birthdate; ",""))</f>
        <v/>
      </c>
      <c r="AA119">
        <f>IF(COUNTA($A119:$U119)=0,"",IF(AND($A119&lt;&gt;"",$S119&lt;&gt;"",COUNTIFS($A$2:$A$501,$A119,$S$2:$S$501,$S119,$B$2:$B$501,"",$O$2:$O$501,"")=0),"Add an employee row for this household and plan; ","")&amp;IF(AND($X119="Dependent",COUNTIFS($A$2:$A119,$A119,$S$2:$S119,$S119,$B$2:$B119,"",$O$2:$O119,"")=0),"Place the employee row before dependent rows for this plan; ","")&amp;IF(AND($X119="Dependent",COUNTIFS($A$2:$A$501,$A119,$S$2:$S$501,$S119,$B$2:$B$501,"",$O$2:$O$501,"")&gt;0,IFERROR(OR($P119&lt;&gt;LOOKUP(2,1/(($A$2:$A$501=$A119)*($S$2:$S$501=$S119)*($B$2:$B$501="")*($O$2:$O$501="")),$P$2:$P$501),$Q119&lt;&gt;LOOKUP(2,1/(($A$2:$A$501=$A119)*($S$2:$S$501=$S119)*($B$2:$B$501="")*($O$2:$O$501="")),$Q$2:$Q$501),$R119&lt;&gt;LOOKUP(2,1/(($A$2:$A$501=$A119)*($S$2:$S$501=$S119)*($B$2:$B$501="")*($O$2:$O$501="")),$R$2:$R$501),$T119&lt;&gt;LOOKUP(2,1/(($A$2:$A$501=$A119)*($S$2:$S$501=$S119)*($B$2:$B$501="")*($O$2:$O$501="")),$T$2:$T$501),$U119&lt;&gt;LOOKUP(2,1/(($A$2:$A$501=$A119)*($S$2:$S$501=$S119)*($B$2:$B$501="")*($O$2:$O$501="")),$U$2:$U$501)),FALSE)),"Dependent row does not match the employee row for eligibility, status, coverage level, or funding; ",""))</f>
        <v/>
      </c>
      <c r="AB119">
        <f>IF(COUNTA($A119:$U119)=0,"",IF($L119="","Birthdate is required; ","")&amp;IF(AND($L119&lt;&gt;"",OR(NOT(ISNUMBER($L119)),$L119&lt;=DATE(1900,1,1),$L119&gt;TODAY())),"Birthdate must be an exact valid past date; ","")&amp;IF($P119="","Eligibility Date is required; ","")&amp;IF(AND($P119&lt;&gt;"",OR(NOT(ISNUMBER($P119)),$P119&lt;=DATE(1900,1,1))),"Eligibility Date must be a valid date; ","")&amp;IF(AND($R119="Terminated",$Q119=""),"Termination Date is required when Status is Terminated; ","")&amp;IF(AND($Q119&lt;&gt;"",OR(NOT(ISNUMBER($Q119)),$Q119&lt;=DATE(1900,1,1))),"Termination Date must be a valid date; ","")&amp;IF(AND(ISNUMBER($P119),ISNUMBER($Q119),$Q119&lt;$P119),"Termination Date cannot be before Eligibility Date; ","")&amp;IF($R119="","Status is required; ","")&amp;IF(AND($R119&lt;&gt;"",$R119&lt;&gt;"Active",$R119&lt;&gt;"Terminated"),"Status must be Active or Terminated; ","")&amp;IF(AND('START HERE'!$C$8="Terminations Only",$R119&lt;&gt;"Terminated"),"Terminations Only files must contain terminated records; ",""))</f>
        <v/>
      </c>
      <c r="AC119">
        <f>IF(COUNTA($A119:$U119)=0,"",IF($S119="","Plan Name is required; ","")&amp;IF($T119="","Benefit Coverage Level is required; ","")&amp;IF(AND($U119&lt;&gt;"",OR(NOT(ISNUMBER($U119)),$U119&lt;0)),"Plan Funding Amount must be a nonnegative number; ","")&amp;IF(AND($A119&lt;&gt;"",$S119&lt;&gt;"",COUNTIFS($A$2:$A$501,$A119,$B$2:$B$501,$B119,$S$2:$S$501,$S119)&gt;1),"Duplicate participant and plan row; ",""))</f>
        <v/>
      </c>
      <c r="AD119">
        <f>IF(COUNTA($A119:$U119)=0,"",IF(AND($X119="Employee",$M119="",$N119=""),"No employee phone or email provided; ","")&amp;IF(AND($R119="Active",$Q119&lt;&gt;""),"Active record includes a Termination Date; confirm this is intentional; ","")&amp;IF(AND($B119&lt;&gt;"",$B119&amp;""&lt;&gt;$A119&amp;"",COUNTIF($A$2:$A$501,$B119)&gt;0),"Dependent SSN also appears as an Employee SSN elsewhere; confirm dual-employee coverage is intentional; ","")&amp;IF(AND($B119&lt;&gt;"",COUNTIF($B$2:$B$501,$B119)&gt;COUNTIFS($A$2:$A$501,$A119,$B$2:$B$501,$B119)),"Dependent SSN appears under more than one employee; confirm duplicate family coverage is intentional; ","")&amp;IF(AND(ROW()&gt;2,$A119&lt;&gt;"",$A119&lt;&gt;$A118,COUNTIF($A$2:$A118,$A119)&gt;0),"This household appears in more than one section of the census; keep the family together; ","")&amp;IF(OR(AND($C119&lt;&gt;"",LEN($C119&amp;"")&lt;&gt;LEN(TRIM($C119&amp;""))),AND($D119&lt;&gt;"",LEN($D119&amp;"")&lt;&gt;LEN(TRIM($D119&amp;""))),AND($E119&lt;&gt;"",LEN($E119&amp;"")&lt;&gt;LEN(TRIM($E119&amp;""))),AND($F119&lt;&gt;"",LEN($F119&amp;"")&lt;&gt;LEN(TRIM($F119&amp;""))),AND($G119&lt;&gt;"",LEN($G119&amp;"")&lt;&gt;LEN(TRIM($G119&amp;""))),AND($H119&lt;&gt;"",LEN($H119&amp;"")&lt;&gt;LEN(TRIM($H119&amp;""))),AND($I119&lt;&gt;"",LEN($I119&amp;"")&lt;&gt;LEN(TRIM($I119&amp;""))),AND($J119&lt;&gt;"",LEN($J119&amp;"")&lt;&gt;LEN(TRIM($J119&amp;""))),AND($K119&lt;&gt;"",LEN($K119&amp;"")&lt;&gt;LEN(TRIM($K119&amp;""))),AND($M119&lt;&gt;"",LEN($M119&amp;"")&lt;&gt;LEN(TRIM($M119&amp;""))),AND($N119&lt;&gt;"",LEN($N119&amp;"")&lt;&gt;LEN(TRIM($N119&amp;""))),AND($O119&lt;&gt;"",LEN($O119&amp;"")&lt;&gt;LEN(TRIM($O119&amp;""))),AND($R119&lt;&gt;"",LEN($R119&amp;"")&lt;&gt;LEN(TRIM($R119&amp;""))),AND($S119&lt;&gt;"",LEN($S119&amp;"")&lt;&gt;LEN(TRIM($S119&amp;""))),AND($T119&lt;&gt;"",LEN($T119&amp;"")&lt;&gt;LEN(TRIM($T119&amp;"")))),"Remove leading or trailing spaces from text fields; ","")&amp;IF(OR(AND(LEN($C119)&gt;1,OR(EXACT($C119,UPPER($C119)),EXACT($C119,LOWER($C119)))),AND(LEN($D119)&gt;1,OR(EXACT($D119,UPPER($D119)),EXACT($D119,LOWER($D119)))),AND(LEN($H119)&gt;1,OR(EXACT($H119,UPPER($H119)),EXACT($H119,LOWER($H119))))),"Review capitalization in First Name, Last Name, or City; ","")&amp;IF(AND($N119&lt;&gt;"",NOT(EXACT($N119,LOWER($N119)))),"Email will be standardized to lowercase in the clean output; ","")&amp;IF(AND(OR('START HERE'!$C$8="Initial Enrollment",'START HERE'!$C$8="Open Enrollment"),$R119="Terminated"),"A terminated row is included in an initial or open enrollment file; confirm this is intentional; ",""))</f>
        <v/>
      </c>
      <c r="AE119">
        <f>IF(COUNTA($A119:$U119)=0,"",IF(OR($A119="",AND($A119&lt;&gt;"",NOT(IFERROR(AND(LEN($A119&amp;"")=9,ISNUMBER(--($A119&amp;""))),FALSE))),AND($A119&lt;&gt;"",OR($A119="123456789",$A119="987654321",$A119="012345678",$A119=REPT(LEFT($A119&amp;"",1),9)))),"Employee SSN, ","")&amp;IF(OR(AND($O119&lt;&gt;"",$B119=""),AND($B119&lt;&gt;"",OR(NOT(IFERROR(AND(LEN($B119&amp;"")=9,ISNUMBER(--($B119&amp;""))),FALSE)),$B119=$A119,$B119="123456789",$B119="987654321",$B119="012345678",$B119=REPT(LEFT($B119&amp;"",1),9)))),"Dependent SSN, ","")&amp;IF(OR($C119="",LEN($C119)&gt;19,AND($C119&lt;&gt;"",SUMPRODUCT(--(ROW($1:$19)&lt;=LEN($C119&amp;"")),--ISERROR(FIND(MID($C119&amp;"",ROW($1:$19),1),"ABCDEFGHIJKLMNOPQRSTUVWXYZabcdefghijklmnopqrstuvwxyz .,")))&gt;0)),"First Name, ","")&amp;IF(OR($D119="",LEN($D119)&gt;26,AND($D119&lt;&gt;"",SUMPRODUCT(--(ROW($1:$26)&lt;=LEN($D119&amp;"")),--ISERROR(FIND(MID($D119&amp;"",ROW($1:$26),1),"ABCDEFGHIJKLMNOPQRSTUVWXYZabcdefghijklmnopqrstuvwxyz .,")))&gt;0)),"Last Name, ","")&amp;IF(OR(LEN($E119)&gt;1,AND($E119&lt;&gt;"",SUMPRODUCT(--(ROW($1:$1)&lt;=LEN($E119&amp;"")),--ISERROR(FIND(MID($E119&amp;"",ROW($1:$1),1),"ABCDEFGHIJKLMNOPQRSTUVWXYZabcdefghijklmnopqrstuvwxyz .,")))&gt;0)),"Middle Initial, ","")&amp;IF(OR($F119="",LEN($F119)&gt;75),"Address, ","")&amp;IF(OR($H119="",LEN($H119)&gt;30),"City, ","")&amp;IF(AND($K119="US",OR($I119="",LEN($I119)&lt;&gt;2)),"State, ","")&amp;IF($J119="","ZIP, ","")&amp;IF(OR($K119="",AND($K119&lt;&gt;"US",$K119&lt;&gt;"CA")),"Country, ","")&amp;IF(OR($L119="",AND($L119&lt;&gt;"",OR(NOT(ISNUMBER($L119)),$L119&lt;=DATE(1900,1,1),$L119&gt;TODAY()))),"Birthdate, ","")&amp;IF(AND($N119&lt;&gt;"",NOT(IFERROR(AND(ISNUMBER(SEARCH("@",$N119)),ISNUMBER(SEARCH(".",$N119,SEARCH("@",$N119)+2))),FALSE))),"Email, ","")&amp;IF(OR(AND($B119&lt;&gt;"",$O119=""),AND($O119&lt;&gt;"",$O119&lt;&gt;"Spouse or Common Law Spouse",$O119&lt;&gt;"Domestic Partner",$O119&lt;&gt;"Child",$O119&lt;&gt;"Other",$O119&lt;&gt;"Estate",$O119&lt;&gt;"Unknown")),"Dependent Relationship, ","")&amp;IF($AA119&lt;&gt;"","Household, ","")&amp;IF(OR($P119="",AND($P119&lt;&gt;"",OR(NOT(ISNUMBER($P119)),$P119&lt;=DATE(1900,1,1)))),"Eligibility Date, ","")&amp;IF(OR(AND($R119="Terminated",$Q119=""),AND($Q119&lt;&gt;"",OR(NOT(ISNUMBER($Q119)),$Q119&lt;=DATE(1900,1,1))),AND(ISNUMBER($P119),ISNUMBER($Q119),$Q119&lt;$P119)),"Termination Date, ","")&amp;IF(OR($R119="",AND($R119&lt;&gt;"Active",$R119&lt;&gt;"Terminated"),AND('START HERE'!$C$8="Terminations Only",$R119&lt;&gt;"Terminated")),"Status, ","")&amp;IF($S119="","Plan Name, ","")&amp;IF($T119="","Coverage Level, ","")&amp;IF(AND($U119&lt;&gt;"",OR(NOT(ISNUMBER($U119)),$U119&lt;0)),"Funding, ","")&amp;IF(AND($A119&lt;&gt;"",$S119&lt;&gt;"",COUNTIFS($A$2:$A$501,$A119,$B$2:$B$501,$B119,$S$2:$S$501,$S119)&gt;1),"Duplicate Row, ",""))</f>
        <v/>
      </c>
      <c r="AF119">
        <f>IF(COUNTA($A119:$U119)=0,"",$Y119&amp;$Z119&amp;$AA119&amp;$AB119&amp;$AC119)</f>
        <v/>
      </c>
      <c r="AG119">
        <f>IF($N119="","",LOWER(TRIM($N119)))</f>
        <v/>
      </c>
      <c r="AH119">
        <f>IF($A119="","",COUNTIFS($A$2:$A$501,$A119,$AI$2:$AI$501,1))</f>
        <v/>
      </c>
      <c r="AI119">
        <f>IF(COUNTA($A119:$U119)=0,"",--($AF119&lt;&gt;""))</f>
        <v/>
      </c>
      <c r="AJ119">
        <f>IF(COUNTA($A119:$U119)=0,"",--($AD119&lt;&gt;""))</f>
        <v/>
      </c>
    </row>
    <row r="120" ht="20" customHeight="1">
      <c r="A120" s="80" t="n"/>
      <c r="B120" s="80" t="n"/>
      <c r="C120" s="81" t="n"/>
      <c r="D120" s="81" t="n"/>
      <c r="E120" s="80" t="n"/>
      <c r="F120" s="81" t="n"/>
      <c r="G120" s="81" t="n"/>
      <c r="H120" s="81" t="n"/>
      <c r="I120" s="80" t="n"/>
      <c r="J120" s="80" t="n"/>
      <c r="K120" s="80" t="n"/>
      <c r="L120" s="82" t="n"/>
      <c r="M120" s="80" t="n"/>
      <c r="N120" s="80" t="n"/>
      <c r="O120" s="80" t="n"/>
      <c r="P120" s="82" t="n"/>
      <c r="Q120" s="82" t="n"/>
      <c r="R120" s="80" t="n"/>
      <c r="S120" s="80" t="n"/>
      <c r="T120" s="80" t="n"/>
      <c r="U120" s="83" t="n"/>
      <c r="V120">
        <f>IF($A120="","",IF($A120=$A119,$V119,IF($V119="",0,1-$V119)))</f>
        <v/>
      </c>
      <c r="W120">
        <f>IF($B120&lt;&gt;"",$B120,$A120)</f>
        <v/>
      </c>
      <c r="X120">
        <f>IF(COUNTA($A120:$U120)=0,"",IF(OR($B120&lt;&gt;"",$O120&lt;&gt;""),"Dependent","Employee"))</f>
        <v/>
      </c>
      <c r="Y120">
        <f>IF(COUNTA($A120:$U120)=0,"",IF($A120="","Employee SSN is required; ","")&amp;IF($C120="","First Name is required; ","")&amp;IF(LEN($C120&amp;"")&gt;19,"First Name exceeds 19 characters; ","")&amp;IF(AND($C120&lt;&gt;"",SUMPRODUCT(--(ROW($1:$19)&lt;=LEN($C120&amp;"")),--ISERROR(FIND(MID($C120&amp;"",ROW($1:$19),1),"ABCDEFGHIJKLMNOPQRSTUVWXYZabcdefghijklmnopqrstuvwxyz .,")))&gt;0),"First Name contains unsupported or encoded characters; use plain A-Z letters only; ","")&amp;IF($D120="","Last Name is required; ","")&amp;IF(LEN($D120&amp;"")&gt;26,"Last Name exceeds 26 characters; ","")&amp;IF(AND($D120&lt;&gt;"",SUMPRODUCT(--(ROW($1:$26)&lt;=LEN($D120&amp;"")),--ISERROR(FIND(MID($D120&amp;"",ROW($1:$26),1),"ABCDEFGHIJKLMNOPQRSTUVWXYZabcdefghijklmnopqrstuvwxyz .,")))&gt;0),"Last Name contains unsupported or encoded characters; use plain A-Z letters only; ","")&amp;IF(LEN($E120&amp;"")&gt;1,"Middle Initial may contain only one character; ","")&amp;IF(AND($E120&lt;&gt;"",SUMPRODUCT(--(ROW($1:$1)&lt;=LEN($E120&amp;"")),--ISERROR(FIND(MID($E120&amp;"",ROW($1:$1),1),"ABCDEFGHIJKLMNOPQRSTUVWXYZabcdefghijklmnopqrstuvwxyz .,")))&gt;0),"Middle Initial must be a plain A-Z letter; ","")&amp;IF($F120="","Address is required; ","")&amp;IF(LEN($F120&amp;"")&gt;75,"Address exceeds 75 characters; ","")&amp;IF(LEN($G120&amp;"")&gt;75,"Address 2 exceeds 75 characters; ","")&amp;IF($H120="","City is required; ","")&amp;IF(LEN($H120&amp;"")&gt;30,"City exceeds 30 characters; ","")&amp;IF($K120="","Country is required; ","")&amp;IF(AND($K120&lt;&gt;"",$K120&lt;&gt;"US",$K120&lt;&gt;"CA"),"Country must be US or CA; ","")&amp;IF(AND($K120="US",OR($I120="",LEN($I120&amp;"")&lt;&gt;2)),"Use a 2-letter state code; ","")&amp;IF($J120="","ZIP or postal code is required; ","")&amp;IF(AND($K120="US",$J120&lt;&gt;"",NOT(IFERROR(OR(AND(LEN($J120&amp;"")=5,ISNUMBER(--($J120&amp;""))),AND(LEN($J120&amp;"")=9,ISNUMBER(--($J120&amp;""))),AND(LEN($J120&amp;"")=10,MID($J120&amp;"",6,1)="-",ISNUMBER(--SUBSTITUTE($J120&amp;"","-","")))),FALSE))),"US ZIP must be 5 or 9 digits, with an optional ZIP+4 hyphen; ","")&amp;IF(AND($N120&lt;&gt;"",NOT(IFERROR(AND(ISNUMBER(SEARCH("@",$N120)),ISNUMBER(SEARCH(".",$N120,SEARCH("@",$N120)+2))),FALSE))),"Email format appears invalid; ","")&amp;IF(AND($O120&lt;&gt;"",$B120=""),"Dependent SSN is required for every dependent; ","")&amp;IF(AND($B120&lt;&gt;"",$O120=""),"Dependent Relationship is required when Dependent SSN is entered; ","")&amp;IF(AND($O120&lt;&gt;"",$O120&lt;&gt;"Spouse or Common Law Spouse",$O120&lt;&gt;"Domestic Partner",$O120&lt;&gt;"Child",$O120&lt;&gt;"Other",$O120&lt;&gt;"Estate",$O120&lt;&gt;"Unknown"),"Dependent Relationship must use one of the approved options; ",""))</f>
        <v/>
      </c>
      <c r="Z120">
        <f>IF(COUNTA($A120:$U120)=0,"",IF(AND($A120&lt;&gt;"",NOT(IFERROR(AND(LEN($A120&amp;"")=9,ISNUMBER(--($A120&amp;""))),FALSE))),"Employee SSN must contain exactly 9 digits; ","")&amp;IF(AND($A120&lt;&gt;"",OR($A120="123456789",$A120="987654321",$A120="012345678",$A120=REPT(LEFT($A120&amp;"",1),9))),"Employee SSN appears to be a placeholder; ","")&amp;IF(AND($B120&lt;&gt;"",NOT(IFERROR(AND(LEN($B120&amp;"")=9,ISNUMBER(--($B120&amp;""))),FALSE))),"Dependent SSN must contain exactly 9 digits; ","")&amp;IF(AND($B120&lt;&gt;"",OR($B120="123456789",$B120="987654321",$B120="012345678",$B120=REPT(LEFT($B120&amp;"",1),9))),"Dependent SSN appears to be a placeholder; ","")&amp;IF(AND($A120&lt;&gt;"",$B120&lt;&gt;"",$A120&amp;""=$B120&amp;""),"Dependent SSN cannot match Employee SSN; ","")&amp;IF(AND($W120&lt;&gt;"",OR(COUNTIFS($W$2:$W$501,$W120,$C$2:$C$501,"&lt;&gt;"&amp;$C120)&gt;0,COUNTIFS($W$2:$W$501,$W120,$D$2:$D$501,"&lt;&gt;"&amp;$D120)&gt;0,COUNTIFS($W$2:$W$501,$W120,$L$2:$L$501,"&lt;&gt;"&amp;$L120)&gt;0)),"The same SSN is associated with a different name or birthdate; ",""))</f>
        <v/>
      </c>
      <c r="AA120">
        <f>IF(COUNTA($A120:$U120)=0,"",IF(AND($A120&lt;&gt;"",$S120&lt;&gt;"",COUNTIFS($A$2:$A$501,$A120,$S$2:$S$501,$S120,$B$2:$B$501,"",$O$2:$O$501,"")=0),"Add an employee row for this household and plan; ","")&amp;IF(AND($X120="Dependent",COUNTIFS($A$2:$A120,$A120,$S$2:$S120,$S120,$B$2:$B120,"",$O$2:$O120,"")=0),"Place the employee row before dependent rows for this plan; ","")&amp;IF(AND($X120="Dependent",COUNTIFS($A$2:$A$501,$A120,$S$2:$S$501,$S120,$B$2:$B$501,"",$O$2:$O$501,"")&gt;0,IFERROR(OR($P120&lt;&gt;LOOKUP(2,1/(($A$2:$A$501=$A120)*($S$2:$S$501=$S120)*($B$2:$B$501="")*($O$2:$O$501="")),$P$2:$P$501),$Q120&lt;&gt;LOOKUP(2,1/(($A$2:$A$501=$A120)*($S$2:$S$501=$S120)*($B$2:$B$501="")*($O$2:$O$501="")),$Q$2:$Q$501),$R120&lt;&gt;LOOKUP(2,1/(($A$2:$A$501=$A120)*($S$2:$S$501=$S120)*($B$2:$B$501="")*($O$2:$O$501="")),$R$2:$R$501),$T120&lt;&gt;LOOKUP(2,1/(($A$2:$A$501=$A120)*($S$2:$S$501=$S120)*($B$2:$B$501="")*($O$2:$O$501="")),$T$2:$T$501),$U120&lt;&gt;LOOKUP(2,1/(($A$2:$A$501=$A120)*($S$2:$S$501=$S120)*($B$2:$B$501="")*($O$2:$O$501="")),$U$2:$U$501)),FALSE)),"Dependent row does not match the employee row for eligibility, status, coverage level, or funding; ",""))</f>
        <v/>
      </c>
      <c r="AB120">
        <f>IF(COUNTA($A120:$U120)=0,"",IF($L120="","Birthdate is required; ","")&amp;IF(AND($L120&lt;&gt;"",OR(NOT(ISNUMBER($L120)),$L120&lt;=DATE(1900,1,1),$L120&gt;TODAY())),"Birthdate must be an exact valid past date; ","")&amp;IF($P120="","Eligibility Date is required; ","")&amp;IF(AND($P120&lt;&gt;"",OR(NOT(ISNUMBER($P120)),$P120&lt;=DATE(1900,1,1))),"Eligibility Date must be a valid date; ","")&amp;IF(AND($R120="Terminated",$Q120=""),"Termination Date is required when Status is Terminated; ","")&amp;IF(AND($Q120&lt;&gt;"",OR(NOT(ISNUMBER($Q120)),$Q120&lt;=DATE(1900,1,1))),"Termination Date must be a valid date; ","")&amp;IF(AND(ISNUMBER($P120),ISNUMBER($Q120),$Q120&lt;$P120),"Termination Date cannot be before Eligibility Date; ","")&amp;IF($R120="","Status is required; ","")&amp;IF(AND($R120&lt;&gt;"",$R120&lt;&gt;"Active",$R120&lt;&gt;"Terminated"),"Status must be Active or Terminated; ","")&amp;IF(AND('START HERE'!$C$8="Terminations Only",$R120&lt;&gt;"Terminated"),"Terminations Only files must contain terminated records; ",""))</f>
        <v/>
      </c>
      <c r="AC120">
        <f>IF(COUNTA($A120:$U120)=0,"",IF($S120="","Plan Name is required; ","")&amp;IF($T120="","Benefit Coverage Level is required; ","")&amp;IF(AND($U120&lt;&gt;"",OR(NOT(ISNUMBER($U120)),$U120&lt;0)),"Plan Funding Amount must be a nonnegative number; ","")&amp;IF(AND($A120&lt;&gt;"",$S120&lt;&gt;"",COUNTIFS($A$2:$A$501,$A120,$B$2:$B$501,$B120,$S$2:$S$501,$S120)&gt;1),"Duplicate participant and plan row; ",""))</f>
        <v/>
      </c>
      <c r="AD120">
        <f>IF(COUNTA($A120:$U120)=0,"",IF(AND($X120="Employee",$M120="",$N120=""),"No employee phone or email provided; ","")&amp;IF(AND($R120="Active",$Q120&lt;&gt;""),"Active record includes a Termination Date; confirm this is intentional; ","")&amp;IF(AND($B120&lt;&gt;"",$B120&amp;""&lt;&gt;$A120&amp;"",COUNTIF($A$2:$A$501,$B120)&gt;0),"Dependent SSN also appears as an Employee SSN elsewhere; confirm dual-employee coverage is intentional; ","")&amp;IF(AND($B120&lt;&gt;"",COUNTIF($B$2:$B$501,$B120)&gt;COUNTIFS($A$2:$A$501,$A120,$B$2:$B$501,$B120)),"Dependent SSN appears under more than one employee; confirm duplicate family coverage is intentional; ","")&amp;IF(AND(ROW()&gt;2,$A120&lt;&gt;"",$A120&lt;&gt;$A119,COUNTIF($A$2:$A119,$A120)&gt;0),"This household appears in more than one section of the census; keep the family together; ","")&amp;IF(OR(AND($C120&lt;&gt;"",LEN($C120&amp;"")&lt;&gt;LEN(TRIM($C120&amp;""))),AND($D120&lt;&gt;"",LEN($D120&amp;"")&lt;&gt;LEN(TRIM($D120&amp;""))),AND($E120&lt;&gt;"",LEN($E120&amp;"")&lt;&gt;LEN(TRIM($E120&amp;""))),AND($F120&lt;&gt;"",LEN($F120&amp;"")&lt;&gt;LEN(TRIM($F120&amp;""))),AND($G120&lt;&gt;"",LEN($G120&amp;"")&lt;&gt;LEN(TRIM($G120&amp;""))),AND($H120&lt;&gt;"",LEN($H120&amp;"")&lt;&gt;LEN(TRIM($H120&amp;""))),AND($I120&lt;&gt;"",LEN($I120&amp;"")&lt;&gt;LEN(TRIM($I120&amp;""))),AND($J120&lt;&gt;"",LEN($J120&amp;"")&lt;&gt;LEN(TRIM($J120&amp;""))),AND($K120&lt;&gt;"",LEN($K120&amp;"")&lt;&gt;LEN(TRIM($K120&amp;""))),AND($M120&lt;&gt;"",LEN($M120&amp;"")&lt;&gt;LEN(TRIM($M120&amp;""))),AND($N120&lt;&gt;"",LEN($N120&amp;"")&lt;&gt;LEN(TRIM($N120&amp;""))),AND($O120&lt;&gt;"",LEN($O120&amp;"")&lt;&gt;LEN(TRIM($O120&amp;""))),AND($R120&lt;&gt;"",LEN($R120&amp;"")&lt;&gt;LEN(TRIM($R120&amp;""))),AND($S120&lt;&gt;"",LEN($S120&amp;"")&lt;&gt;LEN(TRIM($S120&amp;""))),AND($T120&lt;&gt;"",LEN($T120&amp;"")&lt;&gt;LEN(TRIM($T120&amp;"")))),"Remove leading or trailing spaces from text fields; ","")&amp;IF(OR(AND(LEN($C120)&gt;1,OR(EXACT($C120,UPPER($C120)),EXACT($C120,LOWER($C120)))),AND(LEN($D120)&gt;1,OR(EXACT($D120,UPPER($D120)),EXACT($D120,LOWER($D120)))),AND(LEN($H120)&gt;1,OR(EXACT($H120,UPPER($H120)),EXACT($H120,LOWER($H120))))),"Review capitalization in First Name, Last Name, or City; ","")&amp;IF(AND($N120&lt;&gt;"",NOT(EXACT($N120,LOWER($N120)))),"Email will be standardized to lowercase in the clean output; ","")&amp;IF(AND(OR('START HERE'!$C$8="Initial Enrollment",'START HERE'!$C$8="Open Enrollment"),$R120="Terminated"),"A terminated row is included in an initial or open enrollment file; confirm this is intentional; ",""))</f>
        <v/>
      </c>
      <c r="AE120">
        <f>IF(COUNTA($A120:$U120)=0,"",IF(OR($A120="",AND($A120&lt;&gt;"",NOT(IFERROR(AND(LEN($A120&amp;"")=9,ISNUMBER(--($A120&amp;""))),FALSE))),AND($A120&lt;&gt;"",OR($A120="123456789",$A120="987654321",$A120="012345678",$A120=REPT(LEFT($A120&amp;"",1),9)))),"Employee SSN, ","")&amp;IF(OR(AND($O120&lt;&gt;"",$B120=""),AND($B120&lt;&gt;"",OR(NOT(IFERROR(AND(LEN($B120&amp;"")=9,ISNUMBER(--($B120&amp;""))),FALSE)),$B120=$A120,$B120="123456789",$B120="987654321",$B120="012345678",$B120=REPT(LEFT($B120&amp;"",1),9)))),"Dependent SSN, ","")&amp;IF(OR($C120="",LEN($C120)&gt;19,AND($C120&lt;&gt;"",SUMPRODUCT(--(ROW($1:$19)&lt;=LEN($C120&amp;"")),--ISERROR(FIND(MID($C120&amp;"",ROW($1:$19),1),"ABCDEFGHIJKLMNOPQRSTUVWXYZabcdefghijklmnopqrstuvwxyz .,")))&gt;0)),"First Name, ","")&amp;IF(OR($D120="",LEN($D120)&gt;26,AND($D120&lt;&gt;"",SUMPRODUCT(--(ROW($1:$26)&lt;=LEN($D120&amp;"")),--ISERROR(FIND(MID($D120&amp;"",ROW($1:$26),1),"ABCDEFGHIJKLMNOPQRSTUVWXYZabcdefghijklmnopqrstuvwxyz .,")))&gt;0)),"Last Name, ","")&amp;IF(OR(LEN($E120)&gt;1,AND($E120&lt;&gt;"",SUMPRODUCT(--(ROW($1:$1)&lt;=LEN($E120&amp;"")),--ISERROR(FIND(MID($E120&amp;"",ROW($1:$1),1),"ABCDEFGHIJKLMNOPQRSTUVWXYZabcdefghijklmnopqrstuvwxyz .,")))&gt;0)),"Middle Initial, ","")&amp;IF(OR($F120="",LEN($F120)&gt;75),"Address, ","")&amp;IF(OR($H120="",LEN($H120)&gt;30),"City, ","")&amp;IF(AND($K120="US",OR($I120="",LEN($I120)&lt;&gt;2)),"State, ","")&amp;IF($J120="","ZIP, ","")&amp;IF(OR($K120="",AND($K120&lt;&gt;"US",$K120&lt;&gt;"CA")),"Country, ","")&amp;IF(OR($L120="",AND($L120&lt;&gt;"",OR(NOT(ISNUMBER($L120)),$L120&lt;=DATE(1900,1,1),$L120&gt;TODAY()))),"Birthdate, ","")&amp;IF(AND($N120&lt;&gt;"",NOT(IFERROR(AND(ISNUMBER(SEARCH("@",$N120)),ISNUMBER(SEARCH(".",$N120,SEARCH("@",$N120)+2))),FALSE))),"Email, ","")&amp;IF(OR(AND($B120&lt;&gt;"",$O120=""),AND($O120&lt;&gt;"",$O120&lt;&gt;"Spouse or Common Law Spouse",$O120&lt;&gt;"Domestic Partner",$O120&lt;&gt;"Child",$O120&lt;&gt;"Other",$O120&lt;&gt;"Estate",$O120&lt;&gt;"Unknown")),"Dependent Relationship, ","")&amp;IF($AA120&lt;&gt;"","Household, ","")&amp;IF(OR($P120="",AND($P120&lt;&gt;"",OR(NOT(ISNUMBER($P120)),$P120&lt;=DATE(1900,1,1)))),"Eligibility Date, ","")&amp;IF(OR(AND($R120="Terminated",$Q120=""),AND($Q120&lt;&gt;"",OR(NOT(ISNUMBER($Q120)),$Q120&lt;=DATE(1900,1,1))),AND(ISNUMBER($P120),ISNUMBER($Q120),$Q120&lt;$P120)),"Termination Date, ","")&amp;IF(OR($R120="",AND($R120&lt;&gt;"Active",$R120&lt;&gt;"Terminated"),AND('START HERE'!$C$8="Terminations Only",$R120&lt;&gt;"Terminated")),"Status, ","")&amp;IF($S120="","Plan Name, ","")&amp;IF($T120="","Coverage Level, ","")&amp;IF(AND($U120&lt;&gt;"",OR(NOT(ISNUMBER($U120)),$U120&lt;0)),"Funding, ","")&amp;IF(AND($A120&lt;&gt;"",$S120&lt;&gt;"",COUNTIFS($A$2:$A$501,$A120,$B$2:$B$501,$B120,$S$2:$S$501,$S120)&gt;1),"Duplicate Row, ",""))</f>
        <v/>
      </c>
      <c r="AF120">
        <f>IF(COUNTA($A120:$U120)=0,"",$Y120&amp;$Z120&amp;$AA120&amp;$AB120&amp;$AC120)</f>
        <v/>
      </c>
      <c r="AG120">
        <f>IF($N120="","",LOWER(TRIM($N120)))</f>
        <v/>
      </c>
      <c r="AH120">
        <f>IF($A120="","",COUNTIFS($A$2:$A$501,$A120,$AI$2:$AI$501,1))</f>
        <v/>
      </c>
      <c r="AI120">
        <f>IF(COUNTA($A120:$U120)=0,"",--($AF120&lt;&gt;""))</f>
        <v/>
      </c>
      <c r="AJ120">
        <f>IF(COUNTA($A120:$U120)=0,"",--($AD120&lt;&gt;""))</f>
        <v/>
      </c>
    </row>
    <row r="121" ht="20" customHeight="1">
      <c r="A121" s="80" t="n"/>
      <c r="B121" s="80" t="n"/>
      <c r="C121" s="81" t="n"/>
      <c r="D121" s="81" t="n"/>
      <c r="E121" s="80" t="n"/>
      <c r="F121" s="81" t="n"/>
      <c r="G121" s="81" t="n"/>
      <c r="H121" s="81" t="n"/>
      <c r="I121" s="80" t="n"/>
      <c r="J121" s="80" t="n"/>
      <c r="K121" s="80" t="n"/>
      <c r="L121" s="82" t="n"/>
      <c r="M121" s="80" t="n"/>
      <c r="N121" s="80" t="n"/>
      <c r="O121" s="80" t="n"/>
      <c r="P121" s="82" t="n"/>
      <c r="Q121" s="82" t="n"/>
      <c r="R121" s="80" t="n"/>
      <c r="S121" s="80" t="n"/>
      <c r="T121" s="80" t="n"/>
      <c r="U121" s="83" t="n"/>
      <c r="V121">
        <f>IF($A121="","",IF($A121=$A120,$V120,IF($V120="",0,1-$V120)))</f>
        <v/>
      </c>
      <c r="W121">
        <f>IF($B121&lt;&gt;"",$B121,$A121)</f>
        <v/>
      </c>
      <c r="X121">
        <f>IF(COUNTA($A121:$U121)=0,"",IF(OR($B121&lt;&gt;"",$O121&lt;&gt;""),"Dependent","Employee"))</f>
        <v/>
      </c>
      <c r="Y121">
        <f>IF(COUNTA($A121:$U121)=0,"",IF($A121="","Employee SSN is required; ","")&amp;IF($C121="","First Name is required; ","")&amp;IF(LEN($C121&amp;"")&gt;19,"First Name exceeds 19 characters; ","")&amp;IF(AND($C121&lt;&gt;"",SUMPRODUCT(--(ROW($1:$19)&lt;=LEN($C121&amp;"")),--ISERROR(FIND(MID($C121&amp;"",ROW($1:$19),1),"ABCDEFGHIJKLMNOPQRSTUVWXYZabcdefghijklmnopqrstuvwxyz .,")))&gt;0),"First Name contains unsupported or encoded characters; use plain A-Z letters only; ","")&amp;IF($D121="","Last Name is required; ","")&amp;IF(LEN($D121&amp;"")&gt;26,"Last Name exceeds 26 characters; ","")&amp;IF(AND($D121&lt;&gt;"",SUMPRODUCT(--(ROW($1:$26)&lt;=LEN($D121&amp;"")),--ISERROR(FIND(MID($D121&amp;"",ROW($1:$26),1),"ABCDEFGHIJKLMNOPQRSTUVWXYZabcdefghijklmnopqrstuvwxyz .,")))&gt;0),"Last Name contains unsupported or encoded characters; use plain A-Z letters only; ","")&amp;IF(LEN($E121&amp;"")&gt;1,"Middle Initial may contain only one character; ","")&amp;IF(AND($E121&lt;&gt;"",SUMPRODUCT(--(ROW($1:$1)&lt;=LEN($E121&amp;"")),--ISERROR(FIND(MID($E121&amp;"",ROW($1:$1),1),"ABCDEFGHIJKLMNOPQRSTUVWXYZabcdefghijklmnopqrstuvwxyz .,")))&gt;0),"Middle Initial must be a plain A-Z letter; ","")&amp;IF($F121="","Address is required; ","")&amp;IF(LEN($F121&amp;"")&gt;75,"Address exceeds 75 characters; ","")&amp;IF(LEN($G121&amp;"")&gt;75,"Address 2 exceeds 75 characters; ","")&amp;IF($H121="","City is required; ","")&amp;IF(LEN($H121&amp;"")&gt;30,"City exceeds 30 characters; ","")&amp;IF($K121="","Country is required; ","")&amp;IF(AND($K121&lt;&gt;"",$K121&lt;&gt;"US",$K121&lt;&gt;"CA"),"Country must be US or CA; ","")&amp;IF(AND($K121="US",OR($I121="",LEN($I121&amp;"")&lt;&gt;2)),"Use a 2-letter state code; ","")&amp;IF($J121="","ZIP or postal code is required; ","")&amp;IF(AND($K121="US",$J121&lt;&gt;"",NOT(IFERROR(OR(AND(LEN($J121&amp;"")=5,ISNUMBER(--($J121&amp;""))),AND(LEN($J121&amp;"")=9,ISNUMBER(--($J121&amp;""))),AND(LEN($J121&amp;"")=10,MID($J121&amp;"",6,1)="-",ISNUMBER(--SUBSTITUTE($J121&amp;"","-","")))),FALSE))),"US ZIP must be 5 or 9 digits, with an optional ZIP+4 hyphen; ","")&amp;IF(AND($N121&lt;&gt;"",NOT(IFERROR(AND(ISNUMBER(SEARCH("@",$N121)),ISNUMBER(SEARCH(".",$N121,SEARCH("@",$N121)+2))),FALSE))),"Email format appears invalid; ","")&amp;IF(AND($O121&lt;&gt;"",$B121=""),"Dependent SSN is required for every dependent; ","")&amp;IF(AND($B121&lt;&gt;"",$O121=""),"Dependent Relationship is required when Dependent SSN is entered; ","")&amp;IF(AND($O121&lt;&gt;"",$O121&lt;&gt;"Spouse or Common Law Spouse",$O121&lt;&gt;"Domestic Partner",$O121&lt;&gt;"Child",$O121&lt;&gt;"Other",$O121&lt;&gt;"Estate",$O121&lt;&gt;"Unknown"),"Dependent Relationship must use one of the approved options; ",""))</f>
        <v/>
      </c>
      <c r="Z121">
        <f>IF(COUNTA($A121:$U121)=0,"",IF(AND($A121&lt;&gt;"",NOT(IFERROR(AND(LEN($A121&amp;"")=9,ISNUMBER(--($A121&amp;""))),FALSE))),"Employee SSN must contain exactly 9 digits; ","")&amp;IF(AND($A121&lt;&gt;"",OR($A121="123456789",$A121="987654321",$A121="012345678",$A121=REPT(LEFT($A121&amp;"",1),9))),"Employee SSN appears to be a placeholder; ","")&amp;IF(AND($B121&lt;&gt;"",NOT(IFERROR(AND(LEN($B121&amp;"")=9,ISNUMBER(--($B121&amp;""))),FALSE))),"Dependent SSN must contain exactly 9 digits; ","")&amp;IF(AND($B121&lt;&gt;"",OR($B121="123456789",$B121="987654321",$B121="012345678",$B121=REPT(LEFT($B121&amp;"",1),9))),"Dependent SSN appears to be a placeholder; ","")&amp;IF(AND($A121&lt;&gt;"",$B121&lt;&gt;"",$A121&amp;""=$B121&amp;""),"Dependent SSN cannot match Employee SSN; ","")&amp;IF(AND($W121&lt;&gt;"",OR(COUNTIFS($W$2:$W$501,$W121,$C$2:$C$501,"&lt;&gt;"&amp;$C121)&gt;0,COUNTIFS($W$2:$W$501,$W121,$D$2:$D$501,"&lt;&gt;"&amp;$D121)&gt;0,COUNTIFS($W$2:$W$501,$W121,$L$2:$L$501,"&lt;&gt;"&amp;$L121)&gt;0)),"The same SSN is associated with a different name or birthdate; ",""))</f>
        <v/>
      </c>
      <c r="AA121">
        <f>IF(COUNTA($A121:$U121)=0,"",IF(AND($A121&lt;&gt;"",$S121&lt;&gt;"",COUNTIFS($A$2:$A$501,$A121,$S$2:$S$501,$S121,$B$2:$B$501,"",$O$2:$O$501,"")=0),"Add an employee row for this household and plan; ","")&amp;IF(AND($X121="Dependent",COUNTIFS($A$2:$A121,$A121,$S$2:$S121,$S121,$B$2:$B121,"",$O$2:$O121,"")=0),"Place the employee row before dependent rows for this plan; ","")&amp;IF(AND($X121="Dependent",COUNTIFS($A$2:$A$501,$A121,$S$2:$S$501,$S121,$B$2:$B$501,"",$O$2:$O$501,"")&gt;0,IFERROR(OR($P121&lt;&gt;LOOKUP(2,1/(($A$2:$A$501=$A121)*($S$2:$S$501=$S121)*($B$2:$B$501="")*($O$2:$O$501="")),$P$2:$P$501),$Q121&lt;&gt;LOOKUP(2,1/(($A$2:$A$501=$A121)*($S$2:$S$501=$S121)*($B$2:$B$501="")*($O$2:$O$501="")),$Q$2:$Q$501),$R121&lt;&gt;LOOKUP(2,1/(($A$2:$A$501=$A121)*($S$2:$S$501=$S121)*($B$2:$B$501="")*($O$2:$O$501="")),$R$2:$R$501),$T121&lt;&gt;LOOKUP(2,1/(($A$2:$A$501=$A121)*($S$2:$S$501=$S121)*($B$2:$B$501="")*($O$2:$O$501="")),$T$2:$T$501),$U121&lt;&gt;LOOKUP(2,1/(($A$2:$A$501=$A121)*($S$2:$S$501=$S121)*($B$2:$B$501="")*($O$2:$O$501="")),$U$2:$U$501)),FALSE)),"Dependent row does not match the employee row for eligibility, status, coverage level, or funding; ",""))</f>
        <v/>
      </c>
      <c r="AB121">
        <f>IF(COUNTA($A121:$U121)=0,"",IF($L121="","Birthdate is required; ","")&amp;IF(AND($L121&lt;&gt;"",OR(NOT(ISNUMBER($L121)),$L121&lt;=DATE(1900,1,1),$L121&gt;TODAY())),"Birthdate must be an exact valid past date; ","")&amp;IF($P121="","Eligibility Date is required; ","")&amp;IF(AND($P121&lt;&gt;"",OR(NOT(ISNUMBER($P121)),$P121&lt;=DATE(1900,1,1))),"Eligibility Date must be a valid date; ","")&amp;IF(AND($R121="Terminated",$Q121=""),"Termination Date is required when Status is Terminated; ","")&amp;IF(AND($Q121&lt;&gt;"",OR(NOT(ISNUMBER($Q121)),$Q121&lt;=DATE(1900,1,1))),"Termination Date must be a valid date; ","")&amp;IF(AND(ISNUMBER($P121),ISNUMBER($Q121),$Q121&lt;$P121),"Termination Date cannot be before Eligibility Date; ","")&amp;IF($R121="","Status is required; ","")&amp;IF(AND($R121&lt;&gt;"",$R121&lt;&gt;"Active",$R121&lt;&gt;"Terminated"),"Status must be Active or Terminated; ","")&amp;IF(AND('START HERE'!$C$8="Terminations Only",$R121&lt;&gt;"Terminated"),"Terminations Only files must contain terminated records; ",""))</f>
        <v/>
      </c>
      <c r="AC121">
        <f>IF(COUNTA($A121:$U121)=0,"",IF($S121="","Plan Name is required; ","")&amp;IF($T121="","Benefit Coverage Level is required; ","")&amp;IF(AND($U121&lt;&gt;"",OR(NOT(ISNUMBER($U121)),$U121&lt;0)),"Plan Funding Amount must be a nonnegative number; ","")&amp;IF(AND($A121&lt;&gt;"",$S121&lt;&gt;"",COUNTIFS($A$2:$A$501,$A121,$B$2:$B$501,$B121,$S$2:$S$501,$S121)&gt;1),"Duplicate participant and plan row; ",""))</f>
        <v/>
      </c>
      <c r="AD121">
        <f>IF(COUNTA($A121:$U121)=0,"",IF(AND($X121="Employee",$M121="",$N121=""),"No employee phone or email provided; ","")&amp;IF(AND($R121="Active",$Q121&lt;&gt;""),"Active record includes a Termination Date; confirm this is intentional; ","")&amp;IF(AND($B121&lt;&gt;"",$B121&amp;""&lt;&gt;$A121&amp;"",COUNTIF($A$2:$A$501,$B121)&gt;0),"Dependent SSN also appears as an Employee SSN elsewhere; confirm dual-employee coverage is intentional; ","")&amp;IF(AND($B121&lt;&gt;"",COUNTIF($B$2:$B$501,$B121)&gt;COUNTIFS($A$2:$A$501,$A121,$B$2:$B$501,$B121)),"Dependent SSN appears under more than one employee; confirm duplicate family coverage is intentional; ","")&amp;IF(AND(ROW()&gt;2,$A121&lt;&gt;"",$A121&lt;&gt;$A120,COUNTIF($A$2:$A120,$A121)&gt;0),"This household appears in more than one section of the census; keep the family together; ","")&amp;IF(OR(AND($C121&lt;&gt;"",LEN($C121&amp;"")&lt;&gt;LEN(TRIM($C121&amp;""))),AND($D121&lt;&gt;"",LEN($D121&amp;"")&lt;&gt;LEN(TRIM($D121&amp;""))),AND($E121&lt;&gt;"",LEN($E121&amp;"")&lt;&gt;LEN(TRIM($E121&amp;""))),AND($F121&lt;&gt;"",LEN($F121&amp;"")&lt;&gt;LEN(TRIM($F121&amp;""))),AND($G121&lt;&gt;"",LEN($G121&amp;"")&lt;&gt;LEN(TRIM($G121&amp;""))),AND($H121&lt;&gt;"",LEN($H121&amp;"")&lt;&gt;LEN(TRIM($H121&amp;""))),AND($I121&lt;&gt;"",LEN($I121&amp;"")&lt;&gt;LEN(TRIM($I121&amp;""))),AND($J121&lt;&gt;"",LEN($J121&amp;"")&lt;&gt;LEN(TRIM($J121&amp;""))),AND($K121&lt;&gt;"",LEN($K121&amp;"")&lt;&gt;LEN(TRIM($K121&amp;""))),AND($M121&lt;&gt;"",LEN($M121&amp;"")&lt;&gt;LEN(TRIM($M121&amp;""))),AND($N121&lt;&gt;"",LEN($N121&amp;"")&lt;&gt;LEN(TRIM($N121&amp;""))),AND($O121&lt;&gt;"",LEN($O121&amp;"")&lt;&gt;LEN(TRIM($O121&amp;""))),AND($R121&lt;&gt;"",LEN($R121&amp;"")&lt;&gt;LEN(TRIM($R121&amp;""))),AND($S121&lt;&gt;"",LEN($S121&amp;"")&lt;&gt;LEN(TRIM($S121&amp;""))),AND($T121&lt;&gt;"",LEN($T121&amp;"")&lt;&gt;LEN(TRIM($T121&amp;"")))),"Remove leading or trailing spaces from text fields; ","")&amp;IF(OR(AND(LEN($C121)&gt;1,OR(EXACT($C121,UPPER($C121)),EXACT($C121,LOWER($C121)))),AND(LEN($D121)&gt;1,OR(EXACT($D121,UPPER($D121)),EXACT($D121,LOWER($D121)))),AND(LEN($H121)&gt;1,OR(EXACT($H121,UPPER($H121)),EXACT($H121,LOWER($H121))))),"Review capitalization in First Name, Last Name, or City; ","")&amp;IF(AND($N121&lt;&gt;"",NOT(EXACT($N121,LOWER($N121)))),"Email will be standardized to lowercase in the clean output; ","")&amp;IF(AND(OR('START HERE'!$C$8="Initial Enrollment",'START HERE'!$C$8="Open Enrollment"),$R121="Terminated"),"A terminated row is included in an initial or open enrollment file; confirm this is intentional; ",""))</f>
        <v/>
      </c>
      <c r="AE121">
        <f>IF(COUNTA($A121:$U121)=0,"",IF(OR($A121="",AND($A121&lt;&gt;"",NOT(IFERROR(AND(LEN($A121&amp;"")=9,ISNUMBER(--($A121&amp;""))),FALSE))),AND($A121&lt;&gt;"",OR($A121="123456789",$A121="987654321",$A121="012345678",$A121=REPT(LEFT($A121&amp;"",1),9)))),"Employee SSN, ","")&amp;IF(OR(AND($O121&lt;&gt;"",$B121=""),AND($B121&lt;&gt;"",OR(NOT(IFERROR(AND(LEN($B121&amp;"")=9,ISNUMBER(--($B121&amp;""))),FALSE)),$B121=$A121,$B121="123456789",$B121="987654321",$B121="012345678",$B121=REPT(LEFT($B121&amp;"",1),9)))),"Dependent SSN, ","")&amp;IF(OR($C121="",LEN($C121)&gt;19,AND($C121&lt;&gt;"",SUMPRODUCT(--(ROW($1:$19)&lt;=LEN($C121&amp;"")),--ISERROR(FIND(MID($C121&amp;"",ROW($1:$19),1),"ABCDEFGHIJKLMNOPQRSTUVWXYZabcdefghijklmnopqrstuvwxyz .,")))&gt;0)),"First Name, ","")&amp;IF(OR($D121="",LEN($D121)&gt;26,AND($D121&lt;&gt;"",SUMPRODUCT(--(ROW($1:$26)&lt;=LEN($D121&amp;"")),--ISERROR(FIND(MID($D121&amp;"",ROW($1:$26),1),"ABCDEFGHIJKLMNOPQRSTUVWXYZabcdefghijklmnopqrstuvwxyz .,")))&gt;0)),"Last Name, ","")&amp;IF(OR(LEN($E121)&gt;1,AND($E121&lt;&gt;"",SUMPRODUCT(--(ROW($1:$1)&lt;=LEN($E121&amp;"")),--ISERROR(FIND(MID($E121&amp;"",ROW($1:$1),1),"ABCDEFGHIJKLMNOPQRSTUVWXYZabcdefghijklmnopqrstuvwxyz .,")))&gt;0)),"Middle Initial, ","")&amp;IF(OR($F121="",LEN($F121)&gt;75),"Address, ","")&amp;IF(OR($H121="",LEN($H121)&gt;30),"City, ","")&amp;IF(AND($K121="US",OR($I121="",LEN($I121)&lt;&gt;2)),"State, ","")&amp;IF($J121="","ZIP, ","")&amp;IF(OR($K121="",AND($K121&lt;&gt;"US",$K121&lt;&gt;"CA")),"Country, ","")&amp;IF(OR($L121="",AND($L121&lt;&gt;"",OR(NOT(ISNUMBER($L121)),$L121&lt;=DATE(1900,1,1),$L121&gt;TODAY()))),"Birthdate, ","")&amp;IF(AND($N121&lt;&gt;"",NOT(IFERROR(AND(ISNUMBER(SEARCH("@",$N121)),ISNUMBER(SEARCH(".",$N121,SEARCH("@",$N121)+2))),FALSE))),"Email, ","")&amp;IF(OR(AND($B121&lt;&gt;"",$O121=""),AND($O121&lt;&gt;"",$O121&lt;&gt;"Spouse or Common Law Spouse",$O121&lt;&gt;"Domestic Partner",$O121&lt;&gt;"Child",$O121&lt;&gt;"Other",$O121&lt;&gt;"Estate",$O121&lt;&gt;"Unknown")),"Dependent Relationship, ","")&amp;IF($AA121&lt;&gt;"","Household, ","")&amp;IF(OR($P121="",AND($P121&lt;&gt;"",OR(NOT(ISNUMBER($P121)),$P121&lt;=DATE(1900,1,1)))),"Eligibility Date, ","")&amp;IF(OR(AND($R121="Terminated",$Q121=""),AND($Q121&lt;&gt;"",OR(NOT(ISNUMBER($Q121)),$Q121&lt;=DATE(1900,1,1))),AND(ISNUMBER($P121),ISNUMBER($Q121),$Q121&lt;$P121)),"Termination Date, ","")&amp;IF(OR($R121="",AND($R121&lt;&gt;"Active",$R121&lt;&gt;"Terminated"),AND('START HERE'!$C$8="Terminations Only",$R121&lt;&gt;"Terminated")),"Status, ","")&amp;IF($S121="","Plan Name, ","")&amp;IF($T121="","Coverage Level, ","")&amp;IF(AND($U121&lt;&gt;"",OR(NOT(ISNUMBER($U121)),$U121&lt;0)),"Funding, ","")&amp;IF(AND($A121&lt;&gt;"",$S121&lt;&gt;"",COUNTIFS($A$2:$A$501,$A121,$B$2:$B$501,$B121,$S$2:$S$501,$S121)&gt;1),"Duplicate Row, ",""))</f>
        <v/>
      </c>
      <c r="AF121">
        <f>IF(COUNTA($A121:$U121)=0,"",$Y121&amp;$Z121&amp;$AA121&amp;$AB121&amp;$AC121)</f>
        <v/>
      </c>
      <c r="AG121">
        <f>IF($N121="","",LOWER(TRIM($N121)))</f>
        <v/>
      </c>
      <c r="AH121">
        <f>IF($A121="","",COUNTIFS($A$2:$A$501,$A121,$AI$2:$AI$501,1))</f>
        <v/>
      </c>
      <c r="AI121">
        <f>IF(COUNTA($A121:$U121)=0,"",--($AF121&lt;&gt;""))</f>
        <v/>
      </c>
      <c r="AJ121">
        <f>IF(COUNTA($A121:$U121)=0,"",--($AD121&lt;&gt;""))</f>
        <v/>
      </c>
    </row>
    <row r="122" ht="20" customHeight="1">
      <c r="A122" s="80" t="n"/>
      <c r="B122" s="80" t="n"/>
      <c r="C122" s="81" t="n"/>
      <c r="D122" s="81" t="n"/>
      <c r="E122" s="80" t="n"/>
      <c r="F122" s="81" t="n"/>
      <c r="G122" s="81" t="n"/>
      <c r="H122" s="81" t="n"/>
      <c r="I122" s="80" t="n"/>
      <c r="J122" s="80" t="n"/>
      <c r="K122" s="80" t="n"/>
      <c r="L122" s="82" t="n"/>
      <c r="M122" s="80" t="n"/>
      <c r="N122" s="80" t="n"/>
      <c r="O122" s="80" t="n"/>
      <c r="P122" s="82" t="n"/>
      <c r="Q122" s="82" t="n"/>
      <c r="R122" s="80" t="n"/>
      <c r="S122" s="80" t="n"/>
      <c r="T122" s="80" t="n"/>
      <c r="U122" s="83" t="n"/>
      <c r="V122">
        <f>IF($A122="","",IF($A122=$A121,$V121,IF($V121="",0,1-$V121)))</f>
        <v/>
      </c>
      <c r="W122">
        <f>IF($B122&lt;&gt;"",$B122,$A122)</f>
        <v/>
      </c>
      <c r="X122">
        <f>IF(COUNTA($A122:$U122)=0,"",IF(OR($B122&lt;&gt;"",$O122&lt;&gt;""),"Dependent","Employee"))</f>
        <v/>
      </c>
      <c r="Y122">
        <f>IF(COUNTA($A122:$U122)=0,"",IF($A122="","Employee SSN is required; ","")&amp;IF($C122="","First Name is required; ","")&amp;IF(LEN($C122&amp;"")&gt;19,"First Name exceeds 19 characters; ","")&amp;IF(AND($C122&lt;&gt;"",SUMPRODUCT(--(ROW($1:$19)&lt;=LEN($C122&amp;"")),--ISERROR(FIND(MID($C122&amp;"",ROW($1:$19),1),"ABCDEFGHIJKLMNOPQRSTUVWXYZabcdefghijklmnopqrstuvwxyz .,")))&gt;0),"First Name contains unsupported or encoded characters; use plain A-Z letters only; ","")&amp;IF($D122="","Last Name is required; ","")&amp;IF(LEN($D122&amp;"")&gt;26,"Last Name exceeds 26 characters; ","")&amp;IF(AND($D122&lt;&gt;"",SUMPRODUCT(--(ROW($1:$26)&lt;=LEN($D122&amp;"")),--ISERROR(FIND(MID($D122&amp;"",ROW($1:$26),1),"ABCDEFGHIJKLMNOPQRSTUVWXYZabcdefghijklmnopqrstuvwxyz .,")))&gt;0),"Last Name contains unsupported or encoded characters; use plain A-Z letters only; ","")&amp;IF(LEN($E122&amp;"")&gt;1,"Middle Initial may contain only one character; ","")&amp;IF(AND($E122&lt;&gt;"",SUMPRODUCT(--(ROW($1:$1)&lt;=LEN($E122&amp;"")),--ISERROR(FIND(MID($E122&amp;"",ROW($1:$1),1),"ABCDEFGHIJKLMNOPQRSTUVWXYZabcdefghijklmnopqrstuvwxyz .,")))&gt;0),"Middle Initial must be a plain A-Z letter; ","")&amp;IF($F122="","Address is required; ","")&amp;IF(LEN($F122&amp;"")&gt;75,"Address exceeds 75 characters; ","")&amp;IF(LEN($G122&amp;"")&gt;75,"Address 2 exceeds 75 characters; ","")&amp;IF($H122="","City is required; ","")&amp;IF(LEN($H122&amp;"")&gt;30,"City exceeds 30 characters; ","")&amp;IF($K122="","Country is required; ","")&amp;IF(AND($K122&lt;&gt;"",$K122&lt;&gt;"US",$K122&lt;&gt;"CA"),"Country must be US or CA; ","")&amp;IF(AND($K122="US",OR($I122="",LEN($I122&amp;"")&lt;&gt;2)),"Use a 2-letter state code; ","")&amp;IF($J122="","ZIP or postal code is required; ","")&amp;IF(AND($K122="US",$J122&lt;&gt;"",NOT(IFERROR(OR(AND(LEN($J122&amp;"")=5,ISNUMBER(--($J122&amp;""))),AND(LEN($J122&amp;"")=9,ISNUMBER(--($J122&amp;""))),AND(LEN($J122&amp;"")=10,MID($J122&amp;"",6,1)="-",ISNUMBER(--SUBSTITUTE($J122&amp;"","-","")))),FALSE))),"US ZIP must be 5 or 9 digits, with an optional ZIP+4 hyphen; ","")&amp;IF(AND($N122&lt;&gt;"",NOT(IFERROR(AND(ISNUMBER(SEARCH("@",$N122)),ISNUMBER(SEARCH(".",$N122,SEARCH("@",$N122)+2))),FALSE))),"Email format appears invalid; ","")&amp;IF(AND($O122&lt;&gt;"",$B122=""),"Dependent SSN is required for every dependent; ","")&amp;IF(AND($B122&lt;&gt;"",$O122=""),"Dependent Relationship is required when Dependent SSN is entered; ","")&amp;IF(AND($O122&lt;&gt;"",$O122&lt;&gt;"Spouse or Common Law Spouse",$O122&lt;&gt;"Domestic Partner",$O122&lt;&gt;"Child",$O122&lt;&gt;"Other",$O122&lt;&gt;"Estate",$O122&lt;&gt;"Unknown"),"Dependent Relationship must use one of the approved options; ",""))</f>
        <v/>
      </c>
      <c r="Z122">
        <f>IF(COUNTA($A122:$U122)=0,"",IF(AND($A122&lt;&gt;"",NOT(IFERROR(AND(LEN($A122&amp;"")=9,ISNUMBER(--($A122&amp;""))),FALSE))),"Employee SSN must contain exactly 9 digits; ","")&amp;IF(AND($A122&lt;&gt;"",OR($A122="123456789",$A122="987654321",$A122="012345678",$A122=REPT(LEFT($A122&amp;"",1),9))),"Employee SSN appears to be a placeholder; ","")&amp;IF(AND($B122&lt;&gt;"",NOT(IFERROR(AND(LEN($B122&amp;"")=9,ISNUMBER(--($B122&amp;""))),FALSE))),"Dependent SSN must contain exactly 9 digits; ","")&amp;IF(AND($B122&lt;&gt;"",OR($B122="123456789",$B122="987654321",$B122="012345678",$B122=REPT(LEFT($B122&amp;"",1),9))),"Dependent SSN appears to be a placeholder; ","")&amp;IF(AND($A122&lt;&gt;"",$B122&lt;&gt;"",$A122&amp;""=$B122&amp;""),"Dependent SSN cannot match Employee SSN; ","")&amp;IF(AND($W122&lt;&gt;"",OR(COUNTIFS($W$2:$W$501,$W122,$C$2:$C$501,"&lt;&gt;"&amp;$C122)&gt;0,COUNTIFS($W$2:$W$501,$W122,$D$2:$D$501,"&lt;&gt;"&amp;$D122)&gt;0,COUNTIFS($W$2:$W$501,$W122,$L$2:$L$501,"&lt;&gt;"&amp;$L122)&gt;0)),"The same SSN is associated with a different name or birthdate; ",""))</f>
        <v/>
      </c>
      <c r="AA122">
        <f>IF(COUNTA($A122:$U122)=0,"",IF(AND($A122&lt;&gt;"",$S122&lt;&gt;"",COUNTIFS($A$2:$A$501,$A122,$S$2:$S$501,$S122,$B$2:$B$501,"",$O$2:$O$501,"")=0),"Add an employee row for this household and plan; ","")&amp;IF(AND($X122="Dependent",COUNTIFS($A$2:$A122,$A122,$S$2:$S122,$S122,$B$2:$B122,"",$O$2:$O122,"")=0),"Place the employee row before dependent rows for this plan; ","")&amp;IF(AND($X122="Dependent",COUNTIFS($A$2:$A$501,$A122,$S$2:$S$501,$S122,$B$2:$B$501,"",$O$2:$O$501,"")&gt;0,IFERROR(OR($P122&lt;&gt;LOOKUP(2,1/(($A$2:$A$501=$A122)*($S$2:$S$501=$S122)*($B$2:$B$501="")*($O$2:$O$501="")),$P$2:$P$501),$Q122&lt;&gt;LOOKUP(2,1/(($A$2:$A$501=$A122)*($S$2:$S$501=$S122)*($B$2:$B$501="")*($O$2:$O$501="")),$Q$2:$Q$501),$R122&lt;&gt;LOOKUP(2,1/(($A$2:$A$501=$A122)*($S$2:$S$501=$S122)*($B$2:$B$501="")*($O$2:$O$501="")),$R$2:$R$501),$T122&lt;&gt;LOOKUP(2,1/(($A$2:$A$501=$A122)*($S$2:$S$501=$S122)*($B$2:$B$501="")*($O$2:$O$501="")),$T$2:$T$501),$U122&lt;&gt;LOOKUP(2,1/(($A$2:$A$501=$A122)*($S$2:$S$501=$S122)*($B$2:$B$501="")*($O$2:$O$501="")),$U$2:$U$501)),FALSE)),"Dependent row does not match the employee row for eligibility, status, coverage level, or funding; ",""))</f>
        <v/>
      </c>
      <c r="AB122">
        <f>IF(COUNTA($A122:$U122)=0,"",IF($L122="","Birthdate is required; ","")&amp;IF(AND($L122&lt;&gt;"",OR(NOT(ISNUMBER($L122)),$L122&lt;=DATE(1900,1,1),$L122&gt;TODAY())),"Birthdate must be an exact valid past date; ","")&amp;IF($P122="","Eligibility Date is required; ","")&amp;IF(AND($P122&lt;&gt;"",OR(NOT(ISNUMBER($P122)),$P122&lt;=DATE(1900,1,1))),"Eligibility Date must be a valid date; ","")&amp;IF(AND($R122="Terminated",$Q122=""),"Termination Date is required when Status is Terminated; ","")&amp;IF(AND($Q122&lt;&gt;"",OR(NOT(ISNUMBER($Q122)),$Q122&lt;=DATE(1900,1,1))),"Termination Date must be a valid date; ","")&amp;IF(AND(ISNUMBER($P122),ISNUMBER($Q122),$Q122&lt;$P122),"Termination Date cannot be before Eligibility Date; ","")&amp;IF($R122="","Status is required; ","")&amp;IF(AND($R122&lt;&gt;"",$R122&lt;&gt;"Active",$R122&lt;&gt;"Terminated"),"Status must be Active or Terminated; ","")&amp;IF(AND('START HERE'!$C$8="Terminations Only",$R122&lt;&gt;"Terminated"),"Terminations Only files must contain terminated records; ",""))</f>
        <v/>
      </c>
      <c r="AC122">
        <f>IF(COUNTA($A122:$U122)=0,"",IF($S122="","Plan Name is required; ","")&amp;IF($T122="","Benefit Coverage Level is required; ","")&amp;IF(AND($U122&lt;&gt;"",OR(NOT(ISNUMBER($U122)),$U122&lt;0)),"Plan Funding Amount must be a nonnegative number; ","")&amp;IF(AND($A122&lt;&gt;"",$S122&lt;&gt;"",COUNTIFS($A$2:$A$501,$A122,$B$2:$B$501,$B122,$S$2:$S$501,$S122)&gt;1),"Duplicate participant and plan row; ",""))</f>
        <v/>
      </c>
      <c r="AD122">
        <f>IF(COUNTA($A122:$U122)=0,"",IF(AND($X122="Employee",$M122="",$N122=""),"No employee phone or email provided; ","")&amp;IF(AND($R122="Active",$Q122&lt;&gt;""),"Active record includes a Termination Date; confirm this is intentional; ","")&amp;IF(AND($B122&lt;&gt;"",$B122&amp;""&lt;&gt;$A122&amp;"",COUNTIF($A$2:$A$501,$B122)&gt;0),"Dependent SSN also appears as an Employee SSN elsewhere; confirm dual-employee coverage is intentional; ","")&amp;IF(AND($B122&lt;&gt;"",COUNTIF($B$2:$B$501,$B122)&gt;COUNTIFS($A$2:$A$501,$A122,$B$2:$B$501,$B122)),"Dependent SSN appears under more than one employee; confirm duplicate family coverage is intentional; ","")&amp;IF(AND(ROW()&gt;2,$A122&lt;&gt;"",$A122&lt;&gt;$A121,COUNTIF($A$2:$A121,$A122)&gt;0),"This household appears in more than one section of the census; keep the family together; ","")&amp;IF(OR(AND($C122&lt;&gt;"",LEN($C122&amp;"")&lt;&gt;LEN(TRIM($C122&amp;""))),AND($D122&lt;&gt;"",LEN($D122&amp;"")&lt;&gt;LEN(TRIM($D122&amp;""))),AND($E122&lt;&gt;"",LEN($E122&amp;"")&lt;&gt;LEN(TRIM($E122&amp;""))),AND($F122&lt;&gt;"",LEN($F122&amp;"")&lt;&gt;LEN(TRIM($F122&amp;""))),AND($G122&lt;&gt;"",LEN($G122&amp;"")&lt;&gt;LEN(TRIM($G122&amp;""))),AND($H122&lt;&gt;"",LEN($H122&amp;"")&lt;&gt;LEN(TRIM($H122&amp;""))),AND($I122&lt;&gt;"",LEN($I122&amp;"")&lt;&gt;LEN(TRIM($I122&amp;""))),AND($J122&lt;&gt;"",LEN($J122&amp;"")&lt;&gt;LEN(TRIM($J122&amp;""))),AND($K122&lt;&gt;"",LEN($K122&amp;"")&lt;&gt;LEN(TRIM($K122&amp;""))),AND($M122&lt;&gt;"",LEN($M122&amp;"")&lt;&gt;LEN(TRIM($M122&amp;""))),AND($N122&lt;&gt;"",LEN($N122&amp;"")&lt;&gt;LEN(TRIM($N122&amp;""))),AND($O122&lt;&gt;"",LEN($O122&amp;"")&lt;&gt;LEN(TRIM($O122&amp;""))),AND($R122&lt;&gt;"",LEN($R122&amp;"")&lt;&gt;LEN(TRIM($R122&amp;""))),AND($S122&lt;&gt;"",LEN($S122&amp;"")&lt;&gt;LEN(TRIM($S122&amp;""))),AND($T122&lt;&gt;"",LEN($T122&amp;"")&lt;&gt;LEN(TRIM($T122&amp;"")))),"Remove leading or trailing spaces from text fields; ","")&amp;IF(OR(AND(LEN($C122)&gt;1,OR(EXACT($C122,UPPER($C122)),EXACT($C122,LOWER($C122)))),AND(LEN($D122)&gt;1,OR(EXACT($D122,UPPER($D122)),EXACT($D122,LOWER($D122)))),AND(LEN($H122)&gt;1,OR(EXACT($H122,UPPER($H122)),EXACT($H122,LOWER($H122))))),"Review capitalization in First Name, Last Name, or City; ","")&amp;IF(AND($N122&lt;&gt;"",NOT(EXACT($N122,LOWER($N122)))),"Email will be standardized to lowercase in the clean output; ","")&amp;IF(AND(OR('START HERE'!$C$8="Initial Enrollment",'START HERE'!$C$8="Open Enrollment"),$R122="Terminated"),"A terminated row is included in an initial or open enrollment file; confirm this is intentional; ",""))</f>
        <v/>
      </c>
      <c r="AE122">
        <f>IF(COUNTA($A122:$U122)=0,"",IF(OR($A122="",AND($A122&lt;&gt;"",NOT(IFERROR(AND(LEN($A122&amp;"")=9,ISNUMBER(--($A122&amp;""))),FALSE))),AND($A122&lt;&gt;"",OR($A122="123456789",$A122="987654321",$A122="012345678",$A122=REPT(LEFT($A122&amp;"",1),9)))),"Employee SSN, ","")&amp;IF(OR(AND($O122&lt;&gt;"",$B122=""),AND($B122&lt;&gt;"",OR(NOT(IFERROR(AND(LEN($B122&amp;"")=9,ISNUMBER(--($B122&amp;""))),FALSE)),$B122=$A122,$B122="123456789",$B122="987654321",$B122="012345678",$B122=REPT(LEFT($B122&amp;"",1),9)))),"Dependent SSN, ","")&amp;IF(OR($C122="",LEN($C122)&gt;19,AND($C122&lt;&gt;"",SUMPRODUCT(--(ROW($1:$19)&lt;=LEN($C122&amp;"")),--ISERROR(FIND(MID($C122&amp;"",ROW($1:$19),1),"ABCDEFGHIJKLMNOPQRSTUVWXYZabcdefghijklmnopqrstuvwxyz .,")))&gt;0)),"First Name, ","")&amp;IF(OR($D122="",LEN($D122)&gt;26,AND($D122&lt;&gt;"",SUMPRODUCT(--(ROW($1:$26)&lt;=LEN($D122&amp;"")),--ISERROR(FIND(MID($D122&amp;"",ROW($1:$26),1),"ABCDEFGHIJKLMNOPQRSTUVWXYZabcdefghijklmnopqrstuvwxyz .,")))&gt;0)),"Last Name, ","")&amp;IF(OR(LEN($E122)&gt;1,AND($E122&lt;&gt;"",SUMPRODUCT(--(ROW($1:$1)&lt;=LEN($E122&amp;"")),--ISERROR(FIND(MID($E122&amp;"",ROW($1:$1),1),"ABCDEFGHIJKLMNOPQRSTUVWXYZabcdefghijklmnopqrstuvwxyz .,")))&gt;0)),"Middle Initial, ","")&amp;IF(OR($F122="",LEN($F122)&gt;75),"Address, ","")&amp;IF(OR($H122="",LEN($H122)&gt;30),"City, ","")&amp;IF(AND($K122="US",OR($I122="",LEN($I122)&lt;&gt;2)),"State, ","")&amp;IF($J122="","ZIP, ","")&amp;IF(OR($K122="",AND($K122&lt;&gt;"US",$K122&lt;&gt;"CA")),"Country, ","")&amp;IF(OR($L122="",AND($L122&lt;&gt;"",OR(NOT(ISNUMBER($L122)),$L122&lt;=DATE(1900,1,1),$L122&gt;TODAY()))),"Birthdate, ","")&amp;IF(AND($N122&lt;&gt;"",NOT(IFERROR(AND(ISNUMBER(SEARCH("@",$N122)),ISNUMBER(SEARCH(".",$N122,SEARCH("@",$N122)+2))),FALSE))),"Email, ","")&amp;IF(OR(AND($B122&lt;&gt;"",$O122=""),AND($O122&lt;&gt;"",$O122&lt;&gt;"Spouse or Common Law Spouse",$O122&lt;&gt;"Domestic Partner",$O122&lt;&gt;"Child",$O122&lt;&gt;"Other",$O122&lt;&gt;"Estate",$O122&lt;&gt;"Unknown")),"Dependent Relationship, ","")&amp;IF($AA122&lt;&gt;"","Household, ","")&amp;IF(OR($P122="",AND($P122&lt;&gt;"",OR(NOT(ISNUMBER($P122)),$P122&lt;=DATE(1900,1,1)))),"Eligibility Date, ","")&amp;IF(OR(AND($R122="Terminated",$Q122=""),AND($Q122&lt;&gt;"",OR(NOT(ISNUMBER($Q122)),$Q122&lt;=DATE(1900,1,1))),AND(ISNUMBER($P122),ISNUMBER($Q122),$Q122&lt;$P122)),"Termination Date, ","")&amp;IF(OR($R122="",AND($R122&lt;&gt;"Active",$R122&lt;&gt;"Terminated"),AND('START HERE'!$C$8="Terminations Only",$R122&lt;&gt;"Terminated")),"Status, ","")&amp;IF($S122="","Plan Name, ","")&amp;IF($T122="","Coverage Level, ","")&amp;IF(AND($U122&lt;&gt;"",OR(NOT(ISNUMBER($U122)),$U122&lt;0)),"Funding, ","")&amp;IF(AND($A122&lt;&gt;"",$S122&lt;&gt;"",COUNTIFS($A$2:$A$501,$A122,$B$2:$B$501,$B122,$S$2:$S$501,$S122)&gt;1),"Duplicate Row, ",""))</f>
        <v/>
      </c>
      <c r="AF122">
        <f>IF(COUNTA($A122:$U122)=0,"",$Y122&amp;$Z122&amp;$AA122&amp;$AB122&amp;$AC122)</f>
        <v/>
      </c>
      <c r="AG122">
        <f>IF($N122="","",LOWER(TRIM($N122)))</f>
        <v/>
      </c>
      <c r="AH122">
        <f>IF($A122="","",COUNTIFS($A$2:$A$501,$A122,$AI$2:$AI$501,1))</f>
        <v/>
      </c>
      <c r="AI122">
        <f>IF(COUNTA($A122:$U122)=0,"",--($AF122&lt;&gt;""))</f>
        <v/>
      </c>
      <c r="AJ122">
        <f>IF(COUNTA($A122:$U122)=0,"",--($AD122&lt;&gt;""))</f>
        <v/>
      </c>
    </row>
    <row r="123" ht="20" customHeight="1">
      <c r="A123" s="80" t="n"/>
      <c r="B123" s="80" t="n"/>
      <c r="C123" s="81" t="n"/>
      <c r="D123" s="81" t="n"/>
      <c r="E123" s="80" t="n"/>
      <c r="F123" s="81" t="n"/>
      <c r="G123" s="81" t="n"/>
      <c r="H123" s="81" t="n"/>
      <c r="I123" s="80" t="n"/>
      <c r="J123" s="80" t="n"/>
      <c r="K123" s="80" t="n"/>
      <c r="L123" s="82" t="n"/>
      <c r="M123" s="80" t="n"/>
      <c r="N123" s="80" t="n"/>
      <c r="O123" s="80" t="n"/>
      <c r="P123" s="82" t="n"/>
      <c r="Q123" s="82" t="n"/>
      <c r="R123" s="80" t="n"/>
      <c r="S123" s="80" t="n"/>
      <c r="T123" s="80" t="n"/>
      <c r="U123" s="83" t="n"/>
      <c r="V123">
        <f>IF($A123="","",IF($A123=$A122,$V122,IF($V122="",0,1-$V122)))</f>
        <v/>
      </c>
      <c r="W123">
        <f>IF($B123&lt;&gt;"",$B123,$A123)</f>
        <v/>
      </c>
      <c r="X123">
        <f>IF(COUNTA($A123:$U123)=0,"",IF(OR($B123&lt;&gt;"",$O123&lt;&gt;""),"Dependent","Employee"))</f>
        <v/>
      </c>
      <c r="Y123">
        <f>IF(COUNTA($A123:$U123)=0,"",IF($A123="","Employee SSN is required; ","")&amp;IF($C123="","First Name is required; ","")&amp;IF(LEN($C123&amp;"")&gt;19,"First Name exceeds 19 characters; ","")&amp;IF(AND($C123&lt;&gt;"",SUMPRODUCT(--(ROW($1:$19)&lt;=LEN($C123&amp;"")),--ISERROR(FIND(MID($C123&amp;"",ROW($1:$19),1),"ABCDEFGHIJKLMNOPQRSTUVWXYZabcdefghijklmnopqrstuvwxyz .,")))&gt;0),"First Name contains unsupported or encoded characters; use plain A-Z letters only; ","")&amp;IF($D123="","Last Name is required; ","")&amp;IF(LEN($D123&amp;"")&gt;26,"Last Name exceeds 26 characters; ","")&amp;IF(AND($D123&lt;&gt;"",SUMPRODUCT(--(ROW($1:$26)&lt;=LEN($D123&amp;"")),--ISERROR(FIND(MID($D123&amp;"",ROW($1:$26),1),"ABCDEFGHIJKLMNOPQRSTUVWXYZabcdefghijklmnopqrstuvwxyz .,")))&gt;0),"Last Name contains unsupported or encoded characters; use plain A-Z letters only; ","")&amp;IF(LEN($E123&amp;"")&gt;1,"Middle Initial may contain only one character; ","")&amp;IF(AND($E123&lt;&gt;"",SUMPRODUCT(--(ROW($1:$1)&lt;=LEN($E123&amp;"")),--ISERROR(FIND(MID($E123&amp;"",ROW($1:$1),1),"ABCDEFGHIJKLMNOPQRSTUVWXYZabcdefghijklmnopqrstuvwxyz .,")))&gt;0),"Middle Initial must be a plain A-Z letter; ","")&amp;IF($F123="","Address is required; ","")&amp;IF(LEN($F123&amp;"")&gt;75,"Address exceeds 75 characters; ","")&amp;IF(LEN($G123&amp;"")&gt;75,"Address 2 exceeds 75 characters; ","")&amp;IF($H123="","City is required; ","")&amp;IF(LEN($H123&amp;"")&gt;30,"City exceeds 30 characters; ","")&amp;IF($K123="","Country is required; ","")&amp;IF(AND($K123&lt;&gt;"",$K123&lt;&gt;"US",$K123&lt;&gt;"CA"),"Country must be US or CA; ","")&amp;IF(AND($K123="US",OR($I123="",LEN($I123&amp;"")&lt;&gt;2)),"Use a 2-letter state code; ","")&amp;IF($J123="","ZIP or postal code is required; ","")&amp;IF(AND($K123="US",$J123&lt;&gt;"",NOT(IFERROR(OR(AND(LEN($J123&amp;"")=5,ISNUMBER(--($J123&amp;""))),AND(LEN($J123&amp;"")=9,ISNUMBER(--($J123&amp;""))),AND(LEN($J123&amp;"")=10,MID($J123&amp;"",6,1)="-",ISNUMBER(--SUBSTITUTE($J123&amp;"","-","")))),FALSE))),"US ZIP must be 5 or 9 digits, with an optional ZIP+4 hyphen; ","")&amp;IF(AND($N123&lt;&gt;"",NOT(IFERROR(AND(ISNUMBER(SEARCH("@",$N123)),ISNUMBER(SEARCH(".",$N123,SEARCH("@",$N123)+2))),FALSE))),"Email format appears invalid; ","")&amp;IF(AND($O123&lt;&gt;"",$B123=""),"Dependent SSN is required for every dependent; ","")&amp;IF(AND($B123&lt;&gt;"",$O123=""),"Dependent Relationship is required when Dependent SSN is entered; ","")&amp;IF(AND($O123&lt;&gt;"",$O123&lt;&gt;"Spouse or Common Law Spouse",$O123&lt;&gt;"Domestic Partner",$O123&lt;&gt;"Child",$O123&lt;&gt;"Other",$O123&lt;&gt;"Estate",$O123&lt;&gt;"Unknown"),"Dependent Relationship must use one of the approved options; ",""))</f>
        <v/>
      </c>
      <c r="Z123">
        <f>IF(COUNTA($A123:$U123)=0,"",IF(AND($A123&lt;&gt;"",NOT(IFERROR(AND(LEN($A123&amp;"")=9,ISNUMBER(--($A123&amp;""))),FALSE))),"Employee SSN must contain exactly 9 digits; ","")&amp;IF(AND($A123&lt;&gt;"",OR($A123="123456789",$A123="987654321",$A123="012345678",$A123=REPT(LEFT($A123&amp;"",1),9))),"Employee SSN appears to be a placeholder; ","")&amp;IF(AND($B123&lt;&gt;"",NOT(IFERROR(AND(LEN($B123&amp;"")=9,ISNUMBER(--($B123&amp;""))),FALSE))),"Dependent SSN must contain exactly 9 digits; ","")&amp;IF(AND($B123&lt;&gt;"",OR($B123="123456789",$B123="987654321",$B123="012345678",$B123=REPT(LEFT($B123&amp;"",1),9))),"Dependent SSN appears to be a placeholder; ","")&amp;IF(AND($A123&lt;&gt;"",$B123&lt;&gt;"",$A123&amp;""=$B123&amp;""),"Dependent SSN cannot match Employee SSN; ","")&amp;IF(AND($W123&lt;&gt;"",OR(COUNTIFS($W$2:$W$501,$W123,$C$2:$C$501,"&lt;&gt;"&amp;$C123)&gt;0,COUNTIFS($W$2:$W$501,$W123,$D$2:$D$501,"&lt;&gt;"&amp;$D123)&gt;0,COUNTIFS($W$2:$W$501,$W123,$L$2:$L$501,"&lt;&gt;"&amp;$L123)&gt;0)),"The same SSN is associated with a different name or birthdate; ",""))</f>
        <v/>
      </c>
      <c r="AA123">
        <f>IF(COUNTA($A123:$U123)=0,"",IF(AND($A123&lt;&gt;"",$S123&lt;&gt;"",COUNTIFS($A$2:$A$501,$A123,$S$2:$S$501,$S123,$B$2:$B$501,"",$O$2:$O$501,"")=0),"Add an employee row for this household and plan; ","")&amp;IF(AND($X123="Dependent",COUNTIFS($A$2:$A123,$A123,$S$2:$S123,$S123,$B$2:$B123,"",$O$2:$O123,"")=0),"Place the employee row before dependent rows for this plan; ","")&amp;IF(AND($X123="Dependent",COUNTIFS($A$2:$A$501,$A123,$S$2:$S$501,$S123,$B$2:$B$501,"",$O$2:$O$501,"")&gt;0,IFERROR(OR($P123&lt;&gt;LOOKUP(2,1/(($A$2:$A$501=$A123)*($S$2:$S$501=$S123)*($B$2:$B$501="")*($O$2:$O$501="")),$P$2:$P$501),$Q123&lt;&gt;LOOKUP(2,1/(($A$2:$A$501=$A123)*($S$2:$S$501=$S123)*($B$2:$B$501="")*($O$2:$O$501="")),$Q$2:$Q$501),$R123&lt;&gt;LOOKUP(2,1/(($A$2:$A$501=$A123)*($S$2:$S$501=$S123)*($B$2:$B$501="")*($O$2:$O$501="")),$R$2:$R$501),$T123&lt;&gt;LOOKUP(2,1/(($A$2:$A$501=$A123)*($S$2:$S$501=$S123)*($B$2:$B$501="")*($O$2:$O$501="")),$T$2:$T$501),$U123&lt;&gt;LOOKUP(2,1/(($A$2:$A$501=$A123)*($S$2:$S$501=$S123)*($B$2:$B$501="")*($O$2:$O$501="")),$U$2:$U$501)),FALSE)),"Dependent row does not match the employee row for eligibility, status, coverage level, or funding; ",""))</f>
        <v/>
      </c>
      <c r="AB123">
        <f>IF(COUNTA($A123:$U123)=0,"",IF($L123="","Birthdate is required; ","")&amp;IF(AND($L123&lt;&gt;"",OR(NOT(ISNUMBER($L123)),$L123&lt;=DATE(1900,1,1),$L123&gt;TODAY())),"Birthdate must be an exact valid past date; ","")&amp;IF($P123="","Eligibility Date is required; ","")&amp;IF(AND($P123&lt;&gt;"",OR(NOT(ISNUMBER($P123)),$P123&lt;=DATE(1900,1,1))),"Eligibility Date must be a valid date; ","")&amp;IF(AND($R123="Terminated",$Q123=""),"Termination Date is required when Status is Terminated; ","")&amp;IF(AND($Q123&lt;&gt;"",OR(NOT(ISNUMBER($Q123)),$Q123&lt;=DATE(1900,1,1))),"Termination Date must be a valid date; ","")&amp;IF(AND(ISNUMBER($P123),ISNUMBER($Q123),$Q123&lt;$P123),"Termination Date cannot be before Eligibility Date; ","")&amp;IF($R123="","Status is required; ","")&amp;IF(AND($R123&lt;&gt;"",$R123&lt;&gt;"Active",$R123&lt;&gt;"Terminated"),"Status must be Active or Terminated; ","")&amp;IF(AND('START HERE'!$C$8="Terminations Only",$R123&lt;&gt;"Terminated"),"Terminations Only files must contain terminated records; ",""))</f>
        <v/>
      </c>
      <c r="AC123">
        <f>IF(COUNTA($A123:$U123)=0,"",IF($S123="","Plan Name is required; ","")&amp;IF($T123="","Benefit Coverage Level is required; ","")&amp;IF(AND($U123&lt;&gt;"",OR(NOT(ISNUMBER($U123)),$U123&lt;0)),"Plan Funding Amount must be a nonnegative number; ","")&amp;IF(AND($A123&lt;&gt;"",$S123&lt;&gt;"",COUNTIFS($A$2:$A$501,$A123,$B$2:$B$501,$B123,$S$2:$S$501,$S123)&gt;1),"Duplicate participant and plan row; ",""))</f>
        <v/>
      </c>
      <c r="AD123">
        <f>IF(COUNTA($A123:$U123)=0,"",IF(AND($X123="Employee",$M123="",$N123=""),"No employee phone or email provided; ","")&amp;IF(AND($R123="Active",$Q123&lt;&gt;""),"Active record includes a Termination Date; confirm this is intentional; ","")&amp;IF(AND($B123&lt;&gt;"",$B123&amp;""&lt;&gt;$A123&amp;"",COUNTIF($A$2:$A$501,$B123)&gt;0),"Dependent SSN also appears as an Employee SSN elsewhere; confirm dual-employee coverage is intentional; ","")&amp;IF(AND($B123&lt;&gt;"",COUNTIF($B$2:$B$501,$B123)&gt;COUNTIFS($A$2:$A$501,$A123,$B$2:$B$501,$B123)),"Dependent SSN appears under more than one employee; confirm duplicate family coverage is intentional; ","")&amp;IF(AND(ROW()&gt;2,$A123&lt;&gt;"",$A123&lt;&gt;$A122,COUNTIF($A$2:$A122,$A123)&gt;0),"This household appears in more than one section of the census; keep the family together; ","")&amp;IF(OR(AND($C123&lt;&gt;"",LEN($C123&amp;"")&lt;&gt;LEN(TRIM($C123&amp;""))),AND($D123&lt;&gt;"",LEN($D123&amp;"")&lt;&gt;LEN(TRIM($D123&amp;""))),AND($E123&lt;&gt;"",LEN($E123&amp;"")&lt;&gt;LEN(TRIM($E123&amp;""))),AND($F123&lt;&gt;"",LEN($F123&amp;"")&lt;&gt;LEN(TRIM($F123&amp;""))),AND($G123&lt;&gt;"",LEN($G123&amp;"")&lt;&gt;LEN(TRIM($G123&amp;""))),AND($H123&lt;&gt;"",LEN($H123&amp;"")&lt;&gt;LEN(TRIM($H123&amp;""))),AND($I123&lt;&gt;"",LEN($I123&amp;"")&lt;&gt;LEN(TRIM($I123&amp;""))),AND($J123&lt;&gt;"",LEN($J123&amp;"")&lt;&gt;LEN(TRIM($J123&amp;""))),AND($K123&lt;&gt;"",LEN($K123&amp;"")&lt;&gt;LEN(TRIM($K123&amp;""))),AND($M123&lt;&gt;"",LEN($M123&amp;"")&lt;&gt;LEN(TRIM($M123&amp;""))),AND($N123&lt;&gt;"",LEN($N123&amp;"")&lt;&gt;LEN(TRIM($N123&amp;""))),AND($O123&lt;&gt;"",LEN($O123&amp;"")&lt;&gt;LEN(TRIM($O123&amp;""))),AND($R123&lt;&gt;"",LEN($R123&amp;"")&lt;&gt;LEN(TRIM($R123&amp;""))),AND($S123&lt;&gt;"",LEN($S123&amp;"")&lt;&gt;LEN(TRIM($S123&amp;""))),AND($T123&lt;&gt;"",LEN($T123&amp;"")&lt;&gt;LEN(TRIM($T123&amp;"")))),"Remove leading or trailing spaces from text fields; ","")&amp;IF(OR(AND(LEN($C123)&gt;1,OR(EXACT($C123,UPPER($C123)),EXACT($C123,LOWER($C123)))),AND(LEN($D123)&gt;1,OR(EXACT($D123,UPPER($D123)),EXACT($D123,LOWER($D123)))),AND(LEN($H123)&gt;1,OR(EXACT($H123,UPPER($H123)),EXACT($H123,LOWER($H123))))),"Review capitalization in First Name, Last Name, or City; ","")&amp;IF(AND($N123&lt;&gt;"",NOT(EXACT($N123,LOWER($N123)))),"Email will be standardized to lowercase in the clean output; ","")&amp;IF(AND(OR('START HERE'!$C$8="Initial Enrollment",'START HERE'!$C$8="Open Enrollment"),$R123="Terminated"),"A terminated row is included in an initial or open enrollment file; confirm this is intentional; ",""))</f>
        <v/>
      </c>
      <c r="AE123">
        <f>IF(COUNTA($A123:$U123)=0,"",IF(OR($A123="",AND($A123&lt;&gt;"",NOT(IFERROR(AND(LEN($A123&amp;"")=9,ISNUMBER(--($A123&amp;""))),FALSE))),AND($A123&lt;&gt;"",OR($A123="123456789",$A123="987654321",$A123="012345678",$A123=REPT(LEFT($A123&amp;"",1),9)))),"Employee SSN, ","")&amp;IF(OR(AND($O123&lt;&gt;"",$B123=""),AND($B123&lt;&gt;"",OR(NOT(IFERROR(AND(LEN($B123&amp;"")=9,ISNUMBER(--($B123&amp;""))),FALSE)),$B123=$A123,$B123="123456789",$B123="987654321",$B123="012345678",$B123=REPT(LEFT($B123&amp;"",1),9)))),"Dependent SSN, ","")&amp;IF(OR($C123="",LEN($C123)&gt;19,AND($C123&lt;&gt;"",SUMPRODUCT(--(ROW($1:$19)&lt;=LEN($C123&amp;"")),--ISERROR(FIND(MID($C123&amp;"",ROW($1:$19),1),"ABCDEFGHIJKLMNOPQRSTUVWXYZabcdefghijklmnopqrstuvwxyz .,")))&gt;0)),"First Name, ","")&amp;IF(OR($D123="",LEN($D123)&gt;26,AND($D123&lt;&gt;"",SUMPRODUCT(--(ROW($1:$26)&lt;=LEN($D123&amp;"")),--ISERROR(FIND(MID($D123&amp;"",ROW($1:$26),1),"ABCDEFGHIJKLMNOPQRSTUVWXYZabcdefghijklmnopqrstuvwxyz .,")))&gt;0)),"Last Name, ","")&amp;IF(OR(LEN($E123)&gt;1,AND($E123&lt;&gt;"",SUMPRODUCT(--(ROW($1:$1)&lt;=LEN($E123&amp;"")),--ISERROR(FIND(MID($E123&amp;"",ROW($1:$1),1),"ABCDEFGHIJKLMNOPQRSTUVWXYZabcdefghijklmnopqrstuvwxyz .,")))&gt;0)),"Middle Initial, ","")&amp;IF(OR($F123="",LEN($F123)&gt;75),"Address, ","")&amp;IF(OR($H123="",LEN($H123)&gt;30),"City, ","")&amp;IF(AND($K123="US",OR($I123="",LEN($I123)&lt;&gt;2)),"State, ","")&amp;IF($J123="","ZIP, ","")&amp;IF(OR($K123="",AND($K123&lt;&gt;"US",$K123&lt;&gt;"CA")),"Country, ","")&amp;IF(OR($L123="",AND($L123&lt;&gt;"",OR(NOT(ISNUMBER($L123)),$L123&lt;=DATE(1900,1,1),$L123&gt;TODAY()))),"Birthdate, ","")&amp;IF(AND($N123&lt;&gt;"",NOT(IFERROR(AND(ISNUMBER(SEARCH("@",$N123)),ISNUMBER(SEARCH(".",$N123,SEARCH("@",$N123)+2))),FALSE))),"Email, ","")&amp;IF(OR(AND($B123&lt;&gt;"",$O123=""),AND($O123&lt;&gt;"",$O123&lt;&gt;"Spouse or Common Law Spouse",$O123&lt;&gt;"Domestic Partner",$O123&lt;&gt;"Child",$O123&lt;&gt;"Other",$O123&lt;&gt;"Estate",$O123&lt;&gt;"Unknown")),"Dependent Relationship, ","")&amp;IF($AA123&lt;&gt;"","Household, ","")&amp;IF(OR($P123="",AND($P123&lt;&gt;"",OR(NOT(ISNUMBER($P123)),$P123&lt;=DATE(1900,1,1)))),"Eligibility Date, ","")&amp;IF(OR(AND($R123="Terminated",$Q123=""),AND($Q123&lt;&gt;"",OR(NOT(ISNUMBER($Q123)),$Q123&lt;=DATE(1900,1,1))),AND(ISNUMBER($P123),ISNUMBER($Q123),$Q123&lt;$P123)),"Termination Date, ","")&amp;IF(OR($R123="",AND($R123&lt;&gt;"Active",$R123&lt;&gt;"Terminated"),AND('START HERE'!$C$8="Terminations Only",$R123&lt;&gt;"Terminated")),"Status, ","")&amp;IF($S123="","Plan Name, ","")&amp;IF($T123="","Coverage Level, ","")&amp;IF(AND($U123&lt;&gt;"",OR(NOT(ISNUMBER($U123)),$U123&lt;0)),"Funding, ","")&amp;IF(AND($A123&lt;&gt;"",$S123&lt;&gt;"",COUNTIFS($A$2:$A$501,$A123,$B$2:$B$501,$B123,$S$2:$S$501,$S123)&gt;1),"Duplicate Row, ",""))</f>
        <v/>
      </c>
      <c r="AF123">
        <f>IF(COUNTA($A123:$U123)=0,"",$Y123&amp;$Z123&amp;$AA123&amp;$AB123&amp;$AC123)</f>
        <v/>
      </c>
      <c r="AG123">
        <f>IF($N123="","",LOWER(TRIM($N123)))</f>
        <v/>
      </c>
      <c r="AH123">
        <f>IF($A123="","",COUNTIFS($A$2:$A$501,$A123,$AI$2:$AI$501,1))</f>
        <v/>
      </c>
      <c r="AI123">
        <f>IF(COUNTA($A123:$U123)=0,"",--($AF123&lt;&gt;""))</f>
        <v/>
      </c>
      <c r="AJ123">
        <f>IF(COUNTA($A123:$U123)=0,"",--($AD123&lt;&gt;""))</f>
        <v/>
      </c>
    </row>
    <row r="124" ht="20" customHeight="1">
      <c r="A124" s="80" t="n"/>
      <c r="B124" s="80" t="n"/>
      <c r="C124" s="81" t="n"/>
      <c r="D124" s="81" t="n"/>
      <c r="E124" s="80" t="n"/>
      <c r="F124" s="81" t="n"/>
      <c r="G124" s="81" t="n"/>
      <c r="H124" s="81" t="n"/>
      <c r="I124" s="80" t="n"/>
      <c r="J124" s="80" t="n"/>
      <c r="K124" s="80" t="n"/>
      <c r="L124" s="82" t="n"/>
      <c r="M124" s="80" t="n"/>
      <c r="N124" s="80" t="n"/>
      <c r="O124" s="80" t="n"/>
      <c r="P124" s="82" t="n"/>
      <c r="Q124" s="82" t="n"/>
      <c r="R124" s="80" t="n"/>
      <c r="S124" s="80" t="n"/>
      <c r="T124" s="80" t="n"/>
      <c r="U124" s="83" t="n"/>
      <c r="V124">
        <f>IF($A124="","",IF($A124=$A123,$V123,IF($V123="",0,1-$V123)))</f>
        <v/>
      </c>
      <c r="W124">
        <f>IF($B124&lt;&gt;"",$B124,$A124)</f>
        <v/>
      </c>
      <c r="X124">
        <f>IF(COUNTA($A124:$U124)=0,"",IF(OR($B124&lt;&gt;"",$O124&lt;&gt;""),"Dependent","Employee"))</f>
        <v/>
      </c>
      <c r="Y124">
        <f>IF(COUNTA($A124:$U124)=0,"",IF($A124="","Employee SSN is required; ","")&amp;IF($C124="","First Name is required; ","")&amp;IF(LEN($C124&amp;"")&gt;19,"First Name exceeds 19 characters; ","")&amp;IF(AND($C124&lt;&gt;"",SUMPRODUCT(--(ROW($1:$19)&lt;=LEN($C124&amp;"")),--ISERROR(FIND(MID($C124&amp;"",ROW($1:$19),1),"ABCDEFGHIJKLMNOPQRSTUVWXYZabcdefghijklmnopqrstuvwxyz .,")))&gt;0),"First Name contains unsupported or encoded characters; use plain A-Z letters only; ","")&amp;IF($D124="","Last Name is required; ","")&amp;IF(LEN($D124&amp;"")&gt;26,"Last Name exceeds 26 characters; ","")&amp;IF(AND($D124&lt;&gt;"",SUMPRODUCT(--(ROW($1:$26)&lt;=LEN($D124&amp;"")),--ISERROR(FIND(MID($D124&amp;"",ROW($1:$26),1),"ABCDEFGHIJKLMNOPQRSTUVWXYZabcdefghijklmnopqrstuvwxyz .,")))&gt;0),"Last Name contains unsupported or encoded characters; use plain A-Z letters only; ","")&amp;IF(LEN($E124&amp;"")&gt;1,"Middle Initial may contain only one character; ","")&amp;IF(AND($E124&lt;&gt;"",SUMPRODUCT(--(ROW($1:$1)&lt;=LEN($E124&amp;"")),--ISERROR(FIND(MID($E124&amp;"",ROW($1:$1),1),"ABCDEFGHIJKLMNOPQRSTUVWXYZabcdefghijklmnopqrstuvwxyz .,")))&gt;0),"Middle Initial must be a plain A-Z letter; ","")&amp;IF($F124="","Address is required; ","")&amp;IF(LEN($F124&amp;"")&gt;75,"Address exceeds 75 characters; ","")&amp;IF(LEN($G124&amp;"")&gt;75,"Address 2 exceeds 75 characters; ","")&amp;IF($H124="","City is required; ","")&amp;IF(LEN($H124&amp;"")&gt;30,"City exceeds 30 characters; ","")&amp;IF($K124="","Country is required; ","")&amp;IF(AND($K124&lt;&gt;"",$K124&lt;&gt;"US",$K124&lt;&gt;"CA"),"Country must be US or CA; ","")&amp;IF(AND($K124="US",OR($I124="",LEN($I124&amp;"")&lt;&gt;2)),"Use a 2-letter state code; ","")&amp;IF($J124="","ZIP or postal code is required; ","")&amp;IF(AND($K124="US",$J124&lt;&gt;"",NOT(IFERROR(OR(AND(LEN($J124&amp;"")=5,ISNUMBER(--($J124&amp;""))),AND(LEN($J124&amp;"")=9,ISNUMBER(--($J124&amp;""))),AND(LEN($J124&amp;"")=10,MID($J124&amp;"",6,1)="-",ISNUMBER(--SUBSTITUTE($J124&amp;"","-","")))),FALSE))),"US ZIP must be 5 or 9 digits, with an optional ZIP+4 hyphen; ","")&amp;IF(AND($N124&lt;&gt;"",NOT(IFERROR(AND(ISNUMBER(SEARCH("@",$N124)),ISNUMBER(SEARCH(".",$N124,SEARCH("@",$N124)+2))),FALSE))),"Email format appears invalid; ","")&amp;IF(AND($O124&lt;&gt;"",$B124=""),"Dependent SSN is required for every dependent; ","")&amp;IF(AND($B124&lt;&gt;"",$O124=""),"Dependent Relationship is required when Dependent SSN is entered; ","")&amp;IF(AND($O124&lt;&gt;"",$O124&lt;&gt;"Spouse or Common Law Spouse",$O124&lt;&gt;"Domestic Partner",$O124&lt;&gt;"Child",$O124&lt;&gt;"Other",$O124&lt;&gt;"Estate",$O124&lt;&gt;"Unknown"),"Dependent Relationship must use one of the approved options; ",""))</f>
        <v/>
      </c>
      <c r="Z124">
        <f>IF(COUNTA($A124:$U124)=0,"",IF(AND($A124&lt;&gt;"",NOT(IFERROR(AND(LEN($A124&amp;"")=9,ISNUMBER(--($A124&amp;""))),FALSE))),"Employee SSN must contain exactly 9 digits; ","")&amp;IF(AND($A124&lt;&gt;"",OR($A124="123456789",$A124="987654321",$A124="012345678",$A124=REPT(LEFT($A124&amp;"",1),9))),"Employee SSN appears to be a placeholder; ","")&amp;IF(AND($B124&lt;&gt;"",NOT(IFERROR(AND(LEN($B124&amp;"")=9,ISNUMBER(--($B124&amp;""))),FALSE))),"Dependent SSN must contain exactly 9 digits; ","")&amp;IF(AND($B124&lt;&gt;"",OR($B124="123456789",$B124="987654321",$B124="012345678",$B124=REPT(LEFT($B124&amp;"",1),9))),"Dependent SSN appears to be a placeholder; ","")&amp;IF(AND($A124&lt;&gt;"",$B124&lt;&gt;"",$A124&amp;""=$B124&amp;""),"Dependent SSN cannot match Employee SSN; ","")&amp;IF(AND($W124&lt;&gt;"",OR(COUNTIFS($W$2:$W$501,$W124,$C$2:$C$501,"&lt;&gt;"&amp;$C124)&gt;0,COUNTIFS($W$2:$W$501,$W124,$D$2:$D$501,"&lt;&gt;"&amp;$D124)&gt;0,COUNTIFS($W$2:$W$501,$W124,$L$2:$L$501,"&lt;&gt;"&amp;$L124)&gt;0)),"The same SSN is associated with a different name or birthdate; ",""))</f>
        <v/>
      </c>
      <c r="AA124">
        <f>IF(COUNTA($A124:$U124)=0,"",IF(AND($A124&lt;&gt;"",$S124&lt;&gt;"",COUNTIFS($A$2:$A$501,$A124,$S$2:$S$501,$S124,$B$2:$B$501,"",$O$2:$O$501,"")=0),"Add an employee row for this household and plan; ","")&amp;IF(AND($X124="Dependent",COUNTIFS($A$2:$A124,$A124,$S$2:$S124,$S124,$B$2:$B124,"",$O$2:$O124,"")=0),"Place the employee row before dependent rows for this plan; ","")&amp;IF(AND($X124="Dependent",COUNTIFS($A$2:$A$501,$A124,$S$2:$S$501,$S124,$B$2:$B$501,"",$O$2:$O$501,"")&gt;0,IFERROR(OR($P124&lt;&gt;LOOKUP(2,1/(($A$2:$A$501=$A124)*($S$2:$S$501=$S124)*($B$2:$B$501="")*($O$2:$O$501="")),$P$2:$P$501),$Q124&lt;&gt;LOOKUP(2,1/(($A$2:$A$501=$A124)*($S$2:$S$501=$S124)*($B$2:$B$501="")*($O$2:$O$501="")),$Q$2:$Q$501),$R124&lt;&gt;LOOKUP(2,1/(($A$2:$A$501=$A124)*($S$2:$S$501=$S124)*($B$2:$B$501="")*($O$2:$O$501="")),$R$2:$R$501),$T124&lt;&gt;LOOKUP(2,1/(($A$2:$A$501=$A124)*($S$2:$S$501=$S124)*($B$2:$B$501="")*($O$2:$O$501="")),$T$2:$T$501),$U124&lt;&gt;LOOKUP(2,1/(($A$2:$A$501=$A124)*($S$2:$S$501=$S124)*($B$2:$B$501="")*($O$2:$O$501="")),$U$2:$U$501)),FALSE)),"Dependent row does not match the employee row for eligibility, status, coverage level, or funding; ",""))</f>
        <v/>
      </c>
      <c r="AB124">
        <f>IF(COUNTA($A124:$U124)=0,"",IF($L124="","Birthdate is required; ","")&amp;IF(AND($L124&lt;&gt;"",OR(NOT(ISNUMBER($L124)),$L124&lt;=DATE(1900,1,1),$L124&gt;TODAY())),"Birthdate must be an exact valid past date; ","")&amp;IF($P124="","Eligibility Date is required; ","")&amp;IF(AND($P124&lt;&gt;"",OR(NOT(ISNUMBER($P124)),$P124&lt;=DATE(1900,1,1))),"Eligibility Date must be a valid date; ","")&amp;IF(AND($R124="Terminated",$Q124=""),"Termination Date is required when Status is Terminated; ","")&amp;IF(AND($Q124&lt;&gt;"",OR(NOT(ISNUMBER($Q124)),$Q124&lt;=DATE(1900,1,1))),"Termination Date must be a valid date; ","")&amp;IF(AND(ISNUMBER($P124),ISNUMBER($Q124),$Q124&lt;$P124),"Termination Date cannot be before Eligibility Date; ","")&amp;IF($R124="","Status is required; ","")&amp;IF(AND($R124&lt;&gt;"",$R124&lt;&gt;"Active",$R124&lt;&gt;"Terminated"),"Status must be Active or Terminated; ","")&amp;IF(AND('START HERE'!$C$8="Terminations Only",$R124&lt;&gt;"Terminated"),"Terminations Only files must contain terminated records; ",""))</f>
        <v/>
      </c>
      <c r="AC124">
        <f>IF(COUNTA($A124:$U124)=0,"",IF($S124="","Plan Name is required; ","")&amp;IF($T124="","Benefit Coverage Level is required; ","")&amp;IF(AND($U124&lt;&gt;"",OR(NOT(ISNUMBER($U124)),$U124&lt;0)),"Plan Funding Amount must be a nonnegative number; ","")&amp;IF(AND($A124&lt;&gt;"",$S124&lt;&gt;"",COUNTIFS($A$2:$A$501,$A124,$B$2:$B$501,$B124,$S$2:$S$501,$S124)&gt;1),"Duplicate participant and plan row; ",""))</f>
        <v/>
      </c>
      <c r="AD124">
        <f>IF(COUNTA($A124:$U124)=0,"",IF(AND($X124="Employee",$M124="",$N124=""),"No employee phone or email provided; ","")&amp;IF(AND($R124="Active",$Q124&lt;&gt;""),"Active record includes a Termination Date; confirm this is intentional; ","")&amp;IF(AND($B124&lt;&gt;"",$B124&amp;""&lt;&gt;$A124&amp;"",COUNTIF($A$2:$A$501,$B124)&gt;0),"Dependent SSN also appears as an Employee SSN elsewhere; confirm dual-employee coverage is intentional; ","")&amp;IF(AND($B124&lt;&gt;"",COUNTIF($B$2:$B$501,$B124)&gt;COUNTIFS($A$2:$A$501,$A124,$B$2:$B$501,$B124)),"Dependent SSN appears under more than one employee; confirm duplicate family coverage is intentional; ","")&amp;IF(AND(ROW()&gt;2,$A124&lt;&gt;"",$A124&lt;&gt;$A123,COUNTIF($A$2:$A123,$A124)&gt;0),"This household appears in more than one section of the census; keep the family together; ","")&amp;IF(OR(AND($C124&lt;&gt;"",LEN($C124&amp;"")&lt;&gt;LEN(TRIM($C124&amp;""))),AND($D124&lt;&gt;"",LEN($D124&amp;"")&lt;&gt;LEN(TRIM($D124&amp;""))),AND($E124&lt;&gt;"",LEN($E124&amp;"")&lt;&gt;LEN(TRIM($E124&amp;""))),AND($F124&lt;&gt;"",LEN($F124&amp;"")&lt;&gt;LEN(TRIM($F124&amp;""))),AND($G124&lt;&gt;"",LEN($G124&amp;"")&lt;&gt;LEN(TRIM($G124&amp;""))),AND($H124&lt;&gt;"",LEN($H124&amp;"")&lt;&gt;LEN(TRIM($H124&amp;""))),AND($I124&lt;&gt;"",LEN($I124&amp;"")&lt;&gt;LEN(TRIM($I124&amp;""))),AND($J124&lt;&gt;"",LEN($J124&amp;"")&lt;&gt;LEN(TRIM($J124&amp;""))),AND($K124&lt;&gt;"",LEN($K124&amp;"")&lt;&gt;LEN(TRIM($K124&amp;""))),AND($M124&lt;&gt;"",LEN($M124&amp;"")&lt;&gt;LEN(TRIM($M124&amp;""))),AND($N124&lt;&gt;"",LEN($N124&amp;"")&lt;&gt;LEN(TRIM($N124&amp;""))),AND($O124&lt;&gt;"",LEN($O124&amp;"")&lt;&gt;LEN(TRIM($O124&amp;""))),AND($R124&lt;&gt;"",LEN($R124&amp;"")&lt;&gt;LEN(TRIM($R124&amp;""))),AND($S124&lt;&gt;"",LEN($S124&amp;"")&lt;&gt;LEN(TRIM($S124&amp;""))),AND($T124&lt;&gt;"",LEN($T124&amp;"")&lt;&gt;LEN(TRIM($T124&amp;"")))),"Remove leading or trailing spaces from text fields; ","")&amp;IF(OR(AND(LEN($C124)&gt;1,OR(EXACT($C124,UPPER($C124)),EXACT($C124,LOWER($C124)))),AND(LEN($D124)&gt;1,OR(EXACT($D124,UPPER($D124)),EXACT($D124,LOWER($D124)))),AND(LEN($H124)&gt;1,OR(EXACT($H124,UPPER($H124)),EXACT($H124,LOWER($H124))))),"Review capitalization in First Name, Last Name, or City; ","")&amp;IF(AND($N124&lt;&gt;"",NOT(EXACT($N124,LOWER($N124)))),"Email will be standardized to lowercase in the clean output; ","")&amp;IF(AND(OR('START HERE'!$C$8="Initial Enrollment",'START HERE'!$C$8="Open Enrollment"),$R124="Terminated"),"A terminated row is included in an initial or open enrollment file; confirm this is intentional; ",""))</f>
        <v/>
      </c>
      <c r="AE124">
        <f>IF(COUNTA($A124:$U124)=0,"",IF(OR($A124="",AND($A124&lt;&gt;"",NOT(IFERROR(AND(LEN($A124&amp;"")=9,ISNUMBER(--($A124&amp;""))),FALSE))),AND($A124&lt;&gt;"",OR($A124="123456789",$A124="987654321",$A124="012345678",$A124=REPT(LEFT($A124&amp;"",1),9)))),"Employee SSN, ","")&amp;IF(OR(AND($O124&lt;&gt;"",$B124=""),AND($B124&lt;&gt;"",OR(NOT(IFERROR(AND(LEN($B124&amp;"")=9,ISNUMBER(--($B124&amp;""))),FALSE)),$B124=$A124,$B124="123456789",$B124="987654321",$B124="012345678",$B124=REPT(LEFT($B124&amp;"",1),9)))),"Dependent SSN, ","")&amp;IF(OR($C124="",LEN($C124)&gt;19,AND($C124&lt;&gt;"",SUMPRODUCT(--(ROW($1:$19)&lt;=LEN($C124&amp;"")),--ISERROR(FIND(MID($C124&amp;"",ROW($1:$19),1),"ABCDEFGHIJKLMNOPQRSTUVWXYZabcdefghijklmnopqrstuvwxyz .,")))&gt;0)),"First Name, ","")&amp;IF(OR($D124="",LEN($D124)&gt;26,AND($D124&lt;&gt;"",SUMPRODUCT(--(ROW($1:$26)&lt;=LEN($D124&amp;"")),--ISERROR(FIND(MID($D124&amp;"",ROW($1:$26),1),"ABCDEFGHIJKLMNOPQRSTUVWXYZabcdefghijklmnopqrstuvwxyz .,")))&gt;0)),"Last Name, ","")&amp;IF(OR(LEN($E124)&gt;1,AND($E124&lt;&gt;"",SUMPRODUCT(--(ROW($1:$1)&lt;=LEN($E124&amp;"")),--ISERROR(FIND(MID($E124&amp;"",ROW($1:$1),1),"ABCDEFGHIJKLMNOPQRSTUVWXYZabcdefghijklmnopqrstuvwxyz .,")))&gt;0)),"Middle Initial, ","")&amp;IF(OR($F124="",LEN($F124)&gt;75),"Address, ","")&amp;IF(OR($H124="",LEN($H124)&gt;30),"City, ","")&amp;IF(AND($K124="US",OR($I124="",LEN($I124)&lt;&gt;2)),"State, ","")&amp;IF($J124="","ZIP, ","")&amp;IF(OR($K124="",AND($K124&lt;&gt;"US",$K124&lt;&gt;"CA")),"Country, ","")&amp;IF(OR($L124="",AND($L124&lt;&gt;"",OR(NOT(ISNUMBER($L124)),$L124&lt;=DATE(1900,1,1),$L124&gt;TODAY()))),"Birthdate, ","")&amp;IF(AND($N124&lt;&gt;"",NOT(IFERROR(AND(ISNUMBER(SEARCH("@",$N124)),ISNUMBER(SEARCH(".",$N124,SEARCH("@",$N124)+2))),FALSE))),"Email, ","")&amp;IF(OR(AND($B124&lt;&gt;"",$O124=""),AND($O124&lt;&gt;"",$O124&lt;&gt;"Spouse or Common Law Spouse",$O124&lt;&gt;"Domestic Partner",$O124&lt;&gt;"Child",$O124&lt;&gt;"Other",$O124&lt;&gt;"Estate",$O124&lt;&gt;"Unknown")),"Dependent Relationship, ","")&amp;IF($AA124&lt;&gt;"","Household, ","")&amp;IF(OR($P124="",AND($P124&lt;&gt;"",OR(NOT(ISNUMBER($P124)),$P124&lt;=DATE(1900,1,1)))),"Eligibility Date, ","")&amp;IF(OR(AND($R124="Terminated",$Q124=""),AND($Q124&lt;&gt;"",OR(NOT(ISNUMBER($Q124)),$Q124&lt;=DATE(1900,1,1))),AND(ISNUMBER($P124),ISNUMBER($Q124),$Q124&lt;$P124)),"Termination Date, ","")&amp;IF(OR($R124="",AND($R124&lt;&gt;"Active",$R124&lt;&gt;"Terminated"),AND('START HERE'!$C$8="Terminations Only",$R124&lt;&gt;"Terminated")),"Status, ","")&amp;IF($S124="","Plan Name, ","")&amp;IF($T124="","Coverage Level, ","")&amp;IF(AND($U124&lt;&gt;"",OR(NOT(ISNUMBER($U124)),$U124&lt;0)),"Funding, ","")&amp;IF(AND($A124&lt;&gt;"",$S124&lt;&gt;"",COUNTIFS($A$2:$A$501,$A124,$B$2:$B$501,$B124,$S$2:$S$501,$S124)&gt;1),"Duplicate Row, ",""))</f>
        <v/>
      </c>
      <c r="AF124">
        <f>IF(COUNTA($A124:$U124)=0,"",$Y124&amp;$Z124&amp;$AA124&amp;$AB124&amp;$AC124)</f>
        <v/>
      </c>
      <c r="AG124">
        <f>IF($N124="","",LOWER(TRIM($N124)))</f>
        <v/>
      </c>
      <c r="AH124">
        <f>IF($A124="","",COUNTIFS($A$2:$A$501,$A124,$AI$2:$AI$501,1))</f>
        <v/>
      </c>
      <c r="AI124">
        <f>IF(COUNTA($A124:$U124)=0,"",--($AF124&lt;&gt;""))</f>
        <v/>
      </c>
      <c r="AJ124">
        <f>IF(COUNTA($A124:$U124)=0,"",--($AD124&lt;&gt;""))</f>
        <v/>
      </c>
    </row>
    <row r="125" ht="20" customHeight="1">
      <c r="A125" s="80" t="n"/>
      <c r="B125" s="80" t="n"/>
      <c r="C125" s="81" t="n"/>
      <c r="D125" s="81" t="n"/>
      <c r="E125" s="80" t="n"/>
      <c r="F125" s="81" t="n"/>
      <c r="G125" s="81" t="n"/>
      <c r="H125" s="81" t="n"/>
      <c r="I125" s="80" t="n"/>
      <c r="J125" s="80" t="n"/>
      <c r="K125" s="80" t="n"/>
      <c r="L125" s="82" t="n"/>
      <c r="M125" s="80" t="n"/>
      <c r="N125" s="80" t="n"/>
      <c r="O125" s="80" t="n"/>
      <c r="P125" s="82" t="n"/>
      <c r="Q125" s="82" t="n"/>
      <c r="R125" s="80" t="n"/>
      <c r="S125" s="80" t="n"/>
      <c r="T125" s="80" t="n"/>
      <c r="U125" s="83" t="n"/>
      <c r="V125">
        <f>IF($A125="","",IF($A125=$A124,$V124,IF($V124="",0,1-$V124)))</f>
        <v/>
      </c>
      <c r="W125">
        <f>IF($B125&lt;&gt;"",$B125,$A125)</f>
        <v/>
      </c>
      <c r="X125">
        <f>IF(COUNTA($A125:$U125)=0,"",IF(OR($B125&lt;&gt;"",$O125&lt;&gt;""),"Dependent","Employee"))</f>
        <v/>
      </c>
      <c r="Y125">
        <f>IF(COUNTA($A125:$U125)=0,"",IF($A125="","Employee SSN is required; ","")&amp;IF($C125="","First Name is required; ","")&amp;IF(LEN($C125&amp;"")&gt;19,"First Name exceeds 19 characters; ","")&amp;IF(AND($C125&lt;&gt;"",SUMPRODUCT(--(ROW($1:$19)&lt;=LEN($C125&amp;"")),--ISERROR(FIND(MID($C125&amp;"",ROW($1:$19),1),"ABCDEFGHIJKLMNOPQRSTUVWXYZabcdefghijklmnopqrstuvwxyz .,")))&gt;0),"First Name contains unsupported or encoded characters; use plain A-Z letters only; ","")&amp;IF($D125="","Last Name is required; ","")&amp;IF(LEN($D125&amp;"")&gt;26,"Last Name exceeds 26 characters; ","")&amp;IF(AND($D125&lt;&gt;"",SUMPRODUCT(--(ROW($1:$26)&lt;=LEN($D125&amp;"")),--ISERROR(FIND(MID($D125&amp;"",ROW($1:$26),1),"ABCDEFGHIJKLMNOPQRSTUVWXYZabcdefghijklmnopqrstuvwxyz .,")))&gt;0),"Last Name contains unsupported or encoded characters; use plain A-Z letters only; ","")&amp;IF(LEN($E125&amp;"")&gt;1,"Middle Initial may contain only one character; ","")&amp;IF(AND($E125&lt;&gt;"",SUMPRODUCT(--(ROW($1:$1)&lt;=LEN($E125&amp;"")),--ISERROR(FIND(MID($E125&amp;"",ROW($1:$1),1),"ABCDEFGHIJKLMNOPQRSTUVWXYZabcdefghijklmnopqrstuvwxyz .,")))&gt;0),"Middle Initial must be a plain A-Z letter; ","")&amp;IF($F125="","Address is required; ","")&amp;IF(LEN($F125&amp;"")&gt;75,"Address exceeds 75 characters; ","")&amp;IF(LEN($G125&amp;"")&gt;75,"Address 2 exceeds 75 characters; ","")&amp;IF($H125="","City is required; ","")&amp;IF(LEN($H125&amp;"")&gt;30,"City exceeds 30 characters; ","")&amp;IF($K125="","Country is required; ","")&amp;IF(AND($K125&lt;&gt;"",$K125&lt;&gt;"US",$K125&lt;&gt;"CA"),"Country must be US or CA; ","")&amp;IF(AND($K125="US",OR($I125="",LEN($I125&amp;"")&lt;&gt;2)),"Use a 2-letter state code; ","")&amp;IF($J125="","ZIP or postal code is required; ","")&amp;IF(AND($K125="US",$J125&lt;&gt;"",NOT(IFERROR(OR(AND(LEN($J125&amp;"")=5,ISNUMBER(--($J125&amp;""))),AND(LEN($J125&amp;"")=9,ISNUMBER(--($J125&amp;""))),AND(LEN($J125&amp;"")=10,MID($J125&amp;"",6,1)="-",ISNUMBER(--SUBSTITUTE($J125&amp;"","-","")))),FALSE))),"US ZIP must be 5 or 9 digits, with an optional ZIP+4 hyphen; ","")&amp;IF(AND($N125&lt;&gt;"",NOT(IFERROR(AND(ISNUMBER(SEARCH("@",$N125)),ISNUMBER(SEARCH(".",$N125,SEARCH("@",$N125)+2))),FALSE))),"Email format appears invalid; ","")&amp;IF(AND($O125&lt;&gt;"",$B125=""),"Dependent SSN is required for every dependent; ","")&amp;IF(AND($B125&lt;&gt;"",$O125=""),"Dependent Relationship is required when Dependent SSN is entered; ","")&amp;IF(AND($O125&lt;&gt;"",$O125&lt;&gt;"Spouse or Common Law Spouse",$O125&lt;&gt;"Domestic Partner",$O125&lt;&gt;"Child",$O125&lt;&gt;"Other",$O125&lt;&gt;"Estate",$O125&lt;&gt;"Unknown"),"Dependent Relationship must use one of the approved options; ",""))</f>
        <v/>
      </c>
      <c r="Z125">
        <f>IF(COUNTA($A125:$U125)=0,"",IF(AND($A125&lt;&gt;"",NOT(IFERROR(AND(LEN($A125&amp;"")=9,ISNUMBER(--($A125&amp;""))),FALSE))),"Employee SSN must contain exactly 9 digits; ","")&amp;IF(AND($A125&lt;&gt;"",OR($A125="123456789",$A125="987654321",$A125="012345678",$A125=REPT(LEFT($A125&amp;"",1),9))),"Employee SSN appears to be a placeholder; ","")&amp;IF(AND($B125&lt;&gt;"",NOT(IFERROR(AND(LEN($B125&amp;"")=9,ISNUMBER(--($B125&amp;""))),FALSE))),"Dependent SSN must contain exactly 9 digits; ","")&amp;IF(AND($B125&lt;&gt;"",OR($B125="123456789",$B125="987654321",$B125="012345678",$B125=REPT(LEFT($B125&amp;"",1),9))),"Dependent SSN appears to be a placeholder; ","")&amp;IF(AND($A125&lt;&gt;"",$B125&lt;&gt;"",$A125&amp;""=$B125&amp;""),"Dependent SSN cannot match Employee SSN; ","")&amp;IF(AND($W125&lt;&gt;"",OR(COUNTIFS($W$2:$W$501,$W125,$C$2:$C$501,"&lt;&gt;"&amp;$C125)&gt;0,COUNTIFS($W$2:$W$501,$W125,$D$2:$D$501,"&lt;&gt;"&amp;$D125)&gt;0,COUNTIFS($W$2:$W$501,$W125,$L$2:$L$501,"&lt;&gt;"&amp;$L125)&gt;0)),"The same SSN is associated with a different name or birthdate; ",""))</f>
        <v/>
      </c>
      <c r="AA125">
        <f>IF(COUNTA($A125:$U125)=0,"",IF(AND($A125&lt;&gt;"",$S125&lt;&gt;"",COUNTIFS($A$2:$A$501,$A125,$S$2:$S$501,$S125,$B$2:$B$501,"",$O$2:$O$501,"")=0),"Add an employee row for this household and plan; ","")&amp;IF(AND($X125="Dependent",COUNTIFS($A$2:$A125,$A125,$S$2:$S125,$S125,$B$2:$B125,"",$O$2:$O125,"")=0),"Place the employee row before dependent rows for this plan; ","")&amp;IF(AND($X125="Dependent",COUNTIFS($A$2:$A$501,$A125,$S$2:$S$501,$S125,$B$2:$B$501,"",$O$2:$O$501,"")&gt;0,IFERROR(OR($P125&lt;&gt;LOOKUP(2,1/(($A$2:$A$501=$A125)*($S$2:$S$501=$S125)*($B$2:$B$501="")*($O$2:$O$501="")),$P$2:$P$501),$Q125&lt;&gt;LOOKUP(2,1/(($A$2:$A$501=$A125)*($S$2:$S$501=$S125)*($B$2:$B$501="")*($O$2:$O$501="")),$Q$2:$Q$501),$R125&lt;&gt;LOOKUP(2,1/(($A$2:$A$501=$A125)*($S$2:$S$501=$S125)*($B$2:$B$501="")*($O$2:$O$501="")),$R$2:$R$501),$T125&lt;&gt;LOOKUP(2,1/(($A$2:$A$501=$A125)*($S$2:$S$501=$S125)*($B$2:$B$501="")*($O$2:$O$501="")),$T$2:$T$501),$U125&lt;&gt;LOOKUP(2,1/(($A$2:$A$501=$A125)*($S$2:$S$501=$S125)*($B$2:$B$501="")*($O$2:$O$501="")),$U$2:$U$501)),FALSE)),"Dependent row does not match the employee row for eligibility, status, coverage level, or funding; ",""))</f>
        <v/>
      </c>
      <c r="AB125">
        <f>IF(COUNTA($A125:$U125)=0,"",IF($L125="","Birthdate is required; ","")&amp;IF(AND($L125&lt;&gt;"",OR(NOT(ISNUMBER($L125)),$L125&lt;=DATE(1900,1,1),$L125&gt;TODAY())),"Birthdate must be an exact valid past date; ","")&amp;IF($P125="","Eligibility Date is required; ","")&amp;IF(AND($P125&lt;&gt;"",OR(NOT(ISNUMBER($P125)),$P125&lt;=DATE(1900,1,1))),"Eligibility Date must be a valid date; ","")&amp;IF(AND($R125="Terminated",$Q125=""),"Termination Date is required when Status is Terminated; ","")&amp;IF(AND($Q125&lt;&gt;"",OR(NOT(ISNUMBER($Q125)),$Q125&lt;=DATE(1900,1,1))),"Termination Date must be a valid date; ","")&amp;IF(AND(ISNUMBER($P125),ISNUMBER($Q125),$Q125&lt;$P125),"Termination Date cannot be before Eligibility Date; ","")&amp;IF($R125="","Status is required; ","")&amp;IF(AND($R125&lt;&gt;"",$R125&lt;&gt;"Active",$R125&lt;&gt;"Terminated"),"Status must be Active or Terminated; ","")&amp;IF(AND('START HERE'!$C$8="Terminations Only",$R125&lt;&gt;"Terminated"),"Terminations Only files must contain terminated records; ",""))</f>
        <v/>
      </c>
      <c r="AC125">
        <f>IF(COUNTA($A125:$U125)=0,"",IF($S125="","Plan Name is required; ","")&amp;IF($T125="","Benefit Coverage Level is required; ","")&amp;IF(AND($U125&lt;&gt;"",OR(NOT(ISNUMBER($U125)),$U125&lt;0)),"Plan Funding Amount must be a nonnegative number; ","")&amp;IF(AND($A125&lt;&gt;"",$S125&lt;&gt;"",COUNTIFS($A$2:$A$501,$A125,$B$2:$B$501,$B125,$S$2:$S$501,$S125)&gt;1),"Duplicate participant and plan row; ",""))</f>
        <v/>
      </c>
      <c r="AD125">
        <f>IF(COUNTA($A125:$U125)=0,"",IF(AND($X125="Employee",$M125="",$N125=""),"No employee phone or email provided; ","")&amp;IF(AND($R125="Active",$Q125&lt;&gt;""),"Active record includes a Termination Date; confirm this is intentional; ","")&amp;IF(AND($B125&lt;&gt;"",$B125&amp;""&lt;&gt;$A125&amp;"",COUNTIF($A$2:$A$501,$B125)&gt;0),"Dependent SSN also appears as an Employee SSN elsewhere; confirm dual-employee coverage is intentional; ","")&amp;IF(AND($B125&lt;&gt;"",COUNTIF($B$2:$B$501,$B125)&gt;COUNTIFS($A$2:$A$501,$A125,$B$2:$B$501,$B125)),"Dependent SSN appears under more than one employee; confirm duplicate family coverage is intentional; ","")&amp;IF(AND(ROW()&gt;2,$A125&lt;&gt;"",$A125&lt;&gt;$A124,COUNTIF($A$2:$A124,$A125)&gt;0),"This household appears in more than one section of the census; keep the family together; ","")&amp;IF(OR(AND($C125&lt;&gt;"",LEN($C125&amp;"")&lt;&gt;LEN(TRIM($C125&amp;""))),AND($D125&lt;&gt;"",LEN($D125&amp;"")&lt;&gt;LEN(TRIM($D125&amp;""))),AND($E125&lt;&gt;"",LEN($E125&amp;"")&lt;&gt;LEN(TRIM($E125&amp;""))),AND($F125&lt;&gt;"",LEN($F125&amp;"")&lt;&gt;LEN(TRIM($F125&amp;""))),AND($G125&lt;&gt;"",LEN($G125&amp;"")&lt;&gt;LEN(TRIM($G125&amp;""))),AND($H125&lt;&gt;"",LEN($H125&amp;"")&lt;&gt;LEN(TRIM($H125&amp;""))),AND($I125&lt;&gt;"",LEN($I125&amp;"")&lt;&gt;LEN(TRIM($I125&amp;""))),AND($J125&lt;&gt;"",LEN($J125&amp;"")&lt;&gt;LEN(TRIM($J125&amp;""))),AND($K125&lt;&gt;"",LEN($K125&amp;"")&lt;&gt;LEN(TRIM($K125&amp;""))),AND($M125&lt;&gt;"",LEN($M125&amp;"")&lt;&gt;LEN(TRIM($M125&amp;""))),AND($N125&lt;&gt;"",LEN($N125&amp;"")&lt;&gt;LEN(TRIM($N125&amp;""))),AND($O125&lt;&gt;"",LEN($O125&amp;"")&lt;&gt;LEN(TRIM($O125&amp;""))),AND($R125&lt;&gt;"",LEN($R125&amp;"")&lt;&gt;LEN(TRIM($R125&amp;""))),AND($S125&lt;&gt;"",LEN($S125&amp;"")&lt;&gt;LEN(TRIM($S125&amp;""))),AND($T125&lt;&gt;"",LEN($T125&amp;"")&lt;&gt;LEN(TRIM($T125&amp;"")))),"Remove leading or trailing spaces from text fields; ","")&amp;IF(OR(AND(LEN($C125)&gt;1,OR(EXACT($C125,UPPER($C125)),EXACT($C125,LOWER($C125)))),AND(LEN($D125)&gt;1,OR(EXACT($D125,UPPER($D125)),EXACT($D125,LOWER($D125)))),AND(LEN($H125)&gt;1,OR(EXACT($H125,UPPER($H125)),EXACT($H125,LOWER($H125))))),"Review capitalization in First Name, Last Name, or City; ","")&amp;IF(AND($N125&lt;&gt;"",NOT(EXACT($N125,LOWER($N125)))),"Email will be standardized to lowercase in the clean output; ","")&amp;IF(AND(OR('START HERE'!$C$8="Initial Enrollment",'START HERE'!$C$8="Open Enrollment"),$R125="Terminated"),"A terminated row is included in an initial or open enrollment file; confirm this is intentional; ",""))</f>
        <v/>
      </c>
      <c r="AE125">
        <f>IF(COUNTA($A125:$U125)=0,"",IF(OR($A125="",AND($A125&lt;&gt;"",NOT(IFERROR(AND(LEN($A125&amp;"")=9,ISNUMBER(--($A125&amp;""))),FALSE))),AND($A125&lt;&gt;"",OR($A125="123456789",$A125="987654321",$A125="012345678",$A125=REPT(LEFT($A125&amp;"",1),9)))),"Employee SSN, ","")&amp;IF(OR(AND($O125&lt;&gt;"",$B125=""),AND($B125&lt;&gt;"",OR(NOT(IFERROR(AND(LEN($B125&amp;"")=9,ISNUMBER(--($B125&amp;""))),FALSE)),$B125=$A125,$B125="123456789",$B125="987654321",$B125="012345678",$B125=REPT(LEFT($B125&amp;"",1),9)))),"Dependent SSN, ","")&amp;IF(OR($C125="",LEN($C125)&gt;19,AND($C125&lt;&gt;"",SUMPRODUCT(--(ROW($1:$19)&lt;=LEN($C125&amp;"")),--ISERROR(FIND(MID($C125&amp;"",ROW($1:$19),1),"ABCDEFGHIJKLMNOPQRSTUVWXYZabcdefghijklmnopqrstuvwxyz .,")))&gt;0)),"First Name, ","")&amp;IF(OR($D125="",LEN($D125)&gt;26,AND($D125&lt;&gt;"",SUMPRODUCT(--(ROW($1:$26)&lt;=LEN($D125&amp;"")),--ISERROR(FIND(MID($D125&amp;"",ROW($1:$26),1),"ABCDEFGHIJKLMNOPQRSTUVWXYZabcdefghijklmnopqrstuvwxyz .,")))&gt;0)),"Last Name, ","")&amp;IF(OR(LEN($E125)&gt;1,AND($E125&lt;&gt;"",SUMPRODUCT(--(ROW($1:$1)&lt;=LEN($E125&amp;"")),--ISERROR(FIND(MID($E125&amp;"",ROW($1:$1),1),"ABCDEFGHIJKLMNOPQRSTUVWXYZabcdefghijklmnopqrstuvwxyz .,")))&gt;0)),"Middle Initial, ","")&amp;IF(OR($F125="",LEN($F125)&gt;75),"Address, ","")&amp;IF(OR($H125="",LEN($H125)&gt;30),"City, ","")&amp;IF(AND($K125="US",OR($I125="",LEN($I125)&lt;&gt;2)),"State, ","")&amp;IF($J125="","ZIP, ","")&amp;IF(OR($K125="",AND($K125&lt;&gt;"US",$K125&lt;&gt;"CA")),"Country, ","")&amp;IF(OR($L125="",AND($L125&lt;&gt;"",OR(NOT(ISNUMBER($L125)),$L125&lt;=DATE(1900,1,1),$L125&gt;TODAY()))),"Birthdate, ","")&amp;IF(AND($N125&lt;&gt;"",NOT(IFERROR(AND(ISNUMBER(SEARCH("@",$N125)),ISNUMBER(SEARCH(".",$N125,SEARCH("@",$N125)+2))),FALSE))),"Email, ","")&amp;IF(OR(AND($B125&lt;&gt;"",$O125=""),AND($O125&lt;&gt;"",$O125&lt;&gt;"Spouse or Common Law Spouse",$O125&lt;&gt;"Domestic Partner",$O125&lt;&gt;"Child",$O125&lt;&gt;"Other",$O125&lt;&gt;"Estate",$O125&lt;&gt;"Unknown")),"Dependent Relationship, ","")&amp;IF($AA125&lt;&gt;"","Household, ","")&amp;IF(OR($P125="",AND($P125&lt;&gt;"",OR(NOT(ISNUMBER($P125)),$P125&lt;=DATE(1900,1,1)))),"Eligibility Date, ","")&amp;IF(OR(AND($R125="Terminated",$Q125=""),AND($Q125&lt;&gt;"",OR(NOT(ISNUMBER($Q125)),$Q125&lt;=DATE(1900,1,1))),AND(ISNUMBER($P125),ISNUMBER($Q125),$Q125&lt;$P125)),"Termination Date, ","")&amp;IF(OR($R125="",AND($R125&lt;&gt;"Active",$R125&lt;&gt;"Terminated"),AND('START HERE'!$C$8="Terminations Only",$R125&lt;&gt;"Terminated")),"Status, ","")&amp;IF($S125="","Plan Name, ","")&amp;IF($T125="","Coverage Level, ","")&amp;IF(AND($U125&lt;&gt;"",OR(NOT(ISNUMBER($U125)),$U125&lt;0)),"Funding, ","")&amp;IF(AND($A125&lt;&gt;"",$S125&lt;&gt;"",COUNTIFS($A$2:$A$501,$A125,$B$2:$B$501,$B125,$S$2:$S$501,$S125)&gt;1),"Duplicate Row, ",""))</f>
        <v/>
      </c>
      <c r="AF125">
        <f>IF(COUNTA($A125:$U125)=0,"",$Y125&amp;$Z125&amp;$AA125&amp;$AB125&amp;$AC125)</f>
        <v/>
      </c>
      <c r="AG125">
        <f>IF($N125="","",LOWER(TRIM($N125)))</f>
        <v/>
      </c>
      <c r="AH125">
        <f>IF($A125="","",COUNTIFS($A$2:$A$501,$A125,$AI$2:$AI$501,1))</f>
        <v/>
      </c>
      <c r="AI125">
        <f>IF(COUNTA($A125:$U125)=0,"",--($AF125&lt;&gt;""))</f>
        <v/>
      </c>
      <c r="AJ125">
        <f>IF(COUNTA($A125:$U125)=0,"",--($AD125&lt;&gt;""))</f>
        <v/>
      </c>
    </row>
    <row r="126" ht="20" customHeight="1">
      <c r="A126" s="80" t="n"/>
      <c r="B126" s="80" t="n"/>
      <c r="C126" s="81" t="n"/>
      <c r="D126" s="81" t="n"/>
      <c r="E126" s="80" t="n"/>
      <c r="F126" s="81" t="n"/>
      <c r="G126" s="81" t="n"/>
      <c r="H126" s="81" t="n"/>
      <c r="I126" s="80" t="n"/>
      <c r="J126" s="80" t="n"/>
      <c r="K126" s="80" t="n"/>
      <c r="L126" s="82" t="n"/>
      <c r="M126" s="80" t="n"/>
      <c r="N126" s="80" t="n"/>
      <c r="O126" s="80" t="n"/>
      <c r="P126" s="82" t="n"/>
      <c r="Q126" s="82" t="n"/>
      <c r="R126" s="80" t="n"/>
      <c r="S126" s="80" t="n"/>
      <c r="T126" s="80" t="n"/>
      <c r="U126" s="83" t="n"/>
      <c r="V126">
        <f>IF($A126="","",IF($A126=$A125,$V125,IF($V125="",0,1-$V125)))</f>
        <v/>
      </c>
      <c r="W126">
        <f>IF($B126&lt;&gt;"",$B126,$A126)</f>
        <v/>
      </c>
      <c r="X126">
        <f>IF(COUNTA($A126:$U126)=0,"",IF(OR($B126&lt;&gt;"",$O126&lt;&gt;""),"Dependent","Employee"))</f>
        <v/>
      </c>
      <c r="Y126">
        <f>IF(COUNTA($A126:$U126)=0,"",IF($A126="","Employee SSN is required; ","")&amp;IF($C126="","First Name is required; ","")&amp;IF(LEN($C126&amp;"")&gt;19,"First Name exceeds 19 characters; ","")&amp;IF(AND($C126&lt;&gt;"",SUMPRODUCT(--(ROW($1:$19)&lt;=LEN($C126&amp;"")),--ISERROR(FIND(MID($C126&amp;"",ROW($1:$19),1),"ABCDEFGHIJKLMNOPQRSTUVWXYZabcdefghijklmnopqrstuvwxyz .,")))&gt;0),"First Name contains unsupported or encoded characters; use plain A-Z letters only; ","")&amp;IF($D126="","Last Name is required; ","")&amp;IF(LEN($D126&amp;"")&gt;26,"Last Name exceeds 26 characters; ","")&amp;IF(AND($D126&lt;&gt;"",SUMPRODUCT(--(ROW($1:$26)&lt;=LEN($D126&amp;"")),--ISERROR(FIND(MID($D126&amp;"",ROW($1:$26),1),"ABCDEFGHIJKLMNOPQRSTUVWXYZabcdefghijklmnopqrstuvwxyz .,")))&gt;0),"Last Name contains unsupported or encoded characters; use plain A-Z letters only; ","")&amp;IF(LEN($E126&amp;"")&gt;1,"Middle Initial may contain only one character; ","")&amp;IF(AND($E126&lt;&gt;"",SUMPRODUCT(--(ROW($1:$1)&lt;=LEN($E126&amp;"")),--ISERROR(FIND(MID($E126&amp;"",ROW($1:$1),1),"ABCDEFGHIJKLMNOPQRSTUVWXYZabcdefghijklmnopqrstuvwxyz .,")))&gt;0),"Middle Initial must be a plain A-Z letter; ","")&amp;IF($F126="","Address is required; ","")&amp;IF(LEN($F126&amp;"")&gt;75,"Address exceeds 75 characters; ","")&amp;IF(LEN($G126&amp;"")&gt;75,"Address 2 exceeds 75 characters; ","")&amp;IF($H126="","City is required; ","")&amp;IF(LEN($H126&amp;"")&gt;30,"City exceeds 30 characters; ","")&amp;IF($K126="","Country is required; ","")&amp;IF(AND($K126&lt;&gt;"",$K126&lt;&gt;"US",$K126&lt;&gt;"CA"),"Country must be US or CA; ","")&amp;IF(AND($K126="US",OR($I126="",LEN($I126&amp;"")&lt;&gt;2)),"Use a 2-letter state code; ","")&amp;IF($J126="","ZIP or postal code is required; ","")&amp;IF(AND($K126="US",$J126&lt;&gt;"",NOT(IFERROR(OR(AND(LEN($J126&amp;"")=5,ISNUMBER(--($J126&amp;""))),AND(LEN($J126&amp;"")=9,ISNUMBER(--($J126&amp;""))),AND(LEN($J126&amp;"")=10,MID($J126&amp;"",6,1)="-",ISNUMBER(--SUBSTITUTE($J126&amp;"","-","")))),FALSE))),"US ZIP must be 5 or 9 digits, with an optional ZIP+4 hyphen; ","")&amp;IF(AND($N126&lt;&gt;"",NOT(IFERROR(AND(ISNUMBER(SEARCH("@",$N126)),ISNUMBER(SEARCH(".",$N126,SEARCH("@",$N126)+2))),FALSE))),"Email format appears invalid; ","")&amp;IF(AND($O126&lt;&gt;"",$B126=""),"Dependent SSN is required for every dependent; ","")&amp;IF(AND($B126&lt;&gt;"",$O126=""),"Dependent Relationship is required when Dependent SSN is entered; ","")&amp;IF(AND($O126&lt;&gt;"",$O126&lt;&gt;"Spouse or Common Law Spouse",$O126&lt;&gt;"Domestic Partner",$O126&lt;&gt;"Child",$O126&lt;&gt;"Other",$O126&lt;&gt;"Estate",$O126&lt;&gt;"Unknown"),"Dependent Relationship must use one of the approved options; ",""))</f>
        <v/>
      </c>
      <c r="Z126">
        <f>IF(COUNTA($A126:$U126)=0,"",IF(AND($A126&lt;&gt;"",NOT(IFERROR(AND(LEN($A126&amp;"")=9,ISNUMBER(--($A126&amp;""))),FALSE))),"Employee SSN must contain exactly 9 digits; ","")&amp;IF(AND($A126&lt;&gt;"",OR($A126="123456789",$A126="987654321",$A126="012345678",$A126=REPT(LEFT($A126&amp;"",1),9))),"Employee SSN appears to be a placeholder; ","")&amp;IF(AND($B126&lt;&gt;"",NOT(IFERROR(AND(LEN($B126&amp;"")=9,ISNUMBER(--($B126&amp;""))),FALSE))),"Dependent SSN must contain exactly 9 digits; ","")&amp;IF(AND($B126&lt;&gt;"",OR($B126="123456789",$B126="987654321",$B126="012345678",$B126=REPT(LEFT($B126&amp;"",1),9))),"Dependent SSN appears to be a placeholder; ","")&amp;IF(AND($A126&lt;&gt;"",$B126&lt;&gt;"",$A126&amp;""=$B126&amp;""),"Dependent SSN cannot match Employee SSN; ","")&amp;IF(AND($W126&lt;&gt;"",OR(COUNTIFS($W$2:$W$501,$W126,$C$2:$C$501,"&lt;&gt;"&amp;$C126)&gt;0,COUNTIFS($W$2:$W$501,$W126,$D$2:$D$501,"&lt;&gt;"&amp;$D126)&gt;0,COUNTIFS($W$2:$W$501,$W126,$L$2:$L$501,"&lt;&gt;"&amp;$L126)&gt;0)),"The same SSN is associated with a different name or birthdate; ",""))</f>
        <v/>
      </c>
      <c r="AA126">
        <f>IF(COUNTA($A126:$U126)=0,"",IF(AND($A126&lt;&gt;"",$S126&lt;&gt;"",COUNTIFS($A$2:$A$501,$A126,$S$2:$S$501,$S126,$B$2:$B$501,"",$O$2:$O$501,"")=0),"Add an employee row for this household and plan; ","")&amp;IF(AND($X126="Dependent",COUNTIFS($A$2:$A126,$A126,$S$2:$S126,$S126,$B$2:$B126,"",$O$2:$O126,"")=0),"Place the employee row before dependent rows for this plan; ","")&amp;IF(AND($X126="Dependent",COUNTIFS($A$2:$A$501,$A126,$S$2:$S$501,$S126,$B$2:$B$501,"",$O$2:$O$501,"")&gt;0,IFERROR(OR($P126&lt;&gt;LOOKUP(2,1/(($A$2:$A$501=$A126)*($S$2:$S$501=$S126)*($B$2:$B$501="")*($O$2:$O$501="")),$P$2:$P$501),$Q126&lt;&gt;LOOKUP(2,1/(($A$2:$A$501=$A126)*($S$2:$S$501=$S126)*($B$2:$B$501="")*($O$2:$O$501="")),$Q$2:$Q$501),$R126&lt;&gt;LOOKUP(2,1/(($A$2:$A$501=$A126)*($S$2:$S$501=$S126)*($B$2:$B$501="")*($O$2:$O$501="")),$R$2:$R$501),$T126&lt;&gt;LOOKUP(2,1/(($A$2:$A$501=$A126)*($S$2:$S$501=$S126)*($B$2:$B$501="")*($O$2:$O$501="")),$T$2:$T$501),$U126&lt;&gt;LOOKUP(2,1/(($A$2:$A$501=$A126)*($S$2:$S$501=$S126)*($B$2:$B$501="")*($O$2:$O$501="")),$U$2:$U$501)),FALSE)),"Dependent row does not match the employee row for eligibility, status, coverage level, or funding; ",""))</f>
        <v/>
      </c>
      <c r="AB126">
        <f>IF(COUNTA($A126:$U126)=0,"",IF($L126="","Birthdate is required; ","")&amp;IF(AND($L126&lt;&gt;"",OR(NOT(ISNUMBER($L126)),$L126&lt;=DATE(1900,1,1),$L126&gt;TODAY())),"Birthdate must be an exact valid past date; ","")&amp;IF($P126="","Eligibility Date is required; ","")&amp;IF(AND($P126&lt;&gt;"",OR(NOT(ISNUMBER($P126)),$P126&lt;=DATE(1900,1,1))),"Eligibility Date must be a valid date; ","")&amp;IF(AND($R126="Terminated",$Q126=""),"Termination Date is required when Status is Terminated; ","")&amp;IF(AND($Q126&lt;&gt;"",OR(NOT(ISNUMBER($Q126)),$Q126&lt;=DATE(1900,1,1))),"Termination Date must be a valid date; ","")&amp;IF(AND(ISNUMBER($P126),ISNUMBER($Q126),$Q126&lt;$P126),"Termination Date cannot be before Eligibility Date; ","")&amp;IF($R126="","Status is required; ","")&amp;IF(AND($R126&lt;&gt;"",$R126&lt;&gt;"Active",$R126&lt;&gt;"Terminated"),"Status must be Active or Terminated; ","")&amp;IF(AND('START HERE'!$C$8="Terminations Only",$R126&lt;&gt;"Terminated"),"Terminations Only files must contain terminated records; ",""))</f>
        <v/>
      </c>
      <c r="AC126">
        <f>IF(COUNTA($A126:$U126)=0,"",IF($S126="","Plan Name is required; ","")&amp;IF($T126="","Benefit Coverage Level is required; ","")&amp;IF(AND($U126&lt;&gt;"",OR(NOT(ISNUMBER($U126)),$U126&lt;0)),"Plan Funding Amount must be a nonnegative number; ","")&amp;IF(AND($A126&lt;&gt;"",$S126&lt;&gt;"",COUNTIFS($A$2:$A$501,$A126,$B$2:$B$501,$B126,$S$2:$S$501,$S126)&gt;1),"Duplicate participant and plan row; ",""))</f>
        <v/>
      </c>
      <c r="AD126">
        <f>IF(COUNTA($A126:$U126)=0,"",IF(AND($X126="Employee",$M126="",$N126=""),"No employee phone or email provided; ","")&amp;IF(AND($R126="Active",$Q126&lt;&gt;""),"Active record includes a Termination Date; confirm this is intentional; ","")&amp;IF(AND($B126&lt;&gt;"",$B126&amp;""&lt;&gt;$A126&amp;"",COUNTIF($A$2:$A$501,$B126)&gt;0),"Dependent SSN also appears as an Employee SSN elsewhere; confirm dual-employee coverage is intentional; ","")&amp;IF(AND($B126&lt;&gt;"",COUNTIF($B$2:$B$501,$B126)&gt;COUNTIFS($A$2:$A$501,$A126,$B$2:$B$501,$B126)),"Dependent SSN appears under more than one employee; confirm duplicate family coverage is intentional; ","")&amp;IF(AND(ROW()&gt;2,$A126&lt;&gt;"",$A126&lt;&gt;$A125,COUNTIF($A$2:$A125,$A126)&gt;0),"This household appears in more than one section of the census; keep the family together; ","")&amp;IF(OR(AND($C126&lt;&gt;"",LEN($C126&amp;"")&lt;&gt;LEN(TRIM($C126&amp;""))),AND($D126&lt;&gt;"",LEN($D126&amp;"")&lt;&gt;LEN(TRIM($D126&amp;""))),AND($E126&lt;&gt;"",LEN($E126&amp;"")&lt;&gt;LEN(TRIM($E126&amp;""))),AND($F126&lt;&gt;"",LEN($F126&amp;"")&lt;&gt;LEN(TRIM($F126&amp;""))),AND($G126&lt;&gt;"",LEN($G126&amp;"")&lt;&gt;LEN(TRIM($G126&amp;""))),AND($H126&lt;&gt;"",LEN($H126&amp;"")&lt;&gt;LEN(TRIM($H126&amp;""))),AND($I126&lt;&gt;"",LEN($I126&amp;"")&lt;&gt;LEN(TRIM($I126&amp;""))),AND($J126&lt;&gt;"",LEN($J126&amp;"")&lt;&gt;LEN(TRIM($J126&amp;""))),AND($K126&lt;&gt;"",LEN($K126&amp;"")&lt;&gt;LEN(TRIM($K126&amp;""))),AND($M126&lt;&gt;"",LEN($M126&amp;"")&lt;&gt;LEN(TRIM($M126&amp;""))),AND($N126&lt;&gt;"",LEN($N126&amp;"")&lt;&gt;LEN(TRIM($N126&amp;""))),AND($O126&lt;&gt;"",LEN($O126&amp;"")&lt;&gt;LEN(TRIM($O126&amp;""))),AND($R126&lt;&gt;"",LEN($R126&amp;"")&lt;&gt;LEN(TRIM($R126&amp;""))),AND($S126&lt;&gt;"",LEN($S126&amp;"")&lt;&gt;LEN(TRIM($S126&amp;""))),AND($T126&lt;&gt;"",LEN($T126&amp;"")&lt;&gt;LEN(TRIM($T126&amp;"")))),"Remove leading or trailing spaces from text fields; ","")&amp;IF(OR(AND(LEN($C126)&gt;1,OR(EXACT($C126,UPPER($C126)),EXACT($C126,LOWER($C126)))),AND(LEN($D126)&gt;1,OR(EXACT($D126,UPPER($D126)),EXACT($D126,LOWER($D126)))),AND(LEN($H126)&gt;1,OR(EXACT($H126,UPPER($H126)),EXACT($H126,LOWER($H126))))),"Review capitalization in First Name, Last Name, or City; ","")&amp;IF(AND($N126&lt;&gt;"",NOT(EXACT($N126,LOWER($N126)))),"Email will be standardized to lowercase in the clean output; ","")&amp;IF(AND(OR('START HERE'!$C$8="Initial Enrollment",'START HERE'!$C$8="Open Enrollment"),$R126="Terminated"),"A terminated row is included in an initial or open enrollment file; confirm this is intentional; ",""))</f>
        <v/>
      </c>
      <c r="AE126">
        <f>IF(COUNTA($A126:$U126)=0,"",IF(OR($A126="",AND($A126&lt;&gt;"",NOT(IFERROR(AND(LEN($A126&amp;"")=9,ISNUMBER(--($A126&amp;""))),FALSE))),AND($A126&lt;&gt;"",OR($A126="123456789",$A126="987654321",$A126="012345678",$A126=REPT(LEFT($A126&amp;"",1),9)))),"Employee SSN, ","")&amp;IF(OR(AND($O126&lt;&gt;"",$B126=""),AND($B126&lt;&gt;"",OR(NOT(IFERROR(AND(LEN($B126&amp;"")=9,ISNUMBER(--($B126&amp;""))),FALSE)),$B126=$A126,$B126="123456789",$B126="987654321",$B126="012345678",$B126=REPT(LEFT($B126&amp;"",1),9)))),"Dependent SSN, ","")&amp;IF(OR($C126="",LEN($C126)&gt;19,AND($C126&lt;&gt;"",SUMPRODUCT(--(ROW($1:$19)&lt;=LEN($C126&amp;"")),--ISERROR(FIND(MID($C126&amp;"",ROW($1:$19),1),"ABCDEFGHIJKLMNOPQRSTUVWXYZabcdefghijklmnopqrstuvwxyz .,")))&gt;0)),"First Name, ","")&amp;IF(OR($D126="",LEN($D126)&gt;26,AND($D126&lt;&gt;"",SUMPRODUCT(--(ROW($1:$26)&lt;=LEN($D126&amp;"")),--ISERROR(FIND(MID($D126&amp;"",ROW($1:$26),1),"ABCDEFGHIJKLMNOPQRSTUVWXYZabcdefghijklmnopqrstuvwxyz .,")))&gt;0)),"Last Name, ","")&amp;IF(OR(LEN($E126)&gt;1,AND($E126&lt;&gt;"",SUMPRODUCT(--(ROW($1:$1)&lt;=LEN($E126&amp;"")),--ISERROR(FIND(MID($E126&amp;"",ROW($1:$1),1),"ABCDEFGHIJKLMNOPQRSTUVWXYZabcdefghijklmnopqrstuvwxyz .,")))&gt;0)),"Middle Initial, ","")&amp;IF(OR($F126="",LEN($F126)&gt;75),"Address, ","")&amp;IF(OR($H126="",LEN($H126)&gt;30),"City, ","")&amp;IF(AND($K126="US",OR($I126="",LEN($I126)&lt;&gt;2)),"State, ","")&amp;IF($J126="","ZIP, ","")&amp;IF(OR($K126="",AND($K126&lt;&gt;"US",$K126&lt;&gt;"CA")),"Country, ","")&amp;IF(OR($L126="",AND($L126&lt;&gt;"",OR(NOT(ISNUMBER($L126)),$L126&lt;=DATE(1900,1,1),$L126&gt;TODAY()))),"Birthdate, ","")&amp;IF(AND($N126&lt;&gt;"",NOT(IFERROR(AND(ISNUMBER(SEARCH("@",$N126)),ISNUMBER(SEARCH(".",$N126,SEARCH("@",$N126)+2))),FALSE))),"Email, ","")&amp;IF(OR(AND($B126&lt;&gt;"",$O126=""),AND($O126&lt;&gt;"",$O126&lt;&gt;"Spouse or Common Law Spouse",$O126&lt;&gt;"Domestic Partner",$O126&lt;&gt;"Child",$O126&lt;&gt;"Other",$O126&lt;&gt;"Estate",$O126&lt;&gt;"Unknown")),"Dependent Relationship, ","")&amp;IF($AA126&lt;&gt;"","Household, ","")&amp;IF(OR($P126="",AND($P126&lt;&gt;"",OR(NOT(ISNUMBER($P126)),$P126&lt;=DATE(1900,1,1)))),"Eligibility Date, ","")&amp;IF(OR(AND($R126="Terminated",$Q126=""),AND($Q126&lt;&gt;"",OR(NOT(ISNUMBER($Q126)),$Q126&lt;=DATE(1900,1,1))),AND(ISNUMBER($P126),ISNUMBER($Q126),$Q126&lt;$P126)),"Termination Date, ","")&amp;IF(OR($R126="",AND($R126&lt;&gt;"Active",$R126&lt;&gt;"Terminated"),AND('START HERE'!$C$8="Terminations Only",$R126&lt;&gt;"Terminated")),"Status, ","")&amp;IF($S126="","Plan Name, ","")&amp;IF($T126="","Coverage Level, ","")&amp;IF(AND($U126&lt;&gt;"",OR(NOT(ISNUMBER($U126)),$U126&lt;0)),"Funding, ","")&amp;IF(AND($A126&lt;&gt;"",$S126&lt;&gt;"",COUNTIFS($A$2:$A$501,$A126,$B$2:$B$501,$B126,$S$2:$S$501,$S126)&gt;1),"Duplicate Row, ",""))</f>
        <v/>
      </c>
      <c r="AF126">
        <f>IF(COUNTA($A126:$U126)=0,"",$Y126&amp;$Z126&amp;$AA126&amp;$AB126&amp;$AC126)</f>
        <v/>
      </c>
      <c r="AG126">
        <f>IF($N126="","",LOWER(TRIM($N126)))</f>
        <v/>
      </c>
      <c r="AH126">
        <f>IF($A126="","",COUNTIFS($A$2:$A$501,$A126,$AI$2:$AI$501,1))</f>
        <v/>
      </c>
      <c r="AI126">
        <f>IF(COUNTA($A126:$U126)=0,"",--($AF126&lt;&gt;""))</f>
        <v/>
      </c>
      <c r="AJ126">
        <f>IF(COUNTA($A126:$U126)=0,"",--($AD126&lt;&gt;""))</f>
        <v/>
      </c>
    </row>
    <row r="127" ht="20" customHeight="1">
      <c r="A127" s="80" t="n"/>
      <c r="B127" s="80" t="n"/>
      <c r="C127" s="81" t="n"/>
      <c r="D127" s="81" t="n"/>
      <c r="E127" s="80" t="n"/>
      <c r="F127" s="81" t="n"/>
      <c r="G127" s="81" t="n"/>
      <c r="H127" s="81" t="n"/>
      <c r="I127" s="80" t="n"/>
      <c r="J127" s="80" t="n"/>
      <c r="K127" s="80" t="n"/>
      <c r="L127" s="82" t="n"/>
      <c r="M127" s="80" t="n"/>
      <c r="N127" s="80" t="n"/>
      <c r="O127" s="80" t="n"/>
      <c r="P127" s="82" t="n"/>
      <c r="Q127" s="82" t="n"/>
      <c r="R127" s="80" t="n"/>
      <c r="S127" s="80" t="n"/>
      <c r="T127" s="80" t="n"/>
      <c r="U127" s="83" t="n"/>
      <c r="V127">
        <f>IF($A127="","",IF($A127=$A126,$V126,IF($V126="",0,1-$V126)))</f>
        <v/>
      </c>
      <c r="W127">
        <f>IF($B127&lt;&gt;"",$B127,$A127)</f>
        <v/>
      </c>
      <c r="X127">
        <f>IF(COUNTA($A127:$U127)=0,"",IF(OR($B127&lt;&gt;"",$O127&lt;&gt;""),"Dependent","Employee"))</f>
        <v/>
      </c>
      <c r="Y127">
        <f>IF(COUNTA($A127:$U127)=0,"",IF($A127="","Employee SSN is required; ","")&amp;IF($C127="","First Name is required; ","")&amp;IF(LEN($C127&amp;"")&gt;19,"First Name exceeds 19 characters; ","")&amp;IF(AND($C127&lt;&gt;"",SUMPRODUCT(--(ROW($1:$19)&lt;=LEN($C127&amp;"")),--ISERROR(FIND(MID($C127&amp;"",ROW($1:$19),1),"ABCDEFGHIJKLMNOPQRSTUVWXYZabcdefghijklmnopqrstuvwxyz .,")))&gt;0),"First Name contains unsupported or encoded characters; use plain A-Z letters only; ","")&amp;IF($D127="","Last Name is required; ","")&amp;IF(LEN($D127&amp;"")&gt;26,"Last Name exceeds 26 characters; ","")&amp;IF(AND($D127&lt;&gt;"",SUMPRODUCT(--(ROW($1:$26)&lt;=LEN($D127&amp;"")),--ISERROR(FIND(MID($D127&amp;"",ROW($1:$26),1),"ABCDEFGHIJKLMNOPQRSTUVWXYZabcdefghijklmnopqrstuvwxyz .,")))&gt;0),"Last Name contains unsupported or encoded characters; use plain A-Z letters only; ","")&amp;IF(LEN($E127&amp;"")&gt;1,"Middle Initial may contain only one character; ","")&amp;IF(AND($E127&lt;&gt;"",SUMPRODUCT(--(ROW($1:$1)&lt;=LEN($E127&amp;"")),--ISERROR(FIND(MID($E127&amp;"",ROW($1:$1),1),"ABCDEFGHIJKLMNOPQRSTUVWXYZabcdefghijklmnopqrstuvwxyz .,")))&gt;0),"Middle Initial must be a plain A-Z letter; ","")&amp;IF($F127="","Address is required; ","")&amp;IF(LEN($F127&amp;"")&gt;75,"Address exceeds 75 characters; ","")&amp;IF(LEN($G127&amp;"")&gt;75,"Address 2 exceeds 75 characters; ","")&amp;IF($H127="","City is required; ","")&amp;IF(LEN($H127&amp;"")&gt;30,"City exceeds 30 characters; ","")&amp;IF($K127="","Country is required; ","")&amp;IF(AND($K127&lt;&gt;"",$K127&lt;&gt;"US",$K127&lt;&gt;"CA"),"Country must be US or CA; ","")&amp;IF(AND($K127="US",OR($I127="",LEN($I127&amp;"")&lt;&gt;2)),"Use a 2-letter state code; ","")&amp;IF($J127="","ZIP or postal code is required; ","")&amp;IF(AND($K127="US",$J127&lt;&gt;"",NOT(IFERROR(OR(AND(LEN($J127&amp;"")=5,ISNUMBER(--($J127&amp;""))),AND(LEN($J127&amp;"")=9,ISNUMBER(--($J127&amp;""))),AND(LEN($J127&amp;"")=10,MID($J127&amp;"",6,1)="-",ISNUMBER(--SUBSTITUTE($J127&amp;"","-","")))),FALSE))),"US ZIP must be 5 or 9 digits, with an optional ZIP+4 hyphen; ","")&amp;IF(AND($N127&lt;&gt;"",NOT(IFERROR(AND(ISNUMBER(SEARCH("@",$N127)),ISNUMBER(SEARCH(".",$N127,SEARCH("@",$N127)+2))),FALSE))),"Email format appears invalid; ","")&amp;IF(AND($O127&lt;&gt;"",$B127=""),"Dependent SSN is required for every dependent; ","")&amp;IF(AND($B127&lt;&gt;"",$O127=""),"Dependent Relationship is required when Dependent SSN is entered; ","")&amp;IF(AND($O127&lt;&gt;"",$O127&lt;&gt;"Spouse or Common Law Spouse",$O127&lt;&gt;"Domestic Partner",$O127&lt;&gt;"Child",$O127&lt;&gt;"Other",$O127&lt;&gt;"Estate",$O127&lt;&gt;"Unknown"),"Dependent Relationship must use one of the approved options; ",""))</f>
        <v/>
      </c>
      <c r="Z127">
        <f>IF(COUNTA($A127:$U127)=0,"",IF(AND($A127&lt;&gt;"",NOT(IFERROR(AND(LEN($A127&amp;"")=9,ISNUMBER(--($A127&amp;""))),FALSE))),"Employee SSN must contain exactly 9 digits; ","")&amp;IF(AND($A127&lt;&gt;"",OR($A127="123456789",$A127="987654321",$A127="012345678",$A127=REPT(LEFT($A127&amp;"",1),9))),"Employee SSN appears to be a placeholder; ","")&amp;IF(AND($B127&lt;&gt;"",NOT(IFERROR(AND(LEN($B127&amp;"")=9,ISNUMBER(--($B127&amp;""))),FALSE))),"Dependent SSN must contain exactly 9 digits; ","")&amp;IF(AND($B127&lt;&gt;"",OR($B127="123456789",$B127="987654321",$B127="012345678",$B127=REPT(LEFT($B127&amp;"",1),9))),"Dependent SSN appears to be a placeholder; ","")&amp;IF(AND($A127&lt;&gt;"",$B127&lt;&gt;"",$A127&amp;""=$B127&amp;""),"Dependent SSN cannot match Employee SSN; ","")&amp;IF(AND($W127&lt;&gt;"",OR(COUNTIFS($W$2:$W$501,$W127,$C$2:$C$501,"&lt;&gt;"&amp;$C127)&gt;0,COUNTIFS($W$2:$W$501,$W127,$D$2:$D$501,"&lt;&gt;"&amp;$D127)&gt;0,COUNTIFS($W$2:$W$501,$W127,$L$2:$L$501,"&lt;&gt;"&amp;$L127)&gt;0)),"The same SSN is associated with a different name or birthdate; ",""))</f>
        <v/>
      </c>
      <c r="AA127">
        <f>IF(COUNTA($A127:$U127)=0,"",IF(AND($A127&lt;&gt;"",$S127&lt;&gt;"",COUNTIFS($A$2:$A$501,$A127,$S$2:$S$501,$S127,$B$2:$B$501,"",$O$2:$O$501,"")=0),"Add an employee row for this household and plan; ","")&amp;IF(AND($X127="Dependent",COUNTIFS($A$2:$A127,$A127,$S$2:$S127,$S127,$B$2:$B127,"",$O$2:$O127,"")=0),"Place the employee row before dependent rows for this plan; ","")&amp;IF(AND($X127="Dependent",COUNTIFS($A$2:$A$501,$A127,$S$2:$S$501,$S127,$B$2:$B$501,"",$O$2:$O$501,"")&gt;0,IFERROR(OR($P127&lt;&gt;LOOKUP(2,1/(($A$2:$A$501=$A127)*($S$2:$S$501=$S127)*($B$2:$B$501="")*($O$2:$O$501="")),$P$2:$P$501),$Q127&lt;&gt;LOOKUP(2,1/(($A$2:$A$501=$A127)*($S$2:$S$501=$S127)*($B$2:$B$501="")*($O$2:$O$501="")),$Q$2:$Q$501),$R127&lt;&gt;LOOKUP(2,1/(($A$2:$A$501=$A127)*($S$2:$S$501=$S127)*($B$2:$B$501="")*($O$2:$O$501="")),$R$2:$R$501),$T127&lt;&gt;LOOKUP(2,1/(($A$2:$A$501=$A127)*($S$2:$S$501=$S127)*($B$2:$B$501="")*($O$2:$O$501="")),$T$2:$T$501),$U127&lt;&gt;LOOKUP(2,1/(($A$2:$A$501=$A127)*($S$2:$S$501=$S127)*($B$2:$B$501="")*($O$2:$O$501="")),$U$2:$U$501)),FALSE)),"Dependent row does not match the employee row for eligibility, status, coverage level, or funding; ",""))</f>
        <v/>
      </c>
      <c r="AB127">
        <f>IF(COUNTA($A127:$U127)=0,"",IF($L127="","Birthdate is required; ","")&amp;IF(AND($L127&lt;&gt;"",OR(NOT(ISNUMBER($L127)),$L127&lt;=DATE(1900,1,1),$L127&gt;TODAY())),"Birthdate must be an exact valid past date; ","")&amp;IF($P127="","Eligibility Date is required; ","")&amp;IF(AND($P127&lt;&gt;"",OR(NOT(ISNUMBER($P127)),$P127&lt;=DATE(1900,1,1))),"Eligibility Date must be a valid date; ","")&amp;IF(AND($R127="Terminated",$Q127=""),"Termination Date is required when Status is Terminated; ","")&amp;IF(AND($Q127&lt;&gt;"",OR(NOT(ISNUMBER($Q127)),$Q127&lt;=DATE(1900,1,1))),"Termination Date must be a valid date; ","")&amp;IF(AND(ISNUMBER($P127),ISNUMBER($Q127),$Q127&lt;$P127),"Termination Date cannot be before Eligibility Date; ","")&amp;IF($R127="","Status is required; ","")&amp;IF(AND($R127&lt;&gt;"",$R127&lt;&gt;"Active",$R127&lt;&gt;"Terminated"),"Status must be Active or Terminated; ","")&amp;IF(AND('START HERE'!$C$8="Terminations Only",$R127&lt;&gt;"Terminated"),"Terminations Only files must contain terminated records; ",""))</f>
        <v/>
      </c>
      <c r="AC127">
        <f>IF(COUNTA($A127:$U127)=0,"",IF($S127="","Plan Name is required; ","")&amp;IF($T127="","Benefit Coverage Level is required; ","")&amp;IF(AND($U127&lt;&gt;"",OR(NOT(ISNUMBER($U127)),$U127&lt;0)),"Plan Funding Amount must be a nonnegative number; ","")&amp;IF(AND($A127&lt;&gt;"",$S127&lt;&gt;"",COUNTIFS($A$2:$A$501,$A127,$B$2:$B$501,$B127,$S$2:$S$501,$S127)&gt;1),"Duplicate participant and plan row; ",""))</f>
        <v/>
      </c>
      <c r="AD127">
        <f>IF(COUNTA($A127:$U127)=0,"",IF(AND($X127="Employee",$M127="",$N127=""),"No employee phone or email provided; ","")&amp;IF(AND($R127="Active",$Q127&lt;&gt;""),"Active record includes a Termination Date; confirm this is intentional; ","")&amp;IF(AND($B127&lt;&gt;"",$B127&amp;""&lt;&gt;$A127&amp;"",COUNTIF($A$2:$A$501,$B127)&gt;0),"Dependent SSN also appears as an Employee SSN elsewhere; confirm dual-employee coverage is intentional; ","")&amp;IF(AND($B127&lt;&gt;"",COUNTIF($B$2:$B$501,$B127)&gt;COUNTIFS($A$2:$A$501,$A127,$B$2:$B$501,$B127)),"Dependent SSN appears under more than one employee; confirm duplicate family coverage is intentional; ","")&amp;IF(AND(ROW()&gt;2,$A127&lt;&gt;"",$A127&lt;&gt;$A126,COUNTIF($A$2:$A126,$A127)&gt;0),"This household appears in more than one section of the census; keep the family together; ","")&amp;IF(OR(AND($C127&lt;&gt;"",LEN($C127&amp;"")&lt;&gt;LEN(TRIM($C127&amp;""))),AND($D127&lt;&gt;"",LEN($D127&amp;"")&lt;&gt;LEN(TRIM($D127&amp;""))),AND($E127&lt;&gt;"",LEN($E127&amp;"")&lt;&gt;LEN(TRIM($E127&amp;""))),AND($F127&lt;&gt;"",LEN($F127&amp;"")&lt;&gt;LEN(TRIM($F127&amp;""))),AND($G127&lt;&gt;"",LEN($G127&amp;"")&lt;&gt;LEN(TRIM($G127&amp;""))),AND($H127&lt;&gt;"",LEN($H127&amp;"")&lt;&gt;LEN(TRIM($H127&amp;""))),AND($I127&lt;&gt;"",LEN($I127&amp;"")&lt;&gt;LEN(TRIM($I127&amp;""))),AND($J127&lt;&gt;"",LEN($J127&amp;"")&lt;&gt;LEN(TRIM($J127&amp;""))),AND($K127&lt;&gt;"",LEN($K127&amp;"")&lt;&gt;LEN(TRIM($K127&amp;""))),AND($M127&lt;&gt;"",LEN($M127&amp;"")&lt;&gt;LEN(TRIM($M127&amp;""))),AND($N127&lt;&gt;"",LEN($N127&amp;"")&lt;&gt;LEN(TRIM($N127&amp;""))),AND($O127&lt;&gt;"",LEN($O127&amp;"")&lt;&gt;LEN(TRIM($O127&amp;""))),AND($R127&lt;&gt;"",LEN($R127&amp;"")&lt;&gt;LEN(TRIM($R127&amp;""))),AND($S127&lt;&gt;"",LEN($S127&amp;"")&lt;&gt;LEN(TRIM($S127&amp;""))),AND($T127&lt;&gt;"",LEN($T127&amp;"")&lt;&gt;LEN(TRIM($T127&amp;"")))),"Remove leading or trailing spaces from text fields; ","")&amp;IF(OR(AND(LEN($C127)&gt;1,OR(EXACT($C127,UPPER($C127)),EXACT($C127,LOWER($C127)))),AND(LEN($D127)&gt;1,OR(EXACT($D127,UPPER($D127)),EXACT($D127,LOWER($D127)))),AND(LEN($H127)&gt;1,OR(EXACT($H127,UPPER($H127)),EXACT($H127,LOWER($H127))))),"Review capitalization in First Name, Last Name, or City; ","")&amp;IF(AND($N127&lt;&gt;"",NOT(EXACT($N127,LOWER($N127)))),"Email will be standardized to lowercase in the clean output; ","")&amp;IF(AND(OR('START HERE'!$C$8="Initial Enrollment",'START HERE'!$C$8="Open Enrollment"),$R127="Terminated"),"A terminated row is included in an initial or open enrollment file; confirm this is intentional; ",""))</f>
        <v/>
      </c>
      <c r="AE127">
        <f>IF(COUNTA($A127:$U127)=0,"",IF(OR($A127="",AND($A127&lt;&gt;"",NOT(IFERROR(AND(LEN($A127&amp;"")=9,ISNUMBER(--($A127&amp;""))),FALSE))),AND($A127&lt;&gt;"",OR($A127="123456789",$A127="987654321",$A127="012345678",$A127=REPT(LEFT($A127&amp;"",1),9)))),"Employee SSN, ","")&amp;IF(OR(AND($O127&lt;&gt;"",$B127=""),AND($B127&lt;&gt;"",OR(NOT(IFERROR(AND(LEN($B127&amp;"")=9,ISNUMBER(--($B127&amp;""))),FALSE)),$B127=$A127,$B127="123456789",$B127="987654321",$B127="012345678",$B127=REPT(LEFT($B127&amp;"",1),9)))),"Dependent SSN, ","")&amp;IF(OR($C127="",LEN($C127)&gt;19,AND($C127&lt;&gt;"",SUMPRODUCT(--(ROW($1:$19)&lt;=LEN($C127&amp;"")),--ISERROR(FIND(MID($C127&amp;"",ROW($1:$19),1),"ABCDEFGHIJKLMNOPQRSTUVWXYZabcdefghijklmnopqrstuvwxyz .,")))&gt;0)),"First Name, ","")&amp;IF(OR($D127="",LEN($D127)&gt;26,AND($D127&lt;&gt;"",SUMPRODUCT(--(ROW($1:$26)&lt;=LEN($D127&amp;"")),--ISERROR(FIND(MID($D127&amp;"",ROW($1:$26),1),"ABCDEFGHIJKLMNOPQRSTUVWXYZabcdefghijklmnopqrstuvwxyz .,")))&gt;0)),"Last Name, ","")&amp;IF(OR(LEN($E127)&gt;1,AND($E127&lt;&gt;"",SUMPRODUCT(--(ROW($1:$1)&lt;=LEN($E127&amp;"")),--ISERROR(FIND(MID($E127&amp;"",ROW($1:$1),1),"ABCDEFGHIJKLMNOPQRSTUVWXYZabcdefghijklmnopqrstuvwxyz .,")))&gt;0)),"Middle Initial, ","")&amp;IF(OR($F127="",LEN($F127)&gt;75),"Address, ","")&amp;IF(OR($H127="",LEN($H127)&gt;30),"City, ","")&amp;IF(AND($K127="US",OR($I127="",LEN($I127)&lt;&gt;2)),"State, ","")&amp;IF($J127="","ZIP, ","")&amp;IF(OR($K127="",AND($K127&lt;&gt;"US",$K127&lt;&gt;"CA")),"Country, ","")&amp;IF(OR($L127="",AND($L127&lt;&gt;"",OR(NOT(ISNUMBER($L127)),$L127&lt;=DATE(1900,1,1),$L127&gt;TODAY()))),"Birthdate, ","")&amp;IF(AND($N127&lt;&gt;"",NOT(IFERROR(AND(ISNUMBER(SEARCH("@",$N127)),ISNUMBER(SEARCH(".",$N127,SEARCH("@",$N127)+2))),FALSE))),"Email, ","")&amp;IF(OR(AND($B127&lt;&gt;"",$O127=""),AND($O127&lt;&gt;"",$O127&lt;&gt;"Spouse or Common Law Spouse",$O127&lt;&gt;"Domestic Partner",$O127&lt;&gt;"Child",$O127&lt;&gt;"Other",$O127&lt;&gt;"Estate",$O127&lt;&gt;"Unknown")),"Dependent Relationship, ","")&amp;IF($AA127&lt;&gt;"","Household, ","")&amp;IF(OR($P127="",AND($P127&lt;&gt;"",OR(NOT(ISNUMBER($P127)),$P127&lt;=DATE(1900,1,1)))),"Eligibility Date, ","")&amp;IF(OR(AND($R127="Terminated",$Q127=""),AND($Q127&lt;&gt;"",OR(NOT(ISNUMBER($Q127)),$Q127&lt;=DATE(1900,1,1))),AND(ISNUMBER($P127),ISNUMBER($Q127),$Q127&lt;$P127)),"Termination Date, ","")&amp;IF(OR($R127="",AND($R127&lt;&gt;"Active",$R127&lt;&gt;"Terminated"),AND('START HERE'!$C$8="Terminations Only",$R127&lt;&gt;"Terminated")),"Status, ","")&amp;IF($S127="","Plan Name, ","")&amp;IF($T127="","Coverage Level, ","")&amp;IF(AND($U127&lt;&gt;"",OR(NOT(ISNUMBER($U127)),$U127&lt;0)),"Funding, ","")&amp;IF(AND($A127&lt;&gt;"",$S127&lt;&gt;"",COUNTIFS($A$2:$A$501,$A127,$B$2:$B$501,$B127,$S$2:$S$501,$S127)&gt;1),"Duplicate Row, ",""))</f>
        <v/>
      </c>
      <c r="AF127">
        <f>IF(COUNTA($A127:$U127)=0,"",$Y127&amp;$Z127&amp;$AA127&amp;$AB127&amp;$AC127)</f>
        <v/>
      </c>
      <c r="AG127">
        <f>IF($N127="","",LOWER(TRIM($N127)))</f>
        <v/>
      </c>
      <c r="AH127">
        <f>IF($A127="","",COUNTIFS($A$2:$A$501,$A127,$AI$2:$AI$501,1))</f>
        <v/>
      </c>
      <c r="AI127">
        <f>IF(COUNTA($A127:$U127)=0,"",--($AF127&lt;&gt;""))</f>
        <v/>
      </c>
      <c r="AJ127">
        <f>IF(COUNTA($A127:$U127)=0,"",--($AD127&lt;&gt;""))</f>
        <v/>
      </c>
    </row>
    <row r="128" ht="20" customHeight="1">
      <c r="A128" s="80" t="n"/>
      <c r="B128" s="80" t="n"/>
      <c r="C128" s="81" t="n"/>
      <c r="D128" s="81" t="n"/>
      <c r="E128" s="80" t="n"/>
      <c r="F128" s="81" t="n"/>
      <c r="G128" s="81" t="n"/>
      <c r="H128" s="81" t="n"/>
      <c r="I128" s="80" t="n"/>
      <c r="J128" s="80" t="n"/>
      <c r="K128" s="80" t="n"/>
      <c r="L128" s="82" t="n"/>
      <c r="M128" s="80" t="n"/>
      <c r="N128" s="80" t="n"/>
      <c r="O128" s="80" t="n"/>
      <c r="P128" s="82" t="n"/>
      <c r="Q128" s="82" t="n"/>
      <c r="R128" s="80" t="n"/>
      <c r="S128" s="80" t="n"/>
      <c r="T128" s="80" t="n"/>
      <c r="U128" s="83" t="n"/>
      <c r="V128">
        <f>IF($A128="","",IF($A128=$A127,$V127,IF($V127="",0,1-$V127)))</f>
        <v/>
      </c>
      <c r="W128">
        <f>IF($B128&lt;&gt;"",$B128,$A128)</f>
        <v/>
      </c>
      <c r="X128">
        <f>IF(COUNTA($A128:$U128)=0,"",IF(OR($B128&lt;&gt;"",$O128&lt;&gt;""),"Dependent","Employee"))</f>
        <v/>
      </c>
      <c r="Y128">
        <f>IF(COUNTA($A128:$U128)=0,"",IF($A128="","Employee SSN is required; ","")&amp;IF($C128="","First Name is required; ","")&amp;IF(LEN($C128&amp;"")&gt;19,"First Name exceeds 19 characters; ","")&amp;IF(AND($C128&lt;&gt;"",SUMPRODUCT(--(ROW($1:$19)&lt;=LEN($C128&amp;"")),--ISERROR(FIND(MID($C128&amp;"",ROW($1:$19),1),"ABCDEFGHIJKLMNOPQRSTUVWXYZabcdefghijklmnopqrstuvwxyz .,")))&gt;0),"First Name contains unsupported or encoded characters; use plain A-Z letters only; ","")&amp;IF($D128="","Last Name is required; ","")&amp;IF(LEN($D128&amp;"")&gt;26,"Last Name exceeds 26 characters; ","")&amp;IF(AND($D128&lt;&gt;"",SUMPRODUCT(--(ROW($1:$26)&lt;=LEN($D128&amp;"")),--ISERROR(FIND(MID($D128&amp;"",ROW($1:$26),1),"ABCDEFGHIJKLMNOPQRSTUVWXYZabcdefghijklmnopqrstuvwxyz .,")))&gt;0),"Last Name contains unsupported or encoded characters; use plain A-Z letters only; ","")&amp;IF(LEN($E128&amp;"")&gt;1,"Middle Initial may contain only one character; ","")&amp;IF(AND($E128&lt;&gt;"",SUMPRODUCT(--(ROW($1:$1)&lt;=LEN($E128&amp;"")),--ISERROR(FIND(MID($E128&amp;"",ROW($1:$1),1),"ABCDEFGHIJKLMNOPQRSTUVWXYZabcdefghijklmnopqrstuvwxyz .,")))&gt;0),"Middle Initial must be a plain A-Z letter; ","")&amp;IF($F128="","Address is required; ","")&amp;IF(LEN($F128&amp;"")&gt;75,"Address exceeds 75 characters; ","")&amp;IF(LEN($G128&amp;"")&gt;75,"Address 2 exceeds 75 characters; ","")&amp;IF($H128="","City is required; ","")&amp;IF(LEN($H128&amp;"")&gt;30,"City exceeds 30 characters; ","")&amp;IF($K128="","Country is required; ","")&amp;IF(AND($K128&lt;&gt;"",$K128&lt;&gt;"US",$K128&lt;&gt;"CA"),"Country must be US or CA; ","")&amp;IF(AND($K128="US",OR($I128="",LEN($I128&amp;"")&lt;&gt;2)),"Use a 2-letter state code; ","")&amp;IF($J128="","ZIP or postal code is required; ","")&amp;IF(AND($K128="US",$J128&lt;&gt;"",NOT(IFERROR(OR(AND(LEN($J128&amp;"")=5,ISNUMBER(--($J128&amp;""))),AND(LEN($J128&amp;"")=9,ISNUMBER(--($J128&amp;""))),AND(LEN($J128&amp;"")=10,MID($J128&amp;"",6,1)="-",ISNUMBER(--SUBSTITUTE($J128&amp;"","-","")))),FALSE))),"US ZIP must be 5 or 9 digits, with an optional ZIP+4 hyphen; ","")&amp;IF(AND($N128&lt;&gt;"",NOT(IFERROR(AND(ISNUMBER(SEARCH("@",$N128)),ISNUMBER(SEARCH(".",$N128,SEARCH("@",$N128)+2))),FALSE))),"Email format appears invalid; ","")&amp;IF(AND($O128&lt;&gt;"",$B128=""),"Dependent SSN is required for every dependent; ","")&amp;IF(AND($B128&lt;&gt;"",$O128=""),"Dependent Relationship is required when Dependent SSN is entered; ","")&amp;IF(AND($O128&lt;&gt;"",$O128&lt;&gt;"Spouse or Common Law Spouse",$O128&lt;&gt;"Domestic Partner",$O128&lt;&gt;"Child",$O128&lt;&gt;"Other",$O128&lt;&gt;"Estate",$O128&lt;&gt;"Unknown"),"Dependent Relationship must use one of the approved options; ",""))</f>
        <v/>
      </c>
      <c r="Z128">
        <f>IF(COUNTA($A128:$U128)=0,"",IF(AND($A128&lt;&gt;"",NOT(IFERROR(AND(LEN($A128&amp;"")=9,ISNUMBER(--($A128&amp;""))),FALSE))),"Employee SSN must contain exactly 9 digits; ","")&amp;IF(AND($A128&lt;&gt;"",OR($A128="123456789",$A128="987654321",$A128="012345678",$A128=REPT(LEFT($A128&amp;"",1),9))),"Employee SSN appears to be a placeholder; ","")&amp;IF(AND($B128&lt;&gt;"",NOT(IFERROR(AND(LEN($B128&amp;"")=9,ISNUMBER(--($B128&amp;""))),FALSE))),"Dependent SSN must contain exactly 9 digits; ","")&amp;IF(AND($B128&lt;&gt;"",OR($B128="123456789",$B128="987654321",$B128="012345678",$B128=REPT(LEFT($B128&amp;"",1),9))),"Dependent SSN appears to be a placeholder; ","")&amp;IF(AND($A128&lt;&gt;"",$B128&lt;&gt;"",$A128&amp;""=$B128&amp;""),"Dependent SSN cannot match Employee SSN; ","")&amp;IF(AND($W128&lt;&gt;"",OR(COUNTIFS($W$2:$W$501,$W128,$C$2:$C$501,"&lt;&gt;"&amp;$C128)&gt;0,COUNTIFS($W$2:$W$501,$W128,$D$2:$D$501,"&lt;&gt;"&amp;$D128)&gt;0,COUNTIFS($W$2:$W$501,$W128,$L$2:$L$501,"&lt;&gt;"&amp;$L128)&gt;0)),"The same SSN is associated with a different name or birthdate; ",""))</f>
        <v/>
      </c>
      <c r="AA128">
        <f>IF(COUNTA($A128:$U128)=0,"",IF(AND($A128&lt;&gt;"",$S128&lt;&gt;"",COUNTIFS($A$2:$A$501,$A128,$S$2:$S$501,$S128,$B$2:$B$501,"",$O$2:$O$501,"")=0),"Add an employee row for this household and plan; ","")&amp;IF(AND($X128="Dependent",COUNTIFS($A$2:$A128,$A128,$S$2:$S128,$S128,$B$2:$B128,"",$O$2:$O128,"")=0),"Place the employee row before dependent rows for this plan; ","")&amp;IF(AND($X128="Dependent",COUNTIFS($A$2:$A$501,$A128,$S$2:$S$501,$S128,$B$2:$B$501,"",$O$2:$O$501,"")&gt;0,IFERROR(OR($P128&lt;&gt;LOOKUP(2,1/(($A$2:$A$501=$A128)*($S$2:$S$501=$S128)*($B$2:$B$501="")*($O$2:$O$501="")),$P$2:$P$501),$Q128&lt;&gt;LOOKUP(2,1/(($A$2:$A$501=$A128)*($S$2:$S$501=$S128)*($B$2:$B$501="")*($O$2:$O$501="")),$Q$2:$Q$501),$R128&lt;&gt;LOOKUP(2,1/(($A$2:$A$501=$A128)*($S$2:$S$501=$S128)*($B$2:$B$501="")*($O$2:$O$501="")),$R$2:$R$501),$T128&lt;&gt;LOOKUP(2,1/(($A$2:$A$501=$A128)*($S$2:$S$501=$S128)*($B$2:$B$501="")*($O$2:$O$501="")),$T$2:$T$501),$U128&lt;&gt;LOOKUP(2,1/(($A$2:$A$501=$A128)*($S$2:$S$501=$S128)*($B$2:$B$501="")*($O$2:$O$501="")),$U$2:$U$501)),FALSE)),"Dependent row does not match the employee row for eligibility, status, coverage level, or funding; ",""))</f>
        <v/>
      </c>
      <c r="AB128">
        <f>IF(COUNTA($A128:$U128)=0,"",IF($L128="","Birthdate is required; ","")&amp;IF(AND($L128&lt;&gt;"",OR(NOT(ISNUMBER($L128)),$L128&lt;=DATE(1900,1,1),$L128&gt;TODAY())),"Birthdate must be an exact valid past date; ","")&amp;IF($P128="","Eligibility Date is required; ","")&amp;IF(AND($P128&lt;&gt;"",OR(NOT(ISNUMBER($P128)),$P128&lt;=DATE(1900,1,1))),"Eligibility Date must be a valid date; ","")&amp;IF(AND($R128="Terminated",$Q128=""),"Termination Date is required when Status is Terminated; ","")&amp;IF(AND($Q128&lt;&gt;"",OR(NOT(ISNUMBER($Q128)),$Q128&lt;=DATE(1900,1,1))),"Termination Date must be a valid date; ","")&amp;IF(AND(ISNUMBER($P128),ISNUMBER($Q128),$Q128&lt;$P128),"Termination Date cannot be before Eligibility Date; ","")&amp;IF($R128="","Status is required; ","")&amp;IF(AND($R128&lt;&gt;"",$R128&lt;&gt;"Active",$R128&lt;&gt;"Terminated"),"Status must be Active or Terminated; ","")&amp;IF(AND('START HERE'!$C$8="Terminations Only",$R128&lt;&gt;"Terminated"),"Terminations Only files must contain terminated records; ",""))</f>
        <v/>
      </c>
      <c r="AC128">
        <f>IF(COUNTA($A128:$U128)=0,"",IF($S128="","Plan Name is required; ","")&amp;IF($T128="","Benefit Coverage Level is required; ","")&amp;IF(AND($U128&lt;&gt;"",OR(NOT(ISNUMBER($U128)),$U128&lt;0)),"Plan Funding Amount must be a nonnegative number; ","")&amp;IF(AND($A128&lt;&gt;"",$S128&lt;&gt;"",COUNTIFS($A$2:$A$501,$A128,$B$2:$B$501,$B128,$S$2:$S$501,$S128)&gt;1),"Duplicate participant and plan row; ",""))</f>
        <v/>
      </c>
      <c r="AD128">
        <f>IF(COUNTA($A128:$U128)=0,"",IF(AND($X128="Employee",$M128="",$N128=""),"No employee phone or email provided; ","")&amp;IF(AND($R128="Active",$Q128&lt;&gt;""),"Active record includes a Termination Date; confirm this is intentional; ","")&amp;IF(AND($B128&lt;&gt;"",$B128&amp;""&lt;&gt;$A128&amp;"",COUNTIF($A$2:$A$501,$B128)&gt;0),"Dependent SSN also appears as an Employee SSN elsewhere; confirm dual-employee coverage is intentional; ","")&amp;IF(AND($B128&lt;&gt;"",COUNTIF($B$2:$B$501,$B128)&gt;COUNTIFS($A$2:$A$501,$A128,$B$2:$B$501,$B128)),"Dependent SSN appears under more than one employee; confirm duplicate family coverage is intentional; ","")&amp;IF(AND(ROW()&gt;2,$A128&lt;&gt;"",$A128&lt;&gt;$A127,COUNTIF($A$2:$A127,$A128)&gt;0),"This household appears in more than one section of the census; keep the family together; ","")&amp;IF(OR(AND($C128&lt;&gt;"",LEN($C128&amp;"")&lt;&gt;LEN(TRIM($C128&amp;""))),AND($D128&lt;&gt;"",LEN($D128&amp;"")&lt;&gt;LEN(TRIM($D128&amp;""))),AND($E128&lt;&gt;"",LEN($E128&amp;"")&lt;&gt;LEN(TRIM($E128&amp;""))),AND($F128&lt;&gt;"",LEN($F128&amp;"")&lt;&gt;LEN(TRIM($F128&amp;""))),AND($G128&lt;&gt;"",LEN($G128&amp;"")&lt;&gt;LEN(TRIM($G128&amp;""))),AND($H128&lt;&gt;"",LEN($H128&amp;"")&lt;&gt;LEN(TRIM($H128&amp;""))),AND($I128&lt;&gt;"",LEN($I128&amp;"")&lt;&gt;LEN(TRIM($I128&amp;""))),AND($J128&lt;&gt;"",LEN($J128&amp;"")&lt;&gt;LEN(TRIM($J128&amp;""))),AND($K128&lt;&gt;"",LEN($K128&amp;"")&lt;&gt;LEN(TRIM($K128&amp;""))),AND($M128&lt;&gt;"",LEN($M128&amp;"")&lt;&gt;LEN(TRIM($M128&amp;""))),AND($N128&lt;&gt;"",LEN($N128&amp;"")&lt;&gt;LEN(TRIM($N128&amp;""))),AND($O128&lt;&gt;"",LEN($O128&amp;"")&lt;&gt;LEN(TRIM($O128&amp;""))),AND($R128&lt;&gt;"",LEN($R128&amp;"")&lt;&gt;LEN(TRIM($R128&amp;""))),AND($S128&lt;&gt;"",LEN($S128&amp;"")&lt;&gt;LEN(TRIM($S128&amp;""))),AND($T128&lt;&gt;"",LEN($T128&amp;"")&lt;&gt;LEN(TRIM($T128&amp;"")))),"Remove leading or trailing spaces from text fields; ","")&amp;IF(OR(AND(LEN($C128)&gt;1,OR(EXACT($C128,UPPER($C128)),EXACT($C128,LOWER($C128)))),AND(LEN($D128)&gt;1,OR(EXACT($D128,UPPER($D128)),EXACT($D128,LOWER($D128)))),AND(LEN($H128)&gt;1,OR(EXACT($H128,UPPER($H128)),EXACT($H128,LOWER($H128))))),"Review capitalization in First Name, Last Name, or City; ","")&amp;IF(AND($N128&lt;&gt;"",NOT(EXACT($N128,LOWER($N128)))),"Email will be standardized to lowercase in the clean output; ","")&amp;IF(AND(OR('START HERE'!$C$8="Initial Enrollment",'START HERE'!$C$8="Open Enrollment"),$R128="Terminated"),"A terminated row is included in an initial or open enrollment file; confirm this is intentional; ",""))</f>
        <v/>
      </c>
      <c r="AE128">
        <f>IF(COUNTA($A128:$U128)=0,"",IF(OR($A128="",AND($A128&lt;&gt;"",NOT(IFERROR(AND(LEN($A128&amp;"")=9,ISNUMBER(--($A128&amp;""))),FALSE))),AND($A128&lt;&gt;"",OR($A128="123456789",$A128="987654321",$A128="012345678",$A128=REPT(LEFT($A128&amp;"",1),9)))),"Employee SSN, ","")&amp;IF(OR(AND($O128&lt;&gt;"",$B128=""),AND($B128&lt;&gt;"",OR(NOT(IFERROR(AND(LEN($B128&amp;"")=9,ISNUMBER(--($B128&amp;""))),FALSE)),$B128=$A128,$B128="123456789",$B128="987654321",$B128="012345678",$B128=REPT(LEFT($B128&amp;"",1),9)))),"Dependent SSN, ","")&amp;IF(OR($C128="",LEN($C128)&gt;19,AND($C128&lt;&gt;"",SUMPRODUCT(--(ROW($1:$19)&lt;=LEN($C128&amp;"")),--ISERROR(FIND(MID($C128&amp;"",ROW($1:$19),1),"ABCDEFGHIJKLMNOPQRSTUVWXYZabcdefghijklmnopqrstuvwxyz .,")))&gt;0)),"First Name, ","")&amp;IF(OR($D128="",LEN($D128)&gt;26,AND($D128&lt;&gt;"",SUMPRODUCT(--(ROW($1:$26)&lt;=LEN($D128&amp;"")),--ISERROR(FIND(MID($D128&amp;"",ROW($1:$26),1),"ABCDEFGHIJKLMNOPQRSTUVWXYZabcdefghijklmnopqrstuvwxyz .,")))&gt;0)),"Last Name, ","")&amp;IF(OR(LEN($E128)&gt;1,AND($E128&lt;&gt;"",SUMPRODUCT(--(ROW($1:$1)&lt;=LEN($E128&amp;"")),--ISERROR(FIND(MID($E128&amp;"",ROW($1:$1),1),"ABCDEFGHIJKLMNOPQRSTUVWXYZabcdefghijklmnopqrstuvwxyz .,")))&gt;0)),"Middle Initial, ","")&amp;IF(OR($F128="",LEN($F128)&gt;75),"Address, ","")&amp;IF(OR($H128="",LEN($H128)&gt;30),"City, ","")&amp;IF(AND($K128="US",OR($I128="",LEN($I128)&lt;&gt;2)),"State, ","")&amp;IF($J128="","ZIP, ","")&amp;IF(OR($K128="",AND($K128&lt;&gt;"US",$K128&lt;&gt;"CA")),"Country, ","")&amp;IF(OR($L128="",AND($L128&lt;&gt;"",OR(NOT(ISNUMBER($L128)),$L128&lt;=DATE(1900,1,1),$L128&gt;TODAY()))),"Birthdate, ","")&amp;IF(AND($N128&lt;&gt;"",NOT(IFERROR(AND(ISNUMBER(SEARCH("@",$N128)),ISNUMBER(SEARCH(".",$N128,SEARCH("@",$N128)+2))),FALSE))),"Email, ","")&amp;IF(OR(AND($B128&lt;&gt;"",$O128=""),AND($O128&lt;&gt;"",$O128&lt;&gt;"Spouse or Common Law Spouse",$O128&lt;&gt;"Domestic Partner",$O128&lt;&gt;"Child",$O128&lt;&gt;"Other",$O128&lt;&gt;"Estate",$O128&lt;&gt;"Unknown")),"Dependent Relationship, ","")&amp;IF($AA128&lt;&gt;"","Household, ","")&amp;IF(OR($P128="",AND($P128&lt;&gt;"",OR(NOT(ISNUMBER($P128)),$P128&lt;=DATE(1900,1,1)))),"Eligibility Date, ","")&amp;IF(OR(AND($R128="Terminated",$Q128=""),AND($Q128&lt;&gt;"",OR(NOT(ISNUMBER($Q128)),$Q128&lt;=DATE(1900,1,1))),AND(ISNUMBER($P128),ISNUMBER($Q128),$Q128&lt;$P128)),"Termination Date, ","")&amp;IF(OR($R128="",AND($R128&lt;&gt;"Active",$R128&lt;&gt;"Terminated"),AND('START HERE'!$C$8="Terminations Only",$R128&lt;&gt;"Terminated")),"Status, ","")&amp;IF($S128="","Plan Name, ","")&amp;IF($T128="","Coverage Level, ","")&amp;IF(AND($U128&lt;&gt;"",OR(NOT(ISNUMBER($U128)),$U128&lt;0)),"Funding, ","")&amp;IF(AND($A128&lt;&gt;"",$S128&lt;&gt;"",COUNTIFS($A$2:$A$501,$A128,$B$2:$B$501,$B128,$S$2:$S$501,$S128)&gt;1),"Duplicate Row, ",""))</f>
        <v/>
      </c>
      <c r="AF128">
        <f>IF(COUNTA($A128:$U128)=0,"",$Y128&amp;$Z128&amp;$AA128&amp;$AB128&amp;$AC128)</f>
        <v/>
      </c>
      <c r="AG128">
        <f>IF($N128="","",LOWER(TRIM($N128)))</f>
        <v/>
      </c>
      <c r="AH128">
        <f>IF($A128="","",COUNTIFS($A$2:$A$501,$A128,$AI$2:$AI$501,1))</f>
        <v/>
      </c>
      <c r="AI128">
        <f>IF(COUNTA($A128:$U128)=0,"",--($AF128&lt;&gt;""))</f>
        <v/>
      </c>
      <c r="AJ128">
        <f>IF(COUNTA($A128:$U128)=0,"",--($AD128&lt;&gt;""))</f>
        <v/>
      </c>
    </row>
    <row r="129" ht="20" customHeight="1">
      <c r="A129" s="80" t="n"/>
      <c r="B129" s="80" t="n"/>
      <c r="C129" s="81" t="n"/>
      <c r="D129" s="81" t="n"/>
      <c r="E129" s="80" t="n"/>
      <c r="F129" s="81" t="n"/>
      <c r="G129" s="81" t="n"/>
      <c r="H129" s="81" t="n"/>
      <c r="I129" s="80" t="n"/>
      <c r="J129" s="80" t="n"/>
      <c r="K129" s="80" t="n"/>
      <c r="L129" s="82" t="n"/>
      <c r="M129" s="80" t="n"/>
      <c r="N129" s="80" t="n"/>
      <c r="O129" s="80" t="n"/>
      <c r="P129" s="82" t="n"/>
      <c r="Q129" s="82" t="n"/>
      <c r="R129" s="80" t="n"/>
      <c r="S129" s="80" t="n"/>
      <c r="T129" s="80" t="n"/>
      <c r="U129" s="83" t="n"/>
      <c r="V129">
        <f>IF($A129="","",IF($A129=$A128,$V128,IF($V128="",0,1-$V128)))</f>
        <v/>
      </c>
      <c r="W129">
        <f>IF($B129&lt;&gt;"",$B129,$A129)</f>
        <v/>
      </c>
      <c r="X129">
        <f>IF(COUNTA($A129:$U129)=0,"",IF(OR($B129&lt;&gt;"",$O129&lt;&gt;""),"Dependent","Employee"))</f>
        <v/>
      </c>
      <c r="Y129">
        <f>IF(COUNTA($A129:$U129)=0,"",IF($A129="","Employee SSN is required; ","")&amp;IF($C129="","First Name is required; ","")&amp;IF(LEN($C129&amp;"")&gt;19,"First Name exceeds 19 characters; ","")&amp;IF(AND($C129&lt;&gt;"",SUMPRODUCT(--(ROW($1:$19)&lt;=LEN($C129&amp;"")),--ISERROR(FIND(MID($C129&amp;"",ROW($1:$19),1),"ABCDEFGHIJKLMNOPQRSTUVWXYZabcdefghijklmnopqrstuvwxyz .,")))&gt;0),"First Name contains unsupported or encoded characters; use plain A-Z letters only; ","")&amp;IF($D129="","Last Name is required; ","")&amp;IF(LEN($D129&amp;"")&gt;26,"Last Name exceeds 26 characters; ","")&amp;IF(AND($D129&lt;&gt;"",SUMPRODUCT(--(ROW($1:$26)&lt;=LEN($D129&amp;"")),--ISERROR(FIND(MID($D129&amp;"",ROW($1:$26),1),"ABCDEFGHIJKLMNOPQRSTUVWXYZabcdefghijklmnopqrstuvwxyz .,")))&gt;0),"Last Name contains unsupported or encoded characters; use plain A-Z letters only; ","")&amp;IF(LEN($E129&amp;"")&gt;1,"Middle Initial may contain only one character; ","")&amp;IF(AND($E129&lt;&gt;"",SUMPRODUCT(--(ROW($1:$1)&lt;=LEN($E129&amp;"")),--ISERROR(FIND(MID($E129&amp;"",ROW($1:$1),1),"ABCDEFGHIJKLMNOPQRSTUVWXYZabcdefghijklmnopqrstuvwxyz .,")))&gt;0),"Middle Initial must be a plain A-Z letter; ","")&amp;IF($F129="","Address is required; ","")&amp;IF(LEN($F129&amp;"")&gt;75,"Address exceeds 75 characters; ","")&amp;IF(LEN($G129&amp;"")&gt;75,"Address 2 exceeds 75 characters; ","")&amp;IF($H129="","City is required; ","")&amp;IF(LEN($H129&amp;"")&gt;30,"City exceeds 30 characters; ","")&amp;IF($K129="","Country is required; ","")&amp;IF(AND($K129&lt;&gt;"",$K129&lt;&gt;"US",$K129&lt;&gt;"CA"),"Country must be US or CA; ","")&amp;IF(AND($K129="US",OR($I129="",LEN($I129&amp;"")&lt;&gt;2)),"Use a 2-letter state code; ","")&amp;IF($J129="","ZIP or postal code is required; ","")&amp;IF(AND($K129="US",$J129&lt;&gt;"",NOT(IFERROR(OR(AND(LEN($J129&amp;"")=5,ISNUMBER(--($J129&amp;""))),AND(LEN($J129&amp;"")=9,ISNUMBER(--($J129&amp;""))),AND(LEN($J129&amp;"")=10,MID($J129&amp;"",6,1)="-",ISNUMBER(--SUBSTITUTE($J129&amp;"","-","")))),FALSE))),"US ZIP must be 5 or 9 digits, with an optional ZIP+4 hyphen; ","")&amp;IF(AND($N129&lt;&gt;"",NOT(IFERROR(AND(ISNUMBER(SEARCH("@",$N129)),ISNUMBER(SEARCH(".",$N129,SEARCH("@",$N129)+2))),FALSE))),"Email format appears invalid; ","")&amp;IF(AND($O129&lt;&gt;"",$B129=""),"Dependent SSN is required for every dependent; ","")&amp;IF(AND($B129&lt;&gt;"",$O129=""),"Dependent Relationship is required when Dependent SSN is entered; ","")&amp;IF(AND($O129&lt;&gt;"",$O129&lt;&gt;"Spouse or Common Law Spouse",$O129&lt;&gt;"Domestic Partner",$O129&lt;&gt;"Child",$O129&lt;&gt;"Other",$O129&lt;&gt;"Estate",$O129&lt;&gt;"Unknown"),"Dependent Relationship must use one of the approved options; ",""))</f>
        <v/>
      </c>
      <c r="Z129">
        <f>IF(COUNTA($A129:$U129)=0,"",IF(AND($A129&lt;&gt;"",NOT(IFERROR(AND(LEN($A129&amp;"")=9,ISNUMBER(--($A129&amp;""))),FALSE))),"Employee SSN must contain exactly 9 digits; ","")&amp;IF(AND($A129&lt;&gt;"",OR($A129="123456789",$A129="987654321",$A129="012345678",$A129=REPT(LEFT($A129&amp;"",1),9))),"Employee SSN appears to be a placeholder; ","")&amp;IF(AND($B129&lt;&gt;"",NOT(IFERROR(AND(LEN($B129&amp;"")=9,ISNUMBER(--($B129&amp;""))),FALSE))),"Dependent SSN must contain exactly 9 digits; ","")&amp;IF(AND($B129&lt;&gt;"",OR($B129="123456789",$B129="987654321",$B129="012345678",$B129=REPT(LEFT($B129&amp;"",1),9))),"Dependent SSN appears to be a placeholder; ","")&amp;IF(AND($A129&lt;&gt;"",$B129&lt;&gt;"",$A129&amp;""=$B129&amp;""),"Dependent SSN cannot match Employee SSN; ","")&amp;IF(AND($W129&lt;&gt;"",OR(COUNTIFS($W$2:$W$501,$W129,$C$2:$C$501,"&lt;&gt;"&amp;$C129)&gt;0,COUNTIFS($W$2:$W$501,$W129,$D$2:$D$501,"&lt;&gt;"&amp;$D129)&gt;0,COUNTIFS($W$2:$W$501,$W129,$L$2:$L$501,"&lt;&gt;"&amp;$L129)&gt;0)),"The same SSN is associated with a different name or birthdate; ",""))</f>
        <v/>
      </c>
      <c r="AA129">
        <f>IF(COUNTA($A129:$U129)=0,"",IF(AND($A129&lt;&gt;"",$S129&lt;&gt;"",COUNTIFS($A$2:$A$501,$A129,$S$2:$S$501,$S129,$B$2:$B$501,"",$O$2:$O$501,"")=0),"Add an employee row for this household and plan; ","")&amp;IF(AND($X129="Dependent",COUNTIFS($A$2:$A129,$A129,$S$2:$S129,$S129,$B$2:$B129,"",$O$2:$O129,"")=0),"Place the employee row before dependent rows for this plan; ","")&amp;IF(AND($X129="Dependent",COUNTIFS($A$2:$A$501,$A129,$S$2:$S$501,$S129,$B$2:$B$501,"",$O$2:$O$501,"")&gt;0,IFERROR(OR($P129&lt;&gt;LOOKUP(2,1/(($A$2:$A$501=$A129)*($S$2:$S$501=$S129)*($B$2:$B$501="")*($O$2:$O$501="")),$P$2:$P$501),$Q129&lt;&gt;LOOKUP(2,1/(($A$2:$A$501=$A129)*($S$2:$S$501=$S129)*($B$2:$B$501="")*($O$2:$O$501="")),$Q$2:$Q$501),$R129&lt;&gt;LOOKUP(2,1/(($A$2:$A$501=$A129)*($S$2:$S$501=$S129)*($B$2:$B$501="")*($O$2:$O$501="")),$R$2:$R$501),$T129&lt;&gt;LOOKUP(2,1/(($A$2:$A$501=$A129)*($S$2:$S$501=$S129)*($B$2:$B$501="")*($O$2:$O$501="")),$T$2:$T$501),$U129&lt;&gt;LOOKUP(2,1/(($A$2:$A$501=$A129)*($S$2:$S$501=$S129)*($B$2:$B$501="")*($O$2:$O$501="")),$U$2:$U$501)),FALSE)),"Dependent row does not match the employee row for eligibility, status, coverage level, or funding; ",""))</f>
        <v/>
      </c>
      <c r="AB129">
        <f>IF(COUNTA($A129:$U129)=0,"",IF($L129="","Birthdate is required; ","")&amp;IF(AND($L129&lt;&gt;"",OR(NOT(ISNUMBER($L129)),$L129&lt;=DATE(1900,1,1),$L129&gt;TODAY())),"Birthdate must be an exact valid past date; ","")&amp;IF($P129="","Eligibility Date is required; ","")&amp;IF(AND($P129&lt;&gt;"",OR(NOT(ISNUMBER($P129)),$P129&lt;=DATE(1900,1,1))),"Eligibility Date must be a valid date; ","")&amp;IF(AND($R129="Terminated",$Q129=""),"Termination Date is required when Status is Terminated; ","")&amp;IF(AND($Q129&lt;&gt;"",OR(NOT(ISNUMBER($Q129)),$Q129&lt;=DATE(1900,1,1))),"Termination Date must be a valid date; ","")&amp;IF(AND(ISNUMBER($P129),ISNUMBER($Q129),$Q129&lt;$P129),"Termination Date cannot be before Eligibility Date; ","")&amp;IF($R129="","Status is required; ","")&amp;IF(AND($R129&lt;&gt;"",$R129&lt;&gt;"Active",$R129&lt;&gt;"Terminated"),"Status must be Active or Terminated; ","")&amp;IF(AND('START HERE'!$C$8="Terminations Only",$R129&lt;&gt;"Terminated"),"Terminations Only files must contain terminated records; ",""))</f>
        <v/>
      </c>
      <c r="AC129">
        <f>IF(COUNTA($A129:$U129)=0,"",IF($S129="","Plan Name is required; ","")&amp;IF($T129="","Benefit Coverage Level is required; ","")&amp;IF(AND($U129&lt;&gt;"",OR(NOT(ISNUMBER($U129)),$U129&lt;0)),"Plan Funding Amount must be a nonnegative number; ","")&amp;IF(AND($A129&lt;&gt;"",$S129&lt;&gt;"",COUNTIFS($A$2:$A$501,$A129,$B$2:$B$501,$B129,$S$2:$S$501,$S129)&gt;1),"Duplicate participant and plan row; ",""))</f>
        <v/>
      </c>
      <c r="AD129">
        <f>IF(COUNTA($A129:$U129)=0,"",IF(AND($X129="Employee",$M129="",$N129=""),"No employee phone or email provided; ","")&amp;IF(AND($R129="Active",$Q129&lt;&gt;""),"Active record includes a Termination Date; confirm this is intentional; ","")&amp;IF(AND($B129&lt;&gt;"",$B129&amp;""&lt;&gt;$A129&amp;"",COUNTIF($A$2:$A$501,$B129)&gt;0),"Dependent SSN also appears as an Employee SSN elsewhere; confirm dual-employee coverage is intentional; ","")&amp;IF(AND($B129&lt;&gt;"",COUNTIF($B$2:$B$501,$B129)&gt;COUNTIFS($A$2:$A$501,$A129,$B$2:$B$501,$B129)),"Dependent SSN appears under more than one employee; confirm duplicate family coverage is intentional; ","")&amp;IF(AND(ROW()&gt;2,$A129&lt;&gt;"",$A129&lt;&gt;$A128,COUNTIF($A$2:$A128,$A129)&gt;0),"This household appears in more than one section of the census; keep the family together; ","")&amp;IF(OR(AND($C129&lt;&gt;"",LEN($C129&amp;"")&lt;&gt;LEN(TRIM($C129&amp;""))),AND($D129&lt;&gt;"",LEN($D129&amp;"")&lt;&gt;LEN(TRIM($D129&amp;""))),AND($E129&lt;&gt;"",LEN($E129&amp;"")&lt;&gt;LEN(TRIM($E129&amp;""))),AND($F129&lt;&gt;"",LEN($F129&amp;"")&lt;&gt;LEN(TRIM($F129&amp;""))),AND($G129&lt;&gt;"",LEN($G129&amp;"")&lt;&gt;LEN(TRIM($G129&amp;""))),AND($H129&lt;&gt;"",LEN($H129&amp;"")&lt;&gt;LEN(TRIM($H129&amp;""))),AND($I129&lt;&gt;"",LEN($I129&amp;"")&lt;&gt;LEN(TRIM($I129&amp;""))),AND($J129&lt;&gt;"",LEN($J129&amp;"")&lt;&gt;LEN(TRIM($J129&amp;""))),AND($K129&lt;&gt;"",LEN($K129&amp;"")&lt;&gt;LEN(TRIM($K129&amp;""))),AND($M129&lt;&gt;"",LEN($M129&amp;"")&lt;&gt;LEN(TRIM($M129&amp;""))),AND($N129&lt;&gt;"",LEN($N129&amp;"")&lt;&gt;LEN(TRIM($N129&amp;""))),AND($O129&lt;&gt;"",LEN($O129&amp;"")&lt;&gt;LEN(TRIM($O129&amp;""))),AND($R129&lt;&gt;"",LEN($R129&amp;"")&lt;&gt;LEN(TRIM($R129&amp;""))),AND($S129&lt;&gt;"",LEN($S129&amp;"")&lt;&gt;LEN(TRIM($S129&amp;""))),AND($T129&lt;&gt;"",LEN($T129&amp;"")&lt;&gt;LEN(TRIM($T129&amp;"")))),"Remove leading or trailing spaces from text fields; ","")&amp;IF(OR(AND(LEN($C129)&gt;1,OR(EXACT($C129,UPPER($C129)),EXACT($C129,LOWER($C129)))),AND(LEN($D129)&gt;1,OR(EXACT($D129,UPPER($D129)),EXACT($D129,LOWER($D129)))),AND(LEN($H129)&gt;1,OR(EXACT($H129,UPPER($H129)),EXACT($H129,LOWER($H129))))),"Review capitalization in First Name, Last Name, or City; ","")&amp;IF(AND($N129&lt;&gt;"",NOT(EXACT($N129,LOWER($N129)))),"Email will be standardized to lowercase in the clean output; ","")&amp;IF(AND(OR('START HERE'!$C$8="Initial Enrollment",'START HERE'!$C$8="Open Enrollment"),$R129="Terminated"),"A terminated row is included in an initial or open enrollment file; confirm this is intentional; ",""))</f>
        <v/>
      </c>
      <c r="AE129">
        <f>IF(COUNTA($A129:$U129)=0,"",IF(OR($A129="",AND($A129&lt;&gt;"",NOT(IFERROR(AND(LEN($A129&amp;"")=9,ISNUMBER(--($A129&amp;""))),FALSE))),AND($A129&lt;&gt;"",OR($A129="123456789",$A129="987654321",$A129="012345678",$A129=REPT(LEFT($A129&amp;"",1),9)))),"Employee SSN, ","")&amp;IF(OR(AND($O129&lt;&gt;"",$B129=""),AND($B129&lt;&gt;"",OR(NOT(IFERROR(AND(LEN($B129&amp;"")=9,ISNUMBER(--($B129&amp;""))),FALSE)),$B129=$A129,$B129="123456789",$B129="987654321",$B129="012345678",$B129=REPT(LEFT($B129&amp;"",1),9)))),"Dependent SSN, ","")&amp;IF(OR($C129="",LEN($C129)&gt;19,AND($C129&lt;&gt;"",SUMPRODUCT(--(ROW($1:$19)&lt;=LEN($C129&amp;"")),--ISERROR(FIND(MID($C129&amp;"",ROW($1:$19),1),"ABCDEFGHIJKLMNOPQRSTUVWXYZabcdefghijklmnopqrstuvwxyz .,")))&gt;0)),"First Name, ","")&amp;IF(OR($D129="",LEN($D129)&gt;26,AND($D129&lt;&gt;"",SUMPRODUCT(--(ROW($1:$26)&lt;=LEN($D129&amp;"")),--ISERROR(FIND(MID($D129&amp;"",ROW($1:$26),1),"ABCDEFGHIJKLMNOPQRSTUVWXYZabcdefghijklmnopqrstuvwxyz .,")))&gt;0)),"Last Name, ","")&amp;IF(OR(LEN($E129)&gt;1,AND($E129&lt;&gt;"",SUMPRODUCT(--(ROW($1:$1)&lt;=LEN($E129&amp;"")),--ISERROR(FIND(MID($E129&amp;"",ROW($1:$1),1),"ABCDEFGHIJKLMNOPQRSTUVWXYZabcdefghijklmnopqrstuvwxyz .,")))&gt;0)),"Middle Initial, ","")&amp;IF(OR($F129="",LEN($F129)&gt;75),"Address, ","")&amp;IF(OR($H129="",LEN($H129)&gt;30),"City, ","")&amp;IF(AND($K129="US",OR($I129="",LEN($I129)&lt;&gt;2)),"State, ","")&amp;IF($J129="","ZIP, ","")&amp;IF(OR($K129="",AND($K129&lt;&gt;"US",$K129&lt;&gt;"CA")),"Country, ","")&amp;IF(OR($L129="",AND($L129&lt;&gt;"",OR(NOT(ISNUMBER($L129)),$L129&lt;=DATE(1900,1,1),$L129&gt;TODAY()))),"Birthdate, ","")&amp;IF(AND($N129&lt;&gt;"",NOT(IFERROR(AND(ISNUMBER(SEARCH("@",$N129)),ISNUMBER(SEARCH(".",$N129,SEARCH("@",$N129)+2))),FALSE))),"Email, ","")&amp;IF(OR(AND($B129&lt;&gt;"",$O129=""),AND($O129&lt;&gt;"",$O129&lt;&gt;"Spouse or Common Law Spouse",$O129&lt;&gt;"Domestic Partner",$O129&lt;&gt;"Child",$O129&lt;&gt;"Other",$O129&lt;&gt;"Estate",$O129&lt;&gt;"Unknown")),"Dependent Relationship, ","")&amp;IF($AA129&lt;&gt;"","Household, ","")&amp;IF(OR($P129="",AND($P129&lt;&gt;"",OR(NOT(ISNUMBER($P129)),$P129&lt;=DATE(1900,1,1)))),"Eligibility Date, ","")&amp;IF(OR(AND($R129="Terminated",$Q129=""),AND($Q129&lt;&gt;"",OR(NOT(ISNUMBER($Q129)),$Q129&lt;=DATE(1900,1,1))),AND(ISNUMBER($P129),ISNUMBER($Q129),$Q129&lt;$P129)),"Termination Date, ","")&amp;IF(OR($R129="",AND($R129&lt;&gt;"Active",$R129&lt;&gt;"Terminated"),AND('START HERE'!$C$8="Terminations Only",$R129&lt;&gt;"Terminated")),"Status, ","")&amp;IF($S129="","Plan Name, ","")&amp;IF($T129="","Coverage Level, ","")&amp;IF(AND($U129&lt;&gt;"",OR(NOT(ISNUMBER($U129)),$U129&lt;0)),"Funding, ","")&amp;IF(AND($A129&lt;&gt;"",$S129&lt;&gt;"",COUNTIFS($A$2:$A$501,$A129,$B$2:$B$501,$B129,$S$2:$S$501,$S129)&gt;1),"Duplicate Row, ",""))</f>
        <v/>
      </c>
      <c r="AF129">
        <f>IF(COUNTA($A129:$U129)=0,"",$Y129&amp;$Z129&amp;$AA129&amp;$AB129&amp;$AC129)</f>
        <v/>
      </c>
      <c r="AG129">
        <f>IF($N129="","",LOWER(TRIM($N129)))</f>
        <v/>
      </c>
      <c r="AH129">
        <f>IF($A129="","",COUNTIFS($A$2:$A$501,$A129,$AI$2:$AI$501,1))</f>
        <v/>
      </c>
      <c r="AI129">
        <f>IF(COUNTA($A129:$U129)=0,"",--($AF129&lt;&gt;""))</f>
        <v/>
      </c>
      <c r="AJ129">
        <f>IF(COUNTA($A129:$U129)=0,"",--($AD129&lt;&gt;""))</f>
        <v/>
      </c>
    </row>
    <row r="130" ht="20" customHeight="1">
      <c r="A130" s="80" t="n"/>
      <c r="B130" s="80" t="n"/>
      <c r="C130" s="81" t="n"/>
      <c r="D130" s="81" t="n"/>
      <c r="E130" s="80" t="n"/>
      <c r="F130" s="81" t="n"/>
      <c r="G130" s="81" t="n"/>
      <c r="H130" s="81" t="n"/>
      <c r="I130" s="80" t="n"/>
      <c r="J130" s="80" t="n"/>
      <c r="K130" s="80" t="n"/>
      <c r="L130" s="82" t="n"/>
      <c r="M130" s="80" t="n"/>
      <c r="N130" s="80" t="n"/>
      <c r="O130" s="80" t="n"/>
      <c r="P130" s="82" t="n"/>
      <c r="Q130" s="82" t="n"/>
      <c r="R130" s="80" t="n"/>
      <c r="S130" s="80" t="n"/>
      <c r="T130" s="80" t="n"/>
      <c r="U130" s="83" t="n"/>
      <c r="V130">
        <f>IF($A130="","",IF($A130=$A129,$V129,IF($V129="",0,1-$V129)))</f>
        <v/>
      </c>
      <c r="W130">
        <f>IF($B130&lt;&gt;"",$B130,$A130)</f>
        <v/>
      </c>
      <c r="X130">
        <f>IF(COUNTA($A130:$U130)=0,"",IF(OR($B130&lt;&gt;"",$O130&lt;&gt;""),"Dependent","Employee"))</f>
        <v/>
      </c>
      <c r="Y130">
        <f>IF(COUNTA($A130:$U130)=0,"",IF($A130="","Employee SSN is required; ","")&amp;IF($C130="","First Name is required; ","")&amp;IF(LEN($C130&amp;"")&gt;19,"First Name exceeds 19 characters; ","")&amp;IF(AND($C130&lt;&gt;"",SUMPRODUCT(--(ROW($1:$19)&lt;=LEN($C130&amp;"")),--ISERROR(FIND(MID($C130&amp;"",ROW($1:$19),1),"ABCDEFGHIJKLMNOPQRSTUVWXYZabcdefghijklmnopqrstuvwxyz .,")))&gt;0),"First Name contains unsupported or encoded characters; use plain A-Z letters only; ","")&amp;IF($D130="","Last Name is required; ","")&amp;IF(LEN($D130&amp;"")&gt;26,"Last Name exceeds 26 characters; ","")&amp;IF(AND($D130&lt;&gt;"",SUMPRODUCT(--(ROW($1:$26)&lt;=LEN($D130&amp;"")),--ISERROR(FIND(MID($D130&amp;"",ROW($1:$26),1),"ABCDEFGHIJKLMNOPQRSTUVWXYZabcdefghijklmnopqrstuvwxyz .,")))&gt;0),"Last Name contains unsupported or encoded characters; use plain A-Z letters only; ","")&amp;IF(LEN($E130&amp;"")&gt;1,"Middle Initial may contain only one character; ","")&amp;IF(AND($E130&lt;&gt;"",SUMPRODUCT(--(ROW($1:$1)&lt;=LEN($E130&amp;"")),--ISERROR(FIND(MID($E130&amp;"",ROW($1:$1),1),"ABCDEFGHIJKLMNOPQRSTUVWXYZabcdefghijklmnopqrstuvwxyz .,")))&gt;0),"Middle Initial must be a plain A-Z letter; ","")&amp;IF($F130="","Address is required; ","")&amp;IF(LEN($F130&amp;"")&gt;75,"Address exceeds 75 characters; ","")&amp;IF(LEN($G130&amp;"")&gt;75,"Address 2 exceeds 75 characters; ","")&amp;IF($H130="","City is required; ","")&amp;IF(LEN($H130&amp;"")&gt;30,"City exceeds 30 characters; ","")&amp;IF($K130="","Country is required; ","")&amp;IF(AND($K130&lt;&gt;"",$K130&lt;&gt;"US",$K130&lt;&gt;"CA"),"Country must be US or CA; ","")&amp;IF(AND($K130="US",OR($I130="",LEN($I130&amp;"")&lt;&gt;2)),"Use a 2-letter state code; ","")&amp;IF($J130="","ZIP or postal code is required; ","")&amp;IF(AND($K130="US",$J130&lt;&gt;"",NOT(IFERROR(OR(AND(LEN($J130&amp;"")=5,ISNUMBER(--($J130&amp;""))),AND(LEN($J130&amp;"")=9,ISNUMBER(--($J130&amp;""))),AND(LEN($J130&amp;"")=10,MID($J130&amp;"",6,1)="-",ISNUMBER(--SUBSTITUTE($J130&amp;"","-","")))),FALSE))),"US ZIP must be 5 or 9 digits, with an optional ZIP+4 hyphen; ","")&amp;IF(AND($N130&lt;&gt;"",NOT(IFERROR(AND(ISNUMBER(SEARCH("@",$N130)),ISNUMBER(SEARCH(".",$N130,SEARCH("@",$N130)+2))),FALSE))),"Email format appears invalid; ","")&amp;IF(AND($O130&lt;&gt;"",$B130=""),"Dependent SSN is required for every dependent; ","")&amp;IF(AND($B130&lt;&gt;"",$O130=""),"Dependent Relationship is required when Dependent SSN is entered; ","")&amp;IF(AND($O130&lt;&gt;"",$O130&lt;&gt;"Spouse or Common Law Spouse",$O130&lt;&gt;"Domestic Partner",$O130&lt;&gt;"Child",$O130&lt;&gt;"Other",$O130&lt;&gt;"Estate",$O130&lt;&gt;"Unknown"),"Dependent Relationship must use one of the approved options; ",""))</f>
        <v/>
      </c>
      <c r="Z130">
        <f>IF(COUNTA($A130:$U130)=0,"",IF(AND($A130&lt;&gt;"",NOT(IFERROR(AND(LEN($A130&amp;"")=9,ISNUMBER(--($A130&amp;""))),FALSE))),"Employee SSN must contain exactly 9 digits; ","")&amp;IF(AND($A130&lt;&gt;"",OR($A130="123456789",$A130="987654321",$A130="012345678",$A130=REPT(LEFT($A130&amp;"",1),9))),"Employee SSN appears to be a placeholder; ","")&amp;IF(AND($B130&lt;&gt;"",NOT(IFERROR(AND(LEN($B130&amp;"")=9,ISNUMBER(--($B130&amp;""))),FALSE))),"Dependent SSN must contain exactly 9 digits; ","")&amp;IF(AND($B130&lt;&gt;"",OR($B130="123456789",$B130="987654321",$B130="012345678",$B130=REPT(LEFT($B130&amp;"",1),9))),"Dependent SSN appears to be a placeholder; ","")&amp;IF(AND($A130&lt;&gt;"",$B130&lt;&gt;"",$A130&amp;""=$B130&amp;""),"Dependent SSN cannot match Employee SSN; ","")&amp;IF(AND($W130&lt;&gt;"",OR(COUNTIFS($W$2:$W$501,$W130,$C$2:$C$501,"&lt;&gt;"&amp;$C130)&gt;0,COUNTIFS($W$2:$W$501,$W130,$D$2:$D$501,"&lt;&gt;"&amp;$D130)&gt;0,COUNTIFS($W$2:$W$501,$W130,$L$2:$L$501,"&lt;&gt;"&amp;$L130)&gt;0)),"The same SSN is associated with a different name or birthdate; ",""))</f>
        <v/>
      </c>
      <c r="AA130">
        <f>IF(COUNTA($A130:$U130)=0,"",IF(AND($A130&lt;&gt;"",$S130&lt;&gt;"",COUNTIFS($A$2:$A$501,$A130,$S$2:$S$501,$S130,$B$2:$B$501,"",$O$2:$O$501,"")=0),"Add an employee row for this household and plan; ","")&amp;IF(AND($X130="Dependent",COUNTIFS($A$2:$A130,$A130,$S$2:$S130,$S130,$B$2:$B130,"",$O$2:$O130,"")=0),"Place the employee row before dependent rows for this plan; ","")&amp;IF(AND($X130="Dependent",COUNTIFS($A$2:$A$501,$A130,$S$2:$S$501,$S130,$B$2:$B$501,"",$O$2:$O$501,"")&gt;0,IFERROR(OR($P130&lt;&gt;LOOKUP(2,1/(($A$2:$A$501=$A130)*($S$2:$S$501=$S130)*($B$2:$B$501="")*($O$2:$O$501="")),$P$2:$P$501),$Q130&lt;&gt;LOOKUP(2,1/(($A$2:$A$501=$A130)*($S$2:$S$501=$S130)*($B$2:$B$501="")*($O$2:$O$501="")),$Q$2:$Q$501),$R130&lt;&gt;LOOKUP(2,1/(($A$2:$A$501=$A130)*($S$2:$S$501=$S130)*($B$2:$B$501="")*($O$2:$O$501="")),$R$2:$R$501),$T130&lt;&gt;LOOKUP(2,1/(($A$2:$A$501=$A130)*($S$2:$S$501=$S130)*($B$2:$B$501="")*($O$2:$O$501="")),$T$2:$T$501),$U130&lt;&gt;LOOKUP(2,1/(($A$2:$A$501=$A130)*($S$2:$S$501=$S130)*($B$2:$B$501="")*($O$2:$O$501="")),$U$2:$U$501)),FALSE)),"Dependent row does not match the employee row for eligibility, status, coverage level, or funding; ",""))</f>
        <v/>
      </c>
      <c r="AB130">
        <f>IF(COUNTA($A130:$U130)=0,"",IF($L130="","Birthdate is required; ","")&amp;IF(AND($L130&lt;&gt;"",OR(NOT(ISNUMBER($L130)),$L130&lt;=DATE(1900,1,1),$L130&gt;TODAY())),"Birthdate must be an exact valid past date; ","")&amp;IF($P130="","Eligibility Date is required; ","")&amp;IF(AND($P130&lt;&gt;"",OR(NOT(ISNUMBER($P130)),$P130&lt;=DATE(1900,1,1))),"Eligibility Date must be a valid date; ","")&amp;IF(AND($R130="Terminated",$Q130=""),"Termination Date is required when Status is Terminated; ","")&amp;IF(AND($Q130&lt;&gt;"",OR(NOT(ISNUMBER($Q130)),$Q130&lt;=DATE(1900,1,1))),"Termination Date must be a valid date; ","")&amp;IF(AND(ISNUMBER($P130),ISNUMBER($Q130),$Q130&lt;$P130),"Termination Date cannot be before Eligibility Date; ","")&amp;IF($R130="","Status is required; ","")&amp;IF(AND($R130&lt;&gt;"",$R130&lt;&gt;"Active",$R130&lt;&gt;"Terminated"),"Status must be Active or Terminated; ","")&amp;IF(AND('START HERE'!$C$8="Terminations Only",$R130&lt;&gt;"Terminated"),"Terminations Only files must contain terminated records; ",""))</f>
        <v/>
      </c>
      <c r="AC130">
        <f>IF(COUNTA($A130:$U130)=0,"",IF($S130="","Plan Name is required; ","")&amp;IF($T130="","Benefit Coverage Level is required; ","")&amp;IF(AND($U130&lt;&gt;"",OR(NOT(ISNUMBER($U130)),$U130&lt;0)),"Plan Funding Amount must be a nonnegative number; ","")&amp;IF(AND($A130&lt;&gt;"",$S130&lt;&gt;"",COUNTIFS($A$2:$A$501,$A130,$B$2:$B$501,$B130,$S$2:$S$501,$S130)&gt;1),"Duplicate participant and plan row; ",""))</f>
        <v/>
      </c>
      <c r="AD130">
        <f>IF(COUNTA($A130:$U130)=0,"",IF(AND($X130="Employee",$M130="",$N130=""),"No employee phone or email provided; ","")&amp;IF(AND($R130="Active",$Q130&lt;&gt;""),"Active record includes a Termination Date; confirm this is intentional; ","")&amp;IF(AND($B130&lt;&gt;"",$B130&amp;""&lt;&gt;$A130&amp;"",COUNTIF($A$2:$A$501,$B130)&gt;0),"Dependent SSN also appears as an Employee SSN elsewhere; confirm dual-employee coverage is intentional; ","")&amp;IF(AND($B130&lt;&gt;"",COUNTIF($B$2:$B$501,$B130)&gt;COUNTIFS($A$2:$A$501,$A130,$B$2:$B$501,$B130)),"Dependent SSN appears under more than one employee; confirm duplicate family coverage is intentional; ","")&amp;IF(AND(ROW()&gt;2,$A130&lt;&gt;"",$A130&lt;&gt;$A129,COUNTIF($A$2:$A129,$A130)&gt;0),"This household appears in more than one section of the census; keep the family together; ","")&amp;IF(OR(AND($C130&lt;&gt;"",LEN($C130&amp;"")&lt;&gt;LEN(TRIM($C130&amp;""))),AND($D130&lt;&gt;"",LEN($D130&amp;"")&lt;&gt;LEN(TRIM($D130&amp;""))),AND($E130&lt;&gt;"",LEN($E130&amp;"")&lt;&gt;LEN(TRIM($E130&amp;""))),AND($F130&lt;&gt;"",LEN($F130&amp;"")&lt;&gt;LEN(TRIM($F130&amp;""))),AND($G130&lt;&gt;"",LEN($G130&amp;"")&lt;&gt;LEN(TRIM($G130&amp;""))),AND($H130&lt;&gt;"",LEN($H130&amp;"")&lt;&gt;LEN(TRIM($H130&amp;""))),AND($I130&lt;&gt;"",LEN($I130&amp;"")&lt;&gt;LEN(TRIM($I130&amp;""))),AND($J130&lt;&gt;"",LEN($J130&amp;"")&lt;&gt;LEN(TRIM($J130&amp;""))),AND($K130&lt;&gt;"",LEN($K130&amp;"")&lt;&gt;LEN(TRIM($K130&amp;""))),AND($M130&lt;&gt;"",LEN($M130&amp;"")&lt;&gt;LEN(TRIM($M130&amp;""))),AND($N130&lt;&gt;"",LEN($N130&amp;"")&lt;&gt;LEN(TRIM($N130&amp;""))),AND($O130&lt;&gt;"",LEN($O130&amp;"")&lt;&gt;LEN(TRIM($O130&amp;""))),AND($R130&lt;&gt;"",LEN($R130&amp;"")&lt;&gt;LEN(TRIM($R130&amp;""))),AND($S130&lt;&gt;"",LEN($S130&amp;"")&lt;&gt;LEN(TRIM($S130&amp;""))),AND($T130&lt;&gt;"",LEN($T130&amp;"")&lt;&gt;LEN(TRIM($T130&amp;"")))),"Remove leading or trailing spaces from text fields; ","")&amp;IF(OR(AND(LEN($C130)&gt;1,OR(EXACT($C130,UPPER($C130)),EXACT($C130,LOWER($C130)))),AND(LEN($D130)&gt;1,OR(EXACT($D130,UPPER($D130)),EXACT($D130,LOWER($D130)))),AND(LEN($H130)&gt;1,OR(EXACT($H130,UPPER($H130)),EXACT($H130,LOWER($H130))))),"Review capitalization in First Name, Last Name, or City; ","")&amp;IF(AND($N130&lt;&gt;"",NOT(EXACT($N130,LOWER($N130)))),"Email will be standardized to lowercase in the clean output; ","")&amp;IF(AND(OR('START HERE'!$C$8="Initial Enrollment",'START HERE'!$C$8="Open Enrollment"),$R130="Terminated"),"A terminated row is included in an initial or open enrollment file; confirm this is intentional; ",""))</f>
        <v/>
      </c>
      <c r="AE130">
        <f>IF(COUNTA($A130:$U130)=0,"",IF(OR($A130="",AND($A130&lt;&gt;"",NOT(IFERROR(AND(LEN($A130&amp;"")=9,ISNUMBER(--($A130&amp;""))),FALSE))),AND($A130&lt;&gt;"",OR($A130="123456789",$A130="987654321",$A130="012345678",$A130=REPT(LEFT($A130&amp;"",1),9)))),"Employee SSN, ","")&amp;IF(OR(AND($O130&lt;&gt;"",$B130=""),AND($B130&lt;&gt;"",OR(NOT(IFERROR(AND(LEN($B130&amp;"")=9,ISNUMBER(--($B130&amp;""))),FALSE)),$B130=$A130,$B130="123456789",$B130="987654321",$B130="012345678",$B130=REPT(LEFT($B130&amp;"",1),9)))),"Dependent SSN, ","")&amp;IF(OR($C130="",LEN($C130)&gt;19,AND($C130&lt;&gt;"",SUMPRODUCT(--(ROW($1:$19)&lt;=LEN($C130&amp;"")),--ISERROR(FIND(MID($C130&amp;"",ROW($1:$19),1),"ABCDEFGHIJKLMNOPQRSTUVWXYZabcdefghijklmnopqrstuvwxyz .,")))&gt;0)),"First Name, ","")&amp;IF(OR($D130="",LEN($D130)&gt;26,AND($D130&lt;&gt;"",SUMPRODUCT(--(ROW($1:$26)&lt;=LEN($D130&amp;"")),--ISERROR(FIND(MID($D130&amp;"",ROW($1:$26),1),"ABCDEFGHIJKLMNOPQRSTUVWXYZabcdefghijklmnopqrstuvwxyz .,")))&gt;0)),"Last Name, ","")&amp;IF(OR(LEN($E130)&gt;1,AND($E130&lt;&gt;"",SUMPRODUCT(--(ROW($1:$1)&lt;=LEN($E130&amp;"")),--ISERROR(FIND(MID($E130&amp;"",ROW($1:$1),1),"ABCDEFGHIJKLMNOPQRSTUVWXYZabcdefghijklmnopqrstuvwxyz .,")))&gt;0)),"Middle Initial, ","")&amp;IF(OR($F130="",LEN($F130)&gt;75),"Address, ","")&amp;IF(OR($H130="",LEN($H130)&gt;30),"City, ","")&amp;IF(AND($K130="US",OR($I130="",LEN($I130)&lt;&gt;2)),"State, ","")&amp;IF($J130="","ZIP, ","")&amp;IF(OR($K130="",AND($K130&lt;&gt;"US",$K130&lt;&gt;"CA")),"Country, ","")&amp;IF(OR($L130="",AND($L130&lt;&gt;"",OR(NOT(ISNUMBER($L130)),$L130&lt;=DATE(1900,1,1),$L130&gt;TODAY()))),"Birthdate, ","")&amp;IF(AND($N130&lt;&gt;"",NOT(IFERROR(AND(ISNUMBER(SEARCH("@",$N130)),ISNUMBER(SEARCH(".",$N130,SEARCH("@",$N130)+2))),FALSE))),"Email, ","")&amp;IF(OR(AND($B130&lt;&gt;"",$O130=""),AND($O130&lt;&gt;"",$O130&lt;&gt;"Spouse or Common Law Spouse",$O130&lt;&gt;"Domestic Partner",$O130&lt;&gt;"Child",$O130&lt;&gt;"Other",$O130&lt;&gt;"Estate",$O130&lt;&gt;"Unknown")),"Dependent Relationship, ","")&amp;IF($AA130&lt;&gt;"","Household, ","")&amp;IF(OR($P130="",AND($P130&lt;&gt;"",OR(NOT(ISNUMBER($P130)),$P130&lt;=DATE(1900,1,1)))),"Eligibility Date, ","")&amp;IF(OR(AND($R130="Terminated",$Q130=""),AND($Q130&lt;&gt;"",OR(NOT(ISNUMBER($Q130)),$Q130&lt;=DATE(1900,1,1))),AND(ISNUMBER($P130),ISNUMBER($Q130),$Q130&lt;$P130)),"Termination Date, ","")&amp;IF(OR($R130="",AND($R130&lt;&gt;"Active",$R130&lt;&gt;"Terminated"),AND('START HERE'!$C$8="Terminations Only",$R130&lt;&gt;"Terminated")),"Status, ","")&amp;IF($S130="","Plan Name, ","")&amp;IF($T130="","Coverage Level, ","")&amp;IF(AND($U130&lt;&gt;"",OR(NOT(ISNUMBER($U130)),$U130&lt;0)),"Funding, ","")&amp;IF(AND($A130&lt;&gt;"",$S130&lt;&gt;"",COUNTIFS($A$2:$A$501,$A130,$B$2:$B$501,$B130,$S$2:$S$501,$S130)&gt;1),"Duplicate Row, ",""))</f>
        <v/>
      </c>
      <c r="AF130">
        <f>IF(COUNTA($A130:$U130)=0,"",$Y130&amp;$Z130&amp;$AA130&amp;$AB130&amp;$AC130)</f>
        <v/>
      </c>
      <c r="AG130">
        <f>IF($N130="","",LOWER(TRIM($N130)))</f>
        <v/>
      </c>
      <c r="AH130">
        <f>IF($A130="","",COUNTIFS($A$2:$A$501,$A130,$AI$2:$AI$501,1))</f>
        <v/>
      </c>
      <c r="AI130">
        <f>IF(COUNTA($A130:$U130)=0,"",--($AF130&lt;&gt;""))</f>
        <v/>
      </c>
      <c r="AJ130">
        <f>IF(COUNTA($A130:$U130)=0,"",--($AD130&lt;&gt;""))</f>
        <v/>
      </c>
    </row>
    <row r="131" ht="20" customHeight="1">
      <c r="A131" s="80" t="n"/>
      <c r="B131" s="80" t="n"/>
      <c r="C131" s="81" t="n"/>
      <c r="D131" s="81" t="n"/>
      <c r="E131" s="80" t="n"/>
      <c r="F131" s="81" t="n"/>
      <c r="G131" s="81" t="n"/>
      <c r="H131" s="81" t="n"/>
      <c r="I131" s="80" t="n"/>
      <c r="J131" s="80" t="n"/>
      <c r="K131" s="80" t="n"/>
      <c r="L131" s="82" t="n"/>
      <c r="M131" s="80" t="n"/>
      <c r="N131" s="80" t="n"/>
      <c r="O131" s="80" t="n"/>
      <c r="P131" s="82" t="n"/>
      <c r="Q131" s="82" t="n"/>
      <c r="R131" s="80" t="n"/>
      <c r="S131" s="80" t="n"/>
      <c r="T131" s="80" t="n"/>
      <c r="U131" s="83" t="n"/>
      <c r="V131">
        <f>IF($A131="","",IF($A131=$A130,$V130,IF($V130="",0,1-$V130)))</f>
        <v/>
      </c>
      <c r="W131">
        <f>IF($B131&lt;&gt;"",$B131,$A131)</f>
        <v/>
      </c>
      <c r="X131">
        <f>IF(COUNTA($A131:$U131)=0,"",IF(OR($B131&lt;&gt;"",$O131&lt;&gt;""),"Dependent","Employee"))</f>
        <v/>
      </c>
      <c r="Y131">
        <f>IF(COUNTA($A131:$U131)=0,"",IF($A131="","Employee SSN is required; ","")&amp;IF($C131="","First Name is required; ","")&amp;IF(LEN($C131&amp;"")&gt;19,"First Name exceeds 19 characters; ","")&amp;IF(AND($C131&lt;&gt;"",SUMPRODUCT(--(ROW($1:$19)&lt;=LEN($C131&amp;"")),--ISERROR(FIND(MID($C131&amp;"",ROW($1:$19),1),"ABCDEFGHIJKLMNOPQRSTUVWXYZabcdefghijklmnopqrstuvwxyz .,")))&gt;0),"First Name contains unsupported or encoded characters; use plain A-Z letters only; ","")&amp;IF($D131="","Last Name is required; ","")&amp;IF(LEN($D131&amp;"")&gt;26,"Last Name exceeds 26 characters; ","")&amp;IF(AND($D131&lt;&gt;"",SUMPRODUCT(--(ROW($1:$26)&lt;=LEN($D131&amp;"")),--ISERROR(FIND(MID($D131&amp;"",ROW($1:$26),1),"ABCDEFGHIJKLMNOPQRSTUVWXYZabcdefghijklmnopqrstuvwxyz .,")))&gt;0),"Last Name contains unsupported or encoded characters; use plain A-Z letters only; ","")&amp;IF(LEN($E131&amp;"")&gt;1,"Middle Initial may contain only one character; ","")&amp;IF(AND($E131&lt;&gt;"",SUMPRODUCT(--(ROW($1:$1)&lt;=LEN($E131&amp;"")),--ISERROR(FIND(MID($E131&amp;"",ROW($1:$1),1),"ABCDEFGHIJKLMNOPQRSTUVWXYZabcdefghijklmnopqrstuvwxyz .,")))&gt;0),"Middle Initial must be a plain A-Z letter; ","")&amp;IF($F131="","Address is required; ","")&amp;IF(LEN($F131&amp;"")&gt;75,"Address exceeds 75 characters; ","")&amp;IF(LEN($G131&amp;"")&gt;75,"Address 2 exceeds 75 characters; ","")&amp;IF($H131="","City is required; ","")&amp;IF(LEN($H131&amp;"")&gt;30,"City exceeds 30 characters; ","")&amp;IF($K131="","Country is required; ","")&amp;IF(AND($K131&lt;&gt;"",$K131&lt;&gt;"US",$K131&lt;&gt;"CA"),"Country must be US or CA; ","")&amp;IF(AND($K131="US",OR($I131="",LEN($I131&amp;"")&lt;&gt;2)),"Use a 2-letter state code; ","")&amp;IF($J131="","ZIP or postal code is required; ","")&amp;IF(AND($K131="US",$J131&lt;&gt;"",NOT(IFERROR(OR(AND(LEN($J131&amp;"")=5,ISNUMBER(--($J131&amp;""))),AND(LEN($J131&amp;"")=9,ISNUMBER(--($J131&amp;""))),AND(LEN($J131&amp;"")=10,MID($J131&amp;"",6,1)="-",ISNUMBER(--SUBSTITUTE($J131&amp;"","-","")))),FALSE))),"US ZIP must be 5 or 9 digits, with an optional ZIP+4 hyphen; ","")&amp;IF(AND($N131&lt;&gt;"",NOT(IFERROR(AND(ISNUMBER(SEARCH("@",$N131)),ISNUMBER(SEARCH(".",$N131,SEARCH("@",$N131)+2))),FALSE))),"Email format appears invalid; ","")&amp;IF(AND($O131&lt;&gt;"",$B131=""),"Dependent SSN is required for every dependent; ","")&amp;IF(AND($B131&lt;&gt;"",$O131=""),"Dependent Relationship is required when Dependent SSN is entered; ","")&amp;IF(AND($O131&lt;&gt;"",$O131&lt;&gt;"Spouse or Common Law Spouse",$O131&lt;&gt;"Domestic Partner",$O131&lt;&gt;"Child",$O131&lt;&gt;"Other",$O131&lt;&gt;"Estate",$O131&lt;&gt;"Unknown"),"Dependent Relationship must use one of the approved options; ",""))</f>
        <v/>
      </c>
      <c r="Z131">
        <f>IF(COUNTA($A131:$U131)=0,"",IF(AND($A131&lt;&gt;"",NOT(IFERROR(AND(LEN($A131&amp;"")=9,ISNUMBER(--($A131&amp;""))),FALSE))),"Employee SSN must contain exactly 9 digits; ","")&amp;IF(AND($A131&lt;&gt;"",OR($A131="123456789",$A131="987654321",$A131="012345678",$A131=REPT(LEFT($A131&amp;"",1),9))),"Employee SSN appears to be a placeholder; ","")&amp;IF(AND($B131&lt;&gt;"",NOT(IFERROR(AND(LEN($B131&amp;"")=9,ISNUMBER(--($B131&amp;""))),FALSE))),"Dependent SSN must contain exactly 9 digits; ","")&amp;IF(AND($B131&lt;&gt;"",OR($B131="123456789",$B131="987654321",$B131="012345678",$B131=REPT(LEFT($B131&amp;"",1),9))),"Dependent SSN appears to be a placeholder; ","")&amp;IF(AND($A131&lt;&gt;"",$B131&lt;&gt;"",$A131&amp;""=$B131&amp;""),"Dependent SSN cannot match Employee SSN; ","")&amp;IF(AND($W131&lt;&gt;"",OR(COUNTIFS($W$2:$W$501,$W131,$C$2:$C$501,"&lt;&gt;"&amp;$C131)&gt;0,COUNTIFS($W$2:$W$501,$W131,$D$2:$D$501,"&lt;&gt;"&amp;$D131)&gt;0,COUNTIFS($W$2:$W$501,$W131,$L$2:$L$501,"&lt;&gt;"&amp;$L131)&gt;0)),"The same SSN is associated with a different name or birthdate; ",""))</f>
        <v/>
      </c>
      <c r="AA131">
        <f>IF(COUNTA($A131:$U131)=0,"",IF(AND($A131&lt;&gt;"",$S131&lt;&gt;"",COUNTIFS($A$2:$A$501,$A131,$S$2:$S$501,$S131,$B$2:$B$501,"",$O$2:$O$501,"")=0),"Add an employee row for this household and plan; ","")&amp;IF(AND($X131="Dependent",COUNTIFS($A$2:$A131,$A131,$S$2:$S131,$S131,$B$2:$B131,"",$O$2:$O131,"")=0),"Place the employee row before dependent rows for this plan; ","")&amp;IF(AND($X131="Dependent",COUNTIFS($A$2:$A$501,$A131,$S$2:$S$501,$S131,$B$2:$B$501,"",$O$2:$O$501,"")&gt;0,IFERROR(OR($P131&lt;&gt;LOOKUP(2,1/(($A$2:$A$501=$A131)*($S$2:$S$501=$S131)*($B$2:$B$501="")*($O$2:$O$501="")),$P$2:$P$501),$Q131&lt;&gt;LOOKUP(2,1/(($A$2:$A$501=$A131)*($S$2:$S$501=$S131)*($B$2:$B$501="")*($O$2:$O$501="")),$Q$2:$Q$501),$R131&lt;&gt;LOOKUP(2,1/(($A$2:$A$501=$A131)*($S$2:$S$501=$S131)*($B$2:$B$501="")*($O$2:$O$501="")),$R$2:$R$501),$T131&lt;&gt;LOOKUP(2,1/(($A$2:$A$501=$A131)*($S$2:$S$501=$S131)*($B$2:$B$501="")*($O$2:$O$501="")),$T$2:$T$501),$U131&lt;&gt;LOOKUP(2,1/(($A$2:$A$501=$A131)*($S$2:$S$501=$S131)*($B$2:$B$501="")*($O$2:$O$501="")),$U$2:$U$501)),FALSE)),"Dependent row does not match the employee row for eligibility, status, coverage level, or funding; ",""))</f>
        <v/>
      </c>
      <c r="AB131">
        <f>IF(COUNTA($A131:$U131)=0,"",IF($L131="","Birthdate is required; ","")&amp;IF(AND($L131&lt;&gt;"",OR(NOT(ISNUMBER($L131)),$L131&lt;=DATE(1900,1,1),$L131&gt;TODAY())),"Birthdate must be an exact valid past date; ","")&amp;IF($P131="","Eligibility Date is required; ","")&amp;IF(AND($P131&lt;&gt;"",OR(NOT(ISNUMBER($P131)),$P131&lt;=DATE(1900,1,1))),"Eligibility Date must be a valid date; ","")&amp;IF(AND($R131="Terminated",$Q131=""),"Termination Date is required when Status is Terminated; ","")&amp;IF(AND($Q131&lt;&gt;"",OR(NOT(ISNUMBER($Q131)),$Q131&lt;=DATE(1900,1,1))),"Termination Date must be a valid date; ","")&amp;IF(AND(ISNUMBER($P131),ISNUMBER($Q131),$Q131&lt;$P131),"Termination Date cannot be before Eligibility Date; ","")&amp;IF($R131="","Status is required; ","")&amp;IF(AND($R131&lt;&gt;"",$R131&lt;&gt;"Active",$R131&lt;&gt;"Terminated"),"Status must be Active or Terminated; ","")&amp;IF(AND('START HERE'!$C$8="Terminations Only",$R131&lt;&gt;"Terminated"),"Terminations Only files must contain terminated records; ",""))</f>
        <v/>
      </c>
      <c r="AC131">
        <f>IF(COUNTA($A131:$U131)=0,"",IF($S131="","Plan Name is required; ","")&amp;IF($T131="","Benefit Coverage Level is required; ","")&amp;IF(AND($U131&lt;&gt;"",OR(NOT(ISNUMBER($U131)),$U131&lt;0)),"Plan Funding Amount must be a nonnegative number; ","")&amp;IF(AND($A131&lt;&gt;"",$S131&lt;&gt;"",COUNTIFS($A$2:$A$501,$A131,$B$2:$B$501,$B131,$S$2:$S$501,$S131)&gt;1),"Duplicate participant and plan row; ",""))</f>
        <v/>
      </c>
      <c r="AD131">
        <f>IF(COUNTA($A131:$U131)=0,"",IF(AND($X131="Employee",$M131="",$N131=""),"No employee phone or email provided; ","")&amp;IF(AND($R131="Active",$Q131&lt;&gt;""),"Active record includes a Termination Date; confirm this is intentional; ","")&amp;IF(AND($B131&lt;&gt;"",$B131&amp;""&lt;&gt;$A131&amp;"",COUNTIF($A$2:$A$501,$B131)&gt;0),"Dependent SSN also appears as an Employee SSN elsewhere; confirm dual-employee coverage is intentional; ","")&amp;IF(AND($B131&lt;&gt;"",COUNTIF($B$2:$B$501,$B131)&gt;COUNTIFS($A$2:$A$501,$A131,$B$2:$B$501,$B131)),"Dependent SSN appears under more than one employee; confirm duplicate family coverage is intentional; ","")&amp;IF(AND(ROW()&gt;2,$A131&lt;&gt;"",$A131&lt;&gt;$A130,COUNTIF($A$2:$A130,$A131)&gt;0),"This household appears in more than one section of the census; keep the family together; ","")&amp;IF(OR(AND($C131&lt;&gt;"",LEN($C131&amp;"")&lt;&gt;LEN(TRIM($C131&amp;""))),AND($D131&lt;&gt;"",LEN($D131&amp;"")&lt;&gt;LEN(TRIM($D131&amp;""))),AND($E131&lt;&gt;"",LEN($E131&amp;"")&lt;&gt;LEN(TRIM($E131&amp;""))),AND($F131&lt;&gt;"",LEN($F131&amp;"")&lt;&gt;LEN(TRIM($F131&amp;""))),AND($G131&lt;&gt;"",LEN($G131&amp;"")&lt;&gt;LEN(TRIM($G131&amp;""))),AND($H131&lt;&gt;"",LEN($H131&amp;"")&lt;&gt;LEN(TRIM($H131&amp;""))),AND($I131&lt;&gt;"",LEN($I131&amp;"")&lt;&gt;LEN(TRIM($I131&amp;""))),AND($J131&lt;&gt;"",LEN($J131&amp;"")&lt;&gt;LEN(TRIM($J131&amp;""))),AND($K131&lt;&gt;"",LEN($K131&amp;"")&lt;&gt;LEN(TRIM($K131&amp;""))),AND($M131&lt;&gt;"",LEN($M131&amp;"")&lt;&gt;LEN(TRIM($M131&amp;""))),AND($N131&lt;&gt;"",LEN($N131&amp;"")&lt;&gt;LEN(TRIM($N131&amp;""))),AND($O131&lt;&gt;"",LEN($O131&amp;"")&lt;&gt;LEN(TRIM($O131&amp;""))),AND($R131&lt;&gt;"",LEN($R131&amp;"")&lt;&gt;LEN(TRIM($R131&amp;""))),AND($S131&lt;&gt;"",LEN($S131&amp;"")&lt;&gt;LEN(TRIM($S131&amp;""))),AND($T131&lt;&gt;"",LEN($T131&amp;"")&lt;&gt;LEN(TRIM($T131&amp;"")))),"Remove leading or trailing spaces from text fields; ","")&amp;IF(OR(AND(LEN($C131)&gt;1,OR(EXACT($C131,UPPER($C131)),EXACT($C131,LOWER($C131)))),AND(LEN($D131)&gt;1,OR(EXACT($D131,UPPER($D131)),EXACT($D131,LOWER($D131)))),AND(LEN($H131)&gt;1,OR(EXACT($H131,UPPER($H131)),EXACT($H131,LOWER($H131))))),"Review capitalization in First Name, Last Name, or City; ","")&amp;IF(AND($N131&lt;&gt;"",NOT(EXACT($N131,LOWER($N131)))),"Email will be standardized to lowercase in the clean output; ","")&amp;IF(AND(OR('START HERE'!$C$8="Initial Enrollment",'START HERE'!$C$8="Open Enrollment"),$R131="Terminated"),"A terminated row is included in an initial or open enrollment file; confirm this is intentional; ",""))</f>
        <v/>
      </c>
      <c r="AE131">
        <f>IF(COUNTA($A131:$U131)=0,"",IF(OR($A131="",AND($A131&lt;&gt;"",NOT(IFERROR(AND(LEN($A131&amp;"")=9,ISNUMBER(--($A131&amp;""))),FALSE))),AND($A131&lt;&gt;"",OR($A131="123456789",$A131="987654321",$A131="012345678",$A131=REPT(LEFT($A131&amp;"",1),9)))),"Employee SSN, ","")&amp;IF(OR(AND($O131&lt;&gt;"",$B131=""),AND($B131&lt;&gt;"",OR(NOT(IFERROR(AND(LEN($B131&amp;"")=9,ISNUMBER(--($B131&amp;""))),FALSE)),$B131=$A131,$B131="123456789",$B131="987654321",$B131="012345678",$B131=REPT(LEFT($B131&amp;"",1),9)))),"Dependent SSN, ","")&amp;IF(OR($C131="",LEN($C131)&gt;19,AND($C131&lt;&gt;"",SUMPRODUCT(--(ROW($1:$19)&lt;=LEN($C131&amp;"")),--ISERROR(FIND(MID($C131&amp;"",ROW($1:$19),1),"ABCDEFGHIJKLMNOPQRSTUVWXYZabcdefghijklmnopqrstuvwxyz .,")))&gt;0)),"First Name, ","")&amp;IF(OR($D131="",LEN($D131)&gt;26,AND($D131&lt;&gt;"",SUMPRODUCT(--(ROW($1:$26)&lt;=LEN($D131&amp;"")),--ISERROR(FIND(MID($D131&amp;"",ROW($1:$26),1),"ABCDEFGHIJKLMNOPQRSTUVWXYZabcdefghijklmnopqrstuvwxyz .,")))&gt;0)),"Last Name, ","")&amp;IF(OR(LEN($E131)&gt;1,AND($E131&lt;&gt;"",SUMPRODUCT(--(ROW($1:$1)&lt;=LEN($E131&amp;"")),--ISERROR(FIND(MID($E131&amp;"",ROW($1:$1),1),"ABCDEFGHIJKLMNOPQRSTUVWXYZabcdefghijklmnopqrstuvwxyz .,")))&gt;0)),"Middle Initial, ","")&amp;IF(OR($F131="",LEN($F131)&gt;75),"Address, ","")&amp;IF(OR($H131="",LEN($H131)&gt;30),"City, ","")&amp;IF(AND($K131="US",OR($I131="",LEN($I131)&lt;&gt;2)),"State, ","")&amp;IF($J131="","ZIP, ","")&amp;IF(OR($K131="",AND($K131&lt;&gt;"US",$K131&lt;&gt;"CA")),"Country, ","")&amp;IF(OR($L131="",AND($L131&lt;&gt;"",OR(NOT(ISNUMBER($L131)),$L131&lt;=DATE(1900,1,1),$L131&gt;TODAY()))),"Birthdate, ","")&amp;IF(AND($N131&lt;&gt;"",NOT(IFERROR(AND(ISNUMBER(SEARCH("@",$N131)),ISNUMBER(SEARCH(".",$N131,SEARCH("@",$N131)+2))),FALSE))),"Email, ","")&amp;IF(OR(AND($B131&lt;&gt;"",$O131=""),AND($O131&lt;&gt;"",$O131&lt;&gt;"Spouse or Common Law Spouse",$O131&lt;&gt;"Domestic Partner",$O131&lt;&gt;"Child",$O131&lt;&gt;"Other",$O131&lt;&gt;"Estate",$O131&lt;&gt;"Unknown")),"Dependent Relationship, ","")&amp;IF($AA131&lt;&gt;"","Household, ","")&amp;IF(OR($P131="",AND($P131&lt;&gt;"",OR(NOT(ISNUMBER($P131)),$P131&lt;=DATE(1900,1,1)))),"Eligibility Date, ","")&amp;IF(OR(AND($R131="Terminated",$Q131=""),AND($Q131&lt;&gt;"",OR(NOT(ISNUMBER($Q131)),$Q131&lt;=DATE(1900,1,1))),AND(ISNUMBER($P131),ISNUMBER($Q131),$Q131&lt;$P131)),"Termination Date, ","")&amp;IF(OR($R131="",AND($R131&lt;&gt;"Active",$R131&lt;&gt;"Terminated"),AND('START HERE'!$C$8="Terminations Only",$R131&lt;&gt;"Terminated")),"Status, ","")&amp;IF($S131="","Plan Name, ","")&amp;IF($T131="","Coverage Level, ","")&amp;IF(AND($U131&lt;&gt;"",OR(NOT(ISNUMBER($U131)),$U131&lt;0)),"Funding, ","")&amp;IF(AND($A131&lt;&gt;"",$S131&lt;&gt;"",COUNTIFS($A$2:$A$501,$A131,$B$2:$B$501,$B131,$S$2:$S$501,$S131)&gt;1),"Duplicate Row, ",""))</f>
        <v/>
      </c>
      <c r="AF131">
        <f>IF(COUNTA($A131:$U131)=0,"",$Y131&amp;$Z131&amp;$AA131&amp;$AB131&amp;$AC131)</f>
        <v/>
      </c>
      <c r="AG131">
        <f>IF($N131="","",LOWER(TRIM($N131)))</f>
        <v/>
      </c>
      <c r="AH131">
        <f>IF($A131="","",COUNTIFS($A$2:$A$501,$A131,$AI$2:$AI$501,1))</f>
        <v/>
      </c>
      <c r="AI131">
        <f>IF(COUNTA($A131:$U131)=0,"",--($AF131&lt;&gt;""))</f>
        <v/>
      </c>
      <c r="AJ131">
        <f>IF(COUNTA($A131:$U131)=0,"",--($AD131&lt;&gt;""))</f>
        <v/>
      </c>
    </row>
    <row r="132" ht="20" customHeight="1">
      <c r="A132" s="80" t="n"/>
      <c r="B132" s="80" t="n"/>
      <c r="C132" s="81" t="n"/>
      <c r="D132" s="81" t="n"/>
      <c r="E132" s="80" t="n"/>
      <c r="F132" s="81" t="n"/>
      <c r="G132" s="81" t="n"/>
      <c r="H132" s="81" t="n"/>
      <c r="I132" s="80" t="n"/>
      <c r="J132" s="80" t="n"/>
      <c r="K132" s="80" t="n"/>
      <c r="L132" s="82" t="n"/>
      <c r="M132" s="80" t="n"/>
      <c r="N132" s="80" t="n"/>
      <c r="O132" s="80" t="n"/>
      <c r="P132" s="82" t="n"/>
      <c r="Q132" s="82" t="n"/>
      <c r="R132" s="80" t="n"/>
      <c r="S132" s="80" t="n"/>
      <c r="T132" s="80" t="n"/>
      <c r="U132" s="83" t="n"/>
      <c r="V132">
        <f>IF($A132="","",IF($A132=$A131,$V131,IF($V131="",0,1-$V131)))</f>
        <v/>
      </c>
      <c r="W132">
        <f>IF($B132&lt;&gt;"",$B132,$A132)</f>
        <v/>
      </c>
      <c r="X132">
        <f>IF(COUNTA($A132:$U132)=0,"",IF(OR($B132&lt;&gt;"",$O132&lt;&gt;""),"Dependent","Employee"))</f>
        <v/>
      </c>
      <c r="Y132">
        <f>IF(COUNTA($A132:$U132)=0,"",IF($A132="","Employee SSN is required; ","")&amp;IF($C132="","First Name is required; ","")&amp;IF(LEN($C132&amp;"")&gt;19,"First Name exceeds 19 characters; ","")&amp;IF(AND($C132&lt;&gt;"",SUMPRODUCT(--(ROW($1:$19)&lt;=LEN($C132&amp;"")),--ISERROR(FIND(MID($C132&amp;"",ROW($1:$19),1),"ABCDEFGHIJKLMNOPQRSTUVWXYZabcdefghijklmnopqrstuvwxyz .,")))&gt;0),"First Name contains unsupported or encoded characters; use plain A-Z letters only; ","")&amp;IF($D132="","Last Name is required; ","")&amp;IF(LEN($D132&amp;"")&gt;26,"Last Name exceeds 26 characters; ","")&amp;IF(AND($D132&lt;&gt;"",SUMPRODUCT(--(ROW($1:$26)&lt;=LEN($D132&amp;"")),--ISERROR(FIND(MID($D132&amp;"",ROW($1:$26),1),"ABCDEFGHIJKLMNOPQRSTUVWXYZabcdefghijklmnopqrstuvwxyz .,")))&gt;0),"Last Name contains unsupported or encoded characters; use plain A-Z letters only; ","")&amp;IF(LEN($E132&amp;"")&gt;1,"Middle Initial may contain only one character; ","")&amp;IF(AND($E132&lt;&gt;"",SUMPRODUCT(--(ROW($1:$1)&lt;=LEN($E132&amp;"")),--ISERROR(FIND(MID($E132&amp;"",ROW($1:$1),1),"ABCDEFGHIJKLMNOPQRSTUVWXYZabcdefghijklmnopqrstuvwxyz .,")))&gt;0),"Middle Initial must be a plain A-Z letter; ","")&amp;IF($F132="","Address is required; ","")&amp;IF(LEN($F132&amp;"")&gt;75,"Address exceeds 75 characters; ","")&amp;IF(LEN($G132&amp;"")&gt;75,"Address 2 exceeds 75 characters; ","")&amp;IF($H132="","City is required; ","")&amp;IF(LEN($H132&amp;"")&gt;30,"City exceeds 30 characters; ","")&amp;IF($K132="","Country is required; ","")&amp;IF(AND($K132&lt;&gt;"",$K132&lt;&gt;"US",$K132&lt;&gt;"CA"),"Country must be US or CA; ","")&amp;IF(AND($K132="US",OR($I132="",LEN($I132&amp;"")&lt;&gt;2)),"Use a 2-letter state code; ","")&amp;IF($J132="","ZIP or postal code is required; ","")&amp;IF(AND($K132="US",$J132&lt;&gt;"",NOT(IFERROR(OR(AND(LEN($J132&amp;"")=5,ISNUMBER(--($J132&amp;""))),AND(LEN($J132&amp;"")=9,ISNUMBER(--($J132&amp;""))),AND(LEN($J132&amp;"")=10,MID($J132&amp;"",6,1)="-",ISNUMBER(--SUBSTITUTE($J132&amp;"","-","")))),FALSE))),"US ZIP must be 5 or 9 digits, with an optional ZIP+4 hyphen; ","")&amp;IF(AND($N132&lt;&gt;"",NOT(IFERROR(AND(ISNUMBER(SEARCH("@",$N132)),ISNUMBER(SEARCH(".",$N132,SEARCH("@",$N132)+2))),FALSE))),"Email format appears invalid; ","")&amp;IF(AND($O132&lt;&gt;"",$B132=""),"Dependent SSN is required for every dependent; ","")&amp;IF(AND($B132&lt;&gt;"",$O132=""),"Dependent Relationship is required when Dependent SSN is entered; ","")&amp;IF(AND($O132&lt;&gt;"",$O132&lt;&gt;"Spouse or Common Law Spouse",$O132&lt;&gt;"Domestic Partner",$O132&lt;&gt;"Child",$O132&lt;&gt;"Other",$O132&lt;&gt;"Estate",$O132&lt;&gt;"Unknown"),"Dependent Relationship must use one of the approved options; ",""))</f>
        <v/>
      </c>
      <c r="Z132">
        <f>IF(COUNTA($A132:$U132)=0,"",IF(AND($A132&lt;&gt;"",NOT(IFERROR(AND(LEN($A132&amp;"")=9,ISNUMBER(--($A132&amp;""))),FALSE))),"Employee SSN must contain exactly 9 digits; ","")&amp;IF(AND($A132&lt;&gt;"",OR($A132="123456789",$A132="987654321",$A132="012345678",$A132=REPT(LEFT($A132&amp;"",1),9))),"Employee SSN appears to be a placeholder; ","")&amp;IF(AND($B132&lt;&gt;"",NOT(IFERROR(AND(LEN($B132&amp;"")=9,ISNUMBER(--($B132&amp;""))),FALSE))),"Dependent SSN must contain exactly 9 digits; ","")&amp;IF(AND($B132&lt;&gt;"",OR($B132="123456789",$B132="987654321",$B132="012345678",$B132=REPT(LEFT($B132&amp;"",1),9))),"Dependent SSN appears to be a placeholder; ","")&amp;IF(AND($A132&lt;&gt;"",$B132&lt;&gt;"",$A132&amp;""=$B132&amp;""),"Dependent SSN cannot match Employee SSN; ","")&amp;IF(AND($W132&lt;&gt;"",OR(COUNTIFS($W$2:$W$501,$W132,$C$2:$C$501,"&lt;&gt;"&amp;$C132)&gt;0,COUNTIFS($W$2:$W$501,$W132,$D$2:$D$501,"&lt;&gt;"&amp;$D132)&gt;0,COUNTIFS($W$2:$W$501,$W132,$L$2:$L$501,"&lt;&gt;"&amp;$L132)&gt;0)),"The same SSN is associated with a different name or birthdate; ",""))</f>
        <v/>
      </c>
      <c r="AA132">
        <f>IF(COUNTA($A132:$U132)=0,"",IF(AND($A132&lt;&gt;"",$S132&lt;&gt;"",COUNTIFS($A$2:$A$501,$A132,$S$2:$S$501,$S132,$B$2:$B$501,"",$O$2:$O$501,"")=0),"Add an employee row for this household and plan; ","")&amp;IF(AND($X132="Dependent",COUNTIFS($A$2:$A132,$A132,$S$2:$S132,$S132,$B$2:$B132,"",$O$2:$O132,"")=0),"Place the employee row before dependent rows for this plan; ","")&amp;IF(AND($X132="Dependent",COUNTIFS($A$2:$A$501,$A132,$S$2:$S$501,$S132,$B$2:$B$501,"",$O$2:$O$501,"")&gt;0,IFERROR(OR($P132&lt;&gt;LOOKUP(2,1/(($A$2:$A$501=$A132)*($S$2:$S$501=$S132)*($B$2:$B$501="")*($O$2:$O$501="")),$P$2:$P$501),$Q132&lt;&gt;LOOKUP(2,1/(($A$2:$A$501=$A132)*($S$2:$S$501=$S132)*($B$2:$B$501="")*($O$2:$O$501="")),$Q$2:$Q$501),$R132&lt;&gt;LOOKUP(2,1/(($A$2:$A$501=$A132)*($S$2:$S$501=$S132)*($B$2:$B$501="")*($O$2:$O$501="")),$R$2:$R$501),$T132&lt;&gt;LOOKUP(2,1/(($A$2:$A$501=$A132)*($S$2:$S$501=$S132)*($B$2:$B$501="")*($O$2:$O$501="")),$T$2:$T$501),$U132&lt;&gt;LOOKUP(2,1/(($A$2:$A$501=$A132)*($S$2:$S$501=$S132)*($B$2:$B$501="")*($O$2:$O$501="")),$U$2:$U$501)),FALSE)),"Dependent row does not match the employee row for eligibility, status, coverage level, or funding; ",""))</f>
        <v/>
      </c>
      <c r="AB132">
        <f>IF(COUNTA($A132:$U132)=0,"",IF($L132="","Birthdate is required; ","")&amp;IF(AND($L132&lt;&gt;"",OR(NOT(ISNUMBER($L132)),$L132&lt;=DATE(1900,1,1),$L132&gt;TODAY())),"Birthdate must be an exact valid past date; ","")&amp;IF($P132="","Eligibility Date is required; ","")&amp;IF(AND($P132&lt;&gt;"",OR(NOT(ISNUMBER($P132)),$P132&lt;=DATE(1900,1,1))),"Eligibility Date must be a valid date; ","")&amp;IF(AND($R132="Terminated",$Q132=""),"Termination Date is required when Status is Terminated; ","")&amp;IF(AND($Q132&lt;&gt;"",OR(NOT(ISNUMBER($Q132)),$Q132&lt;=DATE(1900,1,1))),"Termination Date must be a valid date; ","")&amp;IF(AND(ISNUMBER($P132),ISNUMBER($Q132),$Q132&lt;$P132),"Termination Date cannot be before Eligibility Date; ","")&amp;IF($R132="","Status is required; ","")&amp;IF(AND($R132&lt;&gt;"",$R132&lt;&gt;"Active",$R132&lt;&gt;"Terminated"),"Status must be Active or Terminated; ","")&amp;IF(AND('START HERE'!$C$8="Terminations Only",$R132&lt;&gt;"Terminated"),"Terminations Only files must contain terminated records; ",""))</f>
        <v/>
      </c>
      <c r="AC132">
        <f>IF(COUNTA($A132:$U132)=0,"",IF($S132="","Plan Name is required; ","")&amp;IF($T132="","Benefit Coverage Level is required; ","")&amp;IF(AND($U132&lt;&gt;"",OR(NOT(ISNUMBER($U132)),$U132&lt;0)),"Plan Funding Amount must be a nonnegative number; ","")&amp;IF(AND($A132&lt;&gt;"",$S132&lt;&gt;"",COUNTIFS($A$2:$A$501,$A132,$B$2:$B$501,$B132,$S$2:$S$501,$S132)&gt;1),"Duplicate participant and plan row; ",""))</f>
        <v/>
      </c>
      <c r="AD132">
        <f>IF(COUNTA($A132:$U132)=0,"",IF(AND($X132="Employee",$M132="",$N132=""),"No employee phone or email provided; ","")&amp;IF(AND($R132="Active",$Q132&lt;&gt;""),"Active record includes a Termination Date; confirm this is intentional; ","")&amp;IF(AND($B132&lt;&gt;"",$B132&amp;""&lt;&gt;$A132&amp;"",COUNTIF($A$2:$A$501,$B132)&gt;0),"Dependent SSN also appears as an Employee SSN elsewhere; confirm dual-employee coverage is intentional; ","")&amp;IF(AND($B132&lt;&gt;"",COUNTIF($B$2:$B$501,$B132)&gt;COUNTIFS($A$2:$A$501,$A132,$B$2:$B$501,$B132)),"Dependent SSN appears under more than one employee; confirm duplicate family coverage is intentional; ","")&amp;IF(AND(ROW()&gt;2,$A132&lt;&gt;"",$A132&lt;&gt;$A131,COUNTIF($A$2:$A131,$A132)&gt;0),"This household appears in more than one section of the census; keep the family together; ","")&amp;IF(OR(AND($C132&lt;&gt;"",LEN($C132&amp;"")&lt;&gt;LEN(TRIM($C132&amp;""))),AND($D132&lt;&gt;"",LEN($D132&amp;"")&lt;&gt;LEN(TRIM($D132&amp;""))),AND($E132&lt;&gt;"",LEN($E132&amp;"")&lt;&gt;LEN(TRIM($E132&amp;""))),AND($F132&lt;&gt;"",LEN($F132&amp;"")&lt;&gt;LEN(TRIM($F132&amp;""))),AND($G132&lt;&gt;"",LEN($G132&amp;"")&lt;&gt;LEN(TRIM($G132&amp;""))),AND($H132&lt;&gt;"",LEN($H132&amp;"")&lt;&gt;LEN(TRIM($H132&amp;""))),AND($I132&lt;&gt;"",LEN($I132&amp;"")&lt;&gt;LEN(TRIM($I132&amp;""))),AND($J132&lt;&gt;"",LEN($J132&amp;"")&lt;&gt;LEN(TRIM($J132&amp;""))),AND($K132&lt;&gt;"",LEN($K132&amp;"")&lt;&gt;LEN(TRIM($K132&amp;""))),AND($M132&lt;&gt;"",LEN($M132&amp;"")&lt;&gt;LEN(TRIM($M132&amp;""))),AND($N132&lt;&gt;"",LEN($N132&amp;"")&lt;&gt;LEN(TRIM($N132&amp;""))),AND($O132&lt;&gt;"",LEN($O132&amp;"")&lt;&gt;LEN(TRIM($O132&amp;""))),AND($R132&lt;&gt;"",LEN($R132&amp;"")&lt;&gt;LEN(TRIM($R132&amp;""))),AND($S132&lt;&gt;"",LEN($S132&amp;"")&lt;&gt;LEN(TRIM($S132&amp;""))),AND($T132&lt;&gt;"",LEN($T132&amp;"")&lt;&gt;LEN(TRIM($T132&amp;"")))),"Remove leading or trailing spaces from text fields; ","")&amp;IF(OR(AND(LEN($C132)&gt;1,OR(EXACT($C132,UPPER($C132)),EXACT($C132,LOWER($C132)))),AND(LEN($D132)&gt;1,OR(EXACT($D132,UPPER($D132)),EXACT($D132,LOWER($D132)))),AND(LEN($H132)&gt;1,OR(EXACT($H132,UPPER($H132)),EXACT($H132,LOWER($H132))))),"Review capitalization in First Name, Last Name, or City; ","")&amp;IF(AND($N132&lt;&gt;"",NOT(EXACT($N132,LOWER($N132)))),"Email will be standardized to lowercase in the clean output; ","")&amp;IF(AND(OR('START HERE'!$C$8="Initial Enrollment",'START HERE'!$C$8="Open Enrollment"),$R132="Terminated"),"A terminated row is included in an initial or open enrollment file; confirm this is intentional; ",""))</f>
        <v/>
      </c>
      <c r="AE132">
        <f>IF(COUNTA($A132:$U132)=0,"",IF(OR($A132="",AND($A132&lt;&gt;"",NOT(IFERROR(AND(LEN($A132&amp;"")=9,ISNUMBER(--($A132&amp;""))),FALSE))),AND($A132&lt;&gt;"",OR($A132="123456789",$A132="987654321",$A132="012345678",$A132=REPT(LEFT($A132&amp;"",1),9)))),"Employee SSN, ","")&amp;IF(OR(AND($O132&lt;&gt;"",$B132=""),AND($B132&lt;&gt;"",OR(NOT(IFERROR(AND(LEN($B132&amp;"")=9,ISNUMBER(--($B132&amp;""))),FALSE)),$B132=$A132,$B132="123456789",$B132="987654321",$B132="012345678",$B132=REPT(LEFT($B132&amp;"",1),9)))),"Dependent SSN, ","")&amp;IF(OR($C132="",LEN($C132)&gt;19,AND($C132&lt;&gt;"",SUMPRODUCT(--(ROW($1:$19)&lt;=LEN($C132&amp;"")),--ISERROR(FIND(MID($C132&amp;"",ROW($1:$19),1),"ABCDEFGHIJKLMNOPQRSTUVWXYZabcdefghijklmnopqrstuvwxyz .,")))&gt;0)),"First Name, ","")&amp;IF(OR($D132="",LEN($D132)&gt;26,AND($D132&lt;&gt;"",SUMPRODUCT(--(ROW($1:$26)&lt;=LEN($D132&amp;"")),--ISERROR(FIND(MID($D132&amp;"",ROW($1:$26),1),"ABCDEFGHIJKLMNOPQRSTUVWXYZabcdefghijklmnopqrstuvwxyz .,")))&gt;0)),"Last Name, ","")&amp;IF(OR(LEN($E132)&gt;1,AND($E132&lt;&gt;"",SUMPRODUCT(--(ROW($1:$1)&lt;=LEN($E132&amp;"")),--ISERROR(FIND(MID($E132&amp;"",ROW($1:$1),1),"ABCDEFGHIJKLMNOPQRSTUVWXYZabcdefghijklmnopqrstuvwxyz .,")))&gt;0)),"Middle Initial, ","")&amp;IF(OR($F132="",LEN($F132)&gt;75),"Address, ","")&amp;IF(OR($H132="",LEN($H132)&gt;30),"City, ","")&amp;IF(AND($K132="US",OR($I132="",LEN($I132)&lt;&gt;2)),"State, ","")&amp;IF($J132="","ZIP, ","")&amp;IF(OR($K132="",AND($K132&lt;&gt;"US",$K132&lt;&gt;"CA")),"Country, ","")&amp;IF(OR($L132="",AND($L132&lt;&gt;"",OR(NOT(ISNUMBER($L132)),$L132&lt;=DATE(1900,1,1),$L132&gt;TODAY()))),"Birthdate, ","")&amp;IF(AND($N132&lt;&gt;"",NOT(IFERROR(AND(ISNUMBER(SEARCH("@",$N132)),ISNUMBER(SEARCH(".",$N132,SEARCH("@",$N132)+2))),FALSE))),"Email, ","")&amp;IF(OR(AND($B132&lt;&gt;"",$O132=""),AND($O132&lt;&gt;"",$O132&lt;&gt;"Spouse or Common Law Spouse",$O132&lt;&gt;"Domestic Partner",$O132&lt;&gt;"Child",$O132&lt;&gt;"Other",$O132&lt;&gt;"Estate",$O132&lt;&gt;"Unknown")),"Dependent Relationship, ","")&amp;IF($AA132&lt;&gt;"","Household, ","")&amp;IF(OR($P132="",AND($P132&lt;&gt;"",OR(NOT(ISNUMBER($P132)),$P132&lt;=DATE(1900,1,1)))),"Eligibility Date, ","")&amp;IF(OR(AND($R132="Terminated",$Q132=""),AND($Q132&lt;&gt;"",OR(NOT(ISNUMBER($Q132)),$Q132&lt;=DATE(1900,1,1))),AND(ISNUMBER($P132),ISNUMBER($Q132),$Q132&lt;$P132)),"Termination Date, ","")&amp;IF(OR($R132="",AND($R132&lt;&gt;"Active",$R132&lt;&gt;"Terminated"),AND('START HERE'!$C$8="Terminations Only",$R132&lt;&gt;"Terminated")),"Status, ","")&amp;IF($S132="","Plan Name, ","")&amp;IF($T132="","Coverage Level, ","")&amp;IF(AND($U132&lt;&gt;"",OR(NOT(ISNUMBER($U132)),$U132&lt;0)),"Funding, ","")&amp;IF(AND($A132&lt;&gt;"",$S132&lt;&gt;"",COUNTIFS($A$2:$A$501,$A132,$B$2:$B$501,$B132,$S$2:$S$501,$S132)&gt;1),"Duplicate Row, ",""))</f>
        <v/>
      </c>
      <c r="AF132">
        <f>IF(COUNTA($A132:$U132)=0,"",$Y132&amp;$Z132&amp;$AA132&amp;$AB132&amp;$AC132)</f>
        <v/>
      </c>
      <c r="AG132">
        <f>IF($N132="","",LOWER(TRIM($N132)))</f>
        <v/>
      </c>
      <c r="AH132">
        <f>IF($A132="","",COUNTIFS($A$2:$A$501,$A132,$AI$2:$AI$501,1))</f>
        <v/>
      </c>
      <c r="AI132">
        <f>IF(COUNTA($A132:$U132)=0,"",--($AF132&lt;&gt;""))</f>
        <v/>
      </c>
      <c r="AJ132">
        <f>IF(COUNTA($A132:$U132)=0,"",--($AD132&lt;&gt;""))</f>
        <v/>
      </c>
    </row>
    <row r="133" ht="20" customHeight="1">
      <c r="A133" s="80" t="n"/>
      <c r="B133" s="80" t="n"/>
      <c r="C133" s="81" t="n"/>
      <c r="D133" s="81" t="n"/>
      <c r="E133" s="80" t="n"/>
      <c r="F133" s="81" t="n"/>
      <c r="G133" s="81" t="n"/>
      <c r="H133" s="81" t="n"/>
      <c r="I133" s="80" t="n"/>
      <c r="J133" s="80" t="n"/>
      <c r="K133" s="80" t="n"/>
      <c r="L133" s="82" t="n"/>
      <c r="M133" s="80" t="n"/>
      <c r="N133" s="80" t="n"/>
      <c r="O133" s="80" t="n"/>
      <c r="P133" s="82" t="n"/>
      <c r="Q133" s="82" t="n"/>
      <c r="R133" s="80" t="n"/>
      <c r="S133" s="80" t="n"/>
      <c r="T133" s="80" t="n"/>
      <c r="U133" s="83" t="n"/>
      <c r="V133">
        <f>IF($A133="","",IF($A133=$A132,$V132,IF($V132="",0,1-$V132)))</f>
        <v/>
      </c>
      <c r="W133">
        <f>IF($B133&lt;&gt;"",$B133,$A133)</f>
        <v/>
      </c>
      <c r="X133">
        <f>IF(COUNTA($A133:$U133)=0,"",IF(OR($B133&lt;&gt;"",$O133&lt;&gt;""),"Dependent","Employee"))</f>
        <v/>
      </c>
      <c r="Y133">
        <f>IF(COUNTA($A133:$U133)=0,"",IF($A133="","Employee SSN is required; ","")&amp;IF($C133="","First Name is required; ","")&amp;IF(LEN($C133&amp;"")&gt;19,"First Name exceeds 19 characters; ","")&amp;IF(AND($C133&lt;&gt;"",SUMPRODUCT(--(ROW($1:$19)&lt;=LEN($C133&amp;"")),--ISERROR(FIND(MID($C133&amp;"",ROW($1:$19),1),"ABCDEFGHIJKLMNOPQRSTUVWXYZabcdefghijklmnopqrstuvwxyz .,")))&gt;0),"First Name contains unsupported or encoded characters; use plain A-Z letters only; ","")&amp;IF($D133="","Last Name is required; ","")&amp;IF(LEN($D133&amp;"")&gt;26,"Last Name exceeds 26 characters; ","")&amp;IF(AND($D133&lt;&gt;"",SUMPRODUCT(--(ROW($1:$26)&lt;=LEN($D133&amp;"")),--ISERROR(FIND(MID($D133&amp;"",ROW($1:$26),1),"ABCDEFGHIJKLMNOPQRSTUVWXYZabcdefghijklmnopqrstuvwxyz .,")))&gt;0),"Last Name contains unsupported or encoded characters; use plain A-Z letters only; ","")&amp;IF(LEN($E133&amp;"")&gt;1,"Middle Initial may contain only one character; ","")&amp;IF(AND($E133&lt;&gt;"",SUMPRODUCT(--(ROW($1:$1)&lt;=LEN($E133&amp;"")),--ISERROR(FIND(MID($E133&amp;"",ROW($1:$1),1),"ABCDEFGHIJKLMNOPQRSTUVWXYZabcdefghijklmnopqrstuvwxyz .,")))&gt;0),"Middle Initial must be a plain A-Z letter; ","")&amp;IF($F133="","Address is required; ","")&amp;IF(LEN($F133&amp;"")&gt;75,"Address exceeds 75 characters; ","")&amp;IF(LEN($G133&amp;"")&gt;75,"Address 2 exceeds 75 characters; ","")&amp;IF($H133="","City is required; ","")&amp;IF(LEN($H133&amp;"")&gt;30,"City exceeds 30 characters; ","")&amp;IF($K133="","Country is required; ","")&amp;IF(AND($K133&lt;&gt;"",$K133&lt;&gt;"US",$K133&lt;&gt;"CA"),"Country must be US or CA; ","")&amp;IF(AND($K133="US",OR($I133="",LEN($I133&amp;"")&lt;&gt;2)),"Use a 2-letter state code; ","")&amp;IF($J133="","ZIP or postal code is required; ","")&amp;IF(AND($K133="US",$J133&lt;&gt;"",NOT(IFERROR(OR(AND(LEN($J133&amp;"")=5,ISNUMBER(--($J133&amp;""))),AND(LEN($J133&amp;"")=9,ISNUMBER(--($J133&amp;""))),AND(LEN($J133&amp;"")=10,MID($J133&amp;"",6,1)="-",ISNUMBER(--SUBSTITUTE($J133&amp;"","-","")))),FALSE))),"US ZIP must be 5 or 9 digits, with an optional ZIP+4 hyphen; ","")&amp;IF(AND($N133&lt;&gt;"",NOT(IFERROR(AND(ISNUMBER(SEARCH("@",$N133)),ISNUMBER(SEARCH(".",$N133,SEARCH("@",$N133)+2))),FALSE))),"Email format appears invalid; ","")&amp;IF(AND($O133&lt;&gt;"",$B133=""),"Dependent SSN is required for every dependent; ","")&amp;IF(AND($B133&lt;&gt;"",$O133=""),"Dependent Relationship is required when Dependent SSN is entered; ","")&amp;IF(AND($O133&lt;&gt;"",$O133&lt;&gt;"Spouse or Common Law Spouse",$O133&lt;&gt;"Domestic Partner",$O133&lt;&gt;"Child",$O133&lt;&gt;"Other",$O133&lt;&gt;"Estate",$O133&lt;&gt;"Unknown"),"Dependent Relationship must use one of the approved options; ",""))</f>
        <v/>
      </c>
      <c r="Z133">
        <f>IF(COUNTA($A133:$U133)=0,"",IF(AND($A133&lt;&gt;"",NOT(IFERROR(AND(LEN($A133&amp;"")=9,ISNUMBER(--($A133&amp;""))),FALSE))),"Employee SSN must contain exactly 9 digits; ","")&amp;IF(AND($A133&lt;&gt;"",OR($A133="123456789",$A133="987654321",$A133="012345678",$A133=REPT(LEFT($A133&amp;"",1),9))),"Employee SSN appears to be a placeholder; ","")&amp;IF(AND($B133&lt;&gt;"",NOT(IFERROR(AND(LEN($B133&amp;"")=9,ISNUMBER(--($B133&amp;""))),FALSE))),"Dependent SSN must contain exactly 9 digits; ","")&amp;IF(AND($B133&lt;&gt;"",OR($B133="123456789",$B133="987654321",$B133="012345678",$B133=REPT(LEFT($B133&amp;"",1),9))),"Dependent SSN appears to be a placeholder; ","")&amp;IF(AND($A133&lt;&gt;"",$B133&lt;&gt;"",$A133&amp;""=$B133&amp;""),"Dependent SSN cannot match Employee SSN; ","")&amp;IF(AND($W133&lt;&gt;"",OR(COUNTIFS($W$2:$W$501,$W133,$C$2:$C$501,"&lt;&gt;"&amp;$C133)&gt;0,COUNTIFS($W$2:$W$501,$W133,$D$2:$D$501,"&lt;&gt;"&amp;$D133)&gt;0,COUNTIFS($W$2:$W$501,$W133,$L$2:$L$501,"&lt;&gt;"&amp;$L133)&gt;0)),"The same SSN is associated with a different name or birthdate; ",""))</f>
        <v/>
      </c>
      <c r="AA133">
        <f>IF(COUNTA($A133:$U133)=0,"",IF(AND($A133&lt;&gt;"",$S133&lt;&gt;"",COUNTIFS($A$2:$A$501,$A133,$S$2:$S$501,$S133,$B$2:$B$501,"",$O$2:$O$501,"")=0),"Add an employee row for this household and plan; ","")&amp;IF(AND($X133="Dependent",COUNTIFS($A$2:$A133,$A133,$S$2:$S133,$S133,$B$2:$B133,"",$O$2:$O133,"")=0),"Place the employee row before dependent rows for this plan; ","")&amp;IF(AND($X133="Dependent",COUNTIFS($A$2:$A$501,$A133,$S$2:$S$501,$S133,$B$2:$B$501,"",$O$2:$O$501,"")&gt;0,IFERROR(OR($P133&lt;&gt;LOOKUP(2,1/(($A$2:$A$501=$A133)*($S$2:$S$501=$S133)*($B$2:$B$501="")*($O$2:$O$501="")),$P$2:$P$501),$Q133&lt;&gt;LOOKUP(2,1/(($A$2:$A$501=$A133)*($S$2:$S$501=$S133)*($B$2:$B$501="")*($O$2:$O$501="")),$Q$2:$Q$501),$R133&lt;&gt;LOOKUP(2,1/(($A$2:$A$501=$A133)*($S$2:$S$501=$S133)*($B$2:$B$501="")*($O$2:$O$501="")),$R$2:$R$501),$T133&lt;&gt;LOOKUP(2,1/(($A$2:$A$501=$A133)*($S$2:$S$501=$S133)*($B$2:$B$501="")*($O$2:$O$501="")),$T$2:$T$501),$U133&lt;&gt;LOOKUP(2,1/(($A$2:$A$501=$A133)*($S$2:$S$501=$S133)*($B$2:$B$501="")*($O$2:$O$501="")),$U$2:$U$501)),FALSE)),"Dependent row does not match the employee row for eligibility, status, coverage level, or funding; ",""))</f>
        <v/>
      </c>
      <c r="AB133">
        <f>IF(COUNTA($A133:$U133)=0,"",IF($L133="","Birthdate is required; ","")&amp;IF(AND($L133&lt;&gt;"",OR(NOT(ISNUMBER($L133)),$L133&lt;=DATE(1900,1,1),$L133&gt;TODAY())),"Birthdate must be an exact valid past date; ","")&amp;IF($P133="","Eligibility Date is required; ","")&amp;IF(AND($P133&lt;&gt;"",OR(NOT(ISNUMBER($P133)),$P133&lt;=DATE(1900,1,1))),"Eligibility Date must be a valid date; ","")&amp;IF(AND($R133="Terminated",$Q133=""),"Termination Date is required when Status is Terminated; ","")&amp;IF(AND($Q133&lt;&gt;"",OR(NOT(ISNUMBER($Q133)),$Q133&lt;=DATE(1900,1,1))),"Termination Date must be a valid date; ","")&amp;IF(AND(ISNUMBER($P133),ISNUMBER($Q133),$Q133&lt;$P133),"Termination Date cannot be before Eligibility Date; ","")&amp;IF($R133="","Status is required; ","")&amp;IF(AND($R133&lt;&gt;"",$R133&lt;&gt;"Active",$R133&lt;&gt;"Terminated"),"Status must be Active or Terminated; ","")&amp;IF(AND('START HERE'!$C$8="Terminations Only",$R133&lt;&gt;"Terminated"),"Terminations Only files must contain terminated records; ",""))</f>
        <v/>
      </c>
      <c r="AC133">
        <f>IF(COUNTA($A133:$U133)=0,"",IF($S133="","Plan Name is required; ","")&amp;IF($T133="","Benefit Coverage Level is required; ","")&amp;IF(AND($U133&lt;&gt;"",OR(NOT(ISNUMBER($U133)),$U133&lt;0)),"Plan Funding Amount must be a nonnegative number; ","")&amp;IF(AND($A133&lt;&gt;"",$S133&lt;&gt;"",COUNTIFS($A$2:$A$501,$A133,$B$2:$B$501,$B133,$S$2:$S$501,$S133)&gt;1),"Duplicate participant and plan row; ",""))</f>
        <v/>
      </c>
      <c r="AD133">
        <f>IF(COUNTA($A133:$U133)=0,"",IF(AND($X133="Employee",$M133="",$N133=""),"No employee phone or email provided; ","")&amp;IF(AND($R133="Active",$Q133&lt;&gt;""),"Active record includes a Termination Date; confirm this is intentional; ","")&amp;IF(AND($B133&lt;&gt;"",$B133&amp;""&lt;&gt;$A133&amp;"",COUNTIF($A$2:$A$501,$B133)&gt;0),"Dependent SSN also appears as an Employee SSN elsewhere; confirm dual-employee coverage is intentional; ","")&amp;IF(AND($B133&lt;&gt;"",COUNTIF($B$2:$B$501,$B133)&gt;COUNTIFS($A$2:$A$501,$A133,$B$2:$B$501,$B133)),"Dependent SSN appears under more than one employee; confirm duplicate family coverage is intentional; ","")&amp;IF(AND(ROW()&gt;2,$A133&lt;&gt;"",$A133&lt;&gt;$A132,COUNTIF($A$2:$A132,$A133)&gt;0),"This household appears in more than one section of the census; keep the family together; ","")&amp;IF(OR(AND($C133&lt;&gt;"",LEN($C133&amp;"")&lt;&gt;LEN(TRIM($C133&amp;""))),AND($D133&lt;&gt;"",LEN($D133&amp;"")&lt;&gt;LEN(TRIM($D133&amp;""))),AND($E133&lt;&gt;"",LEN($E133&amp;"")&lt;&gt;LEN(TRIM($E133&amp;""))),AND($F133&lt;&gt;"",LEN($F133&amp;"")&lt;&gt;LEN(TRIM($F133&amp;""))),AND($G133&lt;&gt;"",LEN($G133&amp;"")&lt;&gt;LEN(TRIM($G133&amp;""))),AND($H133&lt;&gt;"",LEN($H133&amp;"")&lt;&gt;LEN(TRIM($H133&amp;""))),AND($I133&lt;&gt;"",LEN($I133&amp;"")&lt;&gt;LEN(TRIM($I133&amp;""))),AND($J133&lt;&gt;"",LEN($J133&amp;"")&lt;&gt;LEN(TRIM($J133&amp;""))),AND($K133&lt;&gt;"",LEN($K133&amp;"")&lt;&gt;LEN(TRIM($K133&amp;""))),AND($M133&lt;&gt;"",LEN($M133&amp;"")&lt;&gt;LEN(TRIM($M133&amp;""))),AND($N133&lt;&gt;"",LEN($N133&amp;"")&lt;&gt;LEN(TRIM($N133&amp;""))),AND($O133&lt;&gt;"",LEN($O133&amp;"")&lt;&gt;LEN(TRIM($O133&amp;""))),AND($R133&lt;&gt;"",LEN($R133&amp;"")&lt;&gt;LEN(TRIM($R133&amp;""))),AND($S133&lt;&gt;"",LEN($S133&amp;"")&lt;&gt;LEN(TRIM($S133&amp;""))),AND($T133&lt;&gt;"",LEN($T133&amp;"")&lt;&gt;LEN(TRIM($T133&amp;"")))),"Remove leading or trailing spaces from text fields; ","")&amp;IF(OR(AND(LEN($C133)&gt;1,OR(EXACT($C133,UPPER($C133)),EXACT($C133,LOWER($C133)))),AND(LEN($D133)&gt;1,OR(EXACT($D133,UPPER($D133)),EXACT($D133,LOWER($D133)))),AND(LEN($H133)&gt;1,OR(EXACT($H133,UPPER($H133)),EXACT($H133,LOWER($H133))))),"Review capitalization in First Name, Last Name, or City; ","")&amp;IF(AND($N133&lt;&gt;"",NOT(EXACT($N133,LOWER($N133)))),"Email will be standardized to lowercase in the clean output; ","")&amp;IF(AND(OR('START HERE'!$C$8="Initial Enrollment",'START HERE'!$C$8="Open Enrollment"),$R133="Terminated"),"A terminated row is included in an initial or open enrollment file; confirm this is intentional; ",""))</f>
        <v/>
      </c>
      <c r="AE133">
        <f>IF(COUNTA($A133:$U133)=0,"",IF(OR($A133="",AND($A133&lt;&gt;"",NOT(IFERROR(AND(LEN($A133&amp;"")=9,ISNUMBER(--($A133&amp;""))),FALSE))),AND($A133&lt;&gt;"",OR($A133="123456789",$A133="987654321",$A133="012345678",$A133=REPT(LEFT($A133&amp;"",1),9)))),"Employee SSN, ","")&amp;IF(OR(AND($O133&lt;&gt;"",$B133=""),AND($B133&lt;&gt;"",OR(NOT(IFERROR(AND(LEN($B133&amp;"")=9,ISNUMBER(--($B133&amp;""))),FALSE)),$B133=$A133,$B133="123456789",$B133="987654321",$B133="012345678",$B133=REPT(LEFT($B133&amp;"",1),9)))),"Dependent SSN, ","")&amp;IF(OR($C133="",LEN($C133)&gt;19,AND($C133&lt;&gt;"",SUMPRODUCT(--(ROW($1:$19)&lt;=LEN($C133&amp;"")),--ISERROR(FIND(MID($C133&amp;"",ROW($1:$19),1),"ABCDEFGHIJKLMNOPQRSTUVWXYZabcdefghijklmnopqrstuvwxyz .,")))&gt;0)),"First Name, ","")&amp;IF(OR($D133="",LEN($D133)&gt;26,AND($D133&lt;&gt;"",SUMPRODUCT(--(ROW($1:$26)&lt;=LEN($D133&amp;"")),--ISERROR(FIND(MID($D133&amp;"",ROW($1:$26),1),"ABCDEFGHIJKLMNOPQRSTUVWXYZabcdefghijklmnopqrstuvwxyz .,")))&gt;0)),"Last Name, ","")&amp;IF(OR(LEN($E133)&gt;1,AND($E133&lt;&gt;"",SUMPRODUCT(--(ROW($1:$1)&lt;=LEN($E133&amp;"")),--ISERROR(FIND(MID($E133&amp;"",ROW($1:$1),1),"ABCDEFGHIJKLMNOPQRSTUVWXYZabcdefghijklmnopqrstuvwxyz .,")))&gt;0)),"Middle Initial, ","")&amp;IF(OR($F133="",LEN($F133)&gt;75),"Address, ","")&amp;IF(OR($H133="",LEN($H133)&gt;30),"City, ","")&amp;IF(AND($K133="US",OR($I133="",LEN($I133)&lt;&gt;2)),"State, ","")&amp;IF($J133="","ZIP, ","")&amp;IF(OR($K133="",AND($K133&lt;&gt;"US",$K133&lt;&gt;"CA")),"Country, ","")&amp;IF(OR($L133="",AND($L133&lt;&gt;"",OR(NOT(ISNUMBER($L133)),$L133&lt;=DATE(1900,1,1),$L133&gt;TODAY()))),"Birthdate, ","")&amp;IF(AND($N133&lt;&gt;"",NOT(IFERROR(AND(ISNUMBER(SEARCH("@",$N133)),ISNUMBER(SEARCH(".",$N133,SEARCH("@",$N133)+2))),FALSE))),"Email, ","")&amp;IF(OR(AND($B133&lt;&gt;"",$O133=""),AND($O133&lt;&gt;"",$O133&lt;&gt;"Spouse or Common Law Spouse",$O133&lt;&gt;"Domestic Partner",$O133&lt;&gt;"Child",$O133&lt;&gt;"Other",$O133&lt;&gt;"Estate",$O133&lt;&gt;"Unknown")),"Dependent Relationship, ","")&amp;IF($AA133&lt;&gt;"","Household, ","")&amp;IF(OR($P133="",AND($P133&lt;&gt;"",OR(NOT(ISNUMBER($P133)),$P133&lt;=DATE(1900,1,1)))),"Eligibility Date, ","")&amp;IF(OR(AND($R133="Terminated",$Q133=""),AND($Q133&lt;&gt;"",OR(NOT(ISNUMBER($Q133)),$Q133&lt;=DATE(1900,1,1))),AND(ISNUMBER($P133),ISNUMBER($Q133),$Q133&lt;$P133)),"Termination Date, ","")&amp;IF(OR($R133="",AND($R133&lt;&gt;"Active",$R133&lt;&gt;"Terminated"),AND('START HERE'!$C$8="Terminations Only",$R133&lt;&gt;"Terminated")),"Status, ","")&amp;IF($S133="","Plan Name, ","")&amp;IF($T133="","Coverage Level, ","")&amp;IF(AND($U133&lt;&gt;"",OR(NOT(ISNUMBER($U133)),$U133&lt;0)),"Funding, ","")&amp;IF(AND($A133&lt;&gt;"",$S133&lt;&gt;"",COUNTIFS($A$2:$A$501,$A133,$B$2:$B$501,$B133,$S$2:$S$501,$S133)&gt;1),"Duplicate Row, ",""))</f>
        <v/>
      </c>
      <c r="AF133">
        <f>IF(COUNTA($A133:$U133)=0,"",$Y133&amp;$Z133&amp;$AA133&amp;$AB133&amp;$AC133)</f>
        <v/>
      </c>
      <c r="AG133">
        <f>IF($N133="","",LOWER(TRIM($N133)))</f>
        <v/>
      </c>
      <c r="AH133">
        <f>IF($A133="","",COUNTIFS($A$2:$A$501,$A133,$AI$2:$AI$501,1))</f>
        <v/>
      </c>
      <c r="AI133">
        <f>IF(COUNTA($A133:$U133)=0,"",--($AF133&lt;&gt;""))</f>
        <v/>
      </c>
      <c r="AJ133">
        <f>IF(COUNTA($A133:$U133)=0,"",--($AD133&lt;&gt;""))</f>
        <v/>
      </c>
    </row>
    <row r="134" ht="20" customHeight="1">
      <c r="A134" s="80" t="n"/>
      <c r="B134" s="80" t="n"/>
      <c r="C134" s="81" t="n"/>
      <c r="D134" s="81" t="n"/>
      <c r="E134" s="80" t="n"/>
      <c r="F134" s="81" t="n"/>
      <c r="G134" s="81" t="n"/>
      <c r="H134" s="81" t="n"/>
      <c r="I134" s="80" t="n"/>
      <c r="J134" s="80" t="n"/>
      <c r="K134" s="80" t="n"/>
      <c r="L134" s="82" t="n"/>
      <c r="M134" s="80" t="n"/>
      <c r="N134" s="80" t="n"/>
      <c r="O134" s="80" t="n"/>
      <c r="P134" s="82" t="n"/>
      <c r="Q134" s="82" t="n"/>
      <c r="R134" s="80" t="n"/>
      <c r="S134" s="80" t="n"/>
      <c r="T134" s="80" t="n"/>
      <c r="U134" s="83" t="n"/>
      <c r="V134">
        <f>IF($A134="","",IF($A134=$A133,$V133,IF($V133="",0,1-$V133)))</f>
        <v/>
      </c>
      <c r="W134">
        <f>IF($B134&lt;&gt;"",$B134,$A134)</f>
        <v/>
      </c>
      <c r="X134">
        <f>IF(COUNTA($A134:$U134)=0,"",IF(OR($B134&lt;&gt;"",$O134&lt;&gt;""),"Dependent","Employee"))</f>
        <v/>
      </c>
      <c r="Y134">
        <f>IF(COUNTA($A134:$U134)=0,"",IF($A134="","Employee SSN is required; ","")&amp;IF($C134="","First Name is required; ","")&amp;IF(LEN($C134&amp;"")&gt;19,"First Name exceeds 19 characters; ","")&amp;IF(AND($C134&lt;&gt;"",SUMPRODUCT(--(ROW($1:$19)&lt;=LEN($C134&amp;"")),--ISERROR(FIND(MID($C134&amp;"",ROW($1:$19),1),"ABCDEFGHIJKLMNOPQRSTUVWXYZabcdefghijklmnopqrstuvwxyz .,")))&gt;0),"First Name contains unsupported or encoded characters; use plain A-Z letters only; ","")&amp;IF($D134="","Last Name is required; ","")&amp;IF(LEN($D134&amp;"")&gt;26,"Last Name exceeds 26 characters; ","")&amp;IF(AND($D134&lt;&gt;"",SUMPRODUCT(--(ROW($1:$26)&lt;=LEN($D134&amp;"")),--ISERROR(FIND(MID($D134&amp;"",ROW($1:$26),1),"ABCDEFGHIJKLMNOPQRSTUVWXYZabcdefghijklmnopqrstuvwxyz .,")))&gt;0),"Last Name contains unsupported or encoded characters; use plain A-Z letters only; ","")&amp;IF(LEN($E134&amp;"")&gt;1,"Middle Initial may contain only one character; ","")&amp;IF(AND($E134&lt;&gt;"",SUMPRODUCT(--(ROW($1:$1)&lt;=LEN($E134&amp;"")),--ISERROR(FIND(MID($E134&amp;"",ROW($1:$1),1),"ABCDEFGHIJKLMNOPQRSTUVWXYZabcdefghijklmnopqrstuvwxyz .,")))&gt;0),"Middle Initial must be a plain A-Z letter; ","")&amp;IF($F134="","Address is required; ","")&amp;IF(LEN($F134&amp;"")&gt;75,"Address exceeds 75 characters; ","")&amp;IF(LEN($G134&amp;"")&gt;75,"Address 2 exceeds 75 characters; ","")&amp;IF($H134="","City is required; ","")&amp;IF(LEN($H134&amp;"")&gt;30,"City exceeds 30 characters; ","")&amp;IF($K134="","Country is required; ","")&amp;IF(AND($K134&lt;&gt;"",$K134&lt;&gt;"US",$K134&lt;&gt;"CA"),"Country must be US or CA; ","")&amp;IF(AND($K134="US",OR($I134="",LEN($I134&amp;"")&lt;&gt;2)),"Use a 2-letter state code; ","")&amp;IF($J134="","ZIP or postal code is required; ","")&amp;IF(AND($K134="US",$J134&lt;&gt;"",NOT(IFERROR(OR(AND(LEN($J134&amp;"")=5,ISNUMBER(--($J134&amp;""))),AND(LEN($J134&amp;"")=9,ISNUMBER(--($J134&amp;""))),AND(LEN($J134&amp;"")=10,MID($J134&amp;"",6,1)="-",ISNUMBER(--SUBSTITUTE($J134&amp;"","-","")))),FALSE))),"US ZIP must be 5 or 9 digits, with an optional ZIP+4 hyphen; ","")&amp;IF(AND($N134&lt;&gt;"",NOT(IFERROR(AND(ISNUMBER(SEARCH("@",$N134)),ISNUMBER(SEARCH(".",$N134,SEARCH("@",$N134)+2))),FALSE))),"Email format appears invalid; ","")&amp;IF(AND($O134&lt;&gt;"",$B134=""),"Dependent SSN is required for every dependent; ","")&amp;IF(AND($B134&lt;&gt;"",$O134=""),"Dependent Relationship is required when Dependent SSN is entered; ","")&amp;IF(AND($O134&lt;&gt;"",$O134&lt;&gt;"Spouse or Common Law Spouse",$O134&lt;&gt;"Domestic Partner",$O134&lt;&gt;"Child",$O134&lt;&gt;"Other",$O134&lt;&gt;"Estate",$O134&lt;&gt;"Unknown"),"Dependent Relationship must use one of the approved options; ",""))</f>
        <v/>
      </c>
      <c r="Z134">
        <f>IF(COUNTA($A134:$U134)=0,"",IF(AND($A134&lt;&gt;"",NOT(IFERROR(AND(LEN($A134&amp;"")=9,ISNUMBER(--($A134&amp;""))),FALSE))),"Employee SSN must contain exactly 9 digits; ","")&amp;IF(AND($A134&lt;&gt;"",OR($A134="123456789",$A134="987654321",$A134="012345678",$A134=REPT(LEFT($A134&amp;"",1),9))),"Employee SSN appears to be a placeholder; ","")&amp;IF(AND($B134&lt;&gt;"",NOT(IFERROR(AND(LEN($B134&amp;"")=9,ISNUMBER(--($B134&amp;""))),FALSE))),"Dependent SSN must contain exactly 9 digits; ","")&amp;IF(AND($B134&lt;&gt;"",OR($B134="123456789",$B134="987654321",$B134="012345678",$B134=REPT(LEFT($B134&amp;"",1),9))),"Dependent SSN appears to be a placeholder; ","")&amp;IF(AND($A134&lt;&gt;"",$B134&lt;&gt;"",$A134&amp;""=$B134&amp;""),"Dependent SSN cannot match Employee SSN; ","")&amp;IF(AND($W134&lt;&gt;"",OR(COUNTIFS($W$2:$W$501,$W134,$C$2:$C$501,"&lt;&gt;"&amp;$C134)&gt;0,COUNTIFS($W$2:$W$501,$W134,$D$2:$D$501,"&lt;&gt;"&amp;$D134)&gt;0,COUNTIFS($W$2:$W$501,$W134,$L$2:$L$501,"&lt;&gt;"&amp;$L134)&gt;0)),"The same SSN is associated with a different name or birthdate; ",""))</f>
        <v/>
      </c>
      <c r="AA134">
        <f>IF(COUNTA($A134:$U134)=0,"",IF(AND($A134&lt;&gt;"",$S134&lt;&gt;"",COUNTIFS($A$2:$A$501,$A134,$S$2:$S$501,$S134,$B$2:$B$501,"",$O$2:$O$501,"")=0),"Add an employee row for this household and plan; ","")&amp;IF(AND($X134="Dependent",COUNTIFS($A$2:$A134,$A134,$S$2:$S134,$S134,$B$2:$B134,"",$O$2:$O134,"")=0),"Place the employee row before dependent rows for this plan; ","")&amp;IF(AND($X134="Dependent",COUNTIFS($A$2:$A$501,$A134,$S$2:$S$501,$S134,$B$2:$B$501,"",$O$2:$O$501,"")&gt;0,IFERROR(OR($P134&lt;&gt;LOOKUP(2,1/(($A$2:$A$501=$A134)*($S$2:$S$501=$S134)*($B$2:$B$501="")*($O$2:$O$501="")),$P$2:$P$501),$Q134&lt;&gt;LOOKUP(2,1/(($A$2:$A$501=$A134)*($S$2:$S$501=$S134)*($B$2:$B$501="")*($O$2:$O$501="")),$Q$2:$Q$501),$R134&lt;&gt;LOOKUP(2,1/(($A$2:$A$501=$A134)*($S$2:$S$501=$S134)*($B$2:$B$501="")*($O$2:$O$501="")),$R$2:$R$501),$T134&lt;&gt;LOOKUP(2,1/(($A$2:$A$501=$A134)*($S$2:$S$501=$S134)*($B$2:$B$501="")*($O$2:$O$501="")),$T$2:$T$501),$U134&lt;&gt;LOOKUP(2,1/(($A$2:$A$501=$A134)*($S$2:$S$501=$S134)*($B$2:$B$501="")*($O$2:$O$501="")),$U$2:$U$501)),FALSE)),"Dependent row does not match the employee row for eligibility, status, coverage level, or funding; ",""))</f>
        <v/>
      </c>
      <c r="AB134">
        <f>IF(COUNTA($A134:$U134)=0,"",IF($L134="","Birthdate is required; ","")&amp;IF(AND($L134&lt;&gt;"",OR(NOT(ISNUMBER($L134)),$L134&lt;=DATE(1900,1,1),$L134&gt;TODAY())),"Birthdate must be an exact valid past date; ","")&amp;IF($P134="","Eligibility Date is required; ","")&amp;IF(AND($P134&lt;&gt;"",OR(NOT(ISNUMBER($P134)),$P134&lt;=DATE(1900,1,1))),"Eligibility Date must be a valid date; ","")&amp;IF(AND($R134="Terminated",$Q134=""),"Termination Date is required when Status is Terminated; ","")&amp;IF(AND($Q134&lt;&gt;"",OR(NOT(ISNUMBER($Q134)),$Q134&lt;=DATE(1900,1,1))),"Termination Date must be a valid date; ","")&amp;IF(AND(ISNUMBER($P134),ISNUMBER($Q134),$Q134&lt;$P134),"Termination Date cannot be before Eligibility Date; ","")&amp;IF($R134="","Status is required; ","")&amp;IF(AND($R134&lt;&gt;"",$R134&lt;&gt;"Active",$R134&lt;&gt;"Terminated"),"Status must be Active or Terminated; ","")&amp;IF(AND('START HERE'!$C$8="Terminations Only",$R134&lt;&gt;"Terminated"),"Terminations Only files must contain terminated records; ",""))</f>
        <v/>
      </c>
      <c r="AC134">
        <f>IF(COUNTA($A134:$U134)=0,"",IF($S134="","Plan Name is required; ","")&amp;IF($T134="","Benefit Coverage Level is required; ","")&amp;IF(AND($U134&lt;&gt;"",OR(NOT(ISNUMBER($U134)),$U134&lt;0)),"Plan Funding Amount must be a nonnegative number; ","")&amp;IF(AND($A134&lt;&gt;"",$S134&lt;&gt;"",COUNTIFS($A$2:$A$501,$A134,$B$2:$B$501,$B134,$S$2:$S$501,$S134)&gt;1),"Duplicate participant and plan row; ",""))</f>
        <v/>
      </c>
      <c r="AD134">
        <f>IF(COUNTA($A134:$U134)=0,"",IF(AND($X134="Employee",$M134="",$N134=""),"No employee phone or email provided; ","")&amp;IF(AND($R134="Active",$Q134&lt;&gt;""),"Active record includes a Termination Date; confirm this is intentional; ","")&amp;IF(AND($B134&lt;&gt;"",$B134&amp;""&lt;&gt;$A134&amp;"",COUNTIF($A$2:$A$501,$B134)&gt;0),"Dependent SSN also appears as an Employee SSN elsewhere; confirm dual-employee coverage is intentional; ","")&amp;IF(AND($B134&lt;&gt;"",COUNTIF($B$2:$B$501,$B134)&gt;COUNTIFS($A$2:$A$501,$A134,$B$2:$B$501,$B134)),"Dependent SSN appears under more than one employee; confirm duplicate family coverage is intentional; ","")&amp;IF(AND(ROW()&gt;2,$A134&lt;&gt;"",$A134&lt;&gt;$A133,COUNTIF($A$2:$A133,$A134)&gt;0),"This household appears in more than one section of the census; keep the family together; ","")&amp;IF(OR(AND($C134&lt;&gt;"",LEN($C134&amp;"")&lt;&gt;LEN(TRIM($C134&amp;""))),AND($D134&lt;&gt;"",LEN($D134&amp;"")&lt;&gt;LEN(TRIM($D134&amp;""))),AND($E134&lt;&gt;"",LEN($E134&amp;"")&lt;&gt;LEN(TRIM($E134&amp;""))),AND($F134&lt;&gt;"",LEN($F134&amp;"")&lt;&gt;LEN(TRIM($F134&amp;""))),AND($G134&lt;&gt;"",LEN($G134&amp;"")&lt;&gt;LEN(TRIM($G134&amp;""))),AND($H134&lt;&gt;"",LEN($H134&amp;"")&lt;&gt;LEN(TRIM($H134&amp;""))),AND($I134&lt;&gt;"",LEN($I134&amp;"")&lt;&gt;LEN(TRIM($I134&amp;""))),AND($J134&lt;&gt;"",LEN($J134&amp;"")&lt;&gt;LEN(TRIM($J134&amp;""))),AND($K134&lt;&gt;"",LEN($K134&amp;"")&lt;&gt;LEN(TRIM($K134&amp;""))),AND($M134&lt;&gt;"",LEN($M134&amp;"")&lt;&gt;LEN(TRIM($M134&amp;""))),AND($N134&lt;&gt;"",LEN($N134&amp;"")&lt;&gt;LEN(TRIM($N134&amp;""))),AND($O134&lt;&gt;"",LEN($O134&amp;"")&lt;&gt;LEN(TRIM($O134&amp;""))),AND($R134&lt;&gt;"",LEN($R134&amp;"")&lt;&gt;LEN(TRIM($R134&amp;""))),AND($S134&lt;&gt;"",LEN($S134&amp;"")&lt;&gt;LEN(TRIM($S134&amp;""))),AND($T134&lt;&gt;"",LEN($T134&amp;"")&lt;&gt;LEN(TRIM($T134&amp;"")))),"Remove leading or trailing spaces from text fields; ","")&amp;IF(OR(AND(LEN($C134)&gt;1,OR(EXACT($C134,UPPER($C134)),EXACT($C134,LOWER($C134)))),AND(LEN($D134)&gt;1,OR(EXACT($D134,UPPER($D134)),EXACT($D134,LOWER($D134)))),AND(LEN($H134)&gt;1,OR(EXACT($H134,UPPER($H134)),EXACT($H134,LOWER($H134))))),"Review capitalization in First Name, Last Name, or City; ","")&amp;IF(AND($N134&lt;&gt;"",NOT(EXACT($N134,LOWER($N134)))),"Email will be standardized to lowercase in the clean output; ","")&amp;IF(AND(OR('START HERE'!$C$8="Initial Enrollment",'START HERE'!$C$8="Open Enrollment"),$R134="Terminated"),"A terminated row is included in an initial or open enrollment file; confirm this is intentional; ",""))</f>
        <v/>
      </c>
      <c r="AE134">
        <f>IF(COUNTA($A134:$U134)=0,"",IF(OR($A134="",AND($A134&lt;&gt;"",NOT(IFERROR(AND(LEN($A134&amp;"")=9,ISNUMBER(--($A134&amp;""))),FALSE))),AND($A134&lt;&gt;"",OR($A134="123456789",$A134="987654321",$A134="012345678",$A134=REPT(LEFT($A134&amp;"",1),9)))),"Employee SSN, ","")&amp;IF(OR(AND($O134&lt;&gt;"",$B134=""),AND($B134&lt;&gt;"",OR(NOT(IFERROR(AND(LEN($B134&amp;"")=9,ISNUMBER(--($B134&amp;""))),FALSE)),$B134=$A134,$B134="123456789",$B134="987654321",$B134="012345678",$B134=REPT(LEFT($B134&amp;"",1),9)))),"Dependent SSN, ","")&amp;IF(OR($C134="",LEN($C134)&gt;19,AND($C134&lt;&gt;"",SUMPRODUCT(--(ROW($1:$19)&lt;=LEN($C134&amp;"")),--ISERROR(FIND(MID($C134&amp;"",ROW($1:$19),1),"ABCDEFGHIJKLMNOPQRSTUVWXYZabcdefghijklmnopqrstuvwxyz .,")))&gt;0)),"First Name, ","")&amp;IF(OR($D134="",LEN($D134)&gt;26,AND($D134&lt;&gt;"",SUMPRODUCT(--(ROW($1:$26)&lt;=LEN($D134&amp;"")),--ISERROR(FIND(MID($D134&amp;"",ROW($1:$26),1),"ABCDEFGHIJKLMNOPQRSTUVWXYZabcdefghijklmnopqrstuvwxyz .,")))&gt;0)),"Last Name, ","")&amp;IF(OR(LEN($E134)&gt;1,AND($E134&lt;&gt;"",SUMPRODUCT(--(ROW($1:$1)&lt;=LEN($E134&amp;"")),--ISERROR(FIND(MID($E134&amp;"",ROW($1:$1),1),"ABCDEFGHIJKLMNOPQRSTUVWXYZabcdefghijklmnopqrstuvwxyz .,")))&gt;0)),"Middle Initial, ","")&amp;IF(OR($F134="",LEN($F134)&gt;75),"Address, ","")&amp;IF(OR($H134="",LEN($H134)&gt;30),"City, ","")&amp;IF(AND($K134="US",OR($I134="",LEN($I134)&lt;&gt;2)),"State, ","")&amp;IF($J134="","ZIP, ","")&amp;IF(OR($K134="",AND($K134&lt;&gt;"US",$K134&lt;&gt;"CA")),"Country, ","")&amp;IF(OR($L134="",AND($L134&lt;&gt;"",OR(NOT(ISNUMBER($L134)),$L134&lt;=DATE(1900,1,1),$L134&gt;TODAY()))),"Birthdate, ","")&amp;IF(AND($N134&lt;&gt;"",NOT(IFERROR(AND(ISNUMBER(SEARCH("@",$N134)),ISNUMBER(SEARCH(".",$N134,SEARCH("@",$N134)+2))),FALSE))),"Email, ","")&amp;IF(OR(AND($B134&lt;&gt;"",$O134=""),AND($O134&lt;&gt;"",$O134&lt;&gt;"Spouse or Common Law Spouse",$O134&lt;&gt;"Domestic Partner",$O134&lt;&gt;"Child",$O134&lt;&gt;"Other",$O134&lt;&gt;"Estate",$O134&lt;&gt;"Unknown")),"Dependent Relationship, ","")&amp;IF($AA134&lt;&gt;"","Household, ","")&amp;IF(OR($P134="",AND($P134&lt;&gt;"",OR(NOT(ISNUMBER($P134)),$P134&lt;=DATE(1900,1,1)))),"Eligibility Date, ","")&amp;IF(OR(AND($R134="Terminated",$Q134=""),AND($Q134&lt;&gt;"",OR(NOT(ISNUMBER($Q134)),$Q134&lt;=DATE(1900,1,1))),AND(ISNUMBER($P134),ISNUMBER($Q134),$Q134&lt;$P134)),"Termination Date, ","")&amp;IF(OR($R134="",AND($R134&lt;&gt;"Active",$R134&lt;&gt;"Terminated"),AND('START HERE'!$C$8="Terminations Only",$R134&lt;&gt;"Terminated")),"Status, ","")&amp;IF($S134="","Plan Name, ","")&amp;IF($T134="","Coverage Level, ","")&amp;IF(AND($U134&lt;&gt;"",OR(NOT(ISNUMBER($U134)),$U134&lt;0)),"Funding, ","")&amp;IF(AND($A134&lt;&gt;"",$S134&lt;&gt;"",COUNTIFS($A$2:$A$501,$A134,$B$2:$B$501,$B134,$S$2:$S$501,$S134)&gt;1),"Duplicate Row, ",""))</f>
        <v/>
      </c>
      <c r="AF134">
        <f>IF(COUNTA($A134:$U134)=0,"",$Y134&amp;$Z134&amp;$AA134&amp;$AB134&amp;$AC134)</f>
        <v/>
      </c>
      <c r="AG134">
        <f>IF($N134="","",LOWER(TRIM($N134)))</f>
        <v/>
      </c>
      <c r="AH134">
        <f>IF($A134="","",COUNTIFS($A$2:$A$501,$A134,$AI$2:$AI$501,1))</f>
        <v/>
      </c>
      <c r="AI134">
        <f>IF(COUNTA($A134:$U134)=0,"",--($AF134&lt;&gt;""))</f>
        <v/>
      </c>
      <c r="AJ134">
        <f>IF(COUNTA($A134:$U134)=0,"",--($AD134&lt;&gt;""))</f>
        <v/>
      </c>
    </row>
    <row r="135" ht="20" customHeight="1">
      <c r="A135" s="80" t="n"/>
      <c r="B135" s="80" t="n"/>
      <c r="C135" s="81" t="n"/>
      <c r="D135" s="81" t="n"/>
      <c r="E135" s="80" t="n"/>
      <c r="F135" s="81" t="n"/>
      <c r="G135" s="81" t="n"/>
      <c r="H135" s="81" t="n"/>
      <c r="I135" s="80" t="n"/>
      <c r="J135" s="80" t="n"/>
      <c r="K135" s="80" t="n"/>
      <c r="L135" s="82" t="n"/>
      <c r="M135" s="80" t="n"/>
      <c r="N135" s="80" t="n"/>
      <c r="O135" s="80" t="n"/>
      <c r="P135" s="82" t="n"/>
      <c r="Q135" s="82" t="n"/>
      <c r="R135" s="80" t="n"/>
      <c r="S135" s="80" t="n"/>
      <c r="T135" s="80" t="n"/>
      <c r="U135" s="83" t="n"/>
      <c r="V135">
        <f>IF($A135="","",IF($A135=$A134,$V134,IF($V134="",0,1-$V134)))</f>
        <v/>
      </c>
      <c r="W135">
        <f>IF($B135&lt;&gt;"",$B135,$A135)</f>
        <v/>
      </c>
      <c r="X135">
        <f>IF(COUNTA($A135:$U135)=0,"",IF(OR($B135&lt;&gt;"",$O135&lt;&gt;""),"Dependent","Employee"))</f>
        <v/>
      </c>
      <c r="Y135">
        <f>IF(COUNTA($A135:$U135)=0,"",IF($A135="","Employee SSN is required; ","")&amp;IF($C135="","First Name is required; ","")&amp;IF(LEN($C135&amp;"")&gt;19,"First Name exceeds 19 characters; ","")&amp;IF(AND($C135&lt;&gt;"",SUMPRODUCT(--(ROW($1:$19)&lt;=LEN($C135&amp;"")),--ISERROR(FIND(MID($C135&amp;"",ROW($1:$19),1),"ABCDEFGHIJKLMNOPQRSTUVWXYZabcdefghijklmnopqrstuvwxyz .,")))&gt;0),"First Name contains unsupported or encoded characters; use plain A-Z letters only; ","")&amp;IF($D135="","Last Name is required; ","")&amp;IF(LEN($D135&amp;"")&gt;26,"Last Name exceeds 26 characters; ","")&amp;IF(AND($D135&lt;&gt;"",SUMPRODUCT(--(ROW($1:$26)&lt;=LEN($D135&amp;"")),--ISERROR(FIND(MID($D135&amp;"",ROW($1:$26),1),"ABCDEFGHIJKLMNOPQRSTUVWXYZabcdefghijklmnopqrstuvwxyz .,")))&gt;0),"Last Name contains unsupported or encoded characters; use plain A-Z letters only; ","")&amp;IF(LEN($E135&amp;"")&gt;1,"Middle Initial may contain only one character; ","")&amp;IF(AND($E135&lt;&gt;"",SUMPRODUCT(--(ROW($1:$1)&lt;=LEN($E135&amp;"")),--ISERROR(FIND(MID($E135&amp;"",ROW($1:$1),1),"ABCDEFGHIJKLMNOPQRSTUVWXYZabcdefghijklmnopqrstuvwxyz .,")))&gt;0),"Middle Initial must be a plain A-Z letter; ","")&amp;IF($F135="","Address is required; ","")&amp;IF(LEN($F135&amp;"")&gt;75,"Address exceeds 75 characters; ","")&amp;IF(LEN($G135&amp;"")&gt;75,"Address 2 exceeds 75 characters; ","")&amp;IF($H135="","City is required; ","")&amp;IF(LEN($H135&amp;"")&gt;30,"City exceeds 30 characters; ","")&amp;IF($K135="","Country is required; ","")&amp;IF(AND($K135&lt;&gt;"",$K135&lt;&gt;"US",$K135&lt;&gt;"CA"),"Country must be US or CA; ","")&amp;IF(AND($K135="US",OR($I135="",LEN($I135&amp;"")&lt;&gt;2)),"Use a 2-letter state code; ","")&amp;IF($J135="","ZIP or postal code is required; ","")&amp;IF(AND($K135="US",$J135&lt;&gt;"",NOT(IFERROR(OR(AND(LEN($J135&amp;"")=5,ISNUMBER(--($J135&amp;""))),AND(LEN($J135&amp;"")=9,ISNUMBER(--($J135&amp;""))),AND(LEN($J135&amp;"")=10,MID($J135&amp;"",6,1)="-",ISNUMBER(--SUBSTITUTE($J135&amp;"","-","")))),FALSE))),"US ZIP must be 5 or 9 digits, with an optional ZIP+4 hyphen; ","")&amp;IF(AND($N135&lt;&gt;"",NOT(IFERROR(AND(ISNUMBER(SEARCH("@",$N135)),ISNUMBER(SEARCH(".",$N135,SEARCH("@",$N135)+2))),FALSE))),"Email format appears invalid; ","")&amp;IF(AND($O135&lt;&gt;"",$B135=""),"Dependent SSN is required for every dependent; ","")&amp;IF(AND($B135&lt;&gt;"",$O135=""),"Dependent Relationship is required when Dependent SSN is entered; ","")&amp;IF(AND($O135&lt;&gt;"",$O135&lt;&gt;"Spouse or Common Law Spouse",$O135&lt;&gt;"Domestic Partner",$O135&lt;&gt;"Child",$O135&lt;&gt;"Other",$O135&lt;&gt;"Estate",$O135&lt;&gt;"Unknown"),"Dependent Relationship must use one of the approved options; ",""))</f>
        <v/>
      </c>
      <c r="Z135">
        <f>IF(COUNTA($A135:$U135)=0,"",IF(AND($A135&lt;&gt;"",NOT(IFERROR(AND(LEN($A135&amp;"")=9,ISNUMBER(--($A135&amp;""))),FALSE))),"Employee SSN must contain exactly 9 digits; ","")&amp;IF(AND($A135&lt;&gt;"",OR($A135="123456789",$A135="987654321",$A135="012345678",$A135=REPT(LEFT($A135&amp;"",1),9))),"Employee SSN appears to be a placeholder; ","")&amp;IF(AND($B135&lt;&gt;"",NOT(IFERROR(AND(LEN($B135&amp;"")=9,ISNUMBER(--($B135&amp;""))),FALSE))),"Dependent SSN must contain exactly 9 digits; ","")&amp;IF(AND($B135&lt;&gt;"",OR($B135="123456789",$B135="987654321",$B135="012345678",$B135=REPT(LEFT($B135&amp;"",1),9))),"Dependent SSN appears to be a placeholder; ","")&amp;IF(AND($A135&lt;&gt;"",$B135&lt;&gt;"",$A135&amp;""=$B135&amp;""),"Dependent SSN cannot match Employee SSN; ","")&amp;IF(AND($W135&lt;&gt;"",OR(COUNTIFS($W$2:$W$501,$W135,$C$2:$C$501,"&lt;&gt;"&amp;$C135)&gt;0,COUNTIFS($W$2:$W$501,$W135,$D$2:$D$501,"&lt;&gt;"&amp;$D135)&gt;0,COUNTIFS($W$2:$W$501,$W135,$L$2:$L$501,"&lt;&gt;"&amp;$L135)&gt;0)),"The same SSN is associated with a different name or birthdate; ",""))</f>
        <v/>
      </c>
      <c r="AA135">
        <f>IF(COUNTA($A135:$U135)=0,"",IF(AND($A135&lt;&gt;"",$S135&lt;&gt;"",COUNTIFS($A$2:$A$501,$A135,$S$2:$S$501,$S135,$B$2:$B$501,"",$O$2:$O$501,"")=0),"Add an employee row for this household and plan; ","")&amp;IF(AND($X135="Dependent",COUNTIFS($A$2:$A135,$A135,$S$2:$S135,$S135,$B$2:$B135,"",$O$2:$O135,"")=0),"Place the employee row before dependent rows for this plan; ","")&amp;IF(AND($X135="Dependent",COUNTIFS($A$2:$A$501,$A135,$S$2:$S$501,$S135,$B$2:$B$501,"",$O$2:$O$501,"")&gt;0,IFERROR(OR($P135&lt;&gt;LOOKUP(2,1/(($A$2:$A$501=$A135)*($S$2:$S$501=$S135)*($B$2:$B$501="")*($O$2:$O$501="")),$P$2:$P$501),$Q135&lt;&gt;LOOKUP(2,1/(($A$2:$A$501=$A135)*($S$2:$S$501=$S135)*($B$2:$B$501="")*($O$2:$O$501="")),$Q$2:$Q$501),$R135&lt;&gt;LOOKUP(2,1/(($A$2:$A$501=$A135)*($S$2:$S$501=$S135)*($B$2:$B$501="")*($O$2:$O$501="")),$R$2:$R$501),$T135&lt;&gt;LOOKUP(2,1/(($A$2:$A$501=$A135)*($S$2:$S$501=$S135)*($B$2:$B$501="")*($O$2:$O$501="")),$T$2:$T$501),$U135&lt;&gt;LOOKUP(2,1/(($A$2:$A$501=$A135)*($S$2:$S$501=$S135)*($B$2:$B$501="")*($O$2:$O$501="")),$U$2:$U$501)),FALSE)),"Dependent row does not match the employee row for eligibility, status, coverage level, or funding; ",""))</f>
        <v/>
      </c>
      <c r="AB135">
        <f>IF(COUNTA($A135:$U135)=0,"",IF($L135="","Birthdate is required; ","")&amp;IF(AND($L135&lt;&gt;"",OR(NOT(ISNUMBER($L135)),$L135&lt;=DATE(1900,1,1),$L135&gt;TODAY())),"Birthdate must be an exact valid past date; ","")&amp;IF($P135="","Eligibility Date is required; ","")&amp;IF(AND($P135&lt;&gt;"",OR(NOT(ISNUMBER($P135)),$P135&lt;=DATE(1900,1,1))),"Eligibility Date must be a valid date; ","")&amp;IF(AND($R135="Terminated",$Q135=""),"Termination Date is required when Status is Terminated; ","")&amp;IF(AND($Q135&lt;&gt;"",OR(NOT(ISNUMBER($Q135)),$Q135&lt;=DATE(1900,1,1))),"Termination Date must be a valid date; ","")&amp;IF(AND(ISNUMBER($P135),ISNUMBER($Q135),$Q135&lt;$P135),"Termination Date cannot be before Eligibility Date; ","")&amp;IF($R135="","Status is required; ","")&amp;IF(AND($R135&lt;&gt;"",$R135&lt;&gt;"Active",$R135&lt;&gt;"Terminated"),"Status must be Active or Terminated; ","")&amp;IF(AND('START HERE'!$C$8="Terminations Only",$R135&lt;&gt;"Terminated"),"Terminations Only files must contain terminated records; ",""))</f>
        <v/>
      </c>
      <c r="AC135">
        <f>IF(COUNTA($A135:$U135)=0,"",IF($S135="","Plan Name is required; ","")&amp;IF($T135="","Benefit Coverage Level is required; ","")&amp;IF(AND($U135&lt;&gt;"",OR(NOT(ISNUMBER($U135)),$U135&lt;0)),"Plan Funding Amount must be a nonnegative number; ","")&amp;IF(AND($A135&lt;&gt;"",$S135&lt;&gt;"",COUNTIFS($A$2:$A$501,$A135,$B$2:$B$501,$B135,$S$2:$S$501,$S135)&gt;1),"Duplicate participant and plan row; ",""))</f>
        <v/>
      </c>
      <c r="AD135">
        <f>IF(COUNTA($A135:$U135)=0,"",IF(AND($X135="Employee",$M135="",$N135=""),"No employee phone or email provided; ","")&amp;IF(AND($R135="Active",$Q135&lt;&gt;""),"Active record includes a Termination Date; confirm this is intentional; ","")&amp;IF(AND($B135&lt;&gt;"",$B135&amp;""&lt;&gt;$A135&amp;"",COUNTIF($A$2:$A$501,$B135)&gt;0),"Dependent SSN also appears as an Employee SSN elsewhere; confirm dual-employee coverage is intentional; ","")&amp;IF(AND($B135&lt;&gt;"",COUNTIF($B$2:$B$501,$B135)&gt;COUNTIFS($A$2:$A$501,$A135,$B$2:$B$501,$B135)),"Dependent SSN appears under more than one employee; confirm duplicate family coverage is intentional; ","")&amp;IF(AND(ROW()&gt;2,$A135&lt;&gt;"",$A135&lt;&gt;$A134,COUNTIF($A$2:$A134,$A135)&gt;0),"This household appears in more than one section of the census; keep the family together; ","")&amp;IF(OR(AND($C135&lt;&gt;"",LEN($C135&amp;"")&lt;&gt;LEN(TRIM($C135&amp;""))),AND($D135&lt;&gt;"",LEN($D135&amp;"")&lt;&gt;LEN(TRIM($D135&amp;""))),AND($E135&lt;&gt;"",LEN($E135&amp;"")&lt;&gt;LEN(TRIM($E135&amp;""))),AND($F135&lt;&gt;"",LEN($F135&amp;"")&lt;&gt;LEN(TRIM($F135&amp;""))),AND($G135&lt;&gt;"",LEN($G135&amp;"")&lt;&gt;LEN(TRIM($G135&amp;""))),AND($H135&lt;&gt;"",LEN($H135&amp;"")&lt;&gt;LEN(TRIM($H135&amp;""))),AND($I135&lt;&gt;"",LEN($I135&amp;"")&lt;&gt;LEN(TRIM($I135&amp;""))),AND($J135&lt;&gt;"",LEN($J135&amp;"")&lt;&gt;LEN(TRIM($J135&amp;""))),AND($K135&lt;&gt;"",LEN($K135&amp;"")&lt;&gt;LEN(TRIM($K135&amp;""))),AND($M135&lt;&gt;"",LEN($M135&amp;"")&lt;&gt;LEN(TRIM($M135&amp;""))),AND($N135&lt;&gt;"",LEN($N135&amp;"")&lt;&gt;LEN(TRIM($N135&amp;""))),AND($O135&lt;&gt;"",LEN($O135&amp;"")&lt;&gt;LEN(TRIM($O135&amp;""))),AND($R135&lt;&gt;"",LEN($R135&amp;"")&lt;&gt;LEN(TRIM($R135&amp;""))),AND($S135&lt;&gt;"",LEN($S135&amp;"")&lt;&gt;LEN(TRIM($S135&amp;""))),AND($T135&lt;&gt;"",LEN($T135&amp;"")&lt;&gt;LEN(TRIM($T135&amp;"")))),"Remove leading or trailing spaces from text fields; ","")&amp;IF(OR(AND(LEN($C135)&gt;1,OR(EXACT($C135,UPPER($C135)),EXACT($C135,LOWER($C135)))),AND(LEN($D135)&gt;1,OR(EXACT($D135,UPPER($D135)),EXACT($D135,LOWER($D135)))),AND(LEN($H135)&gt;1,OR(EXACT($H135,UPPER($H135)),EXACT($H135,LOWER($H135))))),"Review capitalization in First Name, Last Name, or City; ","")&amp;IF(AND($N135&lt;&gt;"",NOT(EXACT($N135,LOWER($N135)))),"Email will be standardized to lowercase in the clean output; ","")&amp;IF(AND(OR('START HERE'!$C$8="Initial Enrollment",'START HERE'!$C$8="Open Enrollment"),$R135="Terminated"),"A terminated row is included in an initial or open enrollment file; confirm this is intentional; ",""))</f>
        <v/>
      </c>
      <c r="AE135">
        <f>IF(COUNTA($A135:$U135)=0,"",IF(OR($A135="",AND($A135&lt;&gt;"",NOT(IFERROR(AND(LEN($A135&amp;"")=9,ISNUMBER(--($A135&amp;""))),FALSE))),AND($A135&lt;&gt;"",OR($A135="123456789",$A135="987654321",$A135="012345678",$A135=REPT(LEFT($A135&amp;"",1),9)))),"Employee SSN, ","")&amp;IF(OR(AND($O135&lt;&gt;"",$B135=""),AND($B135&lt;&gt;"",OR(NOT(IFERROR(AND(LEN($B135&amp;"")=9,ISNUMBER(--($B135&amp;""))),FALSE)),$B135=$A135,$B135="123456789",$B135="987654321",$B135="012345678",$B135=REPT(LEFT($B135&amp;"",1),9)))),"Dependent SSN, ","")&amp;IF(OR($C135="",LEN($C135)&gt;19,AND($C135&lt;&gt;"",SUMPRODUCT(--(ROW($1:$19)&lt;=LEN($C135&amp;"")),--ISERROR(FIND(MID($C135&amp;"",ROW($1:$19),1),"ABCDEFGHIJKLMNOPQRSTUVWXYZabcdefghijklmnopqrstuvwxyz .,")))&gt;0)),"First Name, ","")&amp;IF(OR($D135="",LEN($D135)&gt;26,AND($D135&lt;&gt;"",SUMPRODUCT(--(ROW($1:$26)&lt;=LEN($D135&amp;"")),--ISERROR(FIND(MID($D135&amp;"",ROW($1:$26),1),"ABCDEFGHIJKLMNOPQRSTUVWXYZabcdefghijklmnopqrstuvwxyz .,")))&gt;0)),"Last Name, ","")&amp;IF(OR(LEN($E135)&gt;1,AND($E135&lt;&gt;"",SUMPRODUCT(--(ROW($1:$1)&lt;=LEN($E135&amp;"")),--ISERROR(FIND(MID($E135&amp;"",ROW($1:$1),1),"ABCDEFGHIJKLMNOPQRSTUVWXYZabcdefghijklmnopqrstuvwxyz .,")))&gt;0)),"Middle Initial, ","")&amp;IF(OR($F135="",LEN($F135)&gt;75),"Address, ","")&amp;IF(OR($H135="",LEN($H135)&gt;30),"City, ","")&amp;IF(AND($K135="US",OR($I135="",LEN($I135)&lt;&gt;2)),"State, ","")&amp;IF($J135="","ZIP, ","")&amp;IF(OR($K135="",AND($K135&lt;&gt;"US",$K135&lt;&gt;"CA")),"Country, ","")&amp;IF(OR($L135="",AND($L135&lt;&gt;"",OR(NOT(ISNUMBER($L135)),$L135&lt;=DATE(1900,1,1),$L135&gt;TODAY()))),"Birthdate, ","")&amp;IF(AND($N135&lt;&gt;"",NOT(IFERROR(AND(ISNUMBER(SEARCH("@",$N135)),ISNUMBER(SEARCH(".",$N135,SEARCH("@",$N135)+2))),FALSE))),"Email, ","")&amp;IF(OR(AND($B135&lt;&gt;"",$O135=""),AND($O135&lt;&gt;"",$O135&lt;&gt;"Spouse or Common Law Spouse",$O135&lt;&gt;"Domestic Partner",$O135&lt;&gt;"Child",$O135&lt;&gt;"Other",$O135&lt;&gt;"Estate",$O135&lt;&gt;"Unknown")),"Dependent Relationship, ","")&amp;IF($AA135&lt;&gt;"","Household, ","")&amp;IF(OR($P135="",AND($P135&lt;&gt;"",OR(NOT(ISNUMBER($P135)),$P135&lt;=DATE(1900,1,1)))),"Eligibility Date, ","")&amp;IF(OR(AND($R135="Terminated",$Q135=""),AND($Q135&lt;&gt;"",OR(NOT(ISNUMBER($Q135)),$Q135&lt;=DATE(1900,1,1))),AND(ISNUMBER($P135),ISNUMBER($Q135),$Q135&lt;$P135)),"Termination Date, ","")&amp;IF(OR($R135="",AND($R135&lt;&gt;"Active",$R135&lt;&gt;"Terminated"),AND('START HERE'!$C$8="Terminations Only",$R135&lt;&gt;"Terminated")),"Status, ","")&amp;IF($S135="","Plan Name, ","")&amp;IF($T135="","Coverage Level, ","")&amp;IF(AND($U135&lt;&gt;"",OR(NOT(ISNUMBER($U135)),$U135&lt;0)),"Funding, ","")&amp;IF(AND($A135&lt;&gt;"",$S135&lt;&gt;"",COUNTIFS($A$2:$A$501,$A135,$B$2:$B$501,$B135,$S$2:$S$501,$S135)&gt;1),"Duplicate Row, ",""))</f>
        <v/>
      </c>
      <c r="AF135">
        <f>IF(COUNTA($A135:$U135)=0,"",$Y135&amp;$Z135&amp;$AA135&amp;$AB135&amp;$AC135)</f>
        <v/>
      </c>
      <c r="AG135">
        <f>IF($N135="","",LOWER(TRIM($N135)))</f>
        <v/>
      </c>
      <c r="AH135">
        <f>IF($A135="","",COUNTIFS($A$2:$A$501,$A135,$AI$2:$AI$501,1))</f>
        <v/>
      </c>
      <c r="AI135">
        <f>IF(COUNTA($A135:$U135)=0,"",--($AF135&lt;&gt;""))</f>
        <v/>
      </c>
      <c r="AJ135">
        <f>IF(COUNTA($A135:$U135)=0,"",--($AD135&lt;&gt;""))</f>
        <v/>
      </c>
    </row>
    <row r="136" ht="20" customHeight="1">
      <c r="A136" s="80" t="n"/>
      <c r="B136" s="80" t="n"/>
      <c r="C136" s="81" t="n"/>
      <c r="D136" s="81" t="n"/>
      <c r="E136" s="80" t="n"/>
      <c r="F136" s="81" t="n"/>
      <c r="G136" s="81" t="n"/>
      <c r="H136" s="81" t="n"/>
      <c r="I136" s="80" t="n"/>
      <c r="J136" s="80" t="n"/>
      <c r="K136" s="80" t="n"/>
      <c r="L136" s="82" t="n"/>
      <c r="M136" s="80" t="n"/>
      <c r="N136" s="80" t="n"/>
      <c r="O136" s="80" t="n"/>
      <c r="P136" s="82" t="n"/>
      <c r="Q136" s="82" t="n"/>
      <c r="R136" s="80" t="n"/>
      <c r="S136" s="80" t="n"/>
      <c r="T136" s="80" t="n"/>
      <c r="U136" s="83" t="n"/>
      <c r="V136">
        <f>IF($A136="","",IF($A136=$A135,$V135,IF($V135="",0,1-$V135)))</f>
        <v/>
      </c>
      <c r="W136">
        <f>IF($B136&lt;&gt;"",$B136,$A136)</f>
        <v/>
      </c>
      <c r="X136">
        <f>IF(COUNTA($A136:$U136)=0,"",IF(OR($B136&lt;&gt;"",$O136&lt;&gt;""),"Dependent","Employee"))</f>
        <v/>
      </c>
      <c r="Y136">
        <f>IF(COUNTA($A136:$U136)=0,"",IF($A136="","Employee SSN is required; ","")&amp;IF($C136="","First Name is required; ","")&amp;IF(LEN($C136&amp;"")&gt;19,"First Name exceeds 19 characters; ","")&amp;IF(AND($C136&lt;&gt;"",SUMPRODUCT(--(ROW($1:$19)&lt;=LEN($C136&amp;"")),--ISERROR(FIND(MID($C136&amp;"",ROW($1:$19),1),"ABCDEFGHIJKLMNOPQRSTUVWXYZabcdefghijklmnopqrstuvwxyz .,")))&gt;0),"First Name contains unsupported or encoded characters; use plain A-Z letters only; ","")&amp;IF($D136="","Last Name is required; ","")&amp;IF(LEN($D136&amp;"")&gt;26,"Last Name exceeds 26 characters; ","")&amp;IF(AND($D136&lt;&gt;"",SUMPRODUCT(--(ROW($1:$26)&lt;=LEN($D136&amp;"")),--ISERROR(FIND(MID($D136&amp;"",ROW($1:$26),1),"ABCDEFGHIJKLMNOPQRSTUVWXYZabcdefghijklmnopqrstuvwxyz .,")))&gt;0),"Last Name contains unsupported or encoded characters; use plain A-Z letters only; ","")&amp;IF(LEN($E136&amp;"")&gt;1,"Middle Initial may contain only one character; ","")&amp;IF(AND($E136&lt;&gt;"",SUMPRODUCT(--(ROW($1:$1)&lt;=LEN($E136&amp;"")),--ISERROR(FIND(MID($E136&amp;"",ROW($1:$1),1),"ABCDEFGHIJKLMNOPQRSTUVWXYZabcdefghijklmnopqrstuvwxyz .,")))&gt;0),"Middle Initial must be a plain A-Z letter; ","")&amp;IF($F136="","Address is required; ","")&amp;IF(LEN($F136&amp;"")&gt;75,"Address exceeds 75 characters; ","")&amp;IF(LEN($G136&amp;"")&gt;75,"Address 2 exceeds 75 characters; ","")&amp;IF($H136="","City is required; ","")&amp;IF(LEN($H136&amp;"")&gt;30,"City exceeds 30 characters; ","")&amp;IF($K136="","Country is required; ","")&amp;IF(AND($K136&lt;&gt;"",$K136&lt;&gt;"US",$K136&lt;&gt;"CA"),"Country must be US or CA; ","")&amp;IF(AND($K136="US",OR($I136="",LEN($I136&amp;"")&lt;&gt;2)),"Use a 2-letter state code; ","")&amp;IF($J136="","ZIP or postal code is required; ","")&amp;IF(AND($K136="US",$J136&lt;&gt;"",NOT(IFERROR(OR(AND(LEN($J136&amp;"")=5,ISNUMBER(--($J136&amp;""))),AND(LEN($J136&amp;"")=9,ISNUMBER(--($J136&amp;""))),AND(LEN($J136&amp;"")=10,MID($J136&amp;"",6,1)="-",ISNUMBER(--SUBSTITUTE($J136&amp;"","-","")))),FALSE))),"US ZIP must be 5 or 9 digits, with an optional ZIP+4 hyphen; ","")&amp;IF(AND($N136&lt;&gt;"",NOT(IFERROR(AND(ISNUMBER(SEARCH("@",$N136)),ISNUMBER(SEARCH(".",$N136,SEARCH("@",$N136)+2))),FALSE))),"Email format appears invalid; ","")&amp;IF(AND($O136&lt;&gt;"",$B136=""),"Dependent SSN is required for every dependent; ","")&amp;IF(AND($B136&lt;&gt;"",$O136=""),"Dependent Relationship is required when Dependent SSN is entered; ","")&amp;IF(AND($O136&lt;&gt;"",$O136&lt;&gt;"Spouse or Common Law Spouse",$O136&lt;&gt;"Domestic Partner",$O136&lt;&gt;"Child",$O136&lt;&gt;"Other",$O136&lt;&gt;"Estate",$O136&lt;&gt;"Unknown"),"Dependent Relationship must use one of the approved options; ",""))</f>
        <v/>
      </c>
      <c r="Z136">
        <f>IF(COUNTA($A136:$U136)=0,"",IF(AND($A136&lt;&gt;"",NOT(IFERROR(AND(LEN($A136&amp;"")=9,ISNUMBER(--($A136&amp;""))),FALSE))),"Employee SSN must contain exactly 9 digits; ","")&amp;IF(AND($A136&lt;&gt;"",OR($A136="123456789",$A136="987654321",$A136="012345678",$A136=REPT(LEFT($A136&amp;"",1),9))),"Employee SSN appears to be a placeholder; ","")&amp;IF(AND($B136&lt;&gt;"",NOT(IFERROR(AND(LEN($B136&amp;"")=9,ISNUMBER(--($B136&amp;""))),FALSE))),"Dependent SSN must contain exactly 9 digits; ","")&amp;IF(AND($B136&lt;&gt;"",OR($B136="123456789",$B136="987654321",$B136="012345678",$B136=REPT(LEFT($B136&amp;"",1),9))),"Dependent SSN appears to be a placeholder; ","")&amp;IF(AND($A136&lt;&gt;"",$B136&lt;&gt;"",$A136&amp;""=$B136&amp;""),"Dependent SSN cannot match Employee SSN; ","")&amp;IF(AND($W136&lt;&gt;"",OR(COUNTIFS($W$2:$W$501,$W136,$C$2:$C$501,"&lt;&gt;"&amp;$C136)&gt;0,COUNTIFS($W$2:$W$501,$W136,$D$2:$D$501,"&lt;&gt;"&amp;$D136)&gt;0,COUNTIFS($W$2:$W$501,$W136,$L$2:$L$501,"&lt;&gt;"&amp;$L136)&gt;0)),"The same SSN is associated with a different name or birthdate; ",""))</f>
        <v/>
      </c>
      <c r="AA136">
        <f>IF(COUNTA($A136:$U136)=0,"",IF(AND($A136&lt;&gt;"",$S136&lt;&gt;"",COUNTIFS($A$2:$A$501,$A136,$S$2:$S$501,$S136,$B$2:$B$501,"",$O$2:$O$501,"")=0),"Add an employee row for this household and plan; ","")&amp;IF(AND($X136="Dependent",COUNTIFS($A$2:$A136,$A136,$S$2:$S136,$S136,$B$2:$B136,"",$O$2:$O136,"")=0),"Place the employee row before dependent rows for this plan; ","")&amp;IF(AND($X136="Dependent",COUNTIFS($A$2:$A$501,$A136,$S$2:$S$501,$S136,$B$2:$B$501,"",$O$2:$O$501,"")&gt;0,IFERROR(OR($P136&lt;&gt;LOOKUP(2,1/(($A$2:$A$501=$A136)*($S$2:$S$501=$S136)*($B$2:$B$501="")*($O$2:$O$501="")),$P$2:$P$501),$Q136&lt;&gt;LOOKUP(2,1/(($A$2:$A$501=$A136)*($S$2:$S$501=$S136)*($B$2:$B$501="")*($O$2:$O$501="")),$Q$2:$Q$501),$R136&lt;&gt;LOOKUP(2,1/(($A$2:$A$501=$A136)*($S$2:$S$501=$S136)*($B$2:$B$501="")*($O$2:$O$501="")),$R$2:$R$501),$T136&lt;&gt;LOOKUP(2,1/(($A$2:$A$501=$A136)*($S$2:$S$501=$S136)*($B$2:$B$501="")*($O$2:$O$501="")),$T$2:$T$501),$U136&lt;&gt;LOOKUP(2,1/(($A$2:$A$501=$A136)*($S$2:$S$501=$S136)*($B$2:$B$501="")*($O$2:$O$501="")),$U$2:$U$501)),FALSE)),"Dependent row does not match the employee row for eligibility, status, coverage level, or funding; ",""))</f>
        <v/>
      </c>
      <c r="AB136">
        <f>IF(COUNTA($A136:$U136)=0,"",IF($L136="","Birthdate is required; ","")&amp;IF(AND($L136&lt;&gt;"",OR(NOT(ISNUMBER($L136)),$L136&lt;=DATE(1900,1,1),$L136&gt;TODAY())),"Birthdate must be an exact valid past date; ","")&amp;IF($P136="","Eligibility Date is required; ","")&amp;IF(AND($P136&lt;&gt;"",OR(NOT(ISNUMBER($P136)),$P136&lt;=DATE(1900,1,1))),"Eligibility Date must be a valid date; ","")&amp;IF(AND($R136="Terminated",$Q136=""),"Termination Date is required when Status is Terminated; ","")&amp;IF(AND($Q136&lt;&gt;"",OR(NOT(ISNUMBER($Q136)),$Q136&lt;=DATE(1900,1,1))),"Termination Date must be a valid date; ","")&amp;IF(AND(ISNUMBER($P136),ISNUMBER($Q136),$Q136&lt;$P136),"Termination Date cannot be before Eligibility Date; ","")&amp;IF($R136="","Status is required; ","")&amp;IF(AND($R136&lt;&gt;"",$R136&lt;&gt;"Active",$R136&lt;&gt;"Terminated"),"Status must be Active or Terminated; ","")&amp;IF(AND('START HERE'!$C$8="Terminations Only",$R136&lt;&gt;"Terminated"),"Terminations Only files must contain terminated records; ",""))</f>
        <v/>
      </c>
      <c r="AC136">
        <f>IF(COUNTA($A136:$U136)=0,"",IF($S136="","Plan Name is required; ","")&amp;IF($T136="","Benefit Coverage Level is required; ","")&amp;IF(AND($U136&lt;&gt;"",OR(NOT(ISNUMBER($U136)),$U136&lt;0)),"Plan Funding Amount must be a nonnegative number; ","")&amp;IF(AND($A136&lt;&gt;"",$S136&lt;&gt;"",COUNTIFS($A$2:$A$501,$A136,$B$2:$B$501,$B136,$S$2:$S$501,$S136)&gt;1),"Duplicate participant and plan row; ",""))</f>
        <v/>
      </c>
      <c r="AD136">
        <f>IF(COUNTA($A136:$U136)=0,"",IF(AND($X136="Employee",$M136="",$N136=""),"No employee phone or email provided; ","")&amp;IF(AND($R136="Active",$Q136&lt;&gt;""),"Active record includes a Termination Date; confirm this is intentional; ","")&amp;IF(AND($B136&lt;&gt;"",$B136&amp;""&lt;&gt;$A136&amp;"",COUNTIF($A$2:$A$501,$B136)&gt;0),"Dependent SSN also appears as an Employee SSN elsewhere; confirm dual-employee coverage is intentional; ","")&amp;IF(AND($B136&lt;&gt;"",COUNTIF($B$2:$B$501,$B136)&gt;COUNTIFS($A$2:$A$501,$A136,$B$2:$B$501,$B136)),"Dependent SSN appears under more than one employee; confirm duplicate family coverage is intentional; ","")&amp;IF(AND(ROW()&gt;2,$A136&lt;&gt;"",$A136&lt;&gt;$A135,COUNTIF($A$2:$A135,$A136)&gt;0),"This household appears in more than one section of the census; keep the family together; ","")&amp;IF(OR(AND($C136&lt;&gt;"",LEN($C136&amp;"")&lt;&gt;LEN(TRIM($C136&amp;""))),AND($D136&lt;&gt;"",LEN($D136&amp;"")&lt;&gt;LEN(TRIM($D136&amp;""))),AND($E136&lt;&gt;"",LEN($E136&amp;"")&lt;&gt;LEN(TRIM($E136&amp;""))),AND($F136&lt;&gt;"",LEN($F136&amp;"")&lt;&gt;LEN(TRIM($F136&amp;""))),AND($G136&lt;&gt;"",LEN($G136&amp;"")&lt;&gt;LEN(TRIM($G136&amp;""))),AND($H136&lt;&gt;"",LEN($H136&amp;"")&lt;&gt;LEN(TRIM($H136&amp;""))),AND($I136&lt;&gt;"",LEN($I136&amp;"")&lt;&gt;LEN(TRIM($I136&amp;""))),AND($J136&lt;&gt;"",LEN($J136&amp;"")&lt;&gt;LEN(TRIM($J136&amp;""))),AND($K136&lt;&gt;"",LEN($K136&amp;"")&lt;&gt;LEN(TRIM($K136&amp;""))),AND($M136&lt;&gt;"",LEN($M136&amp;"")&lt;&gt;LEN(TRIM($M136&amp;""))),AND($N136&lt;&gt;"",LEN($N136&amp;"")&lt;&gt;LEN(TRIM($N136&amp;""))),AND($O136&lt;&gt;"",LEN($O136&amp;"")&lt;&gt;LEN(TRIM($O136&amp;""))),AND($R136&lt;&gt;"",LEN($R136&amp;"")&lt;&gt;LEN(TRIM($R136&amp;""))),AND($S136&lt;&gt;"",LEN($S136&amp;"")&lt;&gt;LEN(TRIM($S136&amp;""))),AND($T136&lt;&gt;"",LEN($T136&amp;"")&lt;&gt;LEN(TRIM($T136&amp;"")))),"Remove leading or trailing spaces from text fields; ","")&amp;IF(OR(AND(LEN($C136)&gt;1,OR(EXACT($C136,UPPER($C136)),EXACT($C136,LOWER($C136)))),AND(LEN($D136)&gt;1,OR(EXACT($D136,UPPER($D136)),EXACT($D136,LOWER($D136)))),AND(LEN($H136)&gt;1,OR(EXACT($H136,UPPER($H136)),EXACT($H136,LOWER($H136))))),"Review capitalization in First Name, Last Name, or City; ","")&amp;IF(AND($N136&lt;&gt;"",NOT(EXACT($N136,LOWER($N136)))),"Email will be standardized to lowercase in the clean output; ","")&amp;IF(AND(OR('START HERE'!$C$8="Initial Enrollment",'START HERE'!$C$8="Open Enrollment"),$R136="Terminated"),"A terminated row is included in an initial or open enrollment file; confirm this is intentional; ",""))</f>
        <v/>
      </c>
      <c r="AE136">
        <f>IF(COUNTA($A136:$U136)=0,"",IF(OR($A136="",AND($A136&lt;&gt;"",NOT(IFERROR(AND(LEN($A136&amp;"")=9,ISNUMBER(--($A136&amp;""))),FALSE))),AND($A136&lt;&gt;"",OR($A136="123456789",$A136="987654321",$A136="012345678",$A136=REPT(LEFT($A136&amp;"",1),9)))),"Employee SSN, ","")&amp;IF(OR(AND($O136&lt;&gt;"",$B136=""),AND($B136&lt;&gt;"",OR(NOT(IFERROR(AND(LEN($B136&amp;"")=9,ISNUMBER(--($B136&amp;""))),FALSE)),$B136=$A136,$B136="123456789",$B136="987654321",$B136="012345678",$B136=REPT(LEFT($B136&amp;"",1),9)))),"Dependent SSN, ","")&amp;IF(OR($C136="",LEN($C136)&gt;19,AND($C136&lt;&gt;"",SUMPRODUCT(--(ROW($1:$19)&lt;=LEN($C136&amp;"")),--ISERROR(FIND(MID($C136&amp;"",ROW($1:$19),1),"ABCDEFGHIJKLMNOPQRSTUVWXYZabcdefghijklmnopqrstuvwxyz .,")))&gt;0)),"First Name, ","")&amp;IF(OR($D136="",LEN($D136)&gt;26,AND($D136&lt;&gt;"",SUMPRODUCT(--(ROW($1:$26)&lt;=LEN($D136&amp;"")),--ISERROR(FIND(MID($D136&amp;"",ROW($1:$26),1),"ABCDEFGHIJKLMNOPQRSTUVWXYZabcdefghijklmnopqrstuvwxyz .,")))&gt;0)),"Last Name, ","")&amp;IF(OR(LEN($E136)&gt;1,AND($E136&lt;&gt;"",SUMPRODUCT(--(ROW($1:$1)&lt;=LEN($E136&amp;"")),--ISERROR(FIND(MID($E136&amp;"",ROW($1:$1),1),"ABCDEFGHIJKLMNOPQRSTUVWXYZabcdefghijklmnopqrstuvwxyz .,")))&gt;0)),"Middle Initial, ","")&amp;IF(OR($F136="",LEN($F136)&gt;75),"Address, ","")&amp;IF(OR($H136="",LEN($H136)&gt;30),"City, ","")&amp;IF(AND($K136="US",OR($I136="",LEN($I136)&lt;&gt;2)),"State, ","")&amp;IF($J136="","ZIP, ","")&amp;IF(OR($K136="",AND($K136&lt;&gt;"US",$K136&lt;&gt;"CA")),"Country, ","")&amp;IF(OR($L136="",AND($L136&lt;&gt;"",OR(NOT(ISNUMBER($L136)),$L136&lt;=DATE(1900,1,1),$L136&gt;TODAY()))),"Birthdate, ","")&amp;IF(AND($N136&lt;&gt;"",NOT(IFERROR(AND(ISNUMBER(SEARCH("@",$N136)),ISNUMBER(SEARCH(".",$N136,SEARCH("@",$N136)+2))),FALSE))),"Email, ","")&amp;IF(OR(AND($B136&lt;&gt;"",$O136=""),AND($O136&lt;&gt;"",$O136&lt;&gt;"Spouse or Common Law Spouse",$O136&lt;&gt;"Domestic Partner",$O136&lt;&gt;"Child",$O136&lt;&gt;"Other",$O136&lt;&gt;"Estate",$O136&lt;&gt;"Unknown")),"Dependent Relationship, ","")&amp;IF($AA136&lt;&gt;"","Household, ","")&amp;IF(OR($P136="",AND($P136&lt;&gt;"",OR(NOT(ISNUMBER($P136)),$P136&lt;=DATE(1900,1,1)))),"Eligibility Date, ","")&amp;IF(OR(AND($R136="Terminated",$Q136=""),AND($Q136&lt;&gt;"",OR(NOT(ISNUMBER($Q136)),$Q136&lt;=DATE(1900,1,1))),AND(ISNUMBER($P136),ISNUMBER($Q136),$Q136&lt;$P136)),"Termination Date, ","")&amp;IF(OR($R136="",AND($R136&lt;&gt;"Active",$R136&lt;&gt;"Terminated"),AND('START HERE'!$C$8="Terminations Only",$R136&lt;&gt;"Terminated")),"Status, ","")&amp;IF($S136="","Plan Name, ","")&amp;IF($T136="","Coverage Level, ","")&amp;IF(AND($U136&lt;&gt;"",OR(NOT(ISNUMBER($U136)),$U136&lt;0)),"Funding, ","")&amp;IF(AND($A136&lt;&gt;"",$S136&lt;&gt;"",COUNTIFS($A$2:$A$501,$A136,$B$2:$B$501,$B136,$S$2:$S$501,$S136)&gt;1),"Duplicate Row, ",""))</f>
        <v/>
      </c>
      <c r="AF136">
        <f>IF(COUNTA($A136:$U136)=0,"",$Y136&amp;$Z136&amp;$AA136&amp;$AB136&amp;$AC136)</f>
        <v/>
      </c>
      <c r="AG136">
        <f>IF($N136="","",LOWER(TRIM($N136)))</f>
        <v/>
      </c>
      <c r="AH136">
        <f>IF($A136="","",COUNTIFS($A$2:$A$501,$A136,$AI$2:$AI$501,1))</f>
        <v/>
      </c>
      <c r="AI136">
        <f>IF(COUNTA($A136:$U136)=0,"",--($AF136&lt;&gt;""))</f>
        <v/>
      </c>
      <c r="AJ136">
        <f>IF(COUNTA($A136:$U136)=0,"",--($AD136&lt;&gt;""))</f>
        <v/>
      </c>
    </row>
    <row r="137" ht="20" customHeight="1">
      <c r="A137" s="80" t="n"/>
      <c r="B137" s="80" t="n"/>
      <c r="C137" s="81" t="n"/>
      <c r="D137" s="81" t="n"/>
      <c r="E137" s="80" t="n"/>
      <c r="F137" s="81" t="n"/>
      <c r="G137" s="81" t="n"/>
      <c r="H137" s="81" t="n"/>
      <c r="I137" s="80" t="n"/>
      <c r="J137" s="80" t="n"/>
      <c r="K137" s="80" t="n"/>
      <c r="L137" s="82" t="n"/>
      <c r="M137" s="80" t="n"/>
      <c r="N137" s="80" t="n"/>
      <c r="O137" s="80" t="n"/>
      <c r="P137" s="82" t="n"/>
      <c r="Q137" s="82" t="n"/>
      <c r="R137" s="80" t="n"/>
      <c r="S137" s="80" t="n"/>
      <c r="T137" s="80" t="n"/>
      <c r="U137" s="83" t="n"/>
      <c r="V137">
        <f>IF($A137="","",IF($A137=$A136,$V136,IF($V136="",0,1-$V136)))</f>
        <v/>
      </c>
      <c r="W137">
        <f>IF($B137&lt;&gt;"",$B137,$A137)</f>
        <v/>
      </c>
      <c r="X137">
        <f>IF(COUNTA($A137:$U137)=0,"",IF(OR($B137&lt;&gt;"",$O137&lt;&gt;""),"Dependent","Employee"))</f>
        <v/>
      </c>
      <c r="Y137">
        <f>IF(COUNTA($A137:$U137)=0,"",IF($A137="","Employee SSN is required; ","")&amp;IF($C137="","First Name is required; ","")&amp;IF(LEN($C137&amp;"")&gt;19,"First Name exceeds 19 characters; ","")&amp;IF(AND($C137&lt;&gt;"",SUMPRODUCT(--(ROW($1:$19)&lt;=LEN($C137&amp;"")),--ISERROR(FIND(MID($C137&amp;"",ROW($1:$19),1),"ABCDEFGHIJKLMNOPQRSTUVWXYZabcdefghijklmnopqrstuvwxyz .,")))&gt;0),"First Name contains unsupported or encoded characters; use plain A-Z letters only; ","")&amp;IF($D137="","Last Name is required; ","")&amp;IF(LEN($D137&amp;"")&gt;26,"Last Name exceeds 26 characters; ","")&amp;IF(AND($D137&lt;&gt;"",SUMPRODUCT(--(ROW($1:$26)&lt;=LEN($D137&amp;"")),--ISERROR(FIND(MID($D137&amp;"",ROW($1:$26),1),"ABCDEFGHIJKLMNOPQRSTUVWXYZabcdefghijklmnopqrstuvwxyz .,")))&gt;0),"Last Name contains unsupported or encoded characters; use plain A-Z letters only; ","")&amp;IF(LEN($E137&amp;"")&gt;1,"Middle Initial may contain only one character; ","")&amp;IF(AND($E137&lt;&gt;"",SUMPRODUCT(--(ROW($1:$1)&lt;=LEN($E137&amp;"")),--ISERROR(FIND(MID($E137&amp;"",ROW($1:$1),1),"ABCDEFGHIJKLMNOPQRSTUVWXYZabcdefghijklmnopqrstuvwxyz .,")))&gt;0),"Middle Initial must be a plain A-Z letter; ","")&amp;IF($F137="","Address is required; ","")&amp;IF(LEN($F137&amp;"")&gt;75,"Address exceeds 75 characters; ","")&amp;IF(LEN($G137&amp;"")&gt;75,"Address 2 exceeds 75 characters; ","")&amp;IF($H137="","City is required; ","")&amp;IF(LEN($H137&amp;"")&gt;30,"City exceeds 30 characters; ","")&amp;IF($K137="","Country is required; ","")&amp;IF(AND($K137&lt;&gt;"",$K137&lt;&gt;"US",$K137&lt;&gt;"CA"),"Country must be US or CA; ","")&amp;IF(AND($K137="US",OR($I137="",LEN($I137&amp;"")&lt;&gt;2)),"Use a 2-letter state code; ","")&amp;IF($J137="","ZIP or postal code is required; ","")&amp;IF(AND($K137="US",$J137&lt;&gt;"",NOT(IFERROR(OR(AND(LEN($J137&amp;"")=5,ISNUMBER(--($J137&amp;""))),AND(LEN($J137&amp;"")=9,ISNUMBER(--($J137&amp;""))),AND(LEN($J137&amp;"")=10,MID($J137&amp;"",6,1)="-",ISNUMBER(--SUBSTITUTE($J137&amp;"","-","")))),FALSE))),"US ZIP must be 5 or 9 digits, with an optional ZIP+4 hyphen; ","")&amp;IF(AND($N137&lt;&gt;"",NOT(IFERROR(AND(ISNUMBER(SEARCH("@",$N137)),ISNUMBER(SEARCH(".",$N137,SEARCH("@",$N137)+2))),FALSE))),"Email format appears invalid; ","")&amp;IF(AND($O137&lt;&gt;"",$B137=""),"Dependent SSN is required for every dependent; ","")&amp;IF(AND($B137&lt;&gt;"",$O137=""),"Dependent Relationship is required when Dependent SSN is entered; ","")&amp;IF(AND($O137&lt;&gt;"",$O137&lt;&gt;"Spouse or Common Law Spouse",$O137&lt;&gt;"Domestic Partner",$O137&lt;&gt;"Child",$O137&lt;&gt;"Other",$O137&lt;&gt;"Estate",$O137&lt;&gt;"Unknown"),"Dependent Relationship must use one of the approved options; ",""))</f>
        <v/>
      </c>
      <c r="Z137">
        <f>IF(COUNTA($A137:$U137)=0,"",IF(AND($A137&lt;&gt;"",NOT(IFERROR(AND(LEN($A137&amp;"")=9,ISNUMBER(--($A137&amp;""))),FALSE))),"Employee SSN must contain exactly 9 digits; ","")&amp;IF(AND($A137&lt;&gt;"",OR($A137="123456789",$A137="987654321",$A137="012345678",$A137=REPT(LEFT($A137&amp;"",1),9))),"Employee SSN appears to be a placeholder; ","")&amp;IF(AND($B137&lt;&gt;"",NOT(IFERROR(AND(LEN($B137&amp;"")=9,ISNUMBER(--($B137&amp;""))),FALSE))),"Dependent SSN must contain exactly 9 digits; ","")&amp;IF(AND($B137&lt;&gt;"",OR($B137="123456789",$B137="987654321",$B137="012345678",$B137=REPT(LEFT($B137&amp;"",1),9))),"Dependent SSN appears to be a placeholder; ","")&amp;IF(AND($A137&lt;&gt;"",$B137&lt;&gt;"",$A137&amp;""=$B137&amp;""),"Dependent SSN cannot match Employee SSN; ","")&amp;IF(AND($W137&lt;&gt;"",OR(COUNTIFS($W$2:$W$501,$W137,$C$2:$C$501,"&lt;&gt;"&amp;$C137)&gt;0,COUNTIFS($W$2:$W$501,$W137,$D$2:$D$501,"&lt;&gt;"&amp;$D137)&gt;0,COUNTIFS($W$2:$W$501,$W137,$L$2:$L$501,"&lt;&gt;"&amp;$L137)&gt;0)),"The same SSN is associated with a different name or birthdate; ",""))</f>
        <v/>
      </c>
      <c r="AA137">
        <f>IF(COUNTA($A137:$U137)=0,"",IF(AND($A137&lt;&gt;"",$S137&lt;&gt;"",COUNTIFS($A$2:$A$501,$A137,$S$2:$S$501,$S137,$B$2:$B$501,"",$O$2:$O$501,"")=0),"Add an employee row for this household and plan; ","")&amp;IF(AND($X137="Dependent",COUNTIFS($A$2:$A137,$A137,$S$2:$S137,$S137,$B$2:$B137,"",$O$2:$O137,"")=0),"Place the employee row before dependent rows for this plan; ","")&amp;IF(AND($X137="Dependent",COUNTIFS($A$2:$A$501,$A137,$S$2:$S$501,$S137,$B$2:$B$501,"",$O$2:$O$501,"")&gt;0,IFERROR(OR($P137&lt;&gt;LOOKUP(2,1/(($A$2:$A$501=$A137)*($S$2:$S$501=$S137)*($B$2:$B$501="")*($O$2:$O$501="")),$P$2:$P$501),$Q137&lt;&gt;LOOKUP(2,1/(($A$2:$A$501=$A137)*($S$2:$S$501=$S137)*($B$2:$B$501="")*($O$2:$O$501="")),$Q$2:$Q$501),$R137&lt;&gt;LOOKUP(2,1/(($A$2:$A$501=$A137)*($S$2:$S$501=$S137)*($B$2:$B$501="")*($O$2:$O$501="")),$R$2:$R$501),$T137&lt;&gt;LOOKUP(2,1/(($A$2:$A$501=$A137)*($S$2:$S$501=$S137)*($B$2:$B$501="")*($O$2:$O$501="")),$T$2:$T$501),$U137&lt;&gt;LOOKUP(2,1/(($A$2:$A$501=$A137)*($S$2:$S$501=$S137)*($B$2:$B$501="")*($O$2:$O$501="")),$U$2:$U$501)),FALSE)),"Dependent row does not match the employee row for eligibility, status, coverage level, or funding; ",""))</f>
        <v/>
      </c>
      <c r="AB137">
        <f>IF(COUNTA($A137:$U137)=0,"",IF($L137="","Birthdate is required; ","")&amp;IF(AND($L137&lt;&gt;"",OR(NOT(ISNUMBER($L137)),$L137&lt;=DATE(1900,1,1),$L137&gt;TODAY())),"Birthdate must be an exact valid past date; ","")&amp;IF($P137="","Eligibility Date is required; ","")&amp;IF(AND($P137&lt;&gt;"",OR(NOT(ISNUMBER($P137)),$P137&lt;=DATE(1900,1,1))),"Eligibility Date must be a valid date; ","")&amp;IF(AND($R137="Terminated",$Q137=""),"Termination Date is required when Status is Terminated; ","")&amp;IF(AND($Q137&lt;&gt;"",OR(NOT(ISNUMBER($Q137)),$Q137&lt;=DATE(1900,1,1))),"Termination Date must be a valid date; ","")&amp;IF(AND(ISNUMBER($P137),ISNUMBER($Q137),$Q137&lt;$P137),"Termination Date cannot be before Eligibility Date; ","")&amp;IF($R137="","Status is required; ","")&amp;IF(AND($R137&lt;&gt;"",$R137&lt;&gt;"Active",$R137&lt;&gt;"Terminated"),"Status must be Active or Terminated; ","")&amp;IF(AND('START HERE'!$C$8="Terminations Only",$R137&lt;&gt;"Terminated"),"Terminations Only files must contain terminated records; ",""))</f>
        <v/>
      </c>
      <c r="AC137">
        <f>IF(COUNTA($A137:$U137)=0,"",IF($S137="","Plan Name is required; ","")&amp;IF($T137="","Benefit Coverage Level is required; ","")&amp;IF(AND($U137&lt;&gt;"",OR(NOT(ISNUMBER($U137)),$U137&lt;0)),"Plan Funding Amount must be a nonnegative number; ","")&amp;IF(AND($A137&lt;&gt;"",$S137&lt;&gt;"",COUNTIFS($A$2:$A$501,$A137,$B$2:$B$501,$B137,$S$2:$S$501,$S137)&gt;1),"Duplicate participant and plan row; ",""))</f>
        <v/>
      </c>
      <c r="AD137">
        <f>IF(COUNTA($A137:$U137)=0,"",IF(AND($X137="Employee",$M137="",$N137=""),"No employee phone or email provided; ","")&amp;IF(AND($R137="Active",$Q137&lt;&gt;""),"Active record includes a Termination Date; confirm this is intentional; ","")&amp;IF(AND($B137&lt;&gt;"",$B137&amp;""&lt;&gt;$A137&amp;"",COUNTIF($A$2:$A$501,$B137)&gt;0),"Dependent SSN also appears as an Employee SSN elsewhere; confirm dual-employee coverage is intentional; ","")&amp;IF(AND($B137&lt;&gt;"",COUNTIF($B$2:$B$501,$B137)&gt;COUNTIFS($A$2:$A$501,$A137,$B$2:$B$501,$B137)),"Dependent SSN appears under more than one employee; confirm duplicate family coverage is intentional; ","")&amp;IF(AND(ROW()&gt;2,$A137&lt;&gt;"",$A137&lt;&gt;$A136,COUNTIF($A$2:$A136,$A137)&gt;0),"This household appears in more than one section of the census; keep the family together; ","")&amp;IF(OR(AND($C137&lt;&gt;"",LEN($C137&amp;"")&lt;&gt;LEN(TRIM($C137&amp;""))),AND($D137&lt;&gt;"",LEN($D137&amp;"")&lt;&gt;LEN(TRIM($D137&amp;""))),AND($E137&lt;&gt;"",LEN($E137&amp;"")&lt;&gt;LEN(TRIM($E137&amp;""))),AND($F137&lt;&gt;"",LEN($F137&amp;"")&lt;&gt;LEN(TRIM($F137&amp;""))),AND($G137&lt;&gt;"",LEN($G137&amp;"")&lt;&gt;LEN(TRIM($G137&amp;""))),AND($H137&lt;&gt;"",LEN($H137&amp;"")&lt;&gt;LEN(TRIM($H137&amp;""))),AND($I137&lt;&gt;"",LEN($I137&amp;"")&lt;&gt;LEN(TRIM($I137&amp;""))),AND($J137&lt;&gt;"",LEN($J137&amp;"")&lt;&gt;LEN(TRIM($J137&amp;""))),AND($K137&lt;&gt;"",LEN($K137&amp;"")&lt;&gt;LEN(TRIM($K137&amp;""))),AND($M137&lt;&gt;"",LEN($M137&amp;"")&lt;&gt;LEN(TRIM($M137&amp;""))),AND($N137&lt;&gt;"",LEN($N137&amp;"")&lt;&gt;LEN(TRIM($N137&amp;""))),AND($O137&lt;&gt;"",LEN($O137&amp;"")&lt;&gt;LEN(TRIM($O137&amp;""))),AND($R137&lt;&gt;"",LEN($R137&amp;"")&lt;&gt;LEN(TRIM($R137&amp;""))),AND($S137&lt;&gt;"",LEN($S137&amp;"")&lt;&gt;LEN(TRIM($S137&amp;""))),AND($T137&lt;&gt;"",LEN($T137&amp;"")&lt;&gt;LEN(TRIM($T137&amp;"")))),"Remove leading or trailing spaces from text fields; ","")&amp;IF(OR(AND(LEN($C137)&gt;1,OR(EXACT($C137,UPPER($C137)),EXACT($C137,LOWER($C137)))),AND(LEN($D137)&gt;1,OR(EXACT($D137,UPPER($D137)),EXACT($D137,LOWER($D137)))),AND(LEN($H137)&gt;1,OR(EXACT($H137,UPPER($H137)),EXACT($H137,LOWER($H137))))),"Review capitalization in First Name, Last Name, or City; ","")&amp;IF(AND($N137&lt;&gt;"",NOT(EXACT($N137,LOWER($N137)))),"Email will be standardized to lowercase in the clean output; ","")&amp;IF(AND(OR('START HERE'!$C$8="Initial Enrollment",'START HERE'!$C$8="Open Enrollment"),$R137="Terminated"),"A terminated row is included in an initial or open enrollment file; confirm this is intentional; ",""))</f>
        <v/>
      </c>
      <c r="AE137">
        <f>IF(COUNTA($A137:$U137)=0,"",IF(OR($A137="",AND($A137&lt;&gt;"",NOT(IFERROR(AND(LEN($A137&amp;"")=9,ISNUMBER(--($A137&amp;""))),FALSE))),AND($A137&lt;&gt;"",OR($A137="123456789",$A137="987654321",$A137="012345678",$A137=REPT(LEFT($A137&amp;"",1),9)))),"Employee SSN, ","")&amp;IF(OR(AND($O137&lt;&gt;"",$B137=""),AND($B137&lt;&gt;"",OR(NOT(IFERROR(AND(LEN($B137&amp;"")=9,ISNUMBER(--($B137&amp;""))),FALSE)),$B137=$A137,$B137="123456789",$B137="987654321",$B137="012345678",$B137=REPT(LEFT($B137&amp;"",1),9)))),"Dependent SSN, ","")&amp;IF(OR($C137="",LEN($C137)&gt;19,AND($C137&lt;&gt;"",SUMPRODUCT(--(ROW($1:$19)&lt;=LEN($C137&amp;"")),--ISERROR(FIND(MID($C137&amp;"",ROW($1:$19),1),"ABCDEFGHIJKLMNOPQRSTUVWXYZabcdefghijklmnopqrstuvwxyz .,")))&gt;0)),"First Name, ","")&amp;IF(OR($D137="",LEN($D137)&gt;26,AND($D137&lt;&gt;"",SUMPRODUCT(--(ROW($1:$26)&lt;=LEN($D137&amp;"")),--ISERROR(FIND(MID($D137&amp;"",ROW($1:$26),1),"ABCDEFGHIJKLMNOPQRSTUVWXYZabcdefghijklmnopqrstuvwxyz .,")))&gt;0)),"Last Name, ","")&amp;IF(OR(LEN($E137)&gt;1,AND($E137&lt;&gt;"",SUMPRODUCT(--(ROW($1:$1)&lt;=LEN($E137&amp;"")),--ISERROR(FIND(MID($E137&amp;"",ROW($1:$1),1),"ABCDEFGHIJKLMNOPQRSTUVWXYZabcdefghijklmnopqrstuvwxyz .,")))&gt;0)),"Middle Initial, ","")&amp;IF(OR($F137="",LEN($F137)&gt;75),"Address, ","")&amp;IF(OR($H137="",LEN($H137)&gt;30),"City, ","")&amp;IF(AND($K137="US",OR($I137="",LEN($I137)&lt;&gt;2)),"State, ","")&amp;IF($J137="","ZIP, ","")&amp;IF(OR($K137="",AND($K137&lt;&gt;"US",$K137&lt;&gt;"CA")),"Country, ","")&amp;IF(OR($L137="",AND($L137&lt;&gt;"",OR(NOT(ISNUMBER($L137)),$L137&lt;=DATE(1900,1,1),$L137&gt;TODAY()))),"Birthdate, ","")&amp;IF(AND($N137&lt;&gt;"",NOT(IFERROR(AND(ISNUMBER(SEARCH("@",$N137)),ISNUMBER(SEARCH(".",$N137,SEARCH("@",$N137)+2))),FALSE))),"Email, ","")&amp;IF(OR(AND($B137&lt;&gt;"",$O137=""),AND($O137&lt;&gt;"",$O137&lt;&gt;"Spouse or Common Law Spouse",$O137&lt;&gt;"Domestic Partner",$O137&lt;&gt;"Child",$O137&lt;&gt;"Other",$O137&lt;&gt;"Estate",$O137&lt;&gt;"Unknown")),"Dependent Relationship, ","")&amp;IF($AA137&lt;&gt;"","Household, ","")&amp;IF(OR($P137="",AND($P137&lt;&gt;"",OR(NOT(ISNUMBER($P137)),$P137&lt;=DATE(1900,1,1)))),"Eligibility Date, ","")&amp;IF(OR(AND($R137="Terminated",$Q137=""),AND($Q137&lt;&gt;"",OR(NOT(ISNUMBER($Q137)),$Q137&lt;=DATE(1900,1,1))),AND(ISNUMBER($P137),ISNUMBER($Q137),$Q137&lt;$P137)),"Termination Date, ","")&amp;IF(OR($R137="",AND($R137&lt;&gt;"Active",$R137&lt;&gt;"Terminated"),AND('START HERE'!$C$8="Terminations Only",$R137&lt;&gt;"Terminated")),"Status, ","")&amp;IF($S137="","Plan Name, ","")&amp;IF($T137="","Coverage Level, ","")&amp;IF(AND($U137&lt;&gt;"",OR(NOT(ISNUMBER($U137)),$U137&lt;0)),"Funding, ","")&amp;IF(AND($A137&lt;&gt;"",$S137&lt;&gt;"",COUNTIFS($A$2:$A$501,$A137,$B$2:$B$501,$B137,$S$2:$S$501,$S137)&gt;1),"Duplicate Row, ",""))</f>
        <v/>
      </c>
      <c r="AF137">
        <f>IF(COUNTA($A137:$U137)=0,"",$Y137&amp;$Z137&amp;$AA137&amp;$AB137&amp;$AC137)</f>
        <v/>
      </c>
      <c r="AG137">
        <f>IF($N137="","",LOWER(TRIM($N137)))</f>
        <v/>
      </c>
      <c r="AH137">
        <f>IF($A137="","",COUNTIFS($A$2:$A$501,$A137,$AI$2:$AI$501,1))</f>
        <v/>
      </c>
      <c r="AI137">
        <f>IF(COUNTA($A137:$U137)=0,"",--($AF137&lt;&gt;""))</f>
        <v/>
      </c>
      <c r="AJ137">
        <f>IF(COUNTA($A137:$U137)=0,"",--($AD137&lt;&gt;""))</f>
        <v/>
      </c>
    </row>
    <row r="138" ht="20" customHeight="1">
      <c r="A138" s="80" t="n"/>
      <c r="B138" s="80" t="n"/>
      <c r="C138" s="81" t="n"/>
      <c r="D138" s="81" t="n"/>
      <c r="E138" s="80" t="n"/>
      <c r="F138" s="81" t="n"/>
      <c r="G138" s="81" t="n"/>
      <c r="H138" s="81" t="n"/>
      <c r="I138" s="80" t="n"/>
      <c r="J138" s="80" t="n"/>
      <c r="K138" s="80" t="n"/>
      <c r="L138" s="82" t="n"/>
      <c r="M138" s="80" t="n"/>
      <c r="N138" s="80" t="n"/>
      <c r="O138" s="80" t="n"/>
      <c r="P138" s="82" t="n"/>
      <c r="Q138" s="82" t="n"/>
      <c r="R138" s="80" t="n"/>
      <c r="S138" s="80" t="n"/>
      <c r="T138" s="80" t="n"/>
      <c r="U138" s="83" t="n"/>
      <c r="V138">
        <f>IF($A138="","",IF($A138=$A137,$V137,IF($V137="",0,1-$V137)))</f>
        <v/>
      </c>
      <c r="W138">
        <f>IF($B138&lt;&gt;"",$B138,$A138)</f>
        <v/>
      </c>
      <c r="X138">
        <f>IF(COUNTA($A138:$U138)=0,"",IF(OR($B138&lt;&gt;"",$O138&lt;&gt;""),"Dependent","Employee"))</f>
        <v/>
      </c>
      <c r="Y138">
        <f>IF(COUNTA($A138:$U138)=0,"",IF($A138="","Employee SSN is required; ","")&amp;IF($C138="","First Name is required; ","")&amp;IF(LEN($C138&amp;"")&gt;19,"First Name exceeds 19 characters; ","")&amp;IF(AND($C138&lt;&gt;"",SUMPRODUCT(--(ROW($1:$19)&lt;=LEN($C138&amp;"")),--ISERROR(FIND(MID($C138&amp;"",ROW($1:$19),1),"ABCDEFGHIJKLMNOPQRSTUVWXYZabcdefghijklmnopqrstuvwxyz .,")))&gt;0),"First Name contains unsupported or encoded characters; use plain A-Z letters only; ","")&amp;IF($D138="","Last Name is required; ","")&amp;IF(LEN($D138&amp;"")&gt;26,"Last Name exceeds 26 characters; ","")&amp;IF(AND($D138&lt;&gt;"",SUMPRODUCT(--(ROW($1:$26)&lt;=LEN($D138&amp;"")),--ISERROR(FIND(MID($D138&amp;"",ROW($1:$26),1),"ABCDEFGHIJKLMNOPQRSTUVWXYZabcdefghijklmnopqrstuvwxyz .,")))&gt;0),"Last Name contains unsupported or encoded characters; use plain A-Z letters only; ","")&amp;IF(LEN($E138&amp;"")&gt;1,"Middle Initial may contain only one character; ","")&amp;IF(AND($E138&lt;&gt;"",SUMPRODUCT(--(ROW($1:$1)&lt;=LEN($E138&amp;"")),--ISERROR(FIND(MID($E138&amp;"",ROW($1:$1),1),"ABCDEFGHIJKLMNOPQRSTUVWXYZabcdefghijklmnopqrstuvwxyz .,")))&gt;0),"Middle Initial must be a plain A-Z letter; ","")&amp;IF($F138="","Address is required; ","")&amp;IF(LEN($F138&amp;"")&gt;75,"Address exceeds 75 characters; ","")&amp;IF(LEN($G138&amp;"")&gt;75,"Address 2 exceeds 75 characters; ","")&amp;IF($H138="","City is required; ","")&amp;IF(LEN($H138&amp;"")&gt;30,"City exceeds 30 characters; ","")&amp;IF($K138="","Country is required; ","")&amp;IF(AND($K138&lt;&gt;"",$K138&lt;&gt;"US",$K138&lt;&gt;"CA"),"Country must be US or CA; ","")&amp;IF(AND($K138="US",OR($I138="",LEN($I138&amp;"")&lt;&gt;2)),"Use a 2-letter state code; ","")&amp;IF($J138="","ZIP or postal code is required; ","")&amp;IF(AND($K138="US",$J138&lt;&gt;"",NOT(IFERROR(OR(AND(LEN($J138&amp;"")=5,ISNUMBER(--($J138&amp;""))),AND(LEN($J138&amp;"")=9,ISNUMBER(--($J138&amp;""))),AND(LEN($J138&amp;"")=10,MID($J138&amp;"",6,1)="-",ISNUMBER(--SUBSTITUTE($J138&amp;"","-","")))),FALSE))),"US ZIP must be 5 or 9 digits, with an optional ZIP+4 hyphen; ","")&amp;IF(AND($N138&lt;&gt;"",NOT(IFERROR(AND(ISNUMBER(SEARCH("@",$N138)),ISNUMBER(SEARCH(".",$N138,SEARCH("@",$N138)+2))),FALSE))),"Email format appears invalid; ","")&amp;IF(AND($O138&lt;&gt;"",$B138=""),"Dependent SSN is required for every dependent; ","")&amp;IF(AND($B138&lt;&gt;"",$O138=""),"Dependent Relationship is required when Dependent SSN is entered; ","")&amp;IF(AND($O138&lt;&gt;"",$O138&lt;&gt;"Spouse or Common Law Spouse",$O138&lt;&gt;"Domestic Partner",$O138&lt;&gt;"Child",$O138&lt;&gt;"Other",$O138&lt;&gt;"Estate",$O138&lt;&gt;"Unknown"),"Dependent Relationship must use one of the approved options; ",""))</f>
        <v/>
      </c>
      <c r="Z138">
        <f>IF(COUNTA($A138:$U138)=0,"",IF(AND($A138&lt;&gt;"",NOT(IFERROR(AND(LEN($A138&amp;"")=9,ISNUMBER(--($A138&amp;""))),FALSE))),"Employee SSN must contain exactly 9 digits; ","")&amp;IF(AND($A138&lt;&gt;"",OR($A138="123456789",$A138="987654321",$A138="012345678",$A138=REPT(LEFT($A138&amp;"",1),9))),"Employee SSN appears to be a placeholder; ","")&amp;IF(AND($B138&lt;&gt;"",NOT(IFERROR(AND(LEN($B138&amp;"")=9,ISNUMBER(--($B138&amp;""))),FALSE))),"Dependent SSN must contain exactly 9 digits; ","")&amp;IF(AND($B138&lt;&gt;"",OR($B138="123456789",$B138="987654321",$B138="012345678",$B138=REPT(LEFT($B138&amp;"",1),9))),"Dependent SSN appears to be a placeholder; ","")&amp;IF(AND($A138&lt;&gt;"",$B138&lt;&gt;"",$A138&amp;""=$B138&amp;""),"Dependent SSN cannot match Employee SSN; ","")&amp;IF(AND($W138&lt;&gt;"",OR(COUNTIFS($W$2:$W$501,$W138,$C$2:$C$501,"&lt;&gt;"&amp;$C138)&gt;0,COUNTIFS($W$2:$W$501,$W138,$D$2:$D$501,"&lt;&gt;"&amp;$D138)&gt;0,COUNTIFS($W$2:$W$501,$W138,$L$2:$L$501,"&lt;&gt;"&amp;$L138)&gt;0)),"The same SSN is associated with a different name or birthdate; ",""))</f>
        <v/>
      </c>
      <c r="AA138">
        <f>IF(COUNTA($A138:$U138)=0,"",IF(AND($A138&lt;&gt;"",$S138&lt;&gt;"",COUNTIFS($A$2:$A$501,$A138,$S$2:$S$501,$S138,$B$2:$B$501,"",$O$2:$O$501,"")=0),"Add an employee row for this household and plan; ","")&amp;IF(AND($X138="Dependent",COUNTIFS($A$2:$A138,$A138,$S$2:$S138,$S138,$B$2:$B138,"",$O$2:$O138,"")=0),"Place the employee row before dependent rows for this plan; ","")&amp;IF(AND($X138="Dependent",COUNTIFS($A$2:$A$501,$A138,$S$2:$S$501,$S138,$B$2:$B$501,"",$O$2:$O$501,"")&gt;0,IFERROR(OR($P138&lt;&gt;LOOKUP(2,1/(($A$2:$A$501=$A138)*($S$2:$S$501=$S138)*($B$2:$B$501="")*($O$2:$O$501="")),$P$2:$P$501),$Q138&lt;&gt;LOOKUP(2,1/(($A$2:$A$501=$A138)*($S$2:$S$501=$S138)*($B$2:$B$501="")*($O$2:$O$501="")),$Q$2:$Q$501),$R138&lt;&gt;LOOKUP(2,1/(($A$2:$A$501=$A138)*($S$2:$S$501=$S138)*($B$2:$B$501="")*($O$2:$O$501="")),$R$2:$R$501),$T138&lt;&gt;LOOKUP(2,1/(($A$2:$A$501=$A138)*($S$2:$S$501=$S138)*($B$2:$B$501="")*($O$2:$O$501="")),$T$2:$T$501),$U138&lt;&gt;LOOKUP(2,1/(($A$2:$A$501=$A138)*($S$2:$S$501=$S138)*($B$2:$B$501="")*($O$2:$O$501="")),$U$2:$U$501)),FALSE)),"Dependent row does not match the employee row for eligibility, status, coverage level, or funding; ",""))</f>
        <v/>
      </c>
      <c r="AB138">
        <f>IF(COUNTA($A138:$U138)=0,"",IF($L138="","Birthdate is required; ","")&amp;IF(AND($L138&lt;&gt;"",OR(NOT(ISNUMBER($L138)),$L138&lt;=DATE(1900,1,1),$L138&gt;TODAY())),"Birthdate must be an exact valid past date; ","")&amp;IF($P138="","Eligibility Date is required; ","")&amp;IF(AND($P138&lt;&gt;"",OR(NOT(ISNUMBER($P138)),$P138&lt;=DATE(1900,1,1))),"Eligibility Date must be a valid date; ","")&amp;IF(AND($R138="Terminated",$Q138=""),"Termination Date is required when Status is Terminated; ","")&amp;IF(AND($Q138&lt;&gt;"",OR(NOT(ISNUMBER($Q138)),$Q138&lt;=DATE(1900,1,1))),"Termination Date must be a valid date; ","")&amp;IF(AND(ISNUMBER($P138),ISNUMBER($Q138),$Q138&lt;$P138),"Termination Date cannot be before Eligibility Date; ","")&amp;IF($R138="","Status is required; ","")&amp;IF(AND($R138&lt;&gt;"",$R138&lt;&gt;"Active",$R138&lt;&gt;"Terminated"),"Status must be Active or Terminated; ","")&amp;IF(AND('START HERE'!$C$8="Terminations Only",$R138&lt;&gt;"Terminated"),"Terminations Only files must contain terminated records; ",""))</f>
        <v/>
      </c>
      <c r="AC138">
        <f>IF(COUNTA($A138:$U138)=0,"",IF($S138="","Plan Name is required; ","")&amp;IF($T138="","Benefit Coverage Level is required; ","")&amp;IF(AND($U138&lt;&gt;"",OR(NOT(ISNUMBER($U138)),$U138&lt;0)),"Plan Funding Amount must be a nonnegative number; ","")&amp;IF(AND($A138&lt;&gt;"",$S138&lt;&gt;"",COUNTIFS($A$2:$A$501,$A138,$B$2:$B$501,$B138,$S$2:$S$501,$S138)&gt;1),"Duplicate participant and plan row; ",""))</f>
        <v/>
      </c>
      <c r="AD138">
        <f>IF(COUNTA($A138:$U138)=0,"",IF(AND($X138="Employee",$M138="",$N138=""),"No employee phone or email provided; ","")&amp;IF(AND($R138="Active",$Q138&lt;&gt;""),"Active record includes a Termination Date; confirm this is intentional; ","")&amp;IF(AND($B138&lt;&gt;"",$B138&amp;""&lt;&gt;$A138&amp;"",COUNTIF($A$2:$A$501,$B138)&gt;0),"Dependent SSN also appears as an Employee SSN elsewhere; confirm dual-employee coverage is intentional; ","")&amp;IF(AND($B138&lt;&gt;"",COUNTIF($B$2:$B$501,$B138)&gt;COUNTIFS($A$2:$A$501,$A138,$B$2:$B$501,$B138)),"Dependent SSN appears under more than one employee; confirm duplicate family coverage is intentional; ","")&amp;IF(AND(ROW()&gt;2,$A138&lt;&gt;"",$A138&lt;&gt;$A137,COUNTIF($A$2:$A137,$A138)&gt;0),"This household appears in more than one section of the census; keep the family together; ","")&amp;IF(OR(AND($C138&lt;&gt;"",LEN($C138&amp;"")&lt;&gt;LEN(TRIM($C138&amp;""))),AND($D138&lt;&gt;"",LEN($D138&amp;"")&lt;&gt;LEN(TRIM($D138&amp;""))),AND($E138&lt;&gt;"",LEN($E138&amp;"")&lt;&gt;LEN(TRIM($E138&amp;""))),AND($F138&lt;&gt;"",LEN($F138&amp;"")&lt;&gt;LEN(TRIM($F138&amp;""))),AND($G138&lt;&gt;"",LEN($G138&amp;"")&lt;&gt;LEN(TRIM($G138&amp;""))),AND($H138&lt;&gt;"",LEN($H138&amp;"")&lt;&gt;LEN(TRIM($H138&amp;""))),AND($I138&lt;&gt;"",LEN($I138&amp;"")&lt;&gt;LEN(TRIM($I138&amp;""))),AND($J138&lt;&gt;"",LEN($J138&amp;"")&lt;&gt;LEN(TRIM($J138&amp;""))),AND($K138&lt;&gt;"",LEN($K138&amp;"")&lt;&gt;LEN(TRIM($K138&amp;""))),AND($M138&lt;&gt;"",LEN($M138&amp;"")&lt;&gt;LEN(TRIM($M138&amp;""))),AND($N138&lt;&gt;"",LEN($N138&amp;"")&lt;&gt;LEN(TRIM($N138&amp;""))),AND($O138&lt;&gt;"",LEN($O138&amp;"")&lt;&gt;LEN(TRIM($O138&amp;""))),AND($R138&lt;&gt;"",LEN($R138&amp;"")&lt;&gt;LEN(TRIM($R138&amp;""))),AND($S138&lt;&gt;"",LEN($S138&amp;"")&lt;&gt;LEN(TRIM($S138&amp;""))),AND($T138&lt;&gt;"",LEN($T138&amp;"")&lt;&gt;LEN(TRIM($T138&amp;"")))),"Remove leading or trailing spaces from text fields; ","")&amp;IF(OR(AND(LEN($C138)&gt;1,OR(EXACT($C138,UPPER($C138)),EXACT($C138,LOWER($C138)))),AND(LEN($D138)&gt;1,OR(EXACT($D138,UPPER($D138)),EXACT($D138,LOWER($D138)))),AND(LEN($H138)&gt;1,OR(EXACT($H138,UPPER($H138)),EXACT($H138,LOWER($H138))))),"Review capitalization in First Name, Last Name, or City; ","")&amp;IF(AND($N138&lt;&gt;"",NOT(EXACT($N138,LOWER($N138)))),"Email will be standardized to lowercase in the clean output; ","")&amp;IF(AND(OR('START HERE'!$C$8="Initial Enrollment",'START HERE'!$C$8="Open Enrollment"),$R138="Terminated"),"A terminated row is included in an initial or open enrollment file; confirm this is intentional; ",""))</f>
        <v/>
      </c>
      <c r="AE138">
        <f>IF(COUNTA($A138:$U138)=0,"",IF(OR($A138="",AND($A138&lt;&gt;"",NOT(IFERROR(AND(LEN($A138&amp;"")=9,ISNUMBER(--($A138&amp;""))),FALSE))),AND($A138&lt;&gt;"",OR($A138="123456789",$A138="987654321",$A138="012345678",$A138=REPT(LEFT($A138&amp;"",1),9)))),"Employee SSN, ","")&amp;IF(OR(AND($O138&lt;&gt;"",$B138=""),AND($B138&lt;&gt;"",OR(NOT(IFERROR(AND(LEN($B138&amp;"")=9,ISNUMBER(--($B138&amp;""))),FALSE)),$B138=$A138,$B138="123456789",$B138="987654321",$B138="012345678",$B138=REPT(LEFT($B138&amp;"",1),9)))),"Dependent SSN, ","")&amp;IF(OR($C138="",LEN($C138)&gt;19,AND($C138&lt;&gt;"",SUMPRODUCT(--(ROW($1:$19)&lt;=LEN($C138&amp;"")),--ISERROR(FIND(MID($C138&amp;"",ROW($1:$19),1),"ABCDEFGHIJKLMNOPQRSTUVWXYZabcdefghijklmnopqrstuvwxyz .,")))&gt;0)),"First Name, ","")&amp;IF(OR($D138="",LEN($D138)&gt;26,AND($D138&lt;&gt;"",SUMPRODUCT(--(ROW($1:$26)&lt;=LEN($D138&amp;"")),--ISERROR(FIND(MID($D138&amp;"",ROW($1:$26),1),"ABCDEFGHIJKLMNOPQRSTUVWXYZabcdefghijklmnopqrstuvwxyz .,")))&gt;0)),"Last Name, ","")&amp;IF(OR(LEN($E138)&gt;1,AND($E138&lt;&gt;"",SUMPRODUCT(--(ROW($1:$1)&lt;=LEN($E138&amp;"")),--ISERROR(FIND(MID($E138&amp;"",ROW($1:$1),1),"ABCDEFGHIJKLMNOPQRSTUVWXYZabcdefghijklmnopqrstuvwxyz .,")))&gt;0)),"Middle Initial, ","")&amp;IF(OR($F138="",LEN($F138)&gt;75),"Address, ","")&amp;IF(OR($H138="",LEN($H138)&gt;30),"City, ","")&amp;IF(AND($K138="US",OR($I138="",LEN($I138)&lt;&gt;2)),"State, ","")&amp;IF($J138="","ZIP, ","")&amp;IF(OR($K138="",AND($K138&lt;&gt;"US",$K138&lt;&gt;"CA")),"Country, ","")&amp;IF(OR($L138="",AND($L138&lt;&gt;"",OR(NOT(ISNUMBER($L138)),$L138&lt;=DATE(1900,1,1),$L138&gt;TODAY()))),"Birthdate, ","")&amp;IF(AND($N138&lt;&gt;"",NOT(IFERROR(AND(ISNUMBER(SEARCH("@",$N138)),ISNUMBER(SEARCH(".",$N138,SEARCH("@",$N138)+2))),FALSE))),"Email, ","")&amp;IF(OR(AND($B138&lt;&gt;"",$O138=""),AND($O138&lt;&gt;"",$O138&lt;&gt;"Spouse or Common Law Spouse",$O138&lt;&gt;"Domestic Partner",$O138&lt;&gt;"Child",$O138&lt;&gt;"Other",$O138&lt;&gt;"Estate",$O138&lt;&gt;"Unknown")),"Dependent Relationship, ","")&amp;IF($AA138&lt;&gt;"","Household, ","")&amp;IF(OR($P138="",AND($P138&lt;&gt;"",OR(NOT(ISNUMBER($P138)),$P138&lt;=DATE(1900,1,1)))),"Eligibility Date, ","")&amp;IF(OR(AND($R138="Terminated",$Q138=""),AND($Q138&lt;&gt;"",OR(NOT(ISNUMBER($Q138)),$Q138&lt;=DATE(1900,1,1))),AND(ISNUMBER($P138),ISNUMBER($Q138),$Q138&lt;$P138)),"Termination Date, ","")&amp;IF(OR($R138="",AND($R138&lt;&gt;"Active",$R138&lt;&gt;"Terminated"),AND('START HERE'!$C$8="Terminations Only",$R138&lt;&gt;"Terminated")),"Status, ","")&amp;IF($S138="","Plan Name, ","")&amp;IF($T138="","Coverage Level, ","")&amp;IF(AND($U138&lt;&gt;"",OR(NOT(ISNUMBER($U138)),$U138&lt;0)),"Funding, ","")&amp;IF(AND($A138&lt;&gt;"",$S138&lt;&gt;"",COUNTIFS($A$2:$A$501,$A138,$B$2:$B$501,$B138,$S$2:$S$501,$S138)&gt;1),"Duplicate Row, ",""))</f>
        <v/>
      </c>
      <c r="AF138">
        <f>IF(COUNTA($A138:$U138)=0,"",$Y138&amp;$Z138&amp;$AA138&amp;$AB138&amp;$AC138)</f>
        <v/>
      </c>
      <c r="AG138">
        <f>IF($N138="","",LOWER(TRIM($N138)))</f>
        <v/>
      </c>
      <c r="AH138">
        <f>IF($A138="","",COUNTIFS($A$2:$A$501,$A138,$AI$2:$AI$501,1))</f>
        <v/>
      </c>
      <c r="AI138">
        <f>IF(COUNTA($A138:$U138)=0,"",--($AF138&lt;&gt;""))</f>
        <v/>
      </c>
      <c r="AJ138">
        <f>IF(COUNTA($A138:$U138)=0,"",--($AD138&lt;&gt;""))</f>
        <v/>
      </c>
    </row>
    <row r="139" ht="20" customHeight="1">
      <c r="A139" s="80" t="n"/>
      <c r="B139" s="80" t="n"/>
      <c r="C139" s="81" t="n"/>
      <c r="D139" s="81" t="n"/>
      <c r="E139" s="80" t="n"/>
      <c r="F139" s="81" t="n"/>
      <c r="G139" s="81" t="n"/>
      <c r="H139" s="81" t="n"/>
      <c r="I139" s="80" t="n"/>
      <c r="J139" s="80" t="n"/>
      <c r="K139" s="80" t="n"/>
      <c r="L139" s="82" t="n"/>
      <c r="M139" s="80" t="n"/>
      <c r="N139" s="80" t="n"/>
      <c r="O139" s="80" t="n"/>
      <c r="P139" s="82" t="n"/>
      <c r="Q139" s="82" t="n"/>
      <c r="R139" s="80" t="n"/>
      <c r="S139" s="80" t="n"/>
      <c r="T139" s="80" t="n"/>
      <c r="U139" s="83" t="n"/>
      <c r="V139">
        <f>IF($A139="","",IF($A139=$A138,$V138,IF($V138="",0,1-$V138)))</f>
        <v/>
      </c>
      <c r="W139">
        <f>IF($B139&lt;&gt;"",$B139,$A139)</f>
        <v/>
      </c>
      <c r="X139">
        <f>IF(COUNTA($A139:$U139)=0,"",IF(OR($B139&lt;&gt;"",$O139&lt;&gt;""),"Dependent","Employee"))</f>
        <v/>
      </c>
      <c r="Y139">
        <f>IF(COUNTA($A139:$U139)=0,"",IF($A139="","Employee SSN is required; ","")&amp;IF($C139="","First Name is required; ","")&amp;IF(LEN($C139&amp;"")&gt;19,"First Name exceeds 19 characters; ","")&amp;IF(AND($C139&lt;&gt;"",SUMPRODUCT(--(ROW($1:$19)&lt;=LEN($C139&amp;"")),--ISERROR(FIND(MID($C139&amp;"",ROW($1:$19),1),"ABCDEFGHIJKLMNOPQRSTUVWXYZabcdefghijklmnopqrstuvwxyz .,")))&gt;0),"First Name contains unsupported or encoded characters; use plain A-Z letters only; ","")&amp;IF($D139="","Last Name is required; ","")&amp;IF(LEN($D139&amp;"")&gt;26,"Last Name exceeds 26 characters; ","")&amp;IF(AND($D139&lt;&gt;"",SUMPRODUCT(--(ROW($1:$26)&lt;=LEN($D139&amp;"")),--ISERROR(FIND(MID($D139&amp;"",ROW($1:$26),1),"ABCDEFGHIJKLMNOPQRSTUVWXYZabcdefghijklmnopqrstuvwxyz .,")))&gt;0),"Last Name contains unsupported or encoded characters; use plain A-Z letters only; ","")&amp;IF(LEN($E139&amp;"")&gt;1,"Middle Initial may contain only one character; ","")&amp;IF(AND($E139&lt;&gt;"",SUMPRODUCT(--(ROW($1:$1)&lt;=LEN($E139&amp;"")),--ISERROR(FIND(MID($E139&amp;"",ROW($1:$1),1),"ABCDEFGHIJKLMNOPQRSTUVWXYZabcdefghijklmnopqrstuvwxyz .,")))&gt;0),"Middle Initial must be a plain A-Z letter; ","")&amp;IF($F139="","Address is required; ","")&amp;IF(LEN($F139&amp;"")&gt;75,"Address exceeds 75 characters; ","")&amp;IF(LEN($G139&amp;"")&gt;75,"Address 2 exceeds 75 characters; ","")&amp;IF($H139="","City is required; ","")&amp;IF(LEN($H139&amp;"")&gt;30,"City exceeds 30 characters; ","")&amp;IF($K139="","Country is required; ","")&amp;IF(AND($K139&lt;&gt;"",$K139&lt;&gt;"US",$K139&lt;&gt;"CA"),"Country must be US or CA; ","")&amp;IF(AND($K139="US",OR($I139="",LEN($I139&amp;"")&lt;&gt;2)),"Use a 2-letter state code; ","")&amp;IF($J139="","ZIP or postal code is required; ","")&amp;IF(AND($K139="US",$J139&lt;&gt;"",NOT(IFERROR(OR(AND(LEN($J139&amp;"")=5,ISNUMBER(--($J139&amp;""))),AND(LEN($J139&amp;"")=9,ISNUMBER(--($J139&amp;""))),AND(LEN($J139&amp;"")=10,MID($J139&amp;"",6,1)="-",ISNUMBER(--SUBSTITUTE($J139&amp;"","-","")))),FALSE))),"US ZIP must be 5 or 9 digits, with an optional ZIP+4 hyphen; ","")&amp;IF(AND($N139&lt;&gt;"",NOT(IFERROR(AND(ISNUMBER(SEARCH("@",$N139)),ISNUMBER(SEARCH(".",$N139,SEARCH("@",$N139)+2))),FALSE))),"Email format appears invalid; ","")&amp;IF(AND($O139&lt;&gt;"",$B139=""),"Dependent SSN is required for every dependent; ","")&amp;IF(AND($B139&lt;&gt;"",$O139=""),"Dependent Relationship is required when Dependent SSN is entered; ","")&amp;IF(AND($O139&lt;&gt;"",$O139&lt;&gt;"Spouse or Common Law Spouse",$O139&lt;&gt;"Domestic Partner",$O139&lt;&gt;"Child",$O139&lt;&gt;"Other",$O139&lt;&gt;"Estate",$O139&lt;&gt;"Unknown"),"Dependent Relationship must use one of the approved options; ",""))</f>
        <v/>
      </c>
      <c r="Z139">
        <f>IF(COUNTA($A139:$U139)=0,"",IF(AND($A139&lt;&gt;"",NOT(IFERROR(AND(LEN($A139&amp;"")=9,ISNUMBER(--($A139&amp;""))),FALSE))),"Employee SSN must contain exactly 9 digits; ","")&amp;IF(AND($A139&lt;&gt;"",OR($A139="123456789",$A139="987654321",$A139="012345678",$A139=REPT(LEFT($A139&amp;"",1),9))),"Employee SSN appears to be a placeholder; ","")&amp;IF(AND($B139&lt;&gt;"",NOT(IFERROR(AND(LEN($B139&amp;"")=9,ISNUMBER(--($B139&amp;""))),FALSE))),"Dependent SSN must contain exactly 9 digits; ","")&amp;IF(AND($B139&lt;&gt;"",OR($B139="123456789",$B139="987654321",$B139="012345678",$B139=REPT(LEFT($B139&amp;"",1),9))),"Dependent SSN appears to be a placeholder; ","")&amp;IF(AND($A139&lt;&gt;"",$B139&lt;&gt;"",$A139&amp;""=$B139&amp;""),"Dependent SSN cannot match Employee SSN; ","")&amp;IF(AND($W139&lt;&gt;"",OR(COUNTIFS($W$2:$W$501,$W139,$C$2:$C$501,"&lt;&gt;"&amp;$C139)&gt;0,COUNTIFS($W$2:$W$501,$W139,$D$2:$D$501,"&lt;&gt;"&amp;$D139)&gt;0,COUNTIFS($W$2:$W$501,$W139,$L$2:$L$501,"&lt;&gt;"&amp;$L139)&gt;0)),"The same SSN is associated with a different name or birthdate; ",""))</f>
        <v/>
      </c>
      <c r="AA139">
        <f>IF(COUNTA($A139:$U139)=0,"",IF(AND($A139&lt;&gt;"",$S139&lt;&gt;"",COUNTIFS($A$2:$A$501,$A139,$S$2:$S$501,$S139,$B$2:$B$501,"",$O$2:$O$501,"")=0),"Add an employee row for this household and plan; ","")&amp;IF(AND($X139="Dependent",COUNTIFS($A$2:$A139,$A139,$S$2:$S139,$S139,$B$2:$B139,"",$O$2:$O139,"")=0),"Place the employee row before dependent rows for this plan; ","")&amp;IF(AND($X139="Dependent",COUNTIFS($A$2:$A$501,$A139,$S$2:$S$501,$S139,$B$2:$B$501,"",$O$2:$O$501,"")&gt;0,IFERROR(OR($P139&lt;&gt;LOOKUP(2,1/(($A$2:$A$501=$A139)*($S$2:$S$501=$S139)*($B$2:$B$501="")*($O$2:$O$501="")),$P$2:$P$501),$Q139&lt;&gt;LOOKUP(2,1/(($A$2:$A$501=$A139)*($S$2:$S$501=$S139)*($B$2:$B$501="")*($O$2:$O$501="")),$Q$2:$Q$501),$R139&lt;&gt;LOOKUP(2,1/(($A$2:$A$501=$A139)*($S$2:$S$501=$S139)*($B$2:$B$501="")*($O$2:$O$501="")),$R$2:$R$501),$T139&lt;&gt;LOOKUP(2,1/(($A$2:$A$501=$A139)*($S$2:$S$501=$S139)*($B$2:$B$501="")*($O$2:$O$501="")),$T$2:$T$501),$U139&lt;&gt;LOOKUP(2,1/(($A$2:$A$501=$A139)*($S$2:$S$501=$S139)*($B$2:$B$501="")*($O$2:$O$501="")),$U$2:$U$501)),FALSE)),"Dependent row does not match the employee row for eligibility, status, coverage level, or funding; ",""))</f>
        <v/>
      </c>
      <c r="AB139">
        <f>IF(COUNTA($A139:$U139)=0,"",IF($L139="","Birthdate is required; ","")&amp;IF(AND($L139&lt;&gt;"",OR(NOT(ISNUMBER($L139)),$L139&lt;=DATE(1900,1,1),$L139&gt;TODAY())),"Birthdate must be an exact valid past date; ","")&amp;IF($P139="","Eligibility Date is required; ","")&amp;IF(AND($P139&lt;&gt;"",OR(NOT(ISNUMBER($P139)),$P139&lt;=DATE(1900,1,1))),"Eligibility Date must be a valid date; ","")&amp;IF(AND($R139="Terminated",$Q139=""),"Termination Date is required when Status is Terminated; ","")&amp;IF(AND($Q139&lt;&gt;"",OR(NOT(ISNUMBER($Q139)),$Q139&lt;=DATE(1900,1,1))),"Termination Date must be a valid date; ","")&amp;IF(AND(ISNUMBER($P139),ISNUMBER($Q139),$Q139&lt;$P139),"Termination Date cannot be before Eligibility Date; ","")&amp;IF($R139="","Status is required; ","")&amp;IF(AND($R139&lt;&gt;"",$R139&lt;&gt;"Active",$R139&lt;&gt;"Terminated"),"Status must be Active or Terminated; ","")&amp;IF(AND('START HERE'!$C$8="Terminations Only",$R139&lt;&gt;"Terminated"),"Terminations Only files must contain terminated records; ",""))</f>
        <v/>
      </c>
      <c r="AC139">
        <f>IF(COUNTA($A139:$U139)=0,"",IF($S139="","Plan Name is required; ","")&amp;IF($T139="","Benefit Coverage Level is required; ","")&amp;IF(AND($U139&lt;&gt;"",OR(NOT(ISNUMBER($U139)),$U139&lt;0)),"Plan Funding Amount must be a nonnegative number; ","")&amp;IF(AND($A139&lt;&gt;"",$S139&lt;&gt;"",COUNTIFS($A$2:$A$501,$A139,$B$2:$B$501,$B139,$S$2:$S$501,$S139)&gt;1),"Duplicate participant and plan row; ",""))</f>
        <v/>
      </c>
      <c r="AD139">
        <f>IF(COUNTA($A139:$U139)=0,"",IF(AND($X139="Employee",$M139="",$N139=""),"No employee phone or email provided; ","")&amp;IF(AND($R139="Active",$Q139&lt;&gt;""),"Active record includes a Termination Date; confirm this is intentional; ","")&amp;IF(AND($B139&lt;&gt;"",$B139&amp;""&lt;&gt;$A139&amp;"",COUNTIF($A$2:$A$501,$B139)&gt;0),"Dependent SSN also appears as an Employee SSN elsewhere; confirm dual-employee coverage is intentional; ","")&amp;IF(AND($B139&lt;&gt;"",COUNTIF($B$2:$B$501,$B139)&gt;COUNTIFS($A$2:$A$501,$A139,$B$2:$B$501,$B139)),"Dependent SSN appears under more than one employee; confirm duplicate family coverage is intentional; ","")&amp;IF(AND(ROW()&gt;2,$A139&lt;&gt;"",$A139&lt;&gt;$A138,COUNTIF($A$2:$A138,$A139)&gt;0),"This household appears in more than one section of the census; keep the family together; ","")&amp;IF(OR(AND($C139&lt;&gt;"",LEN($C139&amp;"")&lt;&gt;LEN(TRIM($C139&amp;""))),AND($D139&lt;&gt;"",LEN($D139&amp;"")&lt;&gt;LEN(TRIM($D139&amp;""))),AND($E139&lt;&gt;"",LEN($E139&amp;"")&lt;&gt;LEN(TRIM($E139&amp;""))),AND($F139&lt;&gt;"",LEN($F139&amp;"")&lt;&gt;LEN(TRIM($F139&amp;""))),AND($G139&lt;&gt;"",LEN($G139&amp;"")&lt;&gt;LEN(TRIM($G139&amp;""))),AND($H139&lt;&gt;"",LEN($H139&amp;"")&lt;&gt;LEN(TRIM($H139&amp;""))),AND($I139&lt;&gt;"",LEN($I139&amp;"")&lt;&gt;LEN(TRIM($I139&amp;""))),AND($J139&lt;&gt;"",LEN($J139&amp;"")&lt;&gt;LEN(TRIM($J139&amp;""))),AND($K139&lt;&gt;"",LEN($K139&amp;"")&lt;&gt;LEN(TRIM($K139&amp;""))),AND($M139&lt;&gt;"",LEN($M139&amp;"")&lt;&gt;LEN(TRIM($M139&amp;""))),AND($N139&lt;&gt;"",LEN($N139&amp;"")&lt;&gt;LEN(TRIM($N139&amp;""))),AND($O139&lt;&gt;"",LEN($O139&amp;"")&lt;&gt;LEN(TRIM($O139&amp;""))),AND($R139&lt;&gt;"",LEN($R139&amp;"")&lt;&gt;LEN(TRIM($R139&amp;""))),AND($S139&lt;&gt;"",LEN($S139&amp;"")&lt;&gt;LEN(TRIM($S139&amp;""))),AND($T139&lt;&gt;"",LEN($T139&amp;"")&lt;&gt;LEN(TRIM($T139&amp;"")))),"Remove leading or trailing spaces from text fields; ","")&amp;IF(OR(AND(LEN($C139)&gt;1,OR(EXACT($C139,UPPER($C139)),EXACT($C139,LOWER($C139)))),AND(LEN($D139)&gt;1,OR(EXACT($D139,UPPER($D139)),EXACT($D139,LOWER($D139)))),AND(LEN($H139)&gt;1,OR(EXACT($H139,UPPER($H139)),EXACT($H139,LOWER($H139))))),"Review capitalization in First Name, Last Name, or City; ","")&amp;IF(AND($N139&lt;&gt;"",NOT(EXACT($N139,LOWER($N139)))),"Email will be standardized to lowercase in the clean output; ","")&amp;IF(AND(OR('START HERE'!$C$8="Initial Enrollment",'START HERE'!$C$8="Open Enrollment"),$R139="Terminated"),"A terminated row is included in an initial or open enrollment file; confirm this is intentional; ",""))</f>
        <v/>
      </c>
      <c r="AE139">
        <f>IF(COUNTA($A139:$U139)=0,"",IF(OR($A139="",AND($A139&lt;&gt;"",NOT(IFERROR(AND(LEN($A139&amp;"")=9,ISNUMBER(--($A139&amp;""))),FALSE))),AND($A139&lt;&gt;"",OR($A139="123456789",$A139="987654321",$A139="012345678",$A139=REPT(LEFT($A139&amp;"",1),9)))),"Employee SSN, ","")&amp;IF(OR(AND($O139&lt;&gt;"",$B139=""),AND($B139&lt;&gt;"",OR(NOT(IFERROR(AND(LEN($B139&amp;"")=9,ISNUMBER(--($B139&amp;""))),FALSE)),$B139=$A139,$B139="123456789",$B139="987654321",$B139="012345678",$B139=REPT(LEFT($B139&amp;"",1),9)))),"Dependent SSN, ","")&amp;IF(OR($C139="",LEN($C139)&gt;19,AND($C139&lt;&gt;"",SUMPRODUCT(--(ROW($1:$19)&lt;=LEN($C139&amp;"")),--ISERROR(FIND(MID($C139&amp;"",ROW($1:$19),1),"ABCDEFGHIJKLMNOPQRSTUVWXYZabcdefghijklmnopqrstuvwxyz .,")))&gt;0)),"First Name, ","")&amp;IF(OR($D139="",LEN($D139)&gt;26,AND($D139&lt;&gt;"",SUMPRODUCT(--(ROW($1:$26)&lt;=LEN($D139&amp;"")),--ISERROR(FIND(MID($D139&amp;"",ROW($1:$26),1),"ABCDEFGHIJKLMNOPQRSTUVWXYZabcdefghijklmnopqrstuvwxyz .,")))&gt;0)),"Last Name, ","")&amp;IF(OR(LEN($E139)&gt;1,AND($E139&lt;&gt;"",SUMPRODUCT(--(ROW($1:$1)&lt;=LEN($E139&amp;"")),--ISERROR(FIND(MID($E139&amp;"",ROW($1:$1),1),"ABCDEFGHIJKLMNOPQRSTUVWXYZabcdefghijklmnopqrstuvwxyz .,")))&gt;0)),"Middle Initial, ","")&amp;IF(OR($F139="",LEN($F139)&gt;75),"Address, ","")&amp;IF(OR($H139="",LEN($H139)&gt;30),"City, ","")&amp;IF(AND($K139="US",OR($I139="",LEN($I139)&lt;&gt;2)),"State, ","")&amp;IF($J139="","ZIP, ","")&amp;IF(OR($K139="",AND($K139&lt;&gt;"US",$K139&lt;&gt;"CA")),"Country, ","")&amp;IF(OR($L139="",AND($L139&lt;&gt;"",OR(NOT(ISNUMBER($L139)),$L139&lt;=DATE(1900,1,1),$L139&gt;TODAY()))),"Birthdate, ","")&amp;IF(AND($N139&lt;&gt;"",NOT(IFERROR(AND(ISNUMBER(SEARCH("@",$N139)),ISNUMBER(SEARCH(".",$N139,SEARCH("@",$N139)+2))),FALSE))),"Email, ","")&amp;IF(OR(AND($B139&lt;&gt;"",$O139=""),AND($O139&lt;&gt;"",$O139&lt;&gt;"Spouse or Common Law Spouse",$O139&lt;&gt;"Domestic Partner",$O139&lt;&gt;"Child",$O139&lt;&gt;"Other",$O139&lt;&gt;"Estate",$O139&lt;&gt;"Unknown")),"Dependent Relationship, ","")&amp;IF($AA139&lt;&gt;"","Household, ","")&amp;IF(OR($P139="",AND($P139&lt;&gt;"",OR(NOT(ISNUMBER($P139)),$P139&lt;=DATE(1900,1,1)))),"Eligibility Date, ","")&amp;IF(OR(AND($R139="Terminated",$Q139=""),AND($Q139&lt;&gt;"",OR(NOT(ISNUMBER($Q139)),$Q139&lt;=DATE(1900,1,1))),AND(ISNUMBER($P139),ISNUMBER($Q139),$Q139&lt;$P139)),"Termination Date, ","")&amp;IF(OR($R139="",AND($R139&lt;&gt;"Active",$R139&lt;&gt;"Terminated"),AND('START HERE'!$C$8="Terminations Only",$R139&lt;&gt;"Terminated")),"Status, ","")&amp;IF($S139="","Plan Name, ","")&amp;IF($T139="","Coverage Level, ","")&amp;IF(AND($U139&lt;&gt;"",OR(NOT(ISNUMBER($U139)),$U139&lt;0)),"Funding, ","")&amp;IF(AND($A139&lt;&gt;"",$S139&lt;&gt;"",COUNTIFS($A$2:$A$501,$A139,$B$2:$B$501,$B139,$S$2:$S$501,$S139)&gt;1),"Duplicate Row, ",""))</f>
        <v/>
      </c>
      <c r="AF139">
        <f>IF(COUNTA($A139:$U139)=0,"",$Y139&amp;$Z139&amp;$AA139&amp;$AB139&amp;$AC139)</f>
        <v/>
      </c>
      <c r="AG139">
        <f>IF($N139="","",LOWER(TRIM($N139)))</f>
        <v/>
      </c>
      <c r="AH139">
        <f>IF($A139="","",COUNTIFS($A$2:$A$501,$A139,$AI$2:$AI$501,1))</f>
        <v/>
      </c>
      <c r="AI139">
        <f>IF(COUNTA($A139:$U139)=0,"",--($AF139&lt;&gt;""))</f>
        <v/>
      </c>
      <c r="AJ139">
        <f>IF(COUNTA($A139:$U139)=0,"",--($AD139&lt;&gt;""))</f>
        <v/>
      </c>
    </row>
    <row r="140" ht="20" customHeight="1">
      <c r="A140" s="80" t="n"/>
      <c r="B140" s="80" t="n"/>
      <c r="C140" s="81" t="n"/>
      <c r="D140" s="81" t="n"/>
      <c r="E140" s="80" t="n"/>
      <c r="F140" s="81" t="n"/>
      <c r="G140" s="81" t="n"/>
      <c r="H140" s="81" t="n"/>
      <c r="I140" s="80" t="n"/>
      <c r="J140" s="80" t="n"/>
      <c r="K140" s="80" t="n"/>
      <c r="L140" s="82" t="n"/>
      <c r="M140" s="80" t="n"/>
      <c r="N140" s="80" t="n"/>
      <c r="O140" s="80" t="n"/>
      <c r="P140" s="82" t="n"/>
      <c r="Q140" s="82" t="n"/>
      <c r="R140" s="80" t="n"/>
      <c r="S140" s="80" t="n"/>
      <c r="T140" s="80" t="n"/>
      <c r="U140" s="83" t="n"/>
      <c r="V140">
        <f>IF($A140="","",IF($A140=$A139,$V139,IF($V139="",0,1-$V139)))</f>
        <v/>
      </c>
      <c r="W140">
        <f>IF($B140&lt;&gt;"",$B140,$A140)</f>
        <v/>
      </c>
      <c r="X140">
        <f>IF(COUNTA($A140:$U140)=0,"",IF(OR($B140&lt;&gt;"",$O140&lt;&gt;""),"Dependent","Employee"))</f>
        <v/>
      </c>
      <c r="Y140">
        <f>IF(COUNTA($A140:$U140)=0,"",IF($A140="","Employee SSN is required; ","")&amp;IF($C140="","First Name is required; ","")&amp;IF(LEN($C140&amp;"")&gt;19,"First Name exceeds 19 characters; ","")&amp;IF(AND($C140&lt;&gt;"",SUMPRODUCT(--(ROW($1:$19)&lt;=LEN($C140&amp;"")),--ISERROR(FIND(MID($C140&amp;"",ROW($1:$19),1),"ABCDEFGHIJKLMNOPQRSTUVWXYZabcdefghijklmnopqrstuvwxyz .,")))&gt;0),"First Name contains unsupported or encoded characters; use plain A-Z letters only; ","")&amp;IF($D140="","Last Name is required; ","")&amp;IF(LEN($D140&amp;"")&gt;26,"Last Name exceeds 26 characters; ","")&amp;IF(AND($D140&lt;&gt;"",SUMPRODUCT(--(ROW($1:$26)&lt;=LEN($D140&amp;"")),--ISERROR(FIND(MID($D140&amp;"",ROW($1:$26),1),"ABCDEFGHIJKLMNOPQRSTUVWXYZabcdefghijklmnopqrstuvwxyz .,")))&gt;0),"Last Name contains unsupported or encoded characters; use plain A-Z letters only; ","")&amp;IF(LEN($E140&amp;"")&gt;1,"Middle Initial may contain only one character; ","")&amp;IF(AND($E140&lt;&gt;"",SUMPRODUCT(--(ROW($1:$1)&lt;=LEN($E140&amp;"")),--ISERROR(FIND(MID($E140&amp;"",ROW($1:$1),1),"ABCDEFGHIJKLMNOPQRSTUVWXYZabcdefghijklmnopqrstuvwxyz .,")))&gt;0),"Middle Initial must be a plain A-Z letter; ","")&amp;IF($F140="","Address is required; ","")&amp;IF(LEN($F140&amp;"")&gt;75,"Address exceeds 75 characters; ","")&amp;IF(LEN($G140&amp;"")&gt;75,"Address 2 exceeds 75 characters; ","")&amp;IF($H140="","City is required; ","")&amp;IF(LEN($H140&amp;"")&gt;30,"City exceeds 30 characters; ","")&amp;IF($K140="","Country is required; ","")&amp;IF(AND($K140&lt;&gt;"",$K140&lt;&gt;"US",$K140&lt;&gt;"CA"),"Country must be US or CA; ","")&amp;IF(AND($K140="US",OR($I140="",LEN($I140&amp;"")&lt;&gt;2)),"Use a 2-letter state code; ","")&amp;IF($J140="","ZIP or postal code is required; ","")&amp;IF(AND($K140="US",$J140&lt;&gt;"",NOT(IFERROR(OR(AND(LEN($J140&amp;"")=5,ISNUMBER(--($J140&amp;""))),AND(LEN($J140&amp;"")=9,ISNUMBER(--($J140&amp;""))),AND(LEN($J140&amp;"")=10,MID($J140&amp;"",6,1)="-",ISNUMBER(--SUBSTITUTE($J140&amp;"","-","")))),FALSE))),"US ZIP must be 5 or 9 digits, with an optional ZIP+4 hyphen; ","")&amp;IF(AND($N140&lt;&gt;"",NOT(IFERROR(AND(ISNUMBER(SEARCH("@",$N140)),ISNUMBER(SEARCH(".",$N140,SEARCH("@",$N140)+2))),FALSE))),"Email format appears invalid; ","")&amp;IF(AND($O140&lt;&gt;"",$B140=""),"Dependent SSN is required for every dependent; ","")&amp;IF(AND($B140&lt;&gt;"",$O140=""),"Dependent Relationship is required when Dependent SSN is entered; ","")&amp;IF(AND($O140&lt;&gt;"",$O140&lt;&gt;"Spouse or Common Law Spouse",$O140&lt;&gt;"Domestic Partner",$O140&lt;&gt;"Child",$O140&lt;&gt;"Other",$O140&lt;&gt;"Estate",$O140&lt;&gt;"Unknown"),"Dependent Relationship must use one of the approved options; ",""))</f>
        <v/>
      </c>
      <c r="Z140">
        <f>IF(COUNTA($A140:$U140)=0,"",IF(AND($A140&lt;&gt;"",NOT(IFERROR(AND(LEN($A140&amp;"")=9,ISNUMBER(--($A140&amp;""))),FALSE))),"Employee SSN must contain exactly 9 digits; ","")&amp;IF(AND($A140&lt;&gt;"",OR($A140="123456789",$A140="987654321",$A140="012345678",$A140=REPT(LEFT($A140&amp;"",1),9))),"Employee SSN appears to be a placeholder; ","")&amp;IF(AND($B140&lt;&gt;"",NOT(IFERROR(AND(LEN($B140&amp;"")=9,ISNUMBER(--($B140&amp;""))),FALSE))),"Dependent SSN must contain exactly 9 digits; ","")&amp;IF(AND($B140&lt;&gt;"",OR($B140="123456789",$B140="987654321",$B140="012345678",$B140=REPT(LEFT($B140&amp;"",1),9))),"Dependent SSN appears to be a placeholder; ","")&amp;IF(AND($A140&lt;&gt;"",$B140&lt;&gt;"",$A140&amp;""=$B140&amp;""),"Dependent SSN cannot match Employee SSN; ","")&amp;IF(AND($W140&lt;&gt;"",OR(COUNTIFS($W$2:$W$501,$W140,$C$2:$C$501,"&lt;&gt;"&amp;$C140)&gt;0,COUNTIFS($W$2:$W$501,$W140,$D$2:$D$501,"&lt;&gt;"&amp;$D140)&gt;0,COUNTIFS($W$2:$W$501,$W140,$L$2:$L$501,"&lt;&gt;"&amp;$L140)&gt;0)),"The same SSN is associated with a different name or birthdate; ",""))</f>
        <v/>
      </c>
      <c r="AA140">
        <f>IF(COUNTA($A140:$U140)=0,"",IF(AND($A140&lt;&gt;"",$S140&lt;&gt;"",COUNTIFS($A$2:$A$501,$A140,$S$2:$S$501,$S140,$B$2:$B$501,"",$O$2:$O$501,"")=0),"Add an employee row for this household and plan; ","")&amp;IF(AND($X140="Dependent",COUNTIFS($A$2:$A140,$A140,$S$2:$S140,$S140,$B$2:$B140,"",$O$2:$O140,"")=0),"Place the employee row before dependent rows for this plan; ","")&amp;IF(AND($X140="Dependent",COUNTIFS($A$2:$A$501,$A140,$S$2:$S$501,$S140,$B$2:$B$501,"",$O$2:$O$501,"")&gt;0,IFERROR(OR($P140&lt;&gt;LOOKUP(2,1/(($A$2:$A$501=$A140)*($S$2:$S$501=$S140)*($B$2:$B$501="")*($O$2:$O$501="")),$P$2:$P$501),$Q140&lt;&gt;LOOKUP(2,1/(($A$2:$A$501=$A140)*($S$2:$S$501=$S140)*($B$2:$B$501="")*($O$2:$O$501="")),$Q$2:$Q$501),$R140&lt;&gt;LOOKUP(2,1/(($A$2:$A$501=$A140)*($S$2:$S$501=$S140)*($B$2:$B$501="")*($O$2:$O$501="")),$R$2:$R$501),$T140&lt;&gt;LOOKUP(2,1/(($A$2:$A$501=$A140)*($S$2:$S$501=$S140)*($B$2:$B$501="")*($O$2:$O$501="")),$T$2:$T$501),$U140&lt;&gt;LOOKUP(2,1/(($A$2:$A$501=$A140)*($S$2:$S$501=$S140)*($B$2:$B$501="")*($O$2:$O$501="")),$U$2:$U$501)),FALSE)),"Dependent row does not match the employee row for eligibility, status, coverage level, or funding; ",""))</f>
        <v/>
      </c>
      <c r="AB140">
        <f>IF(COUNTA($A140:$U140)=0,"",IF($L140="","Birthdate is required; ","")&amp;IF(AND($L140&lt;&gt;"",OR(NOT(ISNUMBER($L140)),$L140&lt;=DATE(1900,1,1),$L140&gt;TODAY())),"Birthdate must be an exact valid past date; ","")&amp;IF($P140="","Eligibility Date is required; ","")&amp;IF(AND($P140&lt;&gt;"",OR(NOT(ISNUMBER($P140)),$P140&lt;=DATE(1900,1,1))),"Eligibility Date must be a valid date; ","")&amp;IF(AND($R140="Terminated",$Q140=""),"Termination Date is required when Status is Terminated; ","")&amp;IF(AND($Q140&lt;&gt;"",OR(NOT(ISNUMBER($Q140)),$Q140&lt;=DATE(1900,1,1))),"Termination Date must be a valid date; ","")&amp;IF(AND(ISNUMBER($P140),ISNUMBER($Q140),$Q140&lt;$P140),"Termination Date cannot be before Eligibility Date; ","")&amp;IF($R140="","Status is required; ","")&amp;IF(AND($R140&lt;&gt;"",$R140&lt;&gt;"Active",$R140&lt;&gt;"Terminated"),"Status must be Active or Terminated; ","")&amp;IF(AND('START HERE'!$C$8="Terminations Only",$R140&lt;&gt;"Terminated"),"Terminations Only files must contain terminated records; ",""))</f>
        <v/>
      </c>
      <c r="AC140">
        <f>IF(COUNTA($A140:$U140)=0,"",IF($S140="","Plan Name is required; ","")&amp;IF($T140="","Benefit Coverage Level is required; ","")&amp;IF(AND($U140&lt;&gt;"",OR(NOT(ISNUMBER($U140)),$U140&lt;0)),"Plan Funding Amount must be a nonnegative number; ","")&amp;IF(AND($A140&lt;&gt;"",$S140&lt;&gt;"",COUNTIFS($A$2:$A$501,$A140,$B$2:$B$501,$B140,$S$2:$S$501,$S140)&gt;1),"Duplicate participant and plan row; ",""))</f>
        <v/>
      </c>
      <c r="AD140">
        <f>IF(COUNTA($A140:$U140)=0,"",IF(AND($X140="Employee",$M140="",$N140=""),"No employee phone or email provided; ","")&amp;IF(AND($R140="Active",$Q140&lt;&gt;""),"Active record includes a Termination Date; confirm this is intentional; ","")&amp;IF(AND($B140&lt;&gt;"",$B140&amp;""&lt;&gt;$A140&amp;"",COUNTIF($A$2:$A$501,$B140)&gt;0),"Dependent SSN also appears as an Employee SSN elsewhere; confirm dual-employee coverage is intentional; ","")&amp;IF(AND($B140&lt;&gt;"",COUNTIF($B$2:$B$501,$B140)&gt;COUNTIFS($A$2:$A$501,$A140,$B$2:$B$501,$B140)),"Dependent SSN appears under more than one employee; confirm duplicate family coverage is intentional; ","")&amp;IF(AND(ROW()&gt;2,$A140&lt;&gt;"",$A140&lt;&gt;$A139,COUNTIF($A$2:$A139,$A140)&gt;0),"This household appears in more than one section of the census; keep the family together; ","")&amp;IF(OR(AND($C140&lt;&gt;"",LEN($C140&amp;"")&lt;&gt;LEN(TRIM($C140&amp;""))),AND($D140&lt;&gt;"",LEN($D140&amp;"")&lt;&gt;LEN(TRIM($D140&amp;""))),AND($E140&lt;&gt;"",LEN($E140&amp;"")&lt;&gt;LEN(TRIM($E140&amp;""))),AND($F140&lt;&gt;"",LEN($F140&amp;"")&lt;&gt;LEN(TRIM($F140&amp;""))),AND($G140&lt;&gt;"",LEN($G140&amp;"")&lt;&gt;LEN(TRIM($G140&amp;""))),AND($H140&lt;&gt;"",LEN($H140&amp;"")&lt;&gt;LEN(TRIM($H140&amp;""))),AND($I140&lt;&gt;"",LEN($I140&amp;"")&lt;&gt;LEN(TRIM($I140&amp;""))),AND($J140&lt;&gt;"",LEN($J140&amp;"")&lt;&gt;LEN(TRIM($J140&amp;""))),AND($K140&lt;&gt;"",LEN($K140&amp;"")&lt;&gt;LEN(TRIM($K140&amp;""))),AND($M140&lt;&gt;"",LEN($M140&amp;"")&lt;&gt;LEN(TRIM($M140&amp;""))),AND($N140&lt;&gt;"",LEN($N140&amp;"")&lt;&gt;LEN(TRIM($N140&amp;""))),AND($O140&lt;&gt;"",LEN($O140&amp;"")&lt;&gt;LEN(TRIM($O140&amp;""))),AND($R140&lt;&gt;"",LEN($R140&amp;"")&lt;&gt;LEN(TRIM($R140&amp;""))),AND($S140&lt;&gt;"",LEN($S140&amp;"")&lt;&gt;LEN(TRIM($S140&amp;""))),AND($T140&lt;&gt;"",LEN($T140&amp;"")&lt;&gt;LEN(TRIM($T140&amp;"")))),"Remove leading or trailing spaces from text fields; ","")&amp;IF(OR(AND(LEN($C140)&gt;1,OR(EXACT($C140,UPPER($C140)),EXACT($C140,LOWER($C140)))),AND(LEN($D140)&gt;1,OR(EXACT($D140,UPPER($D140)),EXACT($D140,LOWER($D140)))),AND(LEN($H140)&gt;1,OR(EXACT($H140,UPPER($H140)),EXACT($H140,LOWER($H140))))),"Review capitalization in First Name, Last Name, or City; ","")&amp;IF(AND($N140&lt;&gt;"",NOT(EXACT($N140,LOWER($N140)))),"Email will be standardized to lowercase in the clean output; ","")&amp;IF(AND(OR('START HERE'!$C$8="Initial Enrollment",'START HERE'!$C$8="Open Enrollment"),$R140="Terminated"),"A terminated row is included in an initial or open enrollment file; confirm this is intentional; ",""))</f>
        <v/>
      </c>
      <c r="AE140">
        <f>IF(COUNTA($A140:$U140)=0,"",IF(OR($A140="",AND($A140&lt;&gt;"",NOT(IFERROR(AND(LEN($A140&amp;"")=9,ISNUMBER(--($A140&amp;""))),FALSE))),AND($A140&lt;&gt;"",OR($A140="123456789",$A140="987654321",$A140="012345678",$A140=REPT(LEFT($A140&amp;"",1),9)))),"Employee SSN, ","")&amp;IF(OR(AND($O140&lt;&gt;"",$B140=""),AND($B140&lt;&gt;"",OR(NOT(IFERROR(AND(LEN($B140&amp;"")=9,ISNUMBER(--($B140&amp;""))),FALSE)),$B140=$A140,$B140="123456789",$B140="987654321",$B140="012345678",$B140=REPT(LEFT($B140&amp;"",1),9)))),"Dependent SSN, ","")&amp;IF(OR($C140="",LEN($C140)&gt;19,AND($C140&lt;&gt;"",SUMPRODUCT(--(ROW($1:$19)&lt;=LEN($C140&amp;"")),--ISERROR(FIND(MID($C140&amp;"",ROW($1:$19),1),"ABCDEFGHIJKLMNOPQRSTUVWXYZabcdefghijklmnopqrstuvwxyz .,")))&gt;0)),"First Name, ","")&amp;IF(OR($D140="",LEN($D140)&gt;26,AND($D140&lt;&gt;"",SUMPRODUCT(--(ROW($1:$26)&lt;=LEN($D140&amp;"")),--ISERROR(FIND(MID($D140&amp;"",ROW($1:$26),1),"ABCDEFGHIJKLMNOPQRSTUVWXYZabcdefghijklmnopqrstuvwxyz .,")))&gt;0)),"Last Name, ","")&amp;IF(OR(LEN($E140)&gt;1,AND($E140&lt;&gt;"",SUMPRODUCT(--(ROW($1:$1)&lt;=LEN($E140&amp;"")),--ISERROR(FIND(MID($E140&amp;"",ROW($1:$1),1),"ABCDEFGHIJKLMNOPQRSTUVWXYZabcdefghijklmnopqrstuvwxyz .,")))&gt;0)),"Middle Initial, ","")&amp;IF(OR($F140="",LEN($F140)&gt;75),"Address, ","")&amp;IF(OR($H140="",LEN($H140)&gt;30),"City, ","")&amp;IF(AND($K140="US",OR($I140="",LEN($I140)&lt;&gt;2)),"State, ","")&amp;IF($J140="","ZIP, ","")&amp;IF(OR($K140="",AND($K140&lt;&gt;"US",$K140&lt;&gt;"CA")),"Country, ","")&amp;IF(OR($L140="",AND($L140&lt;&gt;"",OR(NOT(ISNUMBER($L140)),$L140&lt;=DATE(1900,1,1),$L140&gt;TODAY()))),"Birthdate, ","")&amp;IF(AND($N140&lt;&gt;"",NOT(IFERROR(AND(ISNUMBER(SEARCH("@",$N140)),ISNUMBER(SEARCH(".",$N140,SEARCH("@",$N140)+2))),FALSE))),"Email, ","")&amp;IF(OR(AND($B140&lt;&gt;"",$O140=""),AND($O140&lt;&gt;"",$O140&lt;&gt;"Spouse or Common Law Spouse",$O140&lt;&gt;"Domestic Partner",$O140&lt;&gt;"Child",$O140&lt;&gt;"Other",$O140&lt;&gt;"Estate",$O140&lt;&gt;"Unknown")),"Dependent Relationship, ","")&amp;IF($AA140&lt;&gt;"","Household, ","")&amp;IF(OR($P140="",AND($P140&lt;&gt;"",OR(NOT(ISNUMBER($P140)),$P140&lt;=DATE(1900,1,1)))),"Eligibility Date, ","")&amp;IF(OR(AND($R140="Terminated",$Q140=""),AND($Q140&lt;&gt;"",OR(NOT(ISNUMBER($Q140)),$Q140&lt;=DATE(1900,1,1))),AND(ISNUMBER($P140),ISNUMBER($Q140),$Q140&lt;$P140)),"Termination Date, ","")&amp;IF(OR($R140="",AND($R140&lt;&gt;"Active",$R140&lt;&gt;"Terminated"),AND('START HERE'!$C$8="Terminations Only",$R140&lt;&gt;"Terminated")),"Status, ","")&amp;IF($S140="","Plan Name, ","")&amp;IF($T140="","Coverage Level, ","")&amp;IF(AND($U140&lt;&gt;"",OR(NOT(ISNUMBER($U140)),$U140&lt;0)),"Funding, ","")&amp;IF(AND($A140&lt;&gt;"",$S140&lt;&gt;"",COUNTIFS($A$2:$A$501,$A140,$B$2:$B$501,$B140,$S$2:$S$501,$S140)&gt;1),"Duplicate Row, ",""))</f>
        <v/>
      </c>
      <c r="AF140">
        <f>IF(COUNTA($A140:$U140)=0,"",$Y140&amp;$Z140&amp;$AA140&amp;$AB140&amp;$AC140)</f>
        <v/>
      </c>
      <c r="AG140">
        <f>IF($N140="","",LOWER(TRIM($N140)))</f>
        <v/>
      </c>
      <c r="AH140">
        <f>IF($A140="","",COUNTIFS($A$2:$A$501,$A140,$AI$2:$AI$501,1))</f>
        <v/>
      </c>
      <c r="AI140">
        <f>IF(COUNTA($A140:$U140)=0,"",--($AF140&lt;&gt;""))</f>
        <v/>
      </c>
      <c r="AJ140">
        <f>IF(COUNTA($A140:$U140)=0,"",--($AD140&lt;&gt;""))</f>
        <v/>
      </c>
    </row>
    <row r="141" ht="20" customHeight="1">
      <c r="A141" s="80" t="n"/>
      <c r="B141" s="80" t="n"/>
      <c r="C141" s="81" t="n"/>
      <c r="D141" s="81" t="n"/>
      <c r="E141" s="80" t="n"/>
      <c r="F141" s="81" t="n"/>
      <c r="G141" s="81" t="n"/>
      <c r="H141" s="81" t="n"/>
      <c r="I141" s="80" t="n"/>
      <c r="J141" s="80" t="n"/>
      <c r="K141" s="80" t="n"/>
      <c r="L141" s="82" t="n"/>
      <c r="M141" s="80" t="n"/>
      <c r="N141" s="80" t="n"/>
      <c r="O141" s="80" t="n"/>
      <c r="P141" s="82" t="n"/>
      <c r="Q141" s="82" t="n"/>
      <c r="R141" s="80" t="n"/>
      <c r="S141" s="80" t="n"/>
      <c r="T141" s="80" t="n"/>
      <c r="U141" s="83" t="n"/>
      <c r="V141">
        <f>IF($A141="","",IF($A141=$A140,$V140,IF($V140="",0,1-$V140)))</f>
        <v/>
      </c>
      <c r="W141">
        <f>IF($B141&lt;&gt;"",$B141,$A141)</f>
        <v/>
      </c>
      <c r="X141">
        <f>IF(COUNTA($A141:$U141)=0,"",IF(OR($B141&lt;&gt;"",$O141&lt;&gt;""),"Dependent","Employee"))</f>
        <v/>
      </c>
      <c r="Y141">
        <f>IF(COUNTA($A141:$U141)=0,"",IF($A141="","Employee SSN is required; ","")&amp;IF($C141="","First Name is required; ","")&amp;IF(LEN($C141&amp;"")&gt;19,"First Name exceeds 19 characters; ","")&amp;IF(AND($C141&lt;&gt;"",SUMPRODUCT(--(ROW($1:$19)&lt;=LEN($C141&amp;"")),--ISERROR(FIND(MID($C141&amp;"",ROW($1:$19),1),"ABCDEFGHIJKLMNOPQRSTUVWXYZabcdefghijklmnopqrstuvwxyz .,")))&gt;0),"First Name contains unsupported or encoded characters; use plain A-Z letters only; ","")&amp;IF($D141="","Last Name is required; ","")&amp;IF(LEN($D141&amp;"")&gt;26,"Last Name exceeds 26 characters; ","")&amp;IF(AND($D141&lt;&gt;"",SUMPRODUCT(--(ROW($1:$26)&lt;=LEN($D141&amp;"")),--ISERROR(FIND(MID($D141&amp;"",ROW($1:$26),1),"ABCDEFGHIJKLMNOPQRSTUVWXYZabcdefghijklmnopqrstuvwxyz .,")))&gt;0),"Last Name contains unsupported or encoded characters; use plain A-Z letters only; ","")&amp;IF(LEN($E141&amp;"")&gt;1,"Middle Initial may contain only one character; ","")&amp;IF(AND($E141&lt;&gt;"",SUMPRODUCT(--(ROW($1:$1)&lt;=LEN($E141&amp;"")),--ISERROR(FIND(MID($E141&amp;"",ROW($1:$1),1),"ABCDEFGHIJKLMNOPQRSTUVWXYZabcdefghijklmnopqrstuvwxyz .,")))&gt;0),"Middle Initial must be a plain A-Z letter; ","")&amp;IF($F141="","Address is required; ","")&amp;IF(LEN($F141&amp;"")&gt;75,"Address exceeds 75 characters; ","")&amp;IF(LEN($G141&amp;"")&gt;75,"Address 2 exceeds 75 characters; ","")&amp;IF($H141="","City is required; ","")&amp;IF(LEN($H141&amp;"")&gt;30,"City exceeds 30 characters; ","")&amp;IF($K141="","Country is required; ","")&amp;IF(AND($K141&lt;&gt;"",$K141&lt;&gt;"US",$K141&lt;&gt;"CA"),"Country must be US or CA; ","")&amp;IF(AND($K141="US",OR($I141="",LEN($I141&amp;"")&lt;&gt;2)),"Use a 2-letter state code; ","")&amp;IF($J141="","ZIP or postal code is required; ","")&amp;IF(AND($K141="US",$J141&lt;&gt;"",NOT(IFERROR(OR(AND(LEN($J141&amp;"")=5,ISNUMBER(--($J141&amp;""))),AND(LEN($J141&amp;"")=9,ISNUMBER(--($J141&amp;""))),AND(LEN($J141&amp;"")=10,MID($J141&amp;"",6,1)="-",ISNUMBER(--SUBSTITUTE($J141&amp;"","-","")))),FALSE))),"US ZIP must be 5 or 9 digits, with an optional ZIP+4 hyphen; ","")&amp;IF(AND($N141&lt;&gt;"",NOT(IFERROR(AND(ISNUMBER(SEARCH("@",$N141)),ISNUMBER(SEARCH(".",$N141,SEARCH("@",$N141)+2))),FALSE))),"Email format appears invalid; ","")&amp;IF(AND($O141&lt;&gt;"",$B141=""),"Dependent SSN is required for every dependent; ","")&amp;IF(AND($B141&lt;&gt;"",$O141=""),"Dependent Relationship is required when Dependent SSN is entered; ","")&amp;IF(AND($O141&lt;&gt;"",$O141&lt;&gt;"Spouse or Common Law Spouse",$O141&lt;&gt;"Domestic Partner",$O141&lt;&gt;"Child",$O141&lt;&gt;"Other",$O141&lt;&gt;"Estate",$O141&lt;&gt;"Unknown"),"Dependent Relationship must use one of the approved options; ",""))</f>
        <v/>
      </c>
      <c r="Z141">
        <f>IF(COUNTA($A141:$U141)=0,"",IF(AND($A141&lt;&gt;"",NOT(IFERROR(AND(LEN($A141&amp;"")=9,ISNUMBER(--($A141&amp;""))),FALSE))),"Employee SSN must contain exactly 9 digits; ","")&amp;IF(AND($A141&lt;&gt;"",OR($A141="123456789",$A141="987654321",$A141="012345678",$A141=REPT(LEFT($A141&amp;"",1),9))),"Employee SSN appears to be a placeholder; ","")&amp;IF(AND($B141&lt;&gt;"",NOT(IFERROR(AND(LEN($B141&amp;"")=9,ISNUMBER(--($B141&amp;""))),FALSE))),"Dependent SSN must contain exactly 9 digits; ","")&amp;IF(AND($B141&lt;&gt;"",OR($B141="123456789",$B141="987654321",$B141="012345678",$B141=REPT(LEFT($B141&amp;"",1),9))),"Dependent SSN appears to be a placeholder; ","")&amp;IF(AND($A141&lt;&gt;"",$B141&lt;&gt;"",$A141&amp;""=$B141&amp;""),"Dependent SSN cannot match Employee SSN; ","")&amp;IF(AND($W141&lt;&gt;"",OR(COUNTIFS($W$2:$W$501,$W141,$C$2:$C$501,"&lt;&gt;"&amp;$C141)&gt;0,COUNTIFS($W$2:$W$501,$W141,$D$2:$D$501,"&lt;&gt;"&amp;$D141)&gt;0,COUNTIFS($W$2:$W$501,$W141,$L$2:$L$501,"&lt;&gt;"&amp;$L141)&gt;0)),"The same SSN is associated with a different name or birthdate; ",""))</f>
        <v/>
      </c>
      <c r="AA141">
        <f>IF(COUNTA($A141:$U141)=0,"",IF(AND($A141&lt;&gt;"",$S141&lt;&gt;"",COUNTIFS($A$2:$A$501,$A141,$S$2:$S$501,$S141,$B$2:$B$501,"",$O$2:$O$501,"")=0),"Add an employee row for this household and plan; ","")&amp;IF(AND($X141="Dependent",COUNTIFS($A$2:$A141,$A141,$S$2:$S141,$S141,$B$2:$B141,"",$O$2:$O141,"")=0),"Place the employee row before dependent rows for this plan; ","")&amp;IF(AND($X141="Dependent",COUNTIFS($A$2:$A$501,$A141,$S$2:$S$501,$S141,$B$2:$B$501,"",$O$2:$O$501,"")&gt;0,IFERROR(OR($P141&lt;&gt;LOOKUP(2,1/(($A$2:$A$501=$A141)*($S$2:$S$501=$S141)*($B$2:$B$501="")*($O$2:$O$501="")),$P$2:$P$501),$Q141&lt;&gt;LOOKUP(2,1/(($A$2:$A$501=$A141)*($S$2:$S$501=$S141)*($B$2:$B$501="")*($O$2:$O$501="")),$Q$2:$Q$501),$R141&lt;&gt;LOOKUP(2,1/(($A$2:$A$501=$A141)*($S$2:$S$501=$S141)*($B$2:$B$501="")*($O$2:$O$501="")),$R$2:$R$501),$T141&lt;&gt;LOOKUP(2,1/(($A$2:$A$501=$A141)*($S$2:$S$501=$S141)*($B$2:$B$501="")*($O$2:$O$501="")),$T$2:$T$501),$U141&lt;&gt;LOOKUP(2,1/(($A$2:$A$501=$A141)*($S$2:$S$501=$S141)*($B$2:$B$501="")*($O$2:$O$501="")),$U$2:$U$501)),FALSE)),"Dependent row does not match the employee row for eligibility, status, coverage level, or funding; ",""))</f>
        <v/>
      </c>
      <c r="AB141">
        <f>IF(COUNTA($A141:$U141)=0,"",IF($L141="","Birthdate is required; ","")&amp;IF(AND($L141&lt;&gt;"",OR(NOT(ISNUMBER($L141)),$L141&lt;=DATE(1900,1,1),$L141&gt;TODAY())),"Birthdate must be an exact valid past date; ","")&amp;IF($P141="","Eligibility Date is required; ","")&amp;IF(AND($P141&lt;&gt;"",OR(NOT(ISNUMBER($P141)),$P141&lt;=DATE(1900,1,1))),"Eligibility Date must be a valid date; ","")&amp;IF(AND($R141="Terminated",$Q141=""),"Termination Date is required when Status is Terminated; ","")&amp;IF(AND($Q141&lt;&gt;"",OR(NOT(ISNUMBER($Q141)),$Q141&lt;=DATE(1900,1,1))),"Termination Date must be a valid date; ","")&amp;IF(AND(ISNUMBER($P141),ISNUMBER($Q141),$Q141&lt;$P141),"Termination Date cannot be before Eligibility Date; ","")&amp;IF($R141="","Status is required; ","")&amp;IF(AND($R141&lt;&gt;"",$R141&lt;&gt;"Active",$R141&lt;&gt;"Terminated"),"Status must be Active or Terminated; ","")&amp;IF(AND('START HERE'!$C$8="Terminations Only",$R141&lt;&gt;"Terminated"),"Terminations Only files must contain terminated records; ",""))</f>
        <v/>
      </c>
      <c r="AC141">
        <f>IF(COUNTA($A141:$U141)=0,"",IF($S141="","Plan Name is required; ","")&amp;IF($T141="","Benefit Coverage Level is required; ","")&amp;IF(AND($U141&lt;&gt;"",OR(NOT(ISNUMBER($U141)),$U141&lt;0)),"Plan Funding Amount must be a nonnegative number; ","")&amp;IF(AND($A141&lt;&gt;"",$S141&lt;&gt;"",COUNTIFS($A$2:$A$501,$A141,$B$2:$B$501,$B141,$S$2:$S$501,$S141)&gt;1),"Duplicate participant and plan row; ",""))</f>
        <v/>
      </c>
      <c r="AD141">
        <f>IF(COUNTA($A141:$U141)=0,"",IF(AND($X141="Employee",$M141="",$N141=""),"No employee phone or email provided; ","")&amp;IF(AND($R141="Active",$Q141&lt;&gt;""),"Active record includes a Termination Date; confirm this is intentional; ","")&amp;IF(AND($B141&lt;&gt;"",$B141&amp;""&lt;&gt;$A141&amp;"",COUNTIF($A$2:$A$501,$B141)&gt;0),"Dependent SSN also appears as an Employee SSN elsewhere; confirm dual-employee coverage is intentional; ","")&amp;IF(AND($B141&lt;&gt;"",COUNTIF($B$2:$B$501,$B141)&gt;COUNTIFS($A$2:$A$501,$A141,$B$2:$B$501,$B141)),"Dependent SSN appears under more than one employee; confirm duplicate family coverage is intentional; ","")&amp;IF(AND(ROW()&gt;2,$A141&lt;&gt;"",$A141&lt;&gt;$A140,COUNTIF($A$2:$A140,$A141)&gt;0),"This household appears in more than one section of the census; keep the family together; ","")&amp;IF(OR(AND($C141&lt;&gt;"",LEN($C141&amp;"")&lt;&gt;LEN(TRIM($C141&amp;""))),AND($D141&lt;&gt;"",LEN($D141&amp;"")&lt;&gt;LEN(TRIM($D141&amp;""))),AND($E141&lt;&gt;"",LEN($E141&amp;"")&lt;&gt;LEN(TRIM($E141&amp;""))),AND($F141&lt;&gt;"",LEN($F141&amp;"")&lt;&gt;LEN(TRIM($F141&amp;""))),AND($G141&lt;&gt;"",LEN($G141&amp;"")&lt;&gt;LEN(TRIM($G141&amp;""))),AND($H141&lt;&gt;"",LEN($H141&amp;"")&lt;&gt;LEN(TRIM($H141&amp;""))),AND($I141&lt;&gt;"",LEN($I141&amp;"")&lt;&gt;LEN(TRIM($I141&amp;""))),AND($J141&lt;&gt;"",LEN($J141&amp;"")&lt;&gt;LEN(TRIM($J141&amp;""))),AND($K141&lt;&gt;"",LEN($K141&amp;"")&lt;&gt;LEN(TRIM($K141&amp;""))),AND($M141&lt;&gt;"",LEN($M141&amp;"")&lt;&gt;LEN(TRIM($M141&amp;""))),AND($N141&lt;&gt;"",LEN($N141&amp;"")&lt;&gt;LEN(TRIM($N141&amp;""))),AND($O141&lt;&gt;"",LEN($O141&amp;"")&lt;&gt;LEN(TRIM($O141&amp;""))),AND($R141&lt;&gt;"",LEN($R141&amp;"")&lt;&gt;LEN(TRIM($R141&amp;""))),AND($S141&lt;&gt;"",LEN($S141&amp;"")&lt;&gt;LEN(TRIM($S141&amp;""))),AND($T141&lt;&gt;"",LEN($T141&amp;"")&lt;&gt;LEN(TRIM($T141&amp;"")))),"Remove leading or trailing spaces from text fields; ","")&amp;IF(OR(AND(LEN($C141)&gt;1,OR(EXACT($C141,UPPER($C141)),EXACT($C141,LOWER($C141)))),AND(LEN($D141)&gt;1,OR(EXACT($D141,UPPER($D141)),EXACT($D141,LOWER($D141)))),AND(LEN($H141)&gt;1,OR(EXACT($H141,UPPER($H141)),EXACT($H141,LOWER($H141))))),"Review capitalization in First Name, Last Name, or City; ","")&amp;IF(AND($N141&lt;&gt;"",NOT(EXACT($N141,LOWER($N141)))),"Email will be standardized to lowercase in the clean output; ","")&amp;IF(AND(OR('START HERE'!$C$8="Initial Enrollment",'START HERE'!$C$8="Open Enrollment"),$R141="Terminated"),"A terminated row is included in an initial or open enrollment file; confirm this is intentional; ",""))</f>
        <v/>
      </c>
      <c r="AE141">
        <f>IF(COUNTA($A141:$U141)=0,"",IF(OR($A141="",AND($A141&lt;&gt;"",NOT(IFERROR(AND(LEN($A141&amp;"")=9,ISNUMBER(--($A141&amp;""))),FALSE))),AND($A141&lt;&gt;"",OR($A141="123456789",$A141="987654321",$A141="012345678",$A141=REPT(LEFT($A141&amp;"",1),9)))),"Employee SSN, ","")&amp;IF(OR(AND($O141&lt;&gt;"",$B141=""),AND($B141&lt;&gt;"",OR(NOT(IFERROR(AND(LEN($B141&amp;"")=9,ISNUMBER(--($B141&amp;""))),FALSE)),$B141=$A141,$B141="123456789",$B141="987654321",$B141="012345678",$B141=REPT(LEFT($B141&amp;"",1),9)))),"Dependent SSN, ","")&amp;IF(OR($C141="",LEN($C141)&gt;19,AND($C141&lt;&gt;"",SUMPRODUCT(--(ROW($1:$19)&lt;=LEN($C141&amp;"")),--ISERROR(FIND(MID($C141&amp;"",ROW($1:$19),1),"ABCDEFGHIJKLMNOPQRSTUVWXYZabcdefghijklmnopqrstuvwxyz .,")))&gt;0)),"First Name, ","")&amp;IF(OR($D141="",LEN($D141)&gt;26,AND($D141&lt;&gt;"",SUMPRODUCT(--(ROW($1:$26)&lt;=LEN($D141&amp;"")),--ISERROR(FIND(MID($D141&amp;"",ROW($1:$26),1),"ABCDEFGHIJKLMNOPQRSTUVWXYZabcdefghijklmnopqrstuvwxyz .,")))&gt;0)),"Last Name, ","")&amp;IF(OR(LEN($E141)&gt;1,AND($E141&lt;&gt;"",SUMPRODUCT(--(ROW($1:$1)&lt;=LEN($E141&amp;"")),--ISERROR(FIND(MID($E141&amp;"",ROW($1:$1),1),"ABCDEFGHIJKLMNOPQRSTUVWXYZabcdefghijklmnopqrstuvwxyz .,")))&gt;0)),"Middle Initial, ","")&amp;IF(OR($F141="",LEN($F141)&gt;75),"Address, ","")&amp;IF(OR($H141="",LEN($H141)&gt;30),"City, ","")&amp;IF(AND($K141="US",OR($I141="",LEN($I141)&lt;&gt;2)),"State, ","")&amp;IF($J141="","ZIP, ","")&amp;IF(OR($K141="",AND($K141&lt;&gt;"US",$K141&lt;&gt;"CA")),"Country, ","")&amp;IF(OR($L141="",AND($L141&lt;&gt;"",OR(NOT(ISNUMBER($L141)),$L141&lt;=DATE(1900,1,1),$L141&gt;TODAY()))),"Birthdate, ","")&amp;IF(AND($N141&lt;&gt;"",NOT(IFERROR(AND(ISNUMBER(SEARCH("@",$N141)),ISNUMBER(SEARCH(".",$N141,SEARCH("@",$N141)+2))),FALSE))),"Email, ","")&amp;IF(OR(AND($B141&lt;&gt;"",$O141=""),AND($O141&lt;&gt;"",$O141&lt;&gt;"Spouse or Common Law Spouse",$O141&lt;&gt;"Domestic Partner",$O141&lt;&gt;"Child",$O141&lt;&gt;"Other",$O141&lt;&gt;"Estate",$O141&lt;&gt;"Unknown")),"Dependent Relationship, ","")&amp;IF($AA141&lt;&gt;"","Household, ","")&amp;IF(OR($P141="",AND($P141&lt;&gt;"",OR(NOT(ISNUMBER($P141)),$P141&lt;=DATE(1900,1,1)))),"Eligibility Date, ","")&amp;IF(OR(AND($R141="Terminated",$Q141=""),AND($Q141&lt;&gt;"",OR(NOT(ISNUMBER($Q141)),$Q141&lt;=DATE(1900,1,1))),AND(ISNUMBER($P141),ISNUMBER($Q141),$Q141&lt;$P141)),"Termination Date, ","")&amp;IF(OR($R141="",AND($R141&lt;&gt;"Active",$R141&lt;&gt;"Terminated"),AND('START HERE'!$C$8="Terminations Only",$R141&lt;&gt;"Terminated")),"Status, ","")&amp;IF($S141="","Plan Name, ","")&amp;IF($T141="","Coverage Level, ","")&amp;IF(AND($U141&lt;&gt;"",OR(NOT(ISNUMBER($U141)),$U141&lt;0)),"Funding, ","")&amp;IF(AND($A141&lt;&gt;"",$S141&lt;&gt;"",COUNTIFS($A$2:$A$501,$A141,$B$2:$B$501,$B141,$S$2:$S$501,$S141)&gt;1),"Duplicate Row, ",""))</f>
        <v/>
      </c>
      <c r="AF141">
        <f>IF(COUNTA($A141:$U141)=0,"",$Y141&amp;$Z141&amp;$AA141&amp;$AB141&amp;$AC141)</f>
        <v/>
      </c>
      <c r="AG141">
        <f>IF($N141="","",LOWER(TRIM($N141)))</f>
        <v/>
      </c>
      <c r="AH141">
        <f>IF($A141="","",COUNTIFS($A$2:$A$501,$A141,$AI$2:$AI$501,1))</f>
        <v/>
      </c>
      <c r="AI141">
        <f>IF(COUNTA($A141:$U141)=0,"",--($AF141&lt;&gt;""))</f>
        <v/>
      </c>
      <c r="AJ141">
        <f>IF(COUNTA($A141:$U141)=0,"",--($AD141&lt;&gt;""))</f>
        <v/>
      </c>
    </row>
    <row r="142" ht="20" customHeight="1">
      <c r="A142" s="80" t="n"/>
      <c r="B142" s="80" t="n"/>
      <c r="C142" s="81" t="n"/>
      <c r="D142" s="81" t="n"/>
      <c r="E142" s="80" t="n"/>
      <c r="F142" s="81" t="n"/>
      <c r="G142" s="81" t="n"/>
      <c r="H142" s="81" t="n"/>
      <c r="I142" s="80" t="n"/>
      <c r="J142" s="80" t="n"/>
      <c r="K142" s="80" t="n"/>
      <c r="L142" s="82" t="n"/>
      <c r="M142" s="80" t="n"/>
      <c r="N142" s="80" t="n"/>
      <c r="O142" s="80" t="n"/>
      <c r="P142" s="82" t="n"/>
      <c r="Q142" s="82" t="n"/>
      <c r="R142" s="80" t="n"/>
      <c r="S142" s="80" t="n"/>
      <c r="T142" s="80" t="n"/>
      <c r="U142" s="83" t="n"/>
      <c r="V142">
        <f>IF($A142="","",IF($A142=$A141,$V141,IF($V141="",0,1-$V141)))</f>
        <v/>
      </c>
      <c r="W142">
        <f>IF($B142&lt;&gt;"",$B142,$A142)</f>
        <v/>
      </c>
      <c r="X142">
        <f>IF(COUNTA($A142:$U142)=0,"",IF(OR($B142&lt;&gt;"",$O142&lt;&gt;""),"Dependent","Employee"))</f>
        <v/>
      </c>
      <c r="Y142">
        <f>IF(COUNTA($A142:$U142)=0,"",IF($A142="","Employee SSN is required; ","")&amp;IF($C142="","First Name is required; ","")&amp;IF(LEN($C142&amp;"")&gt;19,"First Name exceeds 19 characters; ","")&amp;IF(AND($C142&lt;&gt;"",SUMPRODUCT(--(ROW($1:$19)&lt;=LEN($C142&amp;"")),--ISERROR(FIND(MID($C142&amp;"",ROW($1:$19),1),"ABCDEFGHIJKLMNOPQRSTUVWXYZabcdefghijklmnopqrstuvwxyz .,")))&gt;0),"First Name contains unsupported or encoded characters; use plain A-Z letters only; ","")&amp;IF($D142="","Last Name is required; ","")&amp;IF(LEN($D142&amp;"")&gt;26,"Last Name exceeds 26 characters; ","")&amp;IF(AND($D142&lt;&gt;"",SUMPRODUCT(--(ROW($1:$26)&lt;=LEN($D142&amp;"")),--ISERROR(FIND(MID($D142&amp;"",ROW($1:$26),1),"ABCDEFGHIJKLMNOPQRSTUVWXYZabcdefghijklmnopqrstuvwxyz .,")))&gt;0),"Last Name contains unsupported or encoded characters; use plain A-Z letters only; ","")&amp;IF(LEN($E142&amp;"")&gt;1,"Middle Initial may contain only one character; ","")&amp;IF(AND($E142&lt;&gt;"",SUMPRODUCT(--(ROW($1:$1)&lt;=LEN($E142&amp;"")),--ISERROR(FIND(MID($E142&amp;"",ROW($1:$1),1),"ABCDEFGHIJKLMNOPQRSTUVWXYZabcdefghijklmnopqrstuvwxyz .,")))&gt;0),"Middle Initial must be a plain A-Z letter; ","")&amp;IF($F142="","Address is required; ","")&amp;IF(LEN($F142&amp;"")&gt;75,"Address exceeds 75 characters; ","")&amp;IF(LEN($G142&amp;"")&gt;75,"Address 2 exceeds 75 characters; ","")&amp;IF($H142="","City is required; ","")&amp;IF(LEN($H142&amp;"")&gt;30,"City exceeds 30 characters; ","")&amp;IF($K142="","Country is required; ","")&amp;IF(AND($K142&lt;&gt;"",$K142&lt;&gt;"US",$K142&lt;&gt;"CA"),"Country must be US or CA; ","")&amp;IF(AND($K142="US",OR($I142="",LEN($I142&amp;"")&lt;&gt;2)),"Use a 2-letter state code; ","")&amp;IF($J142="","ZIP or postal code is required; ","")&amp;IF(AND($K142="US",$J142&lt;&gt;"",NOT(IFERROR(OR(AND(LEN($J142&amp;"")=5,ISNUMBER(--($J142&amp;""))),AND(LEN($J142&amp;"")=9,ISNUMBER(--($J142&amp;""))),AND(LEN($J142&amp;"")=10,MID($J142&amp;"",6,1)="-",ISNUMBER(--SUBSTITUTE($J142&amp;"","-","")))),FALSE))),"US ZIP must be 5 or 9 digits, with an optional ZIP+4 hyphen; ","")&amp;IF(AND($N142&lt;&gt;"",NOT(IFERROR(AND(ISNUMBER(SEARCH("@",$N142)),ISNUMBER(SEARCH(".",$N142,SEARCH("@",$N142)+2))),FALSE))),"Email format appears invalid; ","")&amp;IF(AND($O142&lt;&gt;"",$B142=""),"Dependent SSN is required for every dependent; ","")&amp;IF(AND($B142&lt;&gt;"",$O142=""),"Dependent Relationship is required when Dependent SSN is entered; ","")&amp;IF(AND($O142&lt;&gt;"",$O142&lt;&gt;"Spouse or Common Law Spouse",$O142&lt;&gt;"Domestic Partner",$O142&lt;&gt;"Child",$O142&lt;&gt;"Other",$O142&lt;&gt;"Estate",$O142&lt;&gt;"Unknown"),"Dependent Relationship must use one of the approved options; ",""))</f>
        <v/>
      </c>
      <c r="Z142">
        <f>IF(COUNTA($A142:$U142)=0,"",IF(AND($A142&lt;&gt;"",NOT(IFERROR(AND(LEN($A142&amp;"")=9,ISNUMBER(--($A142&amp;""))),FALSE))),"Employee SSN must contain exactly 9 digits; ","")&amp;IF(AND($A142&lt;&gt;"",OR($A142="123456789",$A142="987654321",$A142="012345678",$A142=REPT(LEFT($A142&amp;"",1),9))),"Employee SSN appears to be a placeholder; ","")&amp;IF(AND($B142&lt;&gt;"",NOT(IFERROR(AND(LEN($B142&amp;"")=9,ISNUMBER(--($B142&amp;""))),FALSE))),"Dependent SSN must contain exactly 9 digits; ","")&amp;IF(AND($B142&lt;&gt;"",OR($B142="123456789",$B142="987654321",$B142="012345678",$B142=REPT(LEFT($B142&amp;"",1),9))),"Dependent SSN appears to be a placeholder; ","")&amp;IF(AND($A142&lt;&gt;"",$B142&lt;&gt;"",$A142&amp;""=$B142&amp;""),"Dependent SSN cannot match Employee SSN; ","")&amp;IF(AND($W142&lt;&gt;"",OR(COUNTIFS($W$2:$W$501,$W142,$C$2:$C$501,"&lt;&gt;"&amp;$C142)&gt;0,COUNTIFS($W$2:$W$501,$W142,$D$2:$D$501,"&lt;&gt;"&amp;$D142)&gt;0,COUNTIFS($W$2:$W$501,$W142,$L$2:$L$501,"&lt;&gt;"&amp;$L142)&gt;0)),"The same SSN is associated with a different name or birthdate; ",""))</f>
        <v/>
      </c>
      <c r="AA142">
        <f>IF(COUNTA($A142:$U142)=0,"",IF(AND($A142&lt;&gt;"",$S142&lt;&gt;"",COUNTIFS($A$2:$A$501,$A142,$S$2:$S$501,$S142,$B$2:$B$501,"",$O$2:$O$501,"")=0),"Add an employee row for this household and plan; ","")&amp;IF(AND($X142="Dependent",COUNTIFS($A$2:$A142,$A142,$S$2:$S142,$S142,$B$2:$B142,"",$O$2:$O142,"")=0),"Place the employee row before dependent rows for this plan; ","")&amp;IF(AND($X142="Dependent",COUNTIFS($A$2:$A$501,$A142,$S$2:$S$501,$S142,$B$2:$B$501,"",$O$2:$O$501,"")&gt;0,IFERROR(OR($P142&lt;&gt;LOOKUP(2,1/(($A$2:$A$501=$A142)*($S$2:$S$501=$S142)*($B$2:$B$501="")*($O$2:$O$501="")),$P$2:$P$501),$Q142&lt;&gt;LOOKUP(2,1/(($A$2:$A$501=$A142)*($S$2:$S$501=$S142)*($B$2:$B$501="")*($O$2:$O$501="")),$Q$2:$Q$501),$R142&lt;&gt;LOOKUP(2,1/(($A$2:$A$501=$A142)*($S$2:$S$501=$S142)*($B$2:$B$501="")*($O$2:$O$501="")),$R$2:$R$501),$T142&lt;&gt;LOOKUP(2,1/(($A$2:$A$501=$A142)*($S$2:$S$501=$S142)*($B$2:$B$501="")*($O$2:$O$501="")),$T$2:$T$501),$U142&lt;&gt;LOOKUP(2,1/(($A$2:$A$501=$A142)*($S$2:$S$501=$S142)*($B$2:$B$501="")*($O$2:$O$501="")),$U$2:$U$501)),FALSE)),"Dependent row does not match the employee row for eligibility, status, coverage level, or funding; ",""))</f>
        <v/>
      </c>
      <c r="AB142">
        <f>IF(COUNTA($A142:$U142)=0,"",IF($L142="","Birthdate is required; ","")&amp;IF(AND($L142&lt;&gt;"",OR(NOT(ISNUMBER($L142)),$L142&lt;=DATE(1900,1,1),$L142&gt;TODAY())),"Birthdate must be an exact valid past date; ","")&amp;IF($P142="","Eligibility Date is required; ","")&amp;IF(AND($P142&lt;&gt;"",OR(NOT(ISNUMBER($P142)),$P142&lt;=DATE(1900,1,1))),"Eligibility Date must be a valid date; ","")&amp;IF(AND($R142="Terminated",$Q142=""),"Termination Date is required when Status is Terminated; ","")&amp;IF(AND($Q142&lt;&gt;"",OR(NOT(ISNUMBER($Q142)),$Q142&lt;=DATE(1900,1,1))),"Termination Date must be a valid date; ","")&amp;IF(AND(ISNUMBER($P142),ISNUMBER($Q142),$Q142&lt;$P142),"Termination Date cannot be before Eligibility Date; ","")&amp;IF($R142="","Status is required; ","")&amp;IF(AND($R142&lt;&gt;"",$R142&lt;&gt;"Active",$R142&lt;&gt;"Terminated"),"Status must be Active or Terminated; ","")&amp;IF(AND('START HERE'!$C$8="Terminations Only",$R142&lt;&gt;"Terminated"),"Terminations Only files must contain terminated records; ",""))</f>
        <v/>
      </c>
      <c r="AC142">
        <f>IF(COUNTA($A142:$U142)=0,"",IF($S142="","Plan Name is required; ","")&amp;IF($T142="","Benefit Coverage Level is required; ","")&amp;IF(AND($U142&lt;&gt;"",OR(NOT(ISNUMBER($U142)),$U142&lt;0)),"Plan Funding Amount must be a nonnegative number; ","")&amp;IF(AND($A142&lt;&gt;"",$S142&lt;&gt;"",COUNTIFS($A$2:$A$501,$A142,$B$2:$B$501,$B142,$S$2:$S$501,$S142)&gt;1),"Duplicate participant and plan row; ",""))</f>
        <v/>
      </c>
      <c r="AD142">
        <f>IF(COUNTA($A142:$U142)=0,"",IF(AND($X142="Employee",$M142="",$N142=""),"No employee phone or email provided; ","")&amp;IF(AND($R142="Active",$Q142&lt;&gt;""),"Active record includes a Termination Date; confirm this is intentional; ","")&amp;IF(AND($B142&lt;&gt;"",$B142&amp;""&lt;&gt;$A142&amp;"",COUNTIF($A$2:$A$501,$B142)&gt;0),"Dependent SSN also appears as an Employee SSN elsewhere; confirm dual-employee coverage is intentional; ","")&amp;IF(AND($B142&lt;&gt;"",COUNTIF($B$2:$B$501,$B142)&gt;COUNTIFS($A$2:$A$501,$A142,$B$2:$B$501,$B142)),"Dependent SSN appears under more than one employee; confirm duplicate family coverage is intentional; ","")&amp;IF(AND(ROW()&gt;2,$A142&lt;&gt;"",$A142&lt;&gt;$A141,COUNTIF($A$2:$A141,$A142)&gt;0),"This household appears in more than one section of the census; keep the family together; ","")&amp;IF(OR(AND($C142&lt;&gt;"",LEN($C142&amp;"")&lt;&gt;LEN(TRIM($C142&amp;""))),AND($D142&lt;&gt;"",LEN($D142&amp;"")&lt;&gt;LEN(TRIM($D142&amp;""))),AND($E142&lt;&gt;"",LEN($E142&amp;"")&lt;&gt;LEN(TRIM($E142&amp;""))),AND($F142&lt;&gt;"",LEN($F142&amp;"")&lt;&gt;LEN(TRIM($F142&amp;""))),AND($G142&lt;&gt;"",LEN($G142&amp;"")&lt;&gt;LEN(TRIM($G142&amp;""))),AND($H142&lt;&gt;"",LEN($H142&amp;"")&lt;&gt;LEN(TRIM($H142&amp;""))),AND($I142&lt;&gt;"",LEN($I142&amp;"")&lt;&gt;LEN(TRIM($I142&amp;""))),AND($J142&lt;&gt;"",LEN($J142&amp;"")&lt;&gt;LEN(TRIM($J142&amp;""))),AND($K142&lt;&gt;"",LEN($K142&amp;"")&lt;&gt;LEN(TRIM($K142&amp;""))),AND($M142&lt;&gt;"",LEN($M142&amp;"")&lt;&gt;LEN(TRIM($M142&amp;""))),AND($N142&lt;&gt;"",LEN($N142&amp;"")&lt;&gt;LEN(TRIM($N142&amp;""))),AND($O142&lt;&gt;"",LEN($O142&amp;"")&lt;&gt;LEN(TRIM($O142&amp;""))),AND($R142&lt;&gt;"",LEN($R142&amp;"")&lt;&gt;LEN(TRIM($R142&amp;""))),AND($S142&lt;&gt;"",LEN($S142&amp;"")&lt;&gt;LEN(TRIM($S142&amp;""))),AND($T142&lt;&gt;"",LEN($T142&amp;"")&lt;&gt;LEN(TRIM($T142&amp;"")))),"Remove leading or trailing spaces from text fields; ","")&amp;IF(OR(AND(LEN($C142)&gt;1,OR(EXACT($C142,UPPER($C142)),EXACT($C142,LOWER($C142)))),AND(LEN($D142)&gt;1,OR(EXACT($D142,UPPER($D142)),EXACT($D142,LOWER($D142)))),AND(LEN($H142)&gt;1,OR(EXACT($H142,UPPER($H142)),EXACT($H142,LOWER($H142))))),"Review capitalization in First Name, Last Name, or City; ","")&amp;IF(AND($N142&lt;&gt;"",NOT(EXACT($N142,LOWER($N142)))),"Email will be standardized to lowercase in the clean output; ","")&amp;IF(AND(OR('START HERE'!$C$8="Initial Enrollment",'START HERE'!$C$8="Open Enrollment"),$R142="Terminated"),"A terminated row is included in an initial or open enrollment file; confirm this is intentional; ",""))</f>
        <v/>
      </c>
      <c r="AE142">
        <f>IF(COUNTA($A142:$U142)=0,"",IF(OR($A142="",AND($A142&lt;&gt;"",NOT(IFERROR(AND(LEN($A142&amp;"")=9,ISNUMBER(--($A142&amp;""))),FALSE))),AND($A142&lt;&gt;"",OR($A142="123456789",$A142="987654321",$A142="012345678",$A142=REPT(LEFT($A142&amp;"",1),9)))),"Employee SSN, ","")&amp;IF(OR(AND($O142&lt;&gt;"",$B142=""),AND($B142&lt;&gt;"",OR(NOT(IFERROR(AND(LEN($B142&amp;"")=9,ISNUMBER(--($B142&amp;""))),FALSE)),$B142=$A142,$B142="123456789",$B142="987654321",$B142="012345678",$B142=REPT(LEFT($B142&amp;"",1),9)))),"Dependent SSN, ","")&amp;IF(OR($C142="",LEN($C142)&gt;19,AND($C142&lt;&gt;"",SUMPRODUCT(--(ROW($1:$19)&lt;=LEN($C142&amp;"")),--ISERROR(FIND(MID($C142&amp;"",ROW($1:$19),1),"ABCDEFGHIJKLMNOPQRSTUVWXYZabcdefghijklmnopqrstuvwxyz .,")))&gt;0)),"First Name, ","")&amp;IF(OR($D142="",LEN($D142)&gt;26,AND($D142&lt;&gt;"",SUMPRODUCT(--(ROW($1:$26)&lt;=LEN($D142&amp;"")),--ISERROR(FIND(MID($D142&amp;"",ROW($1:$26),1),"ABCDEFGHIJKLMNOPQRSTUVWXYZabcdefghijklmnopqrstuvwxyz .,")))&gt;0)),"Last Name, ","")&amp;IF(OR(LEN($E142)&gt;1,AND($E142&lt;&gt;"",SUMPRODUCT(--(ROW($1:$1)&lt;=LEN($E142&amp;"")),--ISERROR(FIND(MID($E142&amp;"",ROW($1:$1),1),"ABCDEFGHIJKLMNOPQRSTUVWXYZabcdefghijklmnopqrstuvwxyz .,")))&gt;0)),"Middle Initial, ","")&amp;IF(OR($F142="",LEN($F142)&gt;75),"Address, ","")&amp;IF(OR($H142="",LEN($H142)&gt;30),"City, ","")&amp;IF(AND($K142="US",OR($I142="",LEN($I142)&lt;&gt;2)),"State, ","")&amp;IF($J142="","ZIP, ","")&amp;IF(OR($K142="",AND($K142&lt;&gt;"US",$K142&lt;&gt;"CA")),"Country, ","")&amp;IF(OR($L142="",AND($L142&lt;&gt;"",OR(NOT(ISNUMBER($L142)),$L142&lt;=DATE(1900,1,1),$L142&gt;TODAY()))),"Birthdate, ","")&amp;IF(AND($N142&lt;&gt;"",NOT(IFERROR(AND(ISNUMBER(SEARCH("@",$N142)),ISNUMBER(SEARCH(".",$N142,SEARCH("@",$N142)+2))),FALSE))),"Email, ","")&amp;IF(OR(AND($B142&lt;&gt;"",$O142=""),AND($O142&lt;&gt;"",$O142&lt;&gt;"Spouse or Common Law Spouse",$O142&lt;&gt;"Domestic Partner",$O142&lt;&gt;"Child",$O142&lt;&gt;"Other",$O142&lt;&gt;"Estate",$O142&lt;&gt;"Unknown")),"Dependent Relationship, ","")&amp;IF($AA142&lt;&gt;"","Household, ","")&amp;IF(OR($P142="",AND($P142&lt;&gt;"",OR(NOT(ISNUMBER($P142)),$P142&lt;=DATE(1900,1,1)))),"Eligibility Date, ","")&amp;IF(OR(AND($R142="Terminated",$Q142=""),AND($Q142&lt;&gt;"",OR(NOT(ISNUMBER($Q142)),$Q142&lt;=DATE(1900,1,1))),AND(ISNUMBER($P142),ISNUMBER($Q142),$Q142&lt;$P142)),"Termination Date, ","")&amp;IF(OR($R142="",AND($R142&lt;&gt;"Active",$R142&lt;&gt;"Terminated"),AND('START HERE'!$C$8="Terminations Only",$R142&lt;&gt;"Terminated")),"Status, ","")&amp;IF($S142="","Plan Name, ","")&amp;IF($T142="","Coverage Level, ","")&amp;IF(AND($U142&lt;&gt;"",OR(NOT(ISNUMBER($U142)),$U142&lt;0)),"Funding, ","")&amp;IF(AND($A142&lt;&gt;"",$S142&lt;&gt;"",COUNTIFS($A$2:$A$501,$A142,$B$2:$B$501,$B142,$S$2:$S$501,$S142)&gt;1),"Duplicate Row, ",""))</f>
        <v/>
      </c>
      <c r="AF142">
        <f>IF(COUNTA($A142:$U142)=0,"",$Y142&amp;$Z142&amp;$AA142&amp;$AB142&amp;$AC142)</f>
        <v/>
      </c>
      <c r="AG142">
        <f>IF($N142="","",LOWER(TRIM($N142)))</f>
        <v/>
      </c>
      <c r="AH142">
        <f>IF($A142="","",COUNTIFS($A$2:$A$501,$A142,$AI$2:$AI$501,1))</f>
        <v/>
      </c>
      <c r="AI142">
        <f>IF(COUNTA($A142:$U142)=0,"",--($AF142&lt;&gt;""))</f>
        <v/>
      </c>
      <c r="AJ142">
        <f>IF(COUNTA($A142:$U142)=0,"",--($AD142&lt;&gt;""))</f>
        <v/>
      </c>
    </row>
    <row r="143" ht="20" customHeight="1">
      <c r="A143" s="80" t="n"/>
      <c r="B143" s="80" t="n"/>
      <c r="C143" s="81" t="n"/>
      <c r="D143" s="81" t="n"/>
      <c r="E143" s="80" t="n"/>
      <c r="F143" s="81" t="n"/>
      <c r="G143" s="81" t="n"/>
      <c r="H143" s="81" t="n"/>
      <c r="I143" s="80" t="n"/>
      <c r="J143" s="80" t="n"/>
      <c r="K143" s="80" t="n"/>
      <c r="L143" s="82" t="n"/>
      <c r="M143" s="80" t="n"/>
      <c r="N143" s="80" t="n"/>
      <c r="O143" s="80" t="n"/>
      <c r="P143" s="82" t="n"/>
      <c r="Q143" s="82" t="n"/>
      <c r="R143" s="80" t="n"/>
      <c r="S143" s="80" t="n"/>
      <c r="T143" s="80" t="n"/>
      <c r="U143" s="83" t="n"/>
      <c r="V143">
        <f>IF($A143="","",IF($A143=$A142,$V142,IF($V142="",0,1-$V142)))</f>
        <v/>
      </c>
      <c r="W143">
        <f>IF($B143&lt;&gt;"",$B143,$A143)</f>
        <v/>
      </c>
      <c r="X143">
        <f>IF(COUNTA($A143:$U143)=0,"",IF(OR($B143&lt;&gt;"",$O143&lt;&gt;""),"Dependent","Employee"))</f>
        <v/>
      </c>
      <c r="Y143">
        <f>IF(COUNTA($A143:$U143)=0,"",IF($A143="","Employee SSN is required; ","")&amp;IF($C143="","First Name is required; ","")&amp;IF(LEN($C143&amp;"")&gt;19,"First Name exceeds 19 characters; ","")&amp;IF(AND($C143&lt;&gt;"",SUMPRODUCT(--(ROW($1:$19)&lt;=LEN($C143&amp;"")),--ISERROR(FIND(MID($C143&amp;"",ROW($1:$19),1),"ABCDEFGHIJKLMNOPQRSTUVWXYZabcdefghijklmnopqrstuvwxyz .,")))&gt;0),"First Name contains unsupported or encoded characters; use plain A-Z letters only; ","")&amp;IF($D143="","Last Name is required; ","")&amp;IF(LEN($D143&amp;"")&gt;26,"Last Name exceeds 26 characters; ","")&amp;IF(AND($D143&lt;&gt;"",SUMPRODUCT(--(ROW($1:$26)&lt;=LEN($D143&amp;"")),--ISERROR(FIND(MID($D143&amp;"",ROW($1:$26),1),"ABCDEFGHIJKLMNOPQRSTUVWXYZabcdefghijklmnopqrstuvwxyz .,")))&gt;0),"Last Name contains unsupported or encoded characters; use plain A-Z letters only; ","")&amp;IF(LEN($E143&amp;"")&gt;1,"Middle Initial may contain only one character; ","")&amp;IF(AND($E143&lt;&gt;"",SUMPRODUCT(--(ROW($1:$1)&lt;=LEN($E143&amp;"")),--ISERROR(FIND(MID($E143&amp;"",ROW($1:$1),1),"ABCDEFGHIJKLMNOPQRSTUVWXYZabcdefghijklmnopqrstuvwxyz .,")))&gt;0),"Middle Initial must be a plain A-Z letter; ","")&amp;IF($F143="","Address is required; ","")&amp;IF(LEN($F143&amp;"")&gt;75,"Address exceeds 75 characters; ","")&amp;IF(LEN($G143&amp;"")&gt;75,"Address 2 exceeds 75 characters; ","")&amp;IF($H143="","City is required; ","")&amp;IF(LEN($H143&amp;"")&gt;30,"City exceeds 30 characters; ","")&amp;IF($K143="","Country is required; ","")&amp;IF(AND($K143&lt;&gt;"",$K143&lt;&gt;"US",$K143&lt;&gt;"CA"),"Country must be US or CA; ","")&amp;IF(AND($K143="US",OR($I143="",LEN($I143&amp;"")&lt;&gt;2)),"Use a 2-letter state code; ","")&amp;IF($J143="","ZIP or postal code is required; ","")&amp;IF(AND($K143="US",$J143&lt;&gt;"",NOT(IFERROR(OR(AND(LEN($J143&amp;"")=5,ISNUMBER(--($J143&amp;""))),AND(LEN($J143&amp;"")=9,ISNUMBER(--($J143&amp;""))),AND(LEN($J143&amp;"")=10,MID($J143&amp;"",6,1)="-",ISNUMBER(--SUBSTITUTE($J143&amp;"","-","")))),FALSE))),"US ZIP must be 5 or 9 digits, with an optional ZIP+4 hyphen; ","")&amp;IF(AND($N143&lt;&gt;"",NOT(IFERROR(AND(ISNUMBER(SEARCH("@",$N143)),ISNUMBER(SEARCH(".",$N143,SEARCH("@",$N143)+2))),FALSE))),"Email format appears invalid; ","")&amp;IF(AND($O143&lt;&gt;"",$B143=""),"Dependent SSN is required for every dependent; ","")&amp;IF(AND($B143&lt;&gt;"",$O143=""),"Dependent Relationship is required when Dependent SSN is entered; ","")&amp;IF(AND($O143&lt;&gt;"",$O143&lt;&gt;"Spouse or Common Law Spouse",$O143&lt;&gt;"Domestic Partner",$O143&lt;&gt;"Child",$O143&lt;&gt;"Other",$O143&lt;&gt;"Estate",$O143&lt;&gt;"Unknown"),"Dependent Relationship must use one of the approved options; ",""))</f>
        <v/>
      </c>
      <c r="Z143">
        <f>IF(COUNTA($A143:$U143)=0,"",IF(AND($A143&lt;&gt;"",NOT(IFERROR(AND(LEN($A143&amp;"")=9,ISNUMBER(--($A143&amp;""))),FALSE))),"Employee SSN must contain exactly 9 digits; ","")&amp;IF(AND($A143&lt;&gt;"",OR($A143="123456789",$A143="987654321",$A143="012345678",$A143=REPT(LEFT($A143&amp;"",1),9))),"Employee SSN appears to be a placeholder; ","")&amp;IF(AND($B143&lt;&gt;"",NOT(IFERROR(AND(LEN($B143&amp;"")=9,ISNUMBER(--($B143&amp;""))),FALSE))),"Dependent SSN must contain exactly 9 digits; ","")&amp;IF(AND($B143&lt;&gt;"",OR($B143="123456789",$B143="987654321",$B143="012345678",$B143=REPT(LEFT($B143&amp;"",1),9))),"Dependent SSN appears to be a placeholder; ","")&amp;IF(AND($A143&lt;&gt;"",$B143&lt;&gt;"",$A143&amp;""=$B143&amp;""),"Dependent SSN cannot match Employee SSN; ","")&amp;IF(AND($W143&lt;&gt;"",OR(COUNTIFS($W$2:$W$501,$W143,$C$2:$C$501,"&lt;&gt;"&amp;$C143)&gt;0,COUNTIFS($W$2:$W$501,$W143,$D$2:$D$501,"&lt;&gt;"&amp;$D143)&gt;0,COUNTIFS($W$2:$W$501,$W143,$L$2:$L$501,"&lt;&gt;"&amp;$L143)&gt;0)),"The same SSN is associated with a different name or birthdate; ",""))</f>
        <v/>
      </c>
      <c r="AA143">
        <f>IF(COUNTA($A143:$U143)=0,"",IF(AND($A143&lt;&gt;"",$S143&lt;&gt;"",COUNTIFS($A$2:$A$501,$A143,$S$2:$S$501,$S143,$B$2:$B$501,"",$O$2:$O$501,"")=0),"Add an employee row for this household and plan; ","")&amp;IF(AND($X143="Dependent",COUNTIFS($A$2:$A143,$A143,$S$2:$S143,$S143,$B$2:$B143,"",$O$2:$O143,"")=0),"Place the employee row before dependent rows for this plan; ","")&amp;IF(AND($X143="Dependent",COUNTIFS($A$2:$A$501,$A143,$S$2:$S$501,$S143,$B$2:$B$501,"",$O$2:$O$501,"")&gt;0,IFERROR(OR($P143&lt;&gt;LOOKUP(2,1/(($A$2:$A$501=$A143)*($S$2:$S$501=$S143)*($B$2:$B$501="")*($O$2:$O$501="")),$P$2:$P$501),$Q143&lt;&gt;LOOKUP(2,1/(($A$2:$A$501=$A143)*($S$2:$S$501=$S143)*($B$2:$B$501="")*($O$2:$O$501="")),$Q$2:$Q$501),$R143&lt;&gt;LOOKUP(2,1/(($A$2:$A$501=$A143)*($S$2:$S$501=$S143)*($B$2:$B$501="")*($O$2:$O$501="")),$R$2:$R$501),$T143&lt;&gt;LOOKUP(2,1/(($A$2:$A$501=$A143)*($S$2:$S$501=$S143)*($B$2:$B$501="")*($O$2:$O$501="")),$T$2:$T$501),$U143&lt;&gt;LOOKUP(2,1/(($A$2:$A$501=$A143)*($S$2:$S$501=$S143)*($B$2:$B$501="")*($O$2:$O$501="")),$U$2:$U$501)),FALSE)),"Dependent row does not match the employee row for eligibility, status, coverage level, or funding; ",""))</f>
        <v/>
      </c>
      <c r="AB143">
        <f>IF(COUNTA($A143:$U143)=0,"",IF($L143="","Birthdate is required; ","")&amp;IF(AND($L143&lt;&gt;"",OR(NOT(ISNUMBER($L143)),$L143&lt;=DATE(1900,1,1),$L143&gt;TODAY())),"Birthdate must be an exact valid past date; ","")&amp;IF($P143="","Eligibility Date is required; ","")&amp;IF(AND($P143&lt;&gt;"",OR(NOT(ISNUMBER($P143)),$P143&lt;=DATE(1900,1,1))),"Eligibility Date must be a valid date; ","")&amp;IF(AND($R143="Terminated",$Q143=""),"Termination Date is required when Status is Terminated; ","")&amp;IF(AND($Q143&lt;&gt;"",OR(NOT(ISNUMBER($Q143)),$Q143&lt;=DATE(1900,1,1))),"Termination Date must be a valid date; ","")&amp;IF(AND(ISNUMBER($P143),ISNUMBER($Q143),$Q143&lt;$P143),"Termination Date cannot be before Eligibility Date; ","")&amp;IF($R143="","Status is required; ","")&amp;IF(AND($R143&lt;&gt;"",$R143&lt;&gt;"Active",$R143&lt;&gt;"Terminated"),"Status must be Active or Terminated; ","")&amp;IF(AND('START HERE'!$C$8="Terminations Only",$R143&lt;&gt;"Terminated"),"Terminations Only files must contain terminated records; ",""))</f>
        <v/>
      </c>
      <c r="AC143">
        <f>IF(COUNTA($A143:$U143)=0,"",IF($S143="","Plan Name is required; ","")&amp;IF($T143="","Benefit Coverage Level is required; ","")&amp;IF(AND($U143&lt;&gt;"",OR(NOT(ISNUMBER($U143)),$U143&lt;0)),"Plan Funding Amount must be a nonnegative number; ","")&amp;IF(AND($A143&lt;&gt;"",$S143&lt;&gt;"",COUNTIFS($A$2:$A$501,$A143,$B$2:$B$501,$B143,$S$2:$S$501,$S143)&gt;1),"Duplicate participant and plan row; ",""))</f>
        <v/>
      </c>
      <c r="AD143">
        <f>IF(COUNTA($A143:$U143)=0,"",IF(AND($X143="Employee",$M143="",$N143=""),"No employee phone or email provided; ","")&amp;IF(AND($R143="Active",$Q143&lt;&gt;""),"Active record includes a Termination Date; confirm this is intentional; ","")&amp;IF(AND($B143&lt;&gt;"",$B143&amp;""&lt;&gt;$A143&amp;"",COUNTIF($A$2:$A$501,$B143)&gt;0),"Dependent SSN also appears as an Employee SSN elsewhere; confirm dual-employee coverage is intentional; ","")&amp;IF(AND($B143&lt;&gt;"",COUNTIF($B$2:$B$501,$B143)&gt;COUNTIFS($A$2:$A$501,$A143,$B$2:$B$501,$B143)),"Dependent SSN appears under more than one employee; confirm duplicate family coverage is intentional; ","")&amp;IF(AND(ROW()&gt;2,$A143&lt;&gt;"",$A143&lt;&gt;$A142,COUNTIF($A$2:$A142,$A143)&gt;0),"This household appears in more than one section of the census; keep the family together; ","")&amp;IF(OR(AND($C143&lt;&gt;"",LEN($C143&amp;"")&lt;&gt;LEN(TRIM($C143&amp;""))),AND($D143&lt;&gt;"",LEN($D143&amp;"")&lt;&gt;LEN(TRIM($D143&amp;""))),AND($E143&lt;&gt;"",LEN($E143&amp;"")&lt;&gt;LEN(TRIM($E143&amp;""))),AND($F143&lt;&gt;"",LEN($F143&amp;"")&lt;&gt;LEN(TRIM($F143&amp;""))),AND($G143&lt;&gt;"",LEN($G143&amp;"")&lt;&gt;LEN(TRIM($G143&amp;""))),AND($H143&lt;&gt;"",LEN($H143&amp;"")&lt;&gt;LEN(TRIM($H143&amp;""))),AND($I143&lt;&gt;"",LEN($I143&amp;"")&lt;&gt;LEN(TRIM($I143&amp;""))),AND($J143&lt;&gt;"",LEN($J143&amp;"")&lt;&gt;LEN(TRIM($J143&amp;""))),AND($K143&lt;&gt;"",LEN($K143&amp;"")&lt;&gt;LEN(TRIM($K143&amp;""))),AND($M143&lt;&gt;"",LEN($M143&amp;"")&lt;&gt;LEN(TRIM($M143&amp;""))),AND($N143&lt;&gt;"",LEN($N143&amp;"")&lt;&gt;LEN(TRIM($N143&amp;""))),AND($O143&lt;&gt;"",LEN($O143&amp;"")&lt;&gt;LEN(TRIM($O143&amp;""))),AND($R143&lt;&gt;"",LEN($R143&amp;"")&lt;&gt;LEN(TRIM($R143&amp;""))),AND($S143&lt;&gt;"",LEN($S143&amp;"")&lt;&gt;LEN(TRIM($S143&amp;""))),AND($T143&lt;&gt;"",LEN($T143&amp;"")&lt;&gt;LEN(TRIM($T143&amp;"")))),"Remove leading or trailing spaces from text fields; ","")&amp;IF(OR(AND(LEN($C143)&gt;1,OR(EXACT($C143,UPPER($C143)),EXACT($C143,LOWER($C143)))),AND(LEN($D143)&gt;1,OR(EXACT($D143,UPPER($D143)),EXACT($D143,LOWER($D143)))),AND(LEN($H143)&gt;1,OR(EXACT($H143,UPPER($H143)),EXACT($H143,LOWER($H143))))),"Review capitalization in First Name, Last Name, or City; ","")&amp;IF(AND($N143&lt;&gt;"",NOT(EXACT($N143,LOWER($N143)))),"Email will be standardized to lowercase in the clean output; ","")&amp;IF(AND(OR('START HERE'!$C$8="Initial Enrollment",'START HERE'!$C$8="Open Enrollment"),$R143="Terminated"),"A terminated row is included in an initial or open enrollment file; confirm this is intentional; ",""))</f>
        <v/>
      </c>
      <c r="AE143">
        <f>IF(COUNTA($A143:$U143)=0,"",IF(OR($A143="",AND($A143&lt;&gt;"",NOT(IFERROR(AND(LEN($A143&amp;"")=9,ISNUMBER(--($A143&amp;""))),FALSE))),AND($A143&lt;&gt;"",OR($A143="123456789",$A143="987654321",$A143="012345678",$A143=REPT(LEFT($A143&amp;"",1),9)))),"Employee SSN, ","")&amp;IF(OR(AND($O143&lt;&gt;"",$B143=""),AND($B143&lt;&gt;"",OR(NOT(IFERROR(AND(LEN($B143&amp;"")=9,ISNUMBER(--($B143&amp;""))),FALSE)),$B143=$A143,$B143="123456789",$B143="987654321",$B143="012345678",$B143=REPT(LEFT($B143&amp;"",1),9)))),"Dependent SSN, ","")&amp;IF(OR($C143="",LEN($C143)&gt;19,AND($C143&lt;&gt;"",SUMPRODUCT(--(ROW($1:$19)&lt;=LEN($C143&amp;"")),--ISERROR(FIND(MID($C143&amp;"",ROW($1:$19),1),"ABCDEFGHIJKLMNOPQRSTUVWXYZabcdefghijklmnopqrstuvwxyz .,")))&gt;0)),"First Name, ","")&amp;IF(OR($D143="",LEN($D143)&gt;26,AND($D143&lt;&gt;"",SUMPRODUCT(--(ROW($1:$26)&lt;=LEN($D143&amp;"")),--ISERROR(FIND(MID($D143&amp;"",ROW($1:$26),1),"ABCDEFGHIJKLMNOPQRSTUVWXYZabcdefghijklmnopqrstuvwxyz .,")))&gt;0)),"Last Name, ","")&amp;IF(OR(LEN($E143)&gt;1,AND($E143&lt;&gt;"",SUMPRODUCT(--(ROW($1:$1)&lt;=LEN($E143&amp;"")),--ISERROR(FIND(MID($E143&amp;"",ROW($1:$1),1),"ABCDEFGHIJKLMNOPQRSTUVWXYZabcdefghijklmnopqrstuvwxyz .,")))&gt;0)),"Middle Initial, ","")&amp;IF(OR($F143="",LEN($F143)&gt;75),"Address, ","")&amp;IF(OR($H143="",LEN($H143)&gt;30),"City, ","")&amp;IF(AND($K143="US",OR($I143="",LEN($I143)&lt;&gt;2)),"State, ","")&amp;IF($J143="","ZIP, ","")&amp;IF(OR($K143="",AND($K143&lt;&gt;"US",$K143&lt;&gt;"CA")),"Country, ","")&amp;IF(OR($L143="",AND($L143&lt;&gt;"",OR(NOT(ISNUMBER($L143)),$L143&lt;=DATE(1900,1,1),$L143&gt;TODAY()))),"Birthdate, ","")&amp;IF(AND($N143&lt;&gt;"",NOT(IFERROR(AND(ISNUMBER(SEARCH("@",$N143)),ISNUMBER(SEARCH(".",$N143,SEARCH("@",$N143)+2))),FALSE))),"Email, ","")&amp;IF(OR(AND($B143&lt;&gt;"",$O143=""),AND($O143&lt;&gt;"",$O143&lt;&gt;"Spouse or Common Law Spouse",$O143&lt;&gt;"Domestic Partner",$O143&lt;&gt;"Child",$O143&lt;&gt;"Other",$O143&lt;&gt;"Estate",$O143&lt;&gt;"Unknown")),"Dependent Relationship, ","")&amp;IF($AA143&lt;&gt;"","Household, ","")&amp;IF(OR($P143="",AND($P143&lt;&gt;"",OR(NOT(ISNUMBER($P143)),$P143&lt;=DATE(1900,1,1)))),"Eligibility Date, ","")&amp;IF(OR(AND($R143="Terminated",$Q143=""),AND($Q143&lt;&gt;"",OR(NOT(ISNUMBER($Q143)),$Q143&lt;=DATE(1900,1,1))),AND(ISNUMBER($P143),ISNUMBER($Q143),$Q143&lt;$P143)),"Termination Date, ","")&amp;IF(OR($R143="",AND($R143&lt;&gt;"Active",$R143&lt;&gt;"Terminated"),AND('START HERE'!$C$8="Terminations Only",$R143&lt;&gt;"Terminated")),"Status, ","")&amp;IF($S143="","Plan Name, ","")&amp;IF($T143="","Coverage Level, ","")&amp;IF(AND($U143&lt;&gt;"",OR(NOT(ISNUMBER($U143)),$U143&lt;0)),"Funding, ","")&amp;IF(AND($A143&lt;&gt;"",$S143&lt;&gt;"",COUNTIFS($A$2:$A$501,$A143,$B$2:$B$501,$B143,$S$2:$S$501,$S143)&gt;1),"Duplicate Row, ",""))</f>
        <v/>
      </c>
      <c r="AF143">
        <f>IF(COUNTA($A143:$U143)=0,"",$Y143&amp;$Z143&amp;$AA143&amp;$AB143&amp;$AC143)</f>
        <v/>
      </c>
      <c r="AG143">
        <f>IF($N143="","",LOWER(TRIM($N143)))</f>
        <v/>
      </c>
      <c r="AH143">
        <f>IF($A143="","",COUNTIFS($A$2:$A$501,$A143,$AI$2:$AI$501,1))</f>
        <v/>
      </c>
      <c r="AI143">
        <f>IF(COUNTA($A143:$U143)=0,"",--($AF143&lt;&gt;""))</f>
        <v/>
      </c>
      <c r="AJ143">
        <f>IF(COUNTA($A143:$U143)=0,"",--($AD143&lt;&gt;""))</f>
        <v/>
      </c>
    </row>
    <row r="144" ht="20" customHeight="1">
      <c r="A144" s="80" t="n"/>
      <c r="B144" s="80" t="n"/>
      <c r="C144" s="81" t="n"/>
      <c r="D144" s="81" t="n"/>
      <c r="E144" s="80" t="n"/>
      <c r="F144" s="81" t="n"/>
      <c r="G144" s="81" t="n"/>
      <c r="H144" s="81" t="n"/>
      <c r="I144" s="80" t="n"/>
      <c r="J144" s="80" t="n"/>
      <c r="K144" s="80" t="n"/>
      <c r="L144" s="82" t="n"/>
      <c r="M144" s="80" t="n"/>
      <c r="N144" s="80" t="n"/>
      <c r="O144" s="80" t="n"/>
      <c r="P144" s="82" t="n"/>
      <c r="Q144" s="82" t="n"/>
      <c r="R144" s="80" t="n"/>
      <c r="S144" s="80" t="n"/>
      <c r="T144" s="80" t="n"/>
      <c r="U144" s="83" t="n"/>
      <c r="V144">
        <f>IF($A144="","",IF($A144=$A143,$V143,IF($V143="",0,1-$V143)))</f>
        <v/>
      </c>
      <c r="W144">
        <f>IF($B144&lt;&gt;"",$B144,$A144)</f>
        <v/>
      </c>
      <c r="X144">
        <f>IF(COUNTA($A144:$U144)=0,"",IF(OR($B144&lt;&gt;"",$O144&lt;&gt;""),"Dependent","Employee"))</f>
        <v/>
      </c>
      <c r="Y144">
        <f>IF(COUNTA($A144:$U144)=0,"",IF($A144="","Employee SSN is required; ","")&amp;IF($C144="","First Name is required; ","")&amp;IF(LEN($C144&amp;"")&gt;19,"First Name exceeds 19 characters; ","")&amp;IF(AND($C144&lt;&gt;"",SUMPRODUCT(--(ROW($1:$19)&lt;=LEN($C144&amp;"")),--ISERROR(FIND(MID($C144&amp;"",ROW($1:$19),1),"ABCDEFGHIJKLMNOPQRSTUVWXYZabcdefghijklmnopqrstuvwxyz .,")))&gt;0),"First Name contains unsupported or encoded characters; use plain A-Z letters only; ","")&amp;IF($D144="","Last Name is required; ","")&amp;IF(LEN($D144&amp;"")&gt;26,"Last Name exceeds 26 characters; ","")&amp;IF(AND($D144&lt;&gt;"",SUMPRODUCT(--(ROW($1:$26)&lt;=LEN($D144&amp;"")),--ISERROR(FIND(MID($D144&amp;"",ROW($1:$26),1),"ABCDEFGHIJKLMNOPQRSTUVWXYZabcdefghijklmnopqrstuvwxyz .,")))&gt;0),"Last Name contains unsupported or encoded characters; use plain A-Z letters only; ","")&amp;IF(LEN($E144&amp;"")&gt;1,"Middle Initial may contain only one character; ","")&amp;IF(AND($E144&lt;&gt;"",SUMPRODUCT(--(ROW($1:$1)&lt;=LEN($E144&amp;"")),--ISERROR(FIND(MID($E144&amp;"",ROW($1:$1),1),"ABCDEFGHIJKLMNOPQRSTUVWXYZabcdefghijklmnopqrstuvwxyz .,")))&gt;0),"Middle Initial must be a plain A-Z letter; ","")&amp;IF($F144="","Address is required; ","")&amp;IF(LEN($F144&amp;"")&gt;75,"Address exceeds 75 characters; ","")&amp;IF(LEN($G144&amp;"")&gt;75,"Address 2 exceeds 75 characters; ","")&amp;IF($H144="","City is required; ","")&amp;IF(LEN($H144&amp;"")&gt;30,"City exceeds 30 characters; ","")&amp;IF($K144="","Country is required; ","")&amp;IF(AND($K144&lt;&gt;"",$K144&lt;&gt;"US",$K144&lt;&gt;"CA"),"Country must be US or CA; ","")&amp;IF(AND($K144="US",OR($I144="",LEN($I144&amp;"")&lt;&gt;2)),"Use a 2-letter state code; ","")&amp;IF($J144="","ZIP or postal code is required; ","")&amp;IF(AND($K144="US",$J144&lt;&gt;"",NOT(IFERROR(OR(AND(LEN($J144&amp;"")=5,ISNUMBER(--($J144&amp;""))),AND(LEN($J144&amp;"")=9,ISNUMBER(--($J144&amp;""))),AND(LEN($J144&amp;"")=10,MID($J144&amp;"",6,1)="-",ISNUMBER(--SUBSTITUTE($J144&amp;"","-","")))),FALSE))),"US ZIP must be 5 or 9 digits, with an optional ZIP+4 hyphen; ","")&amp;IF(AND($N144&lt;&gt;"",NOT(IFERROR(AND(ISNUMBER(SEARCH("@",$N144)),ISNUMBER(SEARCH(".",$N144,SEARCH("@",$N144)+2))),FALSE))),"Email format appears invalid; ","")&amp;IF(AND($O144&lt;&gt;"",$B144=""),"Dependent SSN is required for every dependent; ","")&amp;IF(AND($B144&lt;&gt;"",$O144=""),"Dependent Relationship is required when Dependent SSN is entered; ","")&amp;IF(AND($O144&lt;&gt;"",$O144&lt;&gt;"Spouse or Common Law Spouse",$O144&lt;&gt;"Domestic Partner",$O144&lt;&gt;"Child",$O144&lt;&gt;"Other",$O144&lt;&gt;"Estate",$O144&lt;&gt;"Unknown"),"Dependent Relationship must use one of the approved options; ",""))</f>
        <v/>
      </c>
      <c r="Z144">
        <f>IF(COUNTA($A144:$U144)=0,"",IF(AND($A144&lt;&gt;"",NOT(IFERROR(AND(LEN($A144&amp;"")=9,ISNUMBER(--($A144&amp;""))),FALSE))),"Employee SSN must contain exactly 9 digits; ","")&amp;IF(AND($A144&lt;&gt;"",OR($A144="123456789",$A144="987654321",$A144="012345678",$A144=REPT(LEFT($A144&amp;"",1),9))),"Employee SSN appears to be a placeholder; ","")&amp;IF(AND($B144&lt;&gt;"",NOT(IFERROR(AND(LEN($B144&amp;"")=9,ISNUMBER(--($B144&amp;""))),FALSE))),"Dependent SSN must contain exactly 9 digits; ","")&amp;IF(AND($B144&lt;&gt;"",OR($B144="123456789",$B144="987654321",$B144="012345678",$B144=REPT(LEFT($B144&amp;"",1),9))),"Dependent SSN appears to be a placeholder; ","")&amp;IF(AND($A144&lt;&gt;"",$B144&lt;&gt;"",$A144&amp;""=$B144&amp;""),"Dependent SSN cannot match Employee SSN; ","")&amp;IF(AND($W144&lt;&gt;"",OR(COUNTIFS($W$2:$W$501,$W144,$C$2:$C$501,"&lt;&gt;"&amp;$C144)&gt;0,COUNTIFS($W$2:$W$501,$W144,$D$2:$D$501,"&lt;&gt;"&amp;$D144)&gt;0,COUNTIFS($W$2:$W$501,$W144,$L$2:$L$501,"&lt;&gt;"&amp;$L144)&gt;0)),"The same SSN is associated with a different name or birthdate; ",""))</f>
        <v/>
      </c>
      <c r="AA144">
        <f>IF(COUNTA($A144:$U144)=0,"",IF(AND($A144&lt;&gt;"",$S144&lt;&gt;"",COUNTIFS($A$2:$A$501,$A144,$S$2:$S$501,$S144,$B$2:$B$501,"",$O$2:$O$501,"")=0),"Add an employee row for this household and plan; ","")&amp;IF(AND($X144="Dependent",COUNTIFS($A$2:$A144,$A144,$S$2:$S144,$S144,$B$2:$B144,"",$O$2:$O144,"")=0),"Place the employee row before dependent rows for this plan; ","")&amp;IF(AND($X144="Dependent",COUNTIFS($A$2:$A$501,$A144,$S$2:$S$501,$S144,$B$2:$B$501,"",$O$2:$O$501,"")&gt;0,IFERROR(OR($P144&lt;&gt;LOOKUP(2,1/(($A$2:$A$501=$A144)*($S$2:$S$501=$S144)*($B$2:$B$501="")*($O$2:$O$501="")),$P$2:$P$501),$Q144&lt;&gt;LOOKUP(2,1/(($A$2:$A$501=$A144)*($S$2:$S$501=$S144)*($B$2:$B$501="")*($O$2:$O$501="")),$Q$2:$Q$501),$R144&lt;&gt;LOOKUP(2,1/(($A$2:$A$501=$A144)*($S$2:$S$501=$S144)*($B$2:$B$501="")*($O$2:$O$501="")),$R$2:$R$501),$T144&lt;&gt;LOOKUP(2,1/(($A$2:$A$501=$A144)*($S$2:$S$501=$S144)*($B$2:$B$501="")*($O$2:$O$501="")),$T$2:$T$501),$U144&lt;&gt;LOOKUP(2,1/(($A$2:$A$501=$A144)*($S$2:$S$501=$S144)*($B$2:$B$501="")*($O$2:$O$501="")),$U$2:$U$501)),FALSE)),"Dependent row does not match the employee row for eligibility, status, coverage level, or funding; ",""))</f>
        <v/>
      </c>
      <c r="AB144">
        <f>IF(COUNTA($A144:$U144)=0,"",IF($L144="","Birthdate is required; ","")&amp;IF(AND($L144&lt;&gt;"",OR(NOT(ISNUMBER($L144)),$L144&lt;=DATE(1900,1,1),$L144&gt;TODAY())),"Birthdate must be an exact valid past date; ","")&amp;IF($P144="","Eligibility Date is required; ","")&amp;IF(AND($P144&lt;&gt;"",OR(NOT(ISNUMBER($P144)),$P144&lt;=DATE(1900,1,1))),"Eligibility Date must be a valid date; ","")&amp;IF(AND($R144="Terminated",$Q144=""),"Termination Date is required when Status is Terminated; ","")&amp;IF(AND($Q144&lt;&gt;"",OR(NOT(ISNUMBER($Q144)),$Q144&lt;=DATE(1900,1,1))),"Termination Date must be a valid date; ","")&amp;IF(AND(ISNUMBER($P144),ISNUMBER($Q144),$Q144&lt;$P144),"Termination Date cannot be before Eligibility Date; ","")&amp;IF($R144="","Status is required; ","")&amp;IF(AND($R144&lt;&gt;"",$R144&lt;&gt;"Active",$R144&lt;&gt;"Terminated"),"Status must be Active or Terminated; ","")&amp;IF(AND('START HERE'!$C$8="Terminations Only",$R144&lt;&gt;"Terminated"),"Terminations Only files must contain terminated records; ",""))</f>
        <v/>
      </c>
      <c r="AC144">
        <f>IF(COUNTA($A144:$U144)=0,"",IF($S144="","Plan Name is required; ","")&amp;IF($T144="","Benefit Coverage Level is required; ","")&amp;IF(AND($U144&lt;&gt;"",OR(NOT(ISNUMBER($U144)),$U144&lt;0)),"Plan Funding Amount must be a nonnegative number; ","")&amp;IF(AND($A144&lt;&gt;"",$S144&lt;&gt;"",COUNTIFS($A$2:$A$501,$A144,$B$2:$B$501,$B144,$S$2:$S$501,$S144)&gt;1),"Duplicate participant and plan row; ",""))</f>
        <v/>
      </c>
      <c r="AD144">
        <f>IF(COUNTA($A144:$U144)=0,"",IF(AND($X144="Employee",$M144="",$N144=""),"No employee phone or email provided; ","")&amp;IF(AND($R144="Active",$Q144&lt;&gt;""),"Active record includes a Termination Date; confirm this is intentional; ","")&amp;IF(AND($B144&lt;&gt;"",$B144&amp;""&lt;&gt;$A144&amp;"",COUNTIF($A$2:$A$501,$B144)&gt;0),"Dependent SSN also appears as an Employee SSN elsewhere; confirm dual-employee coverage is intentional; ","")&amp;IF(AND($B144&lt;&gt;"",COUNTIF($B$2:$B$501,$B144)&gt;COUNTIFS($A$2:$A$501,$A144,$B$2:$B$501,$B144)),"Dependent SSN appears under more than one employee; confirm duplicate family coverage is intentional; ","")&amp;IF(AND(ROW()&gt;2,$A144&lt;&gt;"",$A144&lt;&gt;$A143,COUNTIF($A$2:$A143,$A144)&gt;0),"This household appears in more than one section of the census; keep the family together; ","")&amp;IF(OR(AND($C144&lt;&gt;"",LEN($C144&amp;"")&lt;&gt;LEN(TRIM($C144&amp;""))),AND($D144&lt;&gt;"",LEN($D144&amp;"")&lt;&gt;LEN(TRIM($D144&amp;""))),AND($E144&lt;&gt;"",LEN($E144&amp;"")&lt;&gt;LEN(TRIM($E144&amp;""))),AND($F144&lt;&gt;"",LEN($F144&amp;"")&lt;&gt;LEN(TRIM($F144&amp;""))),AND($G144&lt;&gt;"",LEN($G144&amp;"")&lt;&gt;LEN(TRIM($G144&amp;""))),AND($H144&lt;&gt;"",LEN($H144&amp;"")&lt;&gt;LEN(TRIM($H144&amp;""))),AND($I144&lt;&gt;"",LEN($I144&amp;"")&lt;&gt;LEN(TRIM($I144&amp;""))),AND($J144&lt;&gt;"",LEN($J144&amp;"")&lt;&gt;LEN(TRIM($J144&amp;""))),AND($K144&lt;&gt;"",LEN($K144&amp;"")&lt;&gt;LEN(TRIM($K144&amp;""))),AND($M144&lt;&gt;"",LEN($M144&amp;"")&lt;&gt;LEN(TRIM($M144&amp;""))),AND($N144&lt;&gt;"",LEN($N144&amp;"")&lt;&gt;LEN(TRIM($N144&amp;""))),AND($O144&lt;&gt;"",LEN($O144&amp;"")&lt;&gt;LEN(TRIM($O144&amp;""))),AND($R144&lt;&gt;"",LEN($R144&amp;"")&lt;&gt;LEN(TRIM($R144&amp;""))),AND($S144&lt;&gt;"",LEN($S144&amp;"")&lt;&gt;LEN(TRIM($S144&amp;""))),AND($T144&lt;&gt;"",LEN($T144&amp;"")&lt;&gt;LEN(TRIM($T144&amp;"")))),"Remove leading or trailing spaces from text fields; ","")&amp;IF(OR(AND(LEN($C144)&gt;1,OR(EXACT($C144,UPPER($C144)),EXACT($C144,LOWER($C144)))),AND(LEN($D144)&gt;1,OR(EXACT($D144,UPPER($D144)),EXACT($D144,LOWER($D144)))),AND(LEN($H144)&gt;1,OR(EXACT($H144,UPPER($H144)),EXACT($H144,LOWER($H144))))),"Review capitalization in First Name, Last Name, or City; ","")&amp;IF(AND($N144&lt;&gt;"",NOT(EXACT($N144,LOWER($N144)))),"Email will be standardized to lowercase in the clean output; ","")&amp;IF(AND(OR('START HERE'!$C$8="Initial Enrollment",'START HERE'!$C$8="Open Enrollment"),$R144="Terminated"),"A terminated row is included in an initial or open enrollment file; confirm this is intentional; ",""))</f>
        <v/>
      </c>
      <c r="AE144">
        <f>IF(COUNTA($A144:$U144)=0,"",IF(OR($A144="",AND($A144&lt;&gt;"",NOT(IFERROR(AND(LEN($A144&amp;"")=9,ISNUMBER(--($A144&amp;""))),FALSE))),AND($A144&lt;&gt;"",OR($A144="123456789",$A144="987654321",$A144="012345678",$A144=REPT(LEFT($A144&amp;"",1),9)))),"Employee SSN, ","")&amp;IF(OR(AND($O144&lt;&gt;"",$B144=""),AND($B144&lt;&gt;"",OR(NOT(IFERROR(AND(LEN($B144&amp;"")=9,ISNUMBER(--($B144&amp;""))),FALSE)),$B144=$A144,$B144="123456789",$B144="987654321",$B144="012345678",$B144=REPT(LEFT($B144&amp;"",1),9)))),"Dependent SSN, ","")&amp;IF(OR($C144="",LEN($C144)&gt;19,AND($C144&lt;&gt;"",SUMPRODUCT(--(ROW($1:$19)&lt;=LEN($C144&amp;"")),--ISERROR(FIND(MID($C144&amp;"",ROW($1:$19),1),"ABCDEFGHIJKLMNOPQRSTUVWXYZabcdefghijklmnopqrstuvwxyz .,")))&gt;0)),"First Name, ","")&amp;IF(OR($D144="",LEN($D144)&gt;26,AND($D144&lt;&gt;"",SUMPRODUCT(--(ROW($1:$26)&lt;=LEN($D144&amp;"")),--ISERROR(FIND(MID($D144&amp;"",ROW($1:$26),1),"ABCDEFGHIJKLMNOPQRSTUVWXYZabcdefghijklmnopqrstuvwxyz .,")))&gt;0)),"Last Name, ","")&amp;IF(OR(LEN($E144)&gt;1,AND($E144&lt;&gt;"",SUMPRODUCT(--(ROW($1:$1)&lt;=LEN($E144&amp;"")),--ISERROR(FIND(MID($E144&amp;"",ROW($1:$1),1),"ABCDEFGHIJKLMNOPQRSTUVWXYZabcdefghijklmnopqrstuvwxyz .,")))&gt;0)),"Middle Initial, ","")&amp;IF(OR($F144="",LEN($F144)&gt;75),"Address, ","")&amp;IF(OR($H144="",LEN($H144)&gt;30),"City, ","")&amp;IF(AND($K144="US",OR($I144="",LEN($I144)&lt;&gt;2)),"State, ","")&amp;IF($J144="","ZIP, ","")&amp;IF(OR($K144="",AND($K144&lt;&gt;"US",$K144&lt;&gt;"CA")),"Country, ","")&amp;IF(OR($L144="",AND($L144&lt;&gt;"",OR(NOT(ISNUMBER($L144)),$L144&lt;=DATE(1900,1,1),$L144&gt;TODAY()))),"Birthdate, ","")&amp;IF(AND($N144&lt;&gt;"",NOT(IFERROR(AND(ISNUMBER(SEARCH("@",$N144)),ISNUMBER(SEARCH(".",$N144,SEARCH("@",$N144)+2))),FALSE))),"Email, ","")&amp;IF(OR(AND($B144&lt;&gt;"",$O144=""),AND($O144&lt;&gt;"",$O144&lt;&gt;"Spouse or Common Law Spouse",$O144&lt;&gt;"Domestic Partner",$O144&lt;&gt;"Child",$O144&lt;&gt;"Other",$O144&lt;&gt;"Estate",$O144&lt;&gt;"Unknown")),"Dependent Relationship, ","")&amp;IF($AA144&lt;&gt;"","Household, ","")&amp;IF(OR($P144="",AND($P144&lt;&gt;"",OR(NOT(ISNUMBER($P144)),$P144&lt;=DATE(1900,1,1)))),"Eligibility Date, ","")&amp;IF(OR(AND($R144="Terminated",$Q144=""),AND($Q144&lt;&gt;"",OR(NOT(ISNUMBER($Q144)),$Q144&lt;=DATE(1900,1,1))),AND(ISNUMBER($P144),ISNUMBER($Q144),$Q144&lt;$P144)),"Termination Date, ","")&amp;IF(OR($R144="",AND($R144&lt;&gt;"Active",$R144&lt;&gt;"Terminated"),AND('START HERE'!$C$8="Terminations Only",$R144&lt;&gt;"Terminated")),"Status, ","")&amp;IF($S144="","Plan Name, ","")&amp;IF($T144="","Coverage Level, ","")&amp;IF(AND($U144&lt;&gt;"",OR(NOT(ISNUMBER($U144)),$U144&lt;0)),"Funding, ","")&amp;IF(AND($A144&lt;&gt;"",$S144&lt;&gt;"",COUNTIFS($A$2:$A$501,$A144,$B$2:$B$501,$B144,$S$2:$S$501,$S144)&gt;1),"Duplicate Row, ",""))</f>
        <v/>
      </c>
      <c r="AF144">
        <f>IF(COUNTA($A144:$U144)=0,"",$Y144&amp;$Z144&amp;$AA144&amp;$AB144&amp;$AC144)</f>
        <v/>
      </c>
      <c r="AG144">
        <f>IF($N144="","",LOWER(TRIM($N144)))</f>
        <v/>
      </c>
      <c r="AH144">
        <f>IF($A144="","",COUNTIFS($A$2:$A$501,$A144,$AI$2:$AI$501,1))</f>
        <v/>
      </c>
      <c r="AI144">
        <f>IF(COUNTA($A144:$U144)=0,"",--($AF144&lt;&gt;""))</f>
        <v/>
      </c>
      <c r="AJ144">
        <f>IF(COUNTA($A144:$U144)=0,"",--($AD144&lt;&gt;""))</f>
        <v/>
      </c>
    </row>
    <row r="145" ht="20" customHeight="1">
      <c r="A145" s="80" t="n"/>
      <c r="B145" s="80" t="n"/>
      <c r="C145" s="81" t="n"/>
      <c r="D145" s="81" t="n"/>
      <c r="E145" s="80" t="n"/>
      <c r="F145" s="81" t="n"/>
      <c r="G145" s="81" t="n"/>
      <c r="H145" s="81" t="n"/>
      <c r="I145" s="80" t="n"/>
      <c r="J145" s="80" t="n"/>
      <c r="K145" s="80" t="n"/>
      <c r="L145" s="82" t="n"/>
      <c r="M145" s="80" t="n"/>
      <c r="N145" s="80" t="n"/>
      <c r="O145" s="80" t="n"/>
      <c r="P145" s="82" t="n"/>
      <c r="Q145" s="82" t="n"/>
      <c r="R145" s="80" t="n"/>
      <c r="S145" s="80" t="n"/>
      <c r="T145" s="80" t="n"/>
      <c r="U145" s="83" t="n"/>
      <c r="V145">
        <f>IF($A145="","",IF($A145=$A144,$V144,IF($V144="",0,1-$V144)))</f>
        <v/>
      </c>
      <c r="W145">
        <f>IF($B145&lt;&gt;"",$B145,$A145)</f>
        <v/>
      </c>
      <c r="X145">
        <f>IF(COUNTA($A145:$U145)=0,"",IF(OR($B145&lt;&gt;"",$O145&lt;&gt;""),"Dependent","Employee"))</f>
        <v/>
      </c>
      <c r="Y145">
        <f>IF(COUNTA($A145:$U145)=0,"",IF($A145="","Employee SSN is required; ","")&amp;IF($C145="","First Name is required; ","")&amp;IF(LEN($C145&amp;"")&gt;19,"First Name exceeds 19 characters; ","")&amp;IF(AND($C145&lt;&gt;"",SUMPRODUCT(--(ROW($1:$19)&lt;=LEN($C145&amp;"")),--ISERROR(FIND(MID($C145&amp;"",ROW($1:$19),1),"ABCDEFGHIJKLMNOPQRSTUVWXYZabcdefghijklmnopqrstuvwxyz .,")))&gt;0),"First Name contains unsupported or encoded characters; use plain A-Z letters only; ","")&amp;IF($D145="","Last Name is required; ","")&amp;IF(LEN($D145&amp;"")&gt;26,"Last Name exceeds 26 characters; ","")&amp;IF(AND($D145&lt;&gt;"",SUMPRODUCT(--(ROW($1:$26)&lt;=LEN($D145&amp;"")),--ISERROR(FIND(MID($D145&amp;"",ROW($1:$26),1),"ABCDEFGHIJKLMNOPQRSTUVWXYZabcdefghijklmnopqrstuvwxyz .,")))&gt;0),"Last Name contains unsupported or encoded characters; use plain A-Z letters only; ","")&amp;IF(LEN($E145&amp;"")&gt;1,"Middle Initial may contain only one character; ","")&amp;IF(AND($E145&lt;&gt;"",SUMPRODUCT(--(ROW($1:$1)&lt;=LEN($E145&amp;"")),--ISERROR(FIND(MID($E145&amp;"",ROW($1:$1),1),"ABCDEFGHIJKLMNOPQRSTUVWXYZabcdefghijklmnopqrstuvwxyz .,")))&gt;0),"Middle Initial must be a plain A-Z letter; ","")&amp;IF($F145="","Address is required; ","")&amp;IF(LEN($F145&amp;"")&gt;75,"Address exceeds 75 characters; ","")&amp;IF(LEN($G145&amp;"")&gt;75,"Address 2 exceeds 75 characters; ","")&amp;IF($H145="","City is required; ","")&amp;IF(LEN($H145&amp;"")&gt;30,"City exceeds 30 characters; ","")&amp;IF($K145="","Country is required; ","")&amp;IF(AND($K145&lt;&gt;"",$K145&lt;&gt;"US",$K145&lt;&gt;"CA"),"Country must be US or CA; ","")&amp;IF(AND($K145="US",OR($I145="",LEN($I145&amp;"")&lt;&gt;2)),"Use a 2-letter state code; ","")&amp;IF($J145="","ZIP or postal code is required; ","")&amp;IF(AND($K145="US",$J145&lt;&gt;"",NOT(IFERROR(OR(AND(LEN($J145&amp;"")=5,ISNUMBER(--($J145&amp;""))),AND(LEN($J145&amp;"")=9,ISNUMBER(--($J145&amp;""))),AND(LEN($J145&amp;"")=10,MID($J145&amp;"",6,1)="-",ISNUMBER(--SUBSTITUTE($J145&amp;"","-","")))),FALSE))),"US ZIP must be 5 or 9 digits, with an optional ZIP+4 hyphen; ","")&amp;IF(AND($N145&lt;&gt;"",NOT(IFERROR(AND(ISNUMBER(SEARCH("@",$N145)),ISNUMBER(SEARCH(".",$N145,SEARCH("@",$N145)+2))),FALSE))),"Email format appears invalid; ","")&amp;IF(AND($O145&lt;&gt;"",$B145=""),"Dependent SSN is required for every dependent; ","")&amp;IF(AND($B145&lt;&gt;"",$O145=""),"Dependent Relationship is required when Dependent SSN is entered; ","")&amp;IF(AND($O145&lt;&gt;"",$O145&lt;&gt;"Spouse or Common Law Spouse",$O145&lt;&gt;"Domestic Partner",$O145&lt;&gt;"Child",$O145&lt;&gt;"Other",$O145&lt;&gt;"Estate",$O145&lt;&gt;"Unknown"),"Dependent Relationship must use one of the approved options; ",""))</f>
        <v/>
      </c>
      <c r="Z145">
        <f>IF(COUNTA($A145:$U145)=0,"",IF(AND($A145&lt;&gt;"",NOT(IFERROR(AND(LEN($A145&amp;"")=9,ISNUMBER(--($A145&amp;""))),FALSE))),"Employee SSN must contain exactly 9 digits; ","")&amp;IF(AND($A145&lt;&gt;"",OR($A145="123456789",$A145="987654321",$A145="012345678",$A145=REPT(LEFT($A145&amp;"",1),9))),"Employee SSN appears to be a placeholder; ","")&amp;IF(AND($B145&lt;&gt;"",NOT(IFERROR(AND(LEN($B145&amp;"")=9,ISNUMBER(--($B145&amp;""))),FALSE))),"Dependent SSN must contain exactly 9 digits; ","")&amp;IF(AND($B145&lt;&gt;"",OR($B145="123456789",$B145="987654321",$B145="012345678",$B145=REPT(LEFT($B145&amp;"",1),9))),"Dependent SSN appears to be a placeholder; ","")&amp;IF(AND($A145&lt;&gt;"",$B145&lt;&gt;"",$A145&amp;""=$B145&amp;""),"Dependent SSN cannot match Employee SSN; ","")&amp;IF(AND($W145&lt;&gt;"",OR(COUNTIFS($W$2:$W$501,$W145,$C$2:$C$501,"&lt;&gt;"&amp;$C145)&gt;0,COUNTIFS($W$2:$W$501,$W145,$D$2:$D$501,"&lt;&gt;"&amp;$D145)&gt;0,COUNTIFS($W$2:$W$501,$W145,$L$2:$L$501,"&lt;&gt;"&amp;$L145)&gt;0)),"The same SSN is associated with a different name or birthdate; ",""))</f>
        <v/>
      </c>
      <c r="AA145">
        <f>IF(COUNTA($A145:$U145)=0,"",IF(AND($A145&lt;&gt;"",$S145&lt;&gt;"",COUNTIFS($A$2:$A$501,$A145,$S$2:$S$501,$S145,$B$2:$B$501,"",$O$2:$O$501,"")=0),"Add an employee row for this household and plan; ","")&amp;IF(AND($X145="Dependent",COUNTIFS($A$2:$A145,$A145,$S$2:$S145,$S145,$B$2:$B145,"",$O$2:$O145,"")=0),"Place the employee row before dependent rows for this plan; ","")&amp;IF(AND($X145="Dependent",COUNTIFS($A$2:$A$501,$A145,$S$2:$S$501,$S145,$B$2:$B$501,"",$O$2:$O$501,"")&gt;0,IFERROR(OR($P145&lt;&gt;LOOKUP(2,1/(($A$2:$A$501=$A145)*($S$2:$S$501=$S145)*($B$2:$B$501="")*($O$2:$O$501="")),$P$2:$P$501),$Q145&lt;&gt;LOOKUP(2,1/(($A$2:$A$501=$A145)*($S$2:$S$501=$S145)*($B$2:$B$501="")*($O$2:$O$501="")),$Q$2:$Q$501),$R145&lt;&gt;LOOKUP(2,1/(($A$2:$A$501=$A145)*($S$2:$S$501=$S145)*($B$2:$B$501="")*($O$2:$O$501="")),$R$2:$R$501),$T145&lt;&gt;LOOKUP(2,1/(($A$2:$A$501=$A145)*($S$2:$S$501=$S145)*($B$2:$B$501="")*($O$2:$O$501="")),$T$2:$T$501),$U145&lt;&gt;LOOKUP(2,1/(($A$2:$A$501=$A145)*($S$2:$S$501=$S145)*($B$2:$B$501="")*($O$2:$O$501="")),$U$2:$U$501)),FALSE)),"Dependent row does not match the employee row for eligibility, status, coverage level, or funding; ",""))</f>
        <v/>
      </c>
      <c r="AB145">
        <f>IF(COUNTA($A145:$U145)=0,"",IF($L145="","Birthdate is required; ","")&amp;IF(AND($L145&lt;&gt;"",OR(NOT(ISNUMBER($L145)),$L145&lt;=DATE(1900,1,1),$L145&gt;TODAY())),"Birthdate must be an exact valid past date; ","")&amp;IF($P145="","Eligibility Date is required; ","")&amp;IF(AND($P145&lt;&gt;"",OR(NOT(ISNUMBER($P145)),$P145&lt;=DATE(1900,1,1))),"Eligibility Date must be a valid date; ","")&amp;IF(AND($R145="Terminated",$Q145=""),"Termination Date is required when Status is Terminated; ","")&amp;IF(AND($Q145&lt;&gt;"",OR(NOT(ISNUMBER($Q145)),$Q145&lt;=DATE(1900,1,1))),"Termination Date must be a valid date; ","")&amp;IF(AND(ISNUMBER($P145),ISNUMBER($Q145),$Q145&lt;$P145),"Termination Date cannot be before Eligibility Date; ","")&amp;IF($R145="","Status is required; ","")&amp;IF(AND($R145&lt;&gt;"",$R145&lt;&gt;"Active",$R145&lt;&gt;"Terminated"),"Status must be Active or Terminated; ","")&amp;IF(AND('START HERE'!$C$8="Terminations Only",$R145&lt;&gt;"Terminated"),"Terminations Only files must contain terminated records; ",""))</f>
        <v/>
      </c>
      <c r="AC145">
        <f>IF(COUNTA($A145:$U145)=0,"",IF($S145="","Plan Name is required; ","")&amp;IF($T145="","Benefit Coverage Level is required; ","")&amp;IF(AND($U145&lt;&gt;"",OR(NOT(ISNUMBER($U145)),$U145&lt;0)),"Plan Funding Amount must be a nonnegative number; ","")&amp;IF(AND($A145&lt;&gt;"",$S145&lt;&gt;"",COUNTIFS($A$2:$A$501,$A145,$B$2:$B$501,$B145,$S$2:$S$501,$S145)&gt;1),"Duplicate participant and plan row; ",""))</f>
        <v/>
      </c>
      <c r="AD145">
        <f>IF(COUNTA($A145:$U145)=0,"",IF(AND($X145="Employee",$M145="",$N145=""),"No employee phone or email provided; ","")&amp;IF(AND($R145="Active",$Q145&lt;&gt;""),"Active record includes a Termination Date; confirm this is intentional; ","")&amp;IF(AND($B145&lt;&gt;"",$B145&amp;""&lt;&gt;$A145&amp;"",COUNTIF($A$2:$A$501,$B145)&gt;0),"Dependent SSN also appears as an Employee SSN elsewhere; confirm dual-employee coverage is intentional; ","")&amp;IF(AND($B145&lt;&gt;"",COUNTIF($B$2:$B$501,$B145)&gt;COUNTIFS($A$2:$A$501,$A145,$B$2:$B$501,$B145)),"Dependent SSN appears under more than one employee; confirm duplicate family coverage is intentional; ","")&amp;IF(AND(ROW()&gt;2,$A145&lt;&gt;"",$A145&lt;&gt;$A144,COUNTIF($A$2:$A144,$A145)&gt;0),"This household appears in more than one section of the census; keep the family together; ","")&amp;IF(OR(AND($C145&lt;&gt;"",LEN($C145&amp;"")&lt;&gt;LEN(TRIM($C145&amp;""))),AND($D145&lt;&gt;"",LEN($D145&amp;"")&lt;&gt;LEN(TRIM($D145&amp;""))),AND($E145&lt;&gt;"",LEN($E145&amp;"")&lt;&gt;LEN(TRIM($E145&amp;""))),AND($F145&lt;&gt;"",LEN($F145&amp;"")&lt;&gt;LEN(TRIM($F145&amp;""))),AND($G145&lt;&gt;"",LEN($G145&amp;"")&lt;&gt;LEN(TRIM($G145&amp;""))),AND($H145&lt;&gt;"",LEN($H145&amp;"")&lt;&gt;LEN(TRIM($H145&amp;""))),AND($I145&lt;&gt;"",LEN($I145&amp;"")&lt;&gt;LEN(TRIM($I145&amp;""))),AND($J145&lt;&gt;"",LEN($J145&amp;"")&lt;&gt;LEN(TRIM($J145&amp;""))),AND($K145&lt;&gt;"",LEN($K145&amp;"")&lt;&gt;LEN(TRIM($K145&amp;""))),AND($M145&lt;&gt;"",LEN($M145&amp;"")&lt;&gt;LEN(TRIM($M145&amp;""))),AND($N145&lt;&gt;"",LEN($N145&amp;"")&lt;&gt;LEN(TRIM($N145&amp;""))),AND($O145&lt;&gt;"",LEN($O145&amp;"")&lt;&gt;LEN(TRIM($O145&amp;""))),AND($R145&lt;&gt;"",LEN($R145&amp;"")&lt;&gt;LEN(TRIM($R145&amp;""))),AND($S145&lt;&gt;"",LEN($S145&amp;"")&lt;&gt;LEN(TRIM($S145&amp;""))),AND($T145&lt;&gt;"",LEN($T145&amp;"")&lt;&gt;LEN(TRIM($T145&amp;"")))),"Remove leading or trailing spaces from text fields; ","")&amp;IF(OR(AND(LEN($C145)&gt;1,OR(EXACT($C145,UPPER($C145)),EXACT($C145,LOWER($C145)))),AND(LEN($D145)&gt;1,OR(EXACT($D145,UPPER($D145)),EXACT($D145,LOWER($D145)))),AND(LEN($H145)&gt;1,OR(EXACT($H145,UPPER($H145)),EXACT($H145,LOWER($H145))))),"Review capitalization in First Name, Last Name, or City; ","")&amp;IF(AND($N145&lt;&gt;"",NOT(EXACT($N145,LOWER($N145)))),"Email will be standardized to lowercase in the clean output; ","")&amp;IF(AND(OR('START HERE'!$C$8="Initial Enrollment",'START HERE'!$C$8="Open Enrollment"),$R145="Terminated"),"A terminated row is included in an initial or open enrollment file; confirm this is intentional; ",""))</f>
        <v/>
      </c>
      <c r="AE145">
        <f>IF(COUNTA($A145:$U145)=0,"",IF(OR($A145="",AND($A145&lt;&gt;"",NOT(IFERROR(AND(LEN($A145&amp;"")=9,ISNUMBER(--($A145&amp;""))),FALSE))),AND($A145&lt;&gt;"",OR($A145="123456789",$A145="987654321",$A145="012345678",$A145=REPT(LEFT($A145&amp;"",1),9)))),"Employee SSN, ","")&amp;IF(OR(AND($O145&lt;&gt;"",$B145=""),AND($B145&lt;&gt;"",OR(NOT(IFERROR(AND(LEN($B145&amp;"")=9,ISNUMBER(--($B145&amp;""))),FALSE)),$B145=$A145,$B145="123456789",$B145="987654321",$B145="012345678",$B145=REPT(LEFT($B145&amp;"",1),9)))),"Dependent SSN, ","")&amp;IF(OR($C145="",LEN($C145)&gt;19,AND($C145&lt;&gt;"",SUMPRODUCT(--(ROW($1:$19)&lt;=LEN($C145&amp;"")),--ISERROR(FIND(MID($C145&amp;"",ROW($1:$19),1),"ABCDEFGHIJKLMNOPQRSTUVWXYZabcdefghijklmnopqrstuvwxyz .,")))&gt;0)),"First Name, ","")&amp;IF(OR($D145="",LEN($D145)&gt;26,AND($D145&lt;&gt;"",SUMPRODUCT(--(ROW($1:$26)&lt;=LEN($D145&amp;"")),--ISERROR(FIND(MID($D145&amp;"",ROW($1:$26),1),"ABCDEFGHIJKLMNOPQRSTUVWXYZabcdefghijklmnopqrstuvwxyz .,")))&gt;0)),"Last Name, ","")&amp;IF(OR(LEN($E145)&gt;1,AND($E145&lt;&gt;"",SUMPRODUCT(--(ROW($1:$1)&lt;=LEN($E145&amp;"")),--ISERROR(FIND(MID($E145&amp;"",ROW($1:$1),1),"ABCDEFGHIJKLMNOPQRSTUVWXYZabcdefghijklmnopqrstuvwxyz .,")))&gt;0)),"Middle Initial, ","")&amp;IF(OR($F145="",LEN($F145)&gt;75),"Address, ","")&amp;IF(OR($H145="",LEN($H145)&gt;30),"City, ","")&amp;IF(AND($K145="US",OR($I145="",LEN($I145)&lt;&gt;2)),"State, ","")&amp;IF($J145="","ZIP, ","")&amp;IF(OR($K145="",AND($K145&lt;&gt;"US",$K145&lt;&gt;"CA")),"Country, ","")&amp;IF(OR($L145="",AND($L145&lt;&gt;"",OR(NOT(ISNUMBER($L145)),$L145&lt;=DATE(1900,1,1),$L145&gt;TODAY()))),"Birthdate, ","")&amp;IF(AND($N145&lt;&gt;"",NOT(IFERROR(AND(ISNUMBER(SEARCH("@",$N145)),ISNUMBER(SEARCH(".",$N145,SEARCH("@",$N145)+2))),FALSE))),"Email, ","")&amp;IF(OR(AND($B145&lt;&gt;"",$O145=""),AND($O145&lt;&gt;"",$O145&lt;&gt;"Spouse or Common Law Spouse",$O145&lt;&gt;"Domestic Partner",$O145&lt;&gt;"Child",$O145&lt;&gt;"Other",$O145&lt;&gt;"Estate",$O145&lt;&gt;"Unknown")),"Dependent Relationship, ","")&amp;IF($AA145&lt;&gt;"","Household, ","")&amp;IF(OR($P145="",AND($P145&lt;&gt;"",OR(NOT(ISNUMBER($P145)),$P145&lt;=DATE(1900,1,1)))),"Eligibility Date, ","")&amp;IF(OR(AND($R145="Terminated",$Q145=""),AND($Q145&lt;&gt;"",OR(NOT(ISNUMBER($Q145)),$Q145&lt;=DATE(1900,1,1))),AND(ISNUMBER($P145),ISNUMBER($Q145),$Q145&lt;$P145)),"Termination Date, ","")&amp;IF(OR($R145="",AND($R145&lt;&gt;"Active",$R145&lt;&gt;"Terminated"),AND('START HERE'!$C$8="Terminations Only",$R145&lt;&gt;"Terminated")),"Status, ","")&amp;IF($S145="","Plan Name, ","")&amp;IF($T145="","Coverage Level, ","")&amp;IF(AND($U145&lt;&gt;"",OR(NOT(ISNUMBER($U145)),$U145&lt;0)),"Funding, ","")&amp;IF(AND($A145&lt;&gt;"",$S145&lt;&gt;"",COUNTIFS($A$2:$A$501,$A145,$B$2:$B$501,$B145,$S$2:$S$501,$S145)&gt;1),"Duplicate Row, ",""))</f>
        <v/>
      </c>
      <c r="AF145">
        <f>IF(COUNTA($A145:$U145)=0,"",$Y145&amp;$Z145&amp;$AA145&amp;$AB145&amp;$AC145)</f>
        <v/>
      </c>
      <c r="AG145">
        <f>IF($N145="","",LOWER(TRIM($N145)))</f>
        <v/>
      </c>
      <c r="AH145">
        <f>IF($A145="","",COUNTIFS($A$2:$A$501,$A145,$AI$2:$AI$501,1))</f>
        <v/>
      </c>
      <c r="AI145">
        <f>IF(COUNTA($A145:$U145)=0,"",--($AF145&lt;&gt;""))</f>
        <v/>
      </c>
      <c r="AJ145">
        <f>IF(COUNTA($A145:$U145)=0,"",--($AD145&lt;&gt;""))</f>
        <v/>
      </c>
    </row>
    <row r="146" ht="20" customHeight="1">
      <c r="A146" s="80" t="n"/>
      <c r="B146" s="80" t="n"/>
      <c r="C146" s="81" t="n"/>
      <c r="D146" s="81" t="n"/>
      <c r="E146" s="80" t="n"/>
      <c r="F146" s="81" t="n"/>
      <c r="G146" s="81" t="n"/>
      <c r="H146" s="81" t="n"/>
      <c r="I146" s="80" t="n"/>
      <c r="J146" s="80" t="n"/>
      <c r="K146" s="80" t="n"/>
      <c r="L146" s="82" t="n"/>
      <c r="M146" s="80" t="n"/>
      <c r="N146" s="80" t="n"/>
      <c r="O146" s="80" t="n"/>
      <c r="P146" s="82" t="n"/>
      <c r="Q146" s="82" t="n"/>
      <c r="R146" s="80" t="n"/>
      <c r="S146" s="80" t="n"/>
      <c r="T146" s="80" t="n"/>
      <c r="U146" s="83" t="n"/>
      <c r="V146">
        <f>IF($A146="","",IF($A146=$A145,$V145,IF($V145="",0,1-$V145)))</f>
        <v/>
      </c>
      <c r="W146">
        <f>IF($B146&lt;&gt;"",$B146,$A146)</f>
        <v/>
      </c>
      <c r="X146">
        <f>IF(COUNTA($A146:$U146)=0,"",IF(OR($B146&lt;&gt;"",$O146&lt;&gt;""),"Dependent","Employee"))</f>
        <v/>
      </c>
      <c r="Y146">
        <f>IF(COUNTA($A146:$U146)=0,"",IF($A146="","Employee SSN is required; ","")&amp;IF($C146="","First Name is required; ","")&amp;IF(LEN($C146&amp;"")&gt;19,"First Name exceeds 19 characters; ","")&amp;IF(AND($C146&lt;&gt;"",SUMPRODUCT(--(ROW($1:$19)&lt;=LEN($C146&amp;"")),--ISERROR(FIND(MID($C146&amp;"",ROW($1:$19),1),"ABCDEFGHIJKLMNOPQRSTUVWXYZabcdefghijklmnopqrstuvwxyz .,")))&gt;0),"First Name contains unsupported or encoded characters; use plain A-Z letters only; ","")&amp;IF($D146="","Last Name is required; ","")&amp;IF(LEN($D146&amp;"")&gt;26,"Last Name exceeds 26 characters; ","")&amp;IF(AND($D146&lt;&gt;"",SUMPRODUCT(--(ROW($1:$26)&lt;=LEN($D146&amp;"")),--ISERROR(FIND(MID($D146&amp;"",ROW($1:$26),1),"ABCDEFGHIJKLMNOPQRSTUVWXYZabcdefghijklmnopqrstuvwxyz .,")))&gt;0),"Last Name contains unsupported or encoded characters; use plain A-Z letters only; ","")&amp;IF(LEN($E146&amp;"")&gt;1,"Middle Initial may contain only one character; ","")&amp;IF(AND($E146&lt;&gt;"",SUMPRODUCT(--(ROW($1:$1)&lt;=LEN($E146&amp;"")),--ISERROR(FIND(MID($E146&amp;"",ROW($1:$1),1),"ABCDEFGHIJKLMNOPQRSTUVWXYZabcdefghijklmnopqrstuvwxyz .,")))&gt;0),"Middle Initial must be a plain A-Z letter; ","")&amp;IF($F146="","Address is required; ","")&amp;IF(LEN($F146&amp;"")&gt;75,"Address exceeds 75 characters; ","")&amp;IF(LEN($G146&amp;"")&gt;75,"Address 2 exceeds 75 characters; ","")&amp;IF($H146="","City is required; ","")&amp;IF(LEN($H146&amp;"")&gt;30,"City exceeds 30 characters; ","")&amp;IF($K146="","Country is required; ","")&amp;IF(AND($K146&lt;&gt;"",$K146&lt;&gt;"US",$K146&lt;&gt;"CA"),"Country must be US or CA; ","")&amp;IF(AND($K146="US",OR($I146="",LEN($I146&amp;"")&lt;&gt;2)),"Use a 2-letter state code; ","")&amp;IF($J146="","ZIP or postal code is required; ","")&amp;IF(AND($K146="US",$J146&lt;&gt;"",NOT(IFERROR(OR(AND(LEN($J146&amp;"")=5,ISNUMBER(--($J146&amp;""))),AND(LEN($J146&amp;"")=9,ISNUMBER(--($J146&amp;""))),AND(LEN($J146&amp;"")=10,MID($J146&amp;"",6,1)="-",ISNUMBER(--SUBSTITUTE($J146&amp;"","-","")))),FALSE))),"US ZIP must be 5 or 9 digits, with an optional ZIP+4 hyphen; ","")&amp;IF(AND($N146&lt;&gt;"",NOT(IFERROR(AND(ISNUMBER(SEARCH("@",$N146)),ISNUMBER(SEARCH(".",$N146,SEARCH("@",$N146)+2))),FALSE))),"Email format appears invalid; ","")&amp;IF(AND($O146&lt;&gt;"",$B146=""),"Dependent SSN is required for every dependent; ","")&amp;IF(AND($B146&lt;&gt;"",$O146=""),"Dependent Relationship is required when Dependent SSN is entered; ","")&amp;IF(AND($O146&lt;&gt;"",$O146&lt;&gt;"Spouse or Common Law Spouse",$O146&lt;&gt;"Domestic Partner",$O146&lt;&gt;"Child",$O146&lt;&gt;"Other",$O146&lt;&gt;"Estate",$O146&lt;&gt;"Unknown"),"Dependent Relationship must use one of the approved options; ",""))</f>
        <v/>
      </c>
      <c r="Z146">
        <f>IF(COUNTA($A146:$U146)=0,"",IF(AND($A146&lt;&gt;"",NOT(IFERROR(AND(LEN($A146&amp;"")=9,ISNUMBER(--($A146&amp;""))),FALSE))),"Employee SSN must contain exactly 9 digits; ","")&amp;IF(AND($A146&lt;&gt;"",OR($A146="123456789",$A146="987654321",$A146="012345678",$A146=REPT(LEFT($A146&amp;"",1),9))),"Employee SSN appears to be a placeholder; ","")&amp;IF(AND($B146&lt;&gt;"",NOT(IFERROR(AND(LEN($B146&amp;"")=9,ISNUMBER(--($B146&amp;""))),FALSE))),"Dependent SSN must contain exactly 9 digits; ","")&amp;IF(AND($B146&lt;&gt;"",OR($B146="123456789",$B146="987654321",$B146="012345678",$B146=REPT(LEFT($B146&amp;"",1),9))),"Dependent SSN appears to be a placeholder; ","")&amp;IF(AND($A146&lt;&gt;"",$B146&lt;&gt;"",$A146&amp;""=$B146&amp;""),"Dependent SSN cannot match Employee SSN; ","")&amp;IF(AND($W146&lt;&gt;"",OR(COUNTIFS($W$2:$W$501,$W146,$C$2:$C$501,"&lt;&gt;"&amp;$C146)&gt;0,COUNTIFS($W$2:$W$501,$W146,$D$2:$D$501,"&lt;&gt;"&amp;$D146)&gt;0,COUNTIFS($W$2:$W$501,$W146,$L$2:$L$501,"&lt;&gt;"&amp;$L146)&gt;0)),"The same SSN is associated with a different name or birthdate; ",""))</f>
        <v/>
      </c>
      <c r="AA146">
        <f>IF(COUNTA($A146:$U146)=0,"",IF(AND($A146&lt;&gt;"",$S146&lt;&gt;"",COUNTIFS($A$2:$A$501,$A146,$S$2:$S$501,$S146,$B$2:$B$501,"",$O$2:$O$501,"")=0),"Add an employee row for this household and plan; ","")&amp;IF(AND($X146="Dependent",COUNTIFS($A$2:$A146,$A146,$S$2:$S146,$S146,$B$2:$B146,"",$O$2:$O146,"")=0),"Place the employee row before dependent rows for this plan; ","")&amp;IF(AND($X146="Dependent",COUNTIFS($A$2:$A$501,$A146,$S$2:$S$501,$S146,$B$2:$B$501,"",$O$2:$O$501,"")&gt;0,IFERROR(OR($P146&lt;&gt;LOOKUP(2,1/(($A$2:$A$501=$A146)*($S$2:$S$501=$S146)*($B$2:$B$501="")*($O$2:$O$501="")),$P$2:$P$501),$Q146&lt;&gt;LOOKUP(2,1/(($A$2:$A$501=$A146)*($S$2:$S$501=$S146)*($B$2:$B$501="")*($O$2:$O$501="")),$Q$2:$Q$501),$R146&lt;&gt;LOOKUP(2,1/(($A$2:$A$501=$A146)*($S$2:$S$501=$S146)*($B$2:$B$501="")*($O$2:$O$501="")),$R$2:$R$501),$T146&lt;&gt;LOOKUP(2,1/(($A$2:$A$501=$A146)*($S$2:$S$501=$S146)*($B$2:$B$501="")*($O$2:$O$501="")),$T$2:$T$501),$U146&lt;&gt;LOOKUP(2,1/(($A$2:$A$501=$A146)*($S$2:$S$501=$S146)*($B$2:$B$501="")*($O$2:$O$501="")),$U$2:$U$501)),FALSE)),"Dependent row does not match the employee row for eligibility, status, coverage level, or funding; ",""))</f>
        <v/>
      </c>
      <c r="AB146">
        <f>IF(COUNTA($A146:$U146)=0,"",IF($L146="","Birthdate is required; ","")&amp;IF(AND($L146&lt;&gt;"",OR(NOT(ISNUMBER($L146)),$L146&lt;=DATE(1900,1,1),$L146&gt;TODAY())),"Birthdate must be an exact valid past date; ","")&amp;IF($P146="","Eligibility Date is required; ","")&amp;IF(AND($P146&lt;&gt;"",OR(NOT(ISNUMBER($P146)),$P146&lt;=DATE(1900,1,1))),"Eligibility Date must be a valid date; ","")&amp;IF(AND($R146="Terminated",$Q146=""),"Termination Date is required when Status is Terminated; ","")&amp;IF(AND($Q146&lt;&gt;"",OR(NOT(ISNUMBER($Q146)),$Q146&lt;=DATE(1900,1,1))),"Termination Date must be a valid date; ","")&amp;IF(AND(ISNUMBER($P146),ISNUMBER($Q146),$Q146&lt;$P146),"Termination Date cannot be before Eligibility Date; ","")&amp;IF($R146="","Status is required; ","")&amp;IF(AND($R146&lt;&gt;"",$R146&lt;&gt;"Active",$R146&lt;&gt;"Terminated"),"Status must be Active or Terminated; ","")&amp;IF(AND('START HERE'!$C$8="Terminations Only",$R146&lt;&gt;"Terminated"),"Terminations Only files must contain terminated records; ",""))</f>
        <v/>
      </c>
      <c r="AC146">
        <f>IF(COUNTA($A146:$U146)=0,"",IF($S146="","Plan Name is required; ","")&amp;IF($T146="","Benefit Coverage Level is required; ","")&amp;IF(AND($U146&lt;&gt;"",OR(NOT(ISNUMBER($U146)),$U146&lt;0)),"Plan Funding Amount must be a nonnegative number; ","")&amp;IF(AND($A146&lt;&gt;"",$S146&lt;&gt;"",COUNTIFS($A$2:$A$501,$A146,$B$2:$B$501,$B146,$S$2:$S$501,$S146)&gt;1),"Duplicate participant and plan row; ",""))</f>
        <v/>
      </c>
      <c r="AD146">
        <f>IF(COUNTA($A146:$U146)=0,"",IF(AND($X146="Employee",$M146="",$N146=""),"No employee phone or email provided; ","")&amp;IF(AND($R146="Active",$Q146&lt;&gt;""),"Active record includes a Termination Date; confirm this is intentional; ","")&amp;IF(AND($B146&lt;&gt;"",$B146&amp;""&lt;&gt;$A146&amp;"",COUNTIF($A$2:$A$501,$B146)&gt;0),"Dependent SSN also appears as an Employee SSN elsewhere; confirm dual-employee coverage is intentional; ","")&amp;IF(AND($B146&lt;&gt;"",COUNTIF($B$2:$B$501,$B146)&gt;COUNTIFS($A$2:$A$501,$A146,$B$2:$B$501,$B146)),"Dependent SSN appears under more than one employee; confirm duplicate family coverage is intentional; ","")&amp;IF(AND(ROW()&gt;2,$A146&lt;&gt;"",$A146&lt;&gt;$A145,COUNTIF($A$2:$A145,$A146)&gt;0),"This household appears in more than one section of the census; keep the family together; ","")&amp;IF(OR(AND($C146&lt;&gt;"",LEN($C146&amp;"")&lt;&gt;LEN(TRIM($C146&amp;""))),AND($D146&lt;&gt;"",LEN($D146&amp;"")&lt;&gt;LEN(TRIM($D146&amp;""))),AND($E146&lt;&gt;"",LEN($E146&amp;"")&lt;&gt;LEN(TRIM($E146&amp;""))),AND($F146&lt;&gt;"",LEN($F146&amp;"")&lt;&gt;LEN(TRIM($F146&amp;""))),AND($G146&lt;&gt;"",LEN($G146&amp;"")&lt;&gt;LEN(TRIM($G146&amp;""))),AND($H146&lt;&gt;"",LEN($H146&amp;"")&lt;&gt;LEN(TRIM($H146&amp;""))),AND($I146&lt;&gt;"",LEN($I146&amp;"")&lt;&gt;LEN(TRIM($I146&amp;""))),AND($J146&lt;&gt;"",LEN($J146&amp;"")&lt;&gt;LEN(TRIM($J146&amp;""))),AND($K146&lt;&gt;"",LEN($K146&amp;"")&lt;&gt;LEN(TRIM($K146&amp;""))),AND($M146&lt;&gt;"",LEN($M146&amp;"")&lt;&gt;LEN(TRIM($M146&amp;""))),AND($N146&lt;&gt;"",LEN($N146&amp;"")&lt;&gt;LEN(TRIM($N146&amp;""))),AND($O146&lt;&gt;"",LEN($O146&amp;"")&lt;&gt;LEN(TRIM($O146&amp;""))),AND($R146&lt;&gt;"",LEN($R146&amp;"")&lt;&gt;LEN(TRIM($R146&amp;""))),AND($S146&lt;&gt;"",LEN($S146&amp;"")&lt;&gt;LEN(TRIM($S146&amp;""))),AND($T146&lt;&gt;"",LEN($T146&amp;"")&lt;&gt;LEN(TRIM($T146&amp;"")))),"Remove leading or trailing spaces from text fields; ","")&amp;IF(OR(AND(LEN($C146)&gt;1,OR(EXACT($C146,UPPER($C146)),EXACT($C146,LOWER($C146)))),AND(LEN($D146)&gt;1,OR(EXACT($D146,UPPER($D146)),EXACT($D146,LOWER($D146)))),AND(LEN($H146)&gt;1,OR(EXACT($H146,UPPER($H146)),EXACT($H146,LOWER($H146))))),"Review capitalization in First Name, Last Name, or City; ","")&amp;IF(AND($N146&lt;&gt;"",NOT(EXACT($N146,LOWER($N146)))),"Email will be standardized to lowercase in the clean output; ","")&amp;IF(AND(OR('START HERE'!$C$8="Initial Enrollment",'START HERE'!$C$8="Open Enrollment"),$R146="Terminated"),"A terminated row is included in an initial or open enrollment file; confirm this is intentional; ",""))</f>
        <v/>
      </c>
      <c r="AE146">
        <f>IF(COUNTA($A146:$U146)=0,"",IF(OR($A146="",AND($A146&lt;&gt;"",NOT(IFERROR(AND(LEN($A146&amp;"")=9,ISNUMBER(--($A146&amp;""))),FALSE))),AND($A146&lt;&gt;"",OR($A146="123456789",$A146="987654321",$A146="012345678",$A146=REPT(LEFT($A146&amp;"",1),9)))),"Employee SSN, ","")&amp;IF(OR(AND($O146&lt;&gt;"",$B146=""),AND($B146&lt;&gt;"",OR(NOT(IFERROR(AND(LEN($B146&amp;"")=9,ISNUMBER(--($B146&amp;""))),FALSE)),$B146=$A146,$B146="123456789",$B146="987654321",$B146="012345678",$B146=REPT(LEFT($B146&amp;"",1),9)))),"Dependent SSN, ","")&amp;IF(OR($C146="",LEN($C146)&gt;19,AND($C146&lt;&gt;"",SUMPRODUCT(--(ROW($1:$19)&lt;=LEN($C146&amp;"")),--ISERROR(FIND(MID($C146&amp;"",ROW($1:$19),1),"ABCDEFGHIJKLMNOPQRSTUVWXYZabcdefghijklmnopqrstuvwxyz .,")))&gt;0)),"First Name, ","")&amp;IF(OR($D146="",LEN($D146)&gt;26,AND($D146&lt;&gt;"",SUMPRODUCT(--(ROW($1:$26)&lt;=LEN($D146&amp;"")),--ISERROR(FIND(MID($D146&amp;"",ROW($1:$26),1),"ABCDEFGHIJKLMNOPQRSTUVWXYZabcdefghijklmnopqrstuvwxyz .,")))&gt;0)),"Last Name, ","")&amp;IF(OR(LEN($E146)&gt;1,AND($E146&lt;&gt;"",SUMPRODUCT(--(ROW($1:$1)&lt;=LEN($E146&amp;"")),--ISERROR(FIND(MID($E146&amp;"",ROW($1:$1),1),"ABCDEFGHIJKLMNOPQRSTUVWXYZabcdefghijklmnopqrstuvwxyz .,")))&gt;0)),"Middle Initial, ","")&amp;IF(OR($F146="",LEN($F146)&gt;75),"Address, ","")&amp;IF(OR($H146="",LEN($H146)&gt;30),"City, ","")&amp;IF(AND($K146="US",OR($I146="",LEN($I146)&lt;&gt;2)),"State, ","")&amp;IF($J146="","ZIP, ","")&amp;IF(OR($K146="",AND($K146&lt;&gt;"US",$K146&lt;&gt;"CA")),"Country, ","")&amp;IF(OR($L146="",AND($L146&lt;&gt;"",OR(NOT(ISNUMBER($L146)),$L146&lt;=DATE(1900,1,1),$L146&gt;TODAY()))),"Birthdate, ","")&amp;IF(AND($N146&lt;&gt;"",NOT(IFERROR(AND(ISNUMBER(SEARCH("@",$N146)),ISNUMBER(SEARCH(".",$N146,SEARCH("@",$N146)+2))),FALSE))),"Email, ","")&amp;IF(OR(AND($B146&lt;&gt;"",$O146=""),AND($O146&lt;&gt;"",$O146&lt;&gt;"Spouse or Common Law Spouse",$O146&lt;&gt;"Domestic Partner",$O146&lt;&gt;"Child",$O146&lt;&gt;"Other",$O146&lt;&gt;"Estate",$O146&lt;&gt;"Unknown")),"Dependent Relationship, ","")&amp;IF($AA146&lt;&gt;"","Household, ","")&amp;IF(OR($P146="",AND($P146&lt;&gt;"",OR(NOT(ISNUMBER($P146)),$P146&lt;=DATE(1900,1,1)))),"Eligibility Date, ","")&amp;IF(OR(AND($R146="Terminated",$Q146=""),AND($Q146&lt;&gt;"",OR(NOT(ISNUMBER($Q146)),$Q146&lt;=DATE(1900,1,1))),AND(ISNUMBER($P146),ISNUMBER($Q146),$Q146&lt;$P146)),"Termination Date, ","")&amp;IF(OR($R146="",AND($R146&lt;&gt;"Active",$R146&lt;&gt;"Terminated"),AND('START HERE'!$C$8="Terminations Only",$R146&lt;&gt;"Terminated")),"Status, ","")&amp;IF($S146="","Plan Name, ","")&amp;IF($T146="","Coverage Level, ","")&amp;IF(AND($U146&lt;&gt;"",OR(NOT(ISNUMBER($U146)),$U146&lt;0)),"Funding, ","")&amp;IF(AND($A146&lt;&gt;"",$S146&lt;&gt;"",COUNTIFS($A$2:$A$501,$A146,$B$2:$B$501,$B146,$S$2:$S$501,$S146)&gt;1),"Duplicate Row, ",""))</f>
        <v/>
      </c>
      <c r="AF146">
        <f>IF(COUNTA($A146:$U146)=0,"",$Y146&amp;$Z146&amp;$AA146&amp;$AB146&amp;$AC146)</f>
        <v/>
      </c>
      <c r="AG146">
        <f>IF($N146="","",LOWER(TRIM($N146)))</f>
        <v/>
      </c>
      <c r="AH146">
        <f>IF($A146="","",COUNTIFS($A$2:$A$501,$A146,$AI$2:$AI$501,1))</f>
        <v/>
      </c>
      <c r="AI146">
        <f>IF(COUNTA($A146:$U146)=0,"",--($AF146&lt;&gt;""))</f>
        <v/>
      </c>
      <c r="AJ146">
        <f>IF(COUNTA($A146:$U146)=0,"",--($AD146&lt;&gt;""))</f>
        <v/>
      </c>
    </row>
    <row r="147" ht="20" customHeight="1">
      <c r="A147" s="80" t="n"/>
      <c r="B147" s="80" t="n"/>
      <c r="C147" s="81" t="n"/>
      <c r="D147" s="81" t="n"/>
      <c r="E147" s="80" t="n"/>
      <c r="F147" s="81" t="n"/>
      <c r="G147" s="81" t="n"/>
      <c r="H147" s="81" t="n"/>
      <c r="I147" s="80" t="n"/>
      <c r="J147" s="80" t="n"/>
      <c r="K147" s="80" t="n"/>
      <c r="L147" s="82" t="n"/>
      <c r="M147" s="80" t="n"/>
      <c r="N147" s="80" t="n"/>
      <c r="O147" s="80" t="n"/>
      <c r="P147" s="82" t="n"/>
      <c r="Q147" s="82" t="n"/>
      <c r="R147" s="80" t="n"/>
      <c r="S147" s="80" t="n"/>
      <c r="T147" s="80" t="n"/>
      <c r="U147" s="83" t="n"/>
      <c r="V147">
        <f>IF($A147="","",IF($A147=$A146,$V146,IF($V146="",0,1-$V146)))</f>
        <v/>
      </c>
      <c r="W147">
        <f>IF($B147&lt;&gt;"",$B147,$A147)</f>
        <v/>
      </c>
      <c r="X147">
        <f>IF(COUNTA($A147:$U147)=0,"",IF(OR($B147&lt;&gt;"",$O147&lt;&gt;""),"Dependent","Employee"))</f>
        <v/>
      </c>
      <c r="Y147">
        <f>IF(COUNTA($A147:$U147)=0,"",IF($A147="","Employee SSN is required; ","")&amp;IF($C147="","First Name is required; ","")&amp;IF(LEN($C147&amp;"")&gt;19,"First Name exceeds 19 characters; ","")&amp;IF(AND($C147&lt;&gt;"",SUMPRODUCT(--(ROW($1:$19)&lt;=LEN($C147&amp;"")),--ISERROR(FIND(MID($C147&amp;"",ROW($1:$19),1),"ABCDEFGHIJKLMNOPQRSTUVWXYZabcdefghijklmnopqrstuvwxyz .,")))&gt;0),"First Name contains unsupported or encoded characters; use plain A-Z letters only; ","")&amp;IF($D147="","Last Name is required; ","")&amp;IF(LEN($D147&amp;"")&gt;26,"Last Name exceeds 26 characters; ","")&amp;IF(AND($D147&lt;&gt;"",SUMPRODUCT(--(ROW($1:$26)&lt;=LEN($D147&amp;"")),--ISERROR(FIND(MID($D147&amp;"",ROW($1:$26),1),"ABCDEFGHIJKLMNOPQRSTUVWXYZabcdefghijklmnopqrstuvwxyz .,")))&gt;0),"Last Name contains unsupported or encoded characters; use plain A-Z letters only; ","")&amp;IF(LEN($E147&amp;"")&gt;1,"Middle Initial may contain only one character; ","")&amp;IF(AND($E147&lt;&gt;"",SUMPRODUCT(--(ROW($1:$1)&lt;=LEN($E147&amp;"")),--ISERROR(FIND(MID($E147&amp;"",ROW($1:$1),1),"ABCDEFGHIJKLMNOPQRSTUVWXYZabcdefghijklmnopqrstuvwxyz .,")))&gt;0),"Middle Initial must be a plain A-Z letter; ","")&amp;IF($F147="","Address is required; ","")&amp;IF(LEN($F147&amp;"")&gt;75,"Address exceeds 75 characters; ","")&amp;IF(LEN($G147&amp;"")&gt;75,"Address 2 exceeds 75 characters; ","")&amp;IF($H147="","City is required; ","")&amp;IF(LEN($H147&amp;"")&gt;30,"City exceeds 30 characters; ","")&amp;IF($K147="","Country is required; ","")&amp;IF(AND($K147&lt;&gt;"",$K147&lt;&gt;"US",$K147&lt;&gt;"CA"),"Country must be US or CA; ","")&amp;IF(AND($K147="US",OR($I147="",LEN($I147&amp;"")&lt;&gt;2)),"Use a 2-letter state code; ","")&amp;IF($J147="","ZIP or postal code is required; ","")&amp;IF(AND($K147="US",$J147&lt;&gt;"",NOT(IFERROR(OR(AND(LEN($J147&amp;"")=5,ISNUMBER(--($J147&amp;""))),AND(LEN($J147&amp;"")=9,ISNUMBER(--($J147&amp;""))),AND(LEN($J147&amp;"")=10,MID($J147&amp;"",6,1)="-",ISNUMBER(--SUBSTITUTE($J147&amp;"","-","")))),FALSE))),"US ZIP must be 5 or 9 digits, with an optional ZIP+4 hyphen; ","")&amp;IF(AND($N147&lt;&gt;"",NOT(IFERROR(AND(ISNUMBER(SEARCH("@",$N147)),ISNUMBER(SEARCH(".",$N147,SEARCH("@",$N147)+2))),FALSE))),"Email format appears invalid; ","")&amp;IF(AND($O147&lt;&gt;"",$B147=""),"Dependent SSN is required for every dependent; ","")&amp;IF(AND($B147&lt;&gt;"",$O147=""),"Dependent Relationship is required when Dependent SSN is entered; ","")&amp;IF(AND($O147&lt;&gt;"",$O147&lt;&gt;"Spouse or Common Law Spouse",$O147&lt;&gt;"Domestic Partner",$O147&lt;&gt;"Child",$O147&lt;&gt;"Other",$O147&lt;&gt;"Estate",$O147&lt;&gt;"Unknown"),"Dependent Relationship must use one of the approved options; ",""))</f>
        <v/>
      </c>
      <c r="Z147">
        <f>IF(COUNTA($A147:$U147)=0,"",IF(AND($A147&lt;&gt;"",NOT(IFERROR(AND(LEN($A147&amp;"")=9,ISNUMBER(--($A147&amp;""))),FALSE))),"Employee SSN must contain exactly 9 digits; ","")&amp;IF(AND($A147&lt;&gt;"",OR($A147="123456789",$A147="987654321",$A147="012345678",$A147=REPT(LEFT($A147&amp;"",1),9))),"Employee SSN appears to be a placeholder; ","")&amp;IF(AND($B147&lt;&gt;"",NOT(IFERROR(AND(LEN($B147&amp;"")=9,ISNUMBER(--($B147&amp;""))),FALSE))),"Dependent SSN must contain exactly 9 digits; ","")&amp;IF(AND($B147&lt;&gt;"",OR($B147="123456789",$B147="987654321",$B147="012345678",$B147=REPT(LEFT($B147&amp;"",1),9))),"Dependent SSN appears to be a placeholder; ","")&amp;IF(AND($A147&lt;&gt;"",$B147&lt;&gt;"",$A147&amp;""=$B147&amp;""),"Dependent SSN cannot match Employee SSN; ","")&amp;IF(AND($W147&lt;&gt;"",OR(COUNTIFS($W$2:$W$501,$W147,$C$2:$C$501,"&lt;&gt;"&amp;$C147)&gt;0,COUNTIFS($W$2:$W$501,$W147,$D$2:$D$501,"&lt;&gt;"&amp;$D147)&gt;0,COUNTIFS($W$2:$W$501,$W147,$L$2:$L$501,"&lt;&gt;"&amp;$L147)&gt;0)),"The same SSN is associated with a different name or birthdate; ",""))</f>
        <v/>
      </c>
      <c r="AA147">
        <f>IF(COUNTA($A147:$U147)=0,"",IF(AND($A147&lt;&gt;"",$S147&lt;&gt;"",COUNTIFS($A$2:$A$501,$A147,$S$2:$S$501,$S147,$B$2:$B$501,"",$O$2:$O$501,"")=0),"Add an employee row for this household and plan; ","")&amp;IF(AND($X147="Dependent",COUNTIFS($A$2:$A147,$A147,$S$2:$S147,$S147,$B$2:$B147,"",$O$2:$O147,"")=0),"Place the employee row before dependent rows for this plan; ","")&amp;IF(AND($X147="Dependent",COUNTIFS($A$2:$A$501,$A147,$S$2:$S$501,$S147,$B$2:$B$501,"",$O$2:$O$501,"")&gt;0,IFERROR(OR($P147&lt;&gt;LOOKUP(2,1/(($A$2:$A$501=$A147)*($S$2:$S$501=$S147)*($B$2:$B$501="")*($O$2:$O$501="")),$P$2:$P$501),$Q147&lt;&gt;LOOKUP(2,1/(($A$2:$A$501=$A147)*($S$2:$S$501=$S147)*($B$2:$B$501="")*($O$2:$O$501="")),$Q$2:$Q$501),$R147&lt;&gt;LOOKUP(2,1/(($A$2:$A$501=$A147)*($S$2:$S$501=$S147)*($B$2:$B$501="")*($O$2:$O$501="")),$R$2:$R$501),$T147&lt;&gt;LOOKUP(2,1/(($A$2:$A$501=$A147)*($S$2:$S$501=$S147)*($B$2:$B$501="")*($O$2:$O$501="")),$T$2:$T$501),$U147&lt;&gt;LOOKUP(2,1/(($A$2:$A$501=$A147)*($S$2:$S$501=$S147)*($B$2:$B$501="")*($O$2:$O$501="")),$U$2:$U$501)),FALSE)),"Dependent row does not match the employee row for eligibility, status, coverage level, or funding; ",""))</f>
        <v/>
      </c>
      <c r="AB147">
        <f>IF(COUNTA($A147:$U147)=0,"",IF($L147="","Birthdate is required; ","")&amp;IF(AND($L147&lt;&gt;"",OR(NOT(ISNUMBER($L147)),$L147&lt;=DATE(1900,1,1),$L147&gt;TODAY())),"Birthdate must be an exact valid past date; ","")&amp;IF($P147="","Eligibility Date is required; ","")&amp;IF(AND($P147&lt;&gt;"",OR(NOT(ISNUMBER($P147)),$P147&lt;=DATE(1900,1,1))),"Eligibility Date must be a valid date; ","")&amp;IF(AND($R147="Terminated",$Q147=""),"Termination Date is required when Status is Terminated; ","")&amp;IF(AND($Q147&lt;&gt;"",OR(NOT(ISNUMBER($Q147)),$Q147&lt;=DATE(1900,1,1))),"Termination Date must be a valid date; ","")&amp;IF(AND(ISNUMBER($P147),ISNUMBER($Q147),$Q147&lt;$P147),"Termination Date cannot be before Eligibility Date; ","")&amp;IF($R147="","Status is required; ","")&amp;IF(AND($R147&lt;&gt;"",$R147&lt;&gt;"Active",$R147&lt;&gt;"Terminated"),"Status must be Active or Terminated; ","")&amp;IF(AND('START HERE'!$C$8="Terminations Only",$R147&lt;&gt;"Terminated"),"Terminations Only files must contain terminated records; ",""))</f>
        <v/>
      </c>
      <c r="AC147">
        <f>IF(COUNTA($A147:$U147)=0,"",IF($S147="","Plan Name is required; ","")&amp;IF($T147="","Benefit Coverage Level is required; ","")&amp;IF(AND($U147&lt;&gt;"",OR(NOT(ISNUMBER($U147)),$U147&lt;0)),"Plan Funding Amount must be a nonnegative number; ","")&amp;IF(AND($A147&lt;&gt;"",$S147&lt;&gt;"",COUNTIFS($A$2:$A$501,$A147,$B$2:$B$501,$B147,$S$2:$S$501,$S147)&gt;1),"Duplicate participant and plan row; ",""))</f>
        <v/>
      </c>
      <c r="AD147">
        <f>IF(COUNTA($A147:$U147)=0,"",IF(AND($X147="Employee",$M147="",$N147=""),"No employee phone or email provided; ","")&amp;IF(AND($R147="Active",$Q147&lt;&gt;""),"Active record includes a Termination Date; confirm this is intentional; ","")&amp;IF(AND($B147&lt;&gt;"",$B147&amp;""&lt;&gt;$A147&amp;"",COUNTIF($A$2:$A$501,$B147)&gt;0),"Dependent SSN also appears as an Employee SSN elsewhere; confirm dual-employee coverage is intentional; ","")&amp;IF(AND($B147&lt;&gt;"",COUNTIF($B$2:$B$501,$B147)&gt;COUNTIFS($A$2:$A$501,$A147,$B$2:$B$501,$B147)),"Dependent SSN appears under more than one employee; confirm duplicate family coverage is intentional; ","")&amp;IF(AND(ROW()&gt;2,$A147&lt;&gt;"",$A147&lt;&gt;$A146,COUNTIF($A$2:$A146,$A147)&gt;0),"This household appears in more than one section of the census; keep the family together; ","")&amp;IF(OR(AND($C147&lt;&gt;"",LEN($C147&amp;"")&lt;&gt;LEN(TRIM($C147&amp;""))),AND($D147&lt;&gt;"",LEN($D147&amp;"")&lt;&gt;LEN(TRIM($D147&amp;""))),AND($E147&lt;&gt;"",LEN($E147&amp;"")&lt;&gt;LEN(TRIM($E147&amp;""))),AND($F147&lt;&gt;"",LEN($F147&amp;"")&lt;&gt;LEN(TRIM($F147&amp;""))),AND($G147&lt;&gt;"",LEN($G147&amp;"")&lt;&gt;LEN(TRIM($G147&amp;""))),AND($H147&lt;&gt;"",LEN($H147&amp;"")&lt;&gt;LEN(TRIM($H147&amp;""))),AND($I147&lt;&gt;"",LEN($I147&amp;"")&lt;&gt;LEN(TRIM($I147&amp;""))),AND($J147&lt;&gt;"",LEN($J147&amp;"")&lt;&gt;LEN(TRIM($J147&amp;""))),AND($K147&lt;&gt;"",LEN($K147&amp;"")&lt;&gt;LEN(TRIM($K147&amp;""))),AND($M147&lt;&gt;"",LEN($M147&amp;"")&lt;&gt;LEN(TRIM($M147&amp;""))),AND($N147&lt;&gt;"",LEN($N147&amp;"")&lt;&gt;LEN(TRIM($N147&amp;""))),AND($O147&lt;&gt;"",LEN($O147&amp;"")&lt;&gt;LEN(TRIM($O147&amp;""))),AND($R147&lt;&gt;"",LEN($R147&amp;"")&lt;&gt;LEN(TRIM($R147&amp;""))),AND($S147&lt;&gt;"",LEN($S147&amp;"")&lt;&gt;LEN(TRIM($S147&amp;""))),AND($T147&lt;&gt;"",LEN($T147&amp;"")&lt;&gt;LEN(TRIM($T147&amp;"")))),"Remove leading or trailing spaces from text fields; ","")&amp;IF(OR(AND(LEN($C147)&gt;1,OR(EXACT($C147,UPPER($C147)),EXACT($C147,LOWER($C147)))),AND(LEN($D147)&gt;1,OR(EXACT($D147,UPPER($D147)),EXACT($D147,LOWER($D147)))),AND(LEN($H147)&gt;1,OR(EXACT($H147,UPPER($H147)),EXACT($H147,LOWER($H147))))),"Review capitalization in First Name, Last Name, or City; ","")&amp;IF(AND($N147&lt;&gt;"",NOT(EXACT($N147,LOWER($N147)))),"Email will be standardized to lowercase in the clean output; ","")&amp;IF(AND(OR('START HERE'!$C$8="Initial Enrollment",'START HERE'!$C$8="Open Enrollment"),$R147="Terminated"),"A terminated row is included in an initial or open enrollment file; confirm this is intentional; ",""))</f>
        <v/>
      </c>
      <c r="AE147">
        <f>IF(COUNTA($A147:$U147)=0,"",IF(OR($A147="",AND($A147&lt;&gt;"",NOT(IFERROR(AND(LEN($A147&amp;"")=9,ISNUMBER(--($A147&amp;""))),FALSE))),AND($A147&lt;&gt;"",OR($A147="123456789",$A147="987654321",$A147="012345678",$A147=REPT(LEFT($A147&amp;"",1),9)))),"Employee SSN, ","")&amp;IF(OR(AND($O147&lt;&gt;"",$B147=""),AND($B147&lt;&gt;"",OR(NOT(IFERROR(AND(LEN($B147&amp;"")=9,ISNUMBER(--($B147&amp;""))),FALSE)),$B147=$A147,$B147="123456789",$B147="987654321",$B147="012345678",$B147=REPT(LEFT($B147&amp;"",1),9)))),"Dependent SSN, ","")&amp;IF(OR($C147="",LEN($C147)&gt;19,AND($C147&lt;&gt;"",SUMPRODUCT(--(ROW($1:$19)&lt;=LEN($C147&amp;"")),--ISERROR(FIND(MID($C147&amp;"",ROW($1:$19),1),"ABCDEFGHIJKLMNOPQRSTUVWXYZabcdefghijklmnopqrstuvwxyz .,")))&gt;0)),"First Name, ","")&amp;IF(OR($D147="",LEN($D147)&gt;26,AND($D147&lt;&gt;"",SUMPRODUCT(--(ROW($1:$26)&lt;=LEN($D147&amp;"")),--ISERROR(FIND(MID($D147&amp;"",ROW($1:$26),1),"ABCDEFGHIJKLMNOPQRSTUVWXYZabcdefghijklmnopqrstuvwxyz .,")))&gt;0)),"Last Name, ","")&amp;IF(OR(LEN($E147)&gt;1,AND($E147&lt;&gt;"",SUMPRODUCT(--(ROW($1:$1)&lt;=LEN($E147&amp;"")),--ISERROR(FIND(MID($E147&amp;"",ROW($1:$1),1),"ABCDEFGHIJKLMNOPQRSTUVWXYZabcdefghijklmnopqrstuvwxyz .,")))&gt;0)),"Middle Initial, ","")&amp;IF(OR($F147="",LEN($F147)&gt;75),"Address, ","")&amp;IF(OR($H147="",LEN($H147)&gt;30),"City, ","")&amp;IF(AND($K147="US",OR($I147="",LEN($I147)&lt;&gt;2)),"State, ","")&amp;IF($J147="","ZIP, ","")&amp;IF(OR($K147="",AND($K147&lt;&gt;"US",$K147&lt;&gt;"CA")),"Country, ","")&amp;IF(OR($L147="",AND($L147&lt;&gt;"",OR(NOT(ISNUMBER($L147)),$L147&lt;=DATE(1900,1,1),$L147&gt;TODAY()))),"Birthdate, ","")&amp;IF(AND($N147&lt;&gt;"",NOT(IFERROR(AND(ISNUMBER(SEARCH("@",$N147)),ISNUMBER(SEARCH(".",$N147,SEARCH("@",$N147)+2))),FALSE))),"Email, ","")&amp;IF(OR(AND($B147&lt;&gt;"",$O147=""),AND($O147&lt;&gt;"",$O147&lt;&gt;"Spouse or Common Law Spouse",$O147&lt;&gt;"Domestic Partner",$O147&lt;&gt;"Child",$O147&lt;&gt;"Other",$O147&lt;&gt;"Estate",$O147&lt;&gt;"Unknown")),"Dependent Relationship, ","")&amp;IF($AA147&lt;&gt;"","Household, ","")&amp;IF(OR($P147="",AND($P147&lt;&gt;"",OR(NOT(ISNUMBER($P147)),$P147&lt;=DATE(1900,1,1)))),"Eligibility Date, ","")&amp;IF(OR(AND($R147="Terminated",$Q147=""),AND($Q147&lt;&gt;"",OR(NOT(ISNUMBER($Q147)),$Q147&lt;=DATE(1900,1,1))),AND(ISNUMBER($P147),ISNUMBER($Q147),$Q147&lt;$P147)),"Termination Date, ","")&amp;IF(OR($R147="",AND($R147&lt;&gt;"Active",$R147&lt;&gt;"Terminated"),AND('START HERE'!$C$8="Terminations Only",$R147&lt;&gt;"Terminated")),"Status, ","")&amp;IF($S147="","Plan Name, ","")&amp;IF($T147="","Coverage Level, ","")&amp;IF(AND($U147&lt;&gt;"",OR(NOT(ISNUMBER($U147)),$U147&lt;0)),"Funding, ","")&amp;IF(AND($A147&lt;&gt;"",$S147&lt;&gt;"",COUNTIFS($A$2:$A$501,$A147,$B$2:$B$501,$B147,$S$2:$S$501,$S147)&gt;1),"Duplicate Row, ",""))</f>
        <v/>
      </c>
      <c r="AF147">
        <f>IF(COUNTA($A147:$U147)=0,"",$Y147&amp;$Z147&amp;$AA147&amp;$AB147&amp;$AC147)</f>
        <v/>
      </c>
      <c r="AG147">
        <f>IF($N147="","",LOWER(TRIM($N147)))</f>
        <v/>
      </c>
      <c r="AH147">
        <f>IF($A147="","",COUNTIFS($A$2:$A$501,$A147,$AI$2:$AI$501,1))</f>
        <v/>
      </c>
      <c r="AI147">
        <f>IF(COUNTA($A147:$U147)=0,"",--($AF147&lt;&gt;""))</f>
        <v/>
      </c>
      <c r="AJ147">
        <f>IF(COUNTA($A147:$U147)=0,"",--($AD147&lt;&gt;""))</f>
        <v/>
      </c>
    </row>
    <row r="148" ht="20" customHeight="1">
      <c r="A148" s="80" t="n"/>
      <c r="B148" s="80" t="n"/>
      <c r="C148" s="81" t="n"/>
      <c r="D148" s="81" t="n"/>
      <c r="E148" s="80" t="n"/>
      <c r="F148" s="81" t="n"/>
      <c r="G148" s="81" t="n"/>
      <c r="H148" s="81" t="n"/>
      <c r="I148" s="80" t="n"/>
      <c r="J148" s="80" t="n"/>
      <c r="K148" s="80" t="n"/>
      <c r="L148" s="82" t="n"/>
      <c r="M148" s="80" t="n"/>
      <c r="N148" s="80" t="n"/>
      <c r="O148" s="80" t="n"/>
      <c r="P148" s="82" t="n"/>
      <c r="Q148" s="82" t="n"/>
      <c r="R148" s="80" t="n"/>
      <c r="S148" s="80" t="n"/>
      <c r="T148" s="80" t="n"/>
      <c r="U148" s="83" t="n"/>
      <c r="V148">
        <f>IF($A148="","",IF($A148=$A147,$V147,IF($V147="",0,1-$V147)))</f>
        <v/>
      </c>
      <c r="W148">
        <f>IF($B148&lt;&gt;"",$B148,$A148)</f>
        <v/>
      </c>
      <c r="X148">
        <f>IF(COUNTA($A148:$U148)=0,"",IF(OR($B148&lt;&gt;"",$O148&lt;&gt;""),"Dependent","Employee"))</f>
        <v/>
      </c>
      <c r="Y148">
        <f>IF(COUNTA($A148:$U148)=0,"",IF($A148="","Employee SSN is required; ","")&amp;IF($C148="","First Name is required; ","")&amp;IF(LEN($C148&amp;"")&gt;19,"First Name exceeds 19 characters; ","")&amp;IF(AND($C148&lt;&gt;"",SUMPRODUCT(--(ROW($1:$19)&lt;=LEN($C148&amp;"")),--ISERROR(FIND(MID($C148&amp;"",ROW($1:$19),1),"ABCDEFGHIJKLMNOPQRSTUVWXYZabcdefghijklmnopqrstuvwxyz .,")))&gt;0),"First Name contains unsupported or encoded characters; use plain A-Z letters only; ","")&amp;IF($D148="","Last Name is required; ","")&amp;IF(LEN($D148&amp;"")&gt;26,"Last Name exceeds 26 characters; ","")&amp;IF(AND($D148&lt;&gt;"",SUMPRODUCT(--(ROW($1:$26)&lt;=LEN($D148&amp;"")),--ISERROR(FIND(MID($D148&amp;"",ROW($1:$26),1),"ABCDEFGHIJKLMNOPQRSTUVWXYZabcdefghijklmnopqrstuvwxyz .,")))&gt;0),"Last Name contains unsupported or encoded characters; use plain A-Z letters only; ","")&amp;IF(LEN($E148&amp;"")&gt;1,"Middle Initial may contain only one character; ","")&amp;IF(AND($E148&lt;&gt;"",SUMPRODUCT(--(ROW($1:$1)&lt;=LEN($E148&amp;"")),--ISERROR(FIND(MID($E148&amp;"",ROW($1:$1),1),"ABCDEFGHIJKLMNOPQRSTUVWXYZabcdefghijklmnopqrstuvwxyz .,")))&gt;0),"Middle Initial must be a plain A-Z letter; ","")&amp;IF($F148="","Address is required; ","")&amp;IF(LEN($F148&amp;"")&gt;75,"Address exceeds 75 characters; ","")&amp;IF(LEN($G148&amp;"")&gt;75,"Address 2 exceeds 75 characters; ","")&amp;IF($H148="","City is required; ","")&amp;IF(LEN($H148&amp;"")&gt;30,"City exceeds 30 characters; ","")&amp;IF($K148="","Country is required; ","")&amp;IF(AND($K148&lt;&gt;"",$K148&lt;&gt;"US",$K148&lt;&gt;"CA"),"Country must be US or CA; ","")&amp;IF(AND($K148="US",OR($I148="",LEN($I148&amp;"")&lt;&gt;2)),"Use a 2-letter state code; ","")&amp;IF($J148="","ZIP or postal code is required; ","")&amp;IF(AND($K148="US",$J148&lt;&gt;"",NOT(IFERROR(OR(AND(LEN($J148&amp;"")=5,ISNUMBER(--($J148&amp;""))),AND(LEN($J148&amp;"")=9,ISNUMBER(--($J148&amp;""))),AND(LEN($J148&amp;"")=10,MID($J148&amp;"",6,1)="-",ISNUMBER(--SUBSTITUTE($J148&amp;"","-","")))),FALSE))),"US ZIP must be 5 or 9 digits, with an optional ZIP+4 hyphen; ","")&amp;IF(AND($N148&lt;&gt;"",NOT(IFERROR(AND(ISNUMBER(SEARCH("@",$N148)),ISNUMBER(SEARCH(".",$N148,SEARCH("@",$N148)+2))),FALSE))),"Email format appears invalid; ","")&amp;IF(AND($O148&lt;&gt;"",$B148=""),"Dependent SSN is required for every dependent; ","")&amp;IF(AND($B148&lt;&gt;"",$O148=""),"Dependent Relationship is required when Dependent SSN is entered; ","")&amp;IF(AND($O148&lt;&gt;"",$O148&lt;&gt;"Spouse or Common Law Spouse",$O148&lt;&gt;"Domestic Partner",$O148&lt;&gt;"Child",$O148&lt;&gt;"Other",$O148&lt;&gt;"Estate",$O148&lt;&gt;"Unknown"),"Dependent Relationship must use one of the approved options; ",""))</f>
        <v/>
      </c>
      <c r="Z148">
        <f>IF(COUNTA($A148:$U148)=0,"",IF(AND($A148&lt;&gt;"",NOT(IFERROR(AND(LEN($A148&amp;"")=9,ISNUMBER(--($A148&amp;""))),FALSE))),"Employee SSN must contain exactly 9 digits; ","")&amp;IF(AND($A148&lt;&gt;"",OR($A148="123456789",$A148="987654321",$A148="012345678",$A148=REPT(LEFT($A148&amp;"",1),9))),"Employee SSN appears to be a placeholder; ","")&amp;IF(AND($B148&lt;&gt;"",NOT(IFERROR(AND(LEN($B148&amp;"")=9,ISNUMBER(--($B148&amp;""))),FALSE))),"Dependent SSN must contain exactly 9 digits; ","")&amp;IF(AND($B148&lt;&gt;"",OR($B148="123456789",$B148="987654321",$B148="012345678",$B148=REPT(LEFT($B148&amp;"",1),9))),"Dependent SSN appears to be a placeholder; ","")&amp;IF(AND($A148&lt;&gt;"",$B148&lt;&gt;"",$A148&amp;""=$B148&amp;""),"Dependent SSN cannot match Employee SSN; ","")&amp;IF(AND($W148&lt;&gt;"",OR(COUNTIFS($W$2:$W$501,$W148,$C$2:$C$501,"&lt;&gt;"&amp;$C148)&gt;0,COUNTIFS($W$2:$W$501,$W148,$D$2:$D$501,"&lt;&gt;"&amp;$D148)&gt;0,COUNTIFS($W$2:$W$501,$W148,$L$2:$L$501,"&lt;&gt;"&amp;$L148)&gt;0)),"The same SSN is associated with a different name or birthdate; ",""))</f>
        <v/>
      </c>
      <c r="AA148">
        <f>IF(COUNTA($A148:$U148)=0,"",IF(AND($A148&lt;&gt;"",$S148&lt;&gt;"",COUNTIFS($A$2:$A$501,$A148,$S$2:$S$501,$S148,$B$2:$B$501,"",$O$2:$O$501,"")=0),"Add an employee row for this household and plan; ","")&amp;IF(AND($X148="Dependent",COUNTIFS($A$2:$A148,$A148,$S$2:$S148,$S148,$B$2:$B148,"",$O$2:$O148,"")=0),"Place the employee row before dependent rows for this plan; ","")&amp;IF(AND($X148="Dependent",COUNTIFS($A$2:$A$501,$A148,$S$2:$S$501,$S148,$B$2:$B$501,"",$O$2:$O$501,"")&gt;0,IFERROR(OR($P148&lt;&gt;LOOKUP(2,1/(($A$2:$A$501=$A148)*($S$2:$S$501=$S148)*($B$2:$B$501="")*($O$2:$O$501="")),$P$2:$P$501),$Q148&lt;&gt;LOOKUP(2,1/(($A$2:$A$501=$A148)*($S$2:$S$501=$S148)*($B$2:$B$501="")*($O$2:$O$501="")),$Q$2:$Q$501),$R148&lt;&gt;LOOKUP(2,1/(($A$2:$A$501=$A148)*($S$2:$S$501=$S148)*($B$2:$B$501="")*($O$2:$O$501="")),$R$2:$R$501),$T148&lt;&gt;LOOKUP(2,1/(($A$2:$A$501=$A148)*($S$2:$S$501=$S148)*($B$2:$B$501="")*($O$2:$O$501="")),$T$2:$T$501),$U148&lt;&gt;LOOKUP(2,1/(($A$2:$A$501=$A148)*($S$2:$S$501=$S148)*($B$2:$B$501="")*($O$2:$O$501="")),$U$2:$U$501)),FALSE)),"Dependent row does not match the employee row for eligibility, status, coverage level, or funding; ",""))</f>
        <v/>
      </c>
      <c r="AB148">
        <f>IF(COUNTA($A148:$U148)=0,"",IF($L148="","Birthdate is required; ","")&amp;IF(AND($L148&lt;&gt;"",OR(NOT(ISNUMBER($L148)),$L148&lt;=DATE(1900,1,1),$L148&gt;TODAY())),"Birthdate must be an exact valid past date; ","")&amp;IF($P148="","Eligibility Date is required; ","")&amp;IF(AND($P148&lt;&gt;"",OR(NOT(ISNUMBER($P148)),$P148&lt;=DATE(1900,1,1))),"Eligibility Date must be a valid date; ","")&amp;IF(AND($R148="Terminated",$Q148=""),"Termination Date is required when Status is Terminated; ","")&amp;IF(AND($Q148&lt;&gt;"",OR(NOT(ISNUMBER($Q148)),$Q148&lt;=DATE(1900,1,1))),"Termination Date must be a valid date; ","")&amp;IF(AND(ISNUMBER($P148),ISNUMBER($Q148),$Q148&lt;$P148),"Termination Date cannot be before Eligibility Date; ","")&amp;IF($R148="","Status is required; ","")&amp;IF(AND($R148&lt;&gt;"",$R148&lt;&gt;"Active",$R148&lt;&gt;"Terminated"),"Status must be Active or Terminated; ","")&amp;IF(AND('START HERE'!$C$8="Terminations Only",$R148&lt;&gt;"Terminated"),"Terminations Only files must contain terminated records; ",""))</f>
        <v/>
      </c>
      <c r="AC148">
        <f>IF(COUNTA($A148:$U148)=0,"",IF($S148="","Plan Name is required; ","")&amp;IF($T148="","Benefit Coverage Level is required; ","")&amp;IF(AND($U148&lt;&gt;"",OR(NOT(ISNUMBER($U148)),$U148&lt;0)),"Plan Funding Amount must be a nonnegative number; ","")&amp;IF(AND($A148&lt;&gt;"",$S148&lt;&gt;"",COUNTIFS($A$2:$A$501,$A148,$B$2:$B$501,$B148,$S$2:$S$501,$S148)&gt;1),"Duplicate participant and plan row; ",""))</f>
        <v/>
      </c>
      <c r="AD148">
        <f>IF(COUNTA($A148:$U148)=0,"",IF(AND($X148="Employee",$M148="",$N148=""),"No employee phone or email provided; ","")&amp;IF(AND($R148="Active",$Q148&lt;&gt;""),"Active record includes a Termination Date; confirm this is intentional; ","")&amp;IF(AND($B148&lt;&gt;"",$B148&amp;""&lt;&gt;$A148&amp;"",COUNTIF($A$2:$A$501,$B148)&gt;0),"Dependent SSN also appears as an Employee SSN elsewhere; confirm dual-employee coverage is intentional; ","")&amp;IF(AND($B148&lt;&gt;"",COUNTIF($B$2:$B$501,$B148)&gt;COUNTIFS($A$2:$A$501,$A148,$B$2:$B$501,$B148)),"Dependent SSN appears under more than one employee; confirm duplicate family coverage is intentional; ","")&amp;IF(AND(ROW()&gt;2,$A148&lt;&gt;"",$A148&lt;&gt;$A147,COUNTIF($A$2:$A147,$A148)&gt;0),"This household appears in more than one section of the census; keep the family together; ","")&amp;IF(OR(AND($C148&lt;&gt;"",LEN($C148&amp;"")&lt;&gt;LEN(TRIM($C148&amp;""))),AND($D148&lt;&gt;"",LEN($D148&amp;"")&lt;&gt;LEN(TRIM($D148&amp;""))),AND($E148&lt;&gt;"",LEN($E148&amp;"")&lt;&gt;LEN(TRIM($E148&amp;""))),AND($F148&lt;&gt;"",LEN($F148&amp;"")&lt;&gt;LEN(TRIM($F148&amp;""))),AND($G148&lt;&gt;"",LEN($G148&amp;"")&lt;&gt;LEN(TRIM($G148&amp;""))),AND($H148&lt;&gt;"",LEN($H148&amp;"")&lt;&gt;LEN(TRIM($H148&amp;""))),AND($I148&lt;&gt;"",LEN($I148&amp;"")&lt;&gt;LEN(TRIM($I148&amp;""))),AND($J148&lt;&gt;"",LEN($J148&amp;"")&lt;&gt;LEN(TRIM($J148&amp;""))),AND($K148&lt;&gt;"",LEN($K148&amp;"")&lt;&gt;LEN(TRIM($K148&amp;""))),AND($M148&lt;&gt;"",LEN($M148&amp;"")&lt;&gt;LEN(TRIM($M148&amp;""))),AND($N148&lt;&gt;"",LEN($N148&amp;"")&lt;&gt;LEN(TRIM($N148&amp;""))),AND($O148&lt;&gt;"",LEN($O148&amp;"")&lt;&gt;LEN(TRIM($O148&amp;""))),AND($R148&lt;&gt;"",LEN($R148&amp;"")&lt;&gt;LEN(TRIM($R148&amp;""))),AND($S148&lt;&gt;"",LEN($S148&amp;"")&lt;&gt;LEN(TRIM($S148&amp;""))),AND($T148&lt;&gt;"",LEN($T148&amp;"")&lt;&gt;LEN(TRIM($T148&amp;"")))),"Remove leading or trailing spaces from text fields; ","")&amp;IF(OR(AND(LEN($C148)&gt;1,OR(EXACT($C148,UPPER($C148)),EXACT($C148,LOWER($C148)))),AND(LEN($D148)&gt;1,OR(EXACT($D148,UPPER($D148)),EXACT($D148,LOWER($D148)))),AND(LEN($H148)&gt;1,OR(EXACT($H148,UPPER($H148)),EXACT($H148,LOWER($H148))))),"Review capitalization in First Name, Last Name, or City; ","")&amp;IF(AND($N148&lt;&gt;"",NOT(EXACT($N148,LOWER($N148)))),"Email will be standardized to lowercase in the clean output; ","")&amp;IF(AND(OR('START HERE'!$C$8="Initial Enrollment",'START HERE'!$C$8="Open Enrollment"),$R148="Terminated"),"A terminated row is included in an initial or open enrollment file; confirm this is intentional; ",""))</f>
        <v/>
      </c>
      <c r="AE148">
        <f>IF(COUNTA($A148:$U148)=0,"",IF(OR($A148="",AND($A148&lt;&gt;"",NOT(IFERROR(AND(LEN($A148&amp;"")=9,ISNUMBER(--($A148&amp;""))),FALSE))),AND($A148&lt;&gt;"",OR($A148="123456789",$A148="987654321",$A148="012345678",$A148=REPT(LEFT($A148&amp;"",1),9)))),"Employee SSN, ","")&amp;IF(OR(AND($O148&lt;&gt;"",$B148=""),AND($B148&lt;&gt;"",OR(NOT(IFERROR(AND(LEN($B148&amp;"")=9,ISNUMBER(--($B148&amp;""))),FALSE)),$B148=$A148,$B148="123456789",$B148="987654321",$B148="012345678",$B148=REPT(LEFT($B148&amp;"",1),9)))),"Dependent SSN, ","")&amp;IF(OR($C148="",LEN($C148)&gt;19,AND($C148&lt;&gt;"",SUMPRODUCT(--(ROW($1:$19)&lt;=LEN($C148&amp;"")),--ISERROR(FIND(MID($C148&amp;"",ROW($1:$19),1),"ABCDEFGHIJKLMNOPQRSTUVWXYZabcdefghijklmnopqrstuvwxyz .,")))&gt;0)),"First Name, ","")&amp;IF(OR($D148="",LEN($D148)&gt;26,AND($D148&lt;&gt;"",SUMPRODUCT(--(ROW($1:$26)&lt;=LEN($D148&amp;"")),--ISERROR(FIND(MID($D148&amp;"",ROW($1:$26),1),"ABCDEFGHIJKLMNOPQRSTUVWXYZabcdefghijklmnopqrstuvwxyz .,")))&gt;0)),"Last Name, ","")&amp;IF(OR(LEN($E148)&gt;1,AND($E148&lt;&gt;"",SUMPRODUCT(--(ROW($1:$1)&lt;=LEN($E148&amp;"")),--ISERROR(FIND(MID($E148&amp;"",ROW($1:$1),1),"ABCDEFGHIJKLMNOPQRSTUVWXYZabcdefghijklmnopqrstuvwxyz .,")))&gt;0)),"Middle Initial, ","")&amp;IF(OR($F148="",LEN($F148)&gt;75),"Address, ","")&amp;IF(OR($H148="",LEN($H148)&gt;30),"City, ","")&amp;IF(AND($K148="US",OR($I148="",LEN($I148)&lt;&gt;2)),"State, ","")&amp;IF($J148="","ZIP, ","")&amp;IF(OR($K148="",AND($K148&lt;&gt;"US",$K148&lt;&gt;"CA")),"Country, ","")&amp;IF(OR($L148="",AND($L148&lt;&gt;"",OR(NOT(ISNUMBER($L148)),$L148&lt;=DATE(1900,1,1),$L148&gt;TODAY()))),"Birthdate, ","")&amp;IF(AND($N148&lt;&gt;"",NOT(IFERROR(AND(ISNUMBER(SEARCH("@",$N148)),ISNUMBER(SEARCH(".",$N148,SEARCH("@",$N148)+2))),FALSE))),"Email, ","")&amp;IF(OR(AND($B148&lt;&gt;"",$O148=""),AND($O148&lt;&gt;"",$O148&lt;&gt;"Spouse or Common Law Spouse",$O148&lt;&gt;"Domestic Partner",$O148&lt;&gt;"Child",$O148&lt;&gt;"Other",$O148&lt;&gt;"Estate",$O148&lt;&gt;"Unknown")),"Dependent Relationship, ","")&amp;IF($AA148&lt;&gt;"","Household, ","")&amp;IF(OR($P148="",AND($P148&lt;&gt;"",OR(NOT(ISNUMBER($P148)),$P148&lt;=DATE(1900,1,1)))),"Eligibility Date, ","")&amp;IF(OR(AND($R148="Terminated",$Q148=""),AND($Q148&lt;&gt;"",OR(NOT(ISNUMBER($Q148)),$Q148&lt;=DATE(1900,1,1))),AND(ISNUMBER($P148),ISNUMBER($Q148),$Q148&lt;$P148)),"Termination Date, ","")&amp;IF(OR($R148="",AND($R148&lt;&gt;"Active",$R148&lt;&gt;"Terminated"),AND('START HERE'!$C$8="Terminations Only",$R148&lt;&gt;"Terminated")),"Status, ","")&amp;IF($S148="","Plan Name, ","")&amp;IF($T148="","Coverage Level, ","")&amp;IF(AND($U148&lt;&gt;"",OR(NOT(ISNUMBER($U148)),$U148&lt;0)),"Funding, ","")&amp;IF(AND($A148&lt;&gt;"",$S148&lt;&gt;"",COUNTIFS($A$2:$A$501,$A148,$B$2:$B$501,$B148,$S$2:$S$501,$S148)&gt;1),"Duplicate Row, ",""))</f>
        <v/>
      </c>
      <c r="AF148">
        <f>IF(COUNTA($A148:$U148)=0,"",$Y148&amp;$Z148&amp;$AA148&amp;$AB148&amp;$AC148)</f>
        <v/>
      </c>
      <c r="AG148">
        <f>IF($N148="","",LOWER(TRIM($N148)))</f>
        <v/>
      </c>
      <c r="AH148">
        <f>IF($A148="","",COUNTIFS($A$2:$A$501,$A148,$AI$2:$AI$501,1))</f>
        <v/>
      </c>
      <c r="AI148">
        <f>IF(COUNTA($A148:$U148)=0,"",--($AF148&lt;&gt;""))</f>
        <v/>
      </c>
      <c r="AJ148">
        <f>IF(COUNTA($A148:$U148)=0,"",--($AD148&lt;&gt;""))</f>
        <v/>
      </c>
    </row>
    <row r="149" ht="20" customHeight="1">
      <c r="A149" s="80" t="n"/>
      <c r="B149" s="80" t="n"/>
      <c r="C149" s="81" t="n"/>
      <c r="D149" s="81" t="n"/>
      <c r="E149" s="80" t="n"/>
      <c r="F149" s="81" t="n"/>
      <c r="G149" s="81" t="n"/>
      <c r="H149" s="81" t="n"/>
      <c r="I149" s="80" t="n"/>
      <c r="J149" s="80" t="n"/>
      <c r="K149" s="80" t="n"/>
      <c r="L149" s="82" t="n"/>
      <c r="M149" s="80" t="n"/>
      <c r="N149" s="80" t="n"/>
      <c r="O149" s="80" t="n"/>
      <c r="P149" s="82" t="n"/>
      <c r="Q149" s="82" t="n"/>
      <c r="R149" s="80" t="n"/>
      <c r="S149" s="80" t="n"/>
      <c r="T149" s="80" t="n"/>
      <c r="U149" s="83" t="n"/>
      <c r="V149">
        <f>IF($A149="","",IF($A149=$A148,$V148,IF($V148="",0,1-$V148)))</f>
        <v/>
      </c>
      <c r="W149">
        <f>IF($B149&lt;&gt;"",$B149,$A149)</f>
        <v/>
      </c>
      <c r="X149">
        <f>IF(COUNTA($A149:$U149)=0,"",IF(OR($B149&lt;&gt;"",$O149&lt;&gt;""),"Dependent","Employee"))</f>
        <v/>
      </c>
      <c r="Y149">
        <f>IF(COUNTA($A149:$U149)=0,"",IF($A149="","Employee SSN is required; ","")&amp;IF($C149="","First Name is required; ","")&amp;IF(LEN($C149&amp;"")&gt;19,"First Name exceeds 19 characters; ","")&amp;IF(AND($C149&lt;&gt;"",SUMPRODUCT(--(ROW($1:$19)&lt;=LEN($C149&amp;"")),--ISERROR(FIND(MID($C149&amp;"",ROW($1:$19),1),"ABCDEFGHIJKLMNOPQRSTUVWXYZabcdefghijklmnopqrstuvwxyz .,")))&gt;0),"First Name contains unsupported or encoded characters; use plain A-Z letters only; ","")&amp;IF($D149="","Last Name is required; ","")&amp;IF(LEN($D149&amp;"")&gt;26,"Last Name exceeds 26 characters; ","")&amp;IF(AND($D149&lt;&gt;"",SUMPRODUCT(--(ROW($1:$26)&lt;=LEN($D149&amp;"")),--ISERROR(FIND(MID($D149&amp;"",ROW($1:$26),1),"ABCDEFGHIJKLMNOPQRSTUVWXYZabcdefghijklmnopqrstuvwxyz .,")))&gt;0),"Last Name contains unsupported or encoded characters; use plain A-Z letters only; ","")&amp;IF(LEN($E149&amp;"")&gt;1,"Middle Initial may contain only one character; ","")&amp;IF(AND($E149&lt;&gt;"",SUMPRODUCT(--(ROW($1:$1)&lt;=LEN($E149&amp;"")),--ISERROR(FIND(MID($E149&amp;"",ROW($1:$1),1),"ABCDEFGHIJKLMNOPQRSTUVWXYZabcdefghijklmnopqrstuvwxyz .,")))&gt;0),"Middle Initial must be a plain A-Z letter; ","")&amp;IF($F149="","Address is required; ","")&amp;IF(LEN($F149&amp;"")&gt;75,"Address exceeds 75 characters; ","")&amp;IF(LEN($G149&amp;"")&gt;75,"Address 2 exceeds 75 characters; ","")&amp;IF($H149="","City is required; ","")&amp;IF(LEN($H149&amp;"")&gt;30,"City exceeds 30 characters; ","")&amp;IF($K149="","Country is required; ","")&amp;IF(AND($K149&lt;&gt;"",$K149&lt;&gt;"US",$K149&lt;&gt;"CA"),"Country must be US or CA; ","")&amp;IF(AND($K149="US",OR($I149="",LEN($I149&amp;"")&lt;&gt;2)),"Use a 2-letter state code; ","")&amp;IF($J149="","ZIP or postal code is required; ","")&amp;IF(AND($K149="US",$J149&lt;&gt;"",NOT(IFERROR(OR(AND(LEN($J149&amp;"")=5,ISNUMBER(--($J149&amp;""))),AND(LEN($J149&amp;"")=9,ISNUMBER(--($J149&amp;""))),AND(LEN($J149&amp;"")=10,MID($J149&amp;"",6,1)="-",ISNUMBER(--SUBSTITUTE($J149&amp;"","-","")))),FALSE))),"US ZIP must be 5 or 9 digits, with an optional ZIP+4 hyphen; ","")&amp;IF(AND($N149&lt;&gt;"",NOT(IFERROR(AND(ISNUMBER(SEARCH("@",$N149)),ISNUMBER(SEARCH(".",$N149,SEARCH("@",$N149)+2))),FALSE))),"Email format appears invalid; ","")&amp;IF(AND($O149&lt;&gt;"",$B149=""),"Dependent SSN is required for every dependent; ","")&amp;IF(AND($B149&lt;&gt;"",$O149=""),"Dependent Relationship is required when Dependent SSN is entered; ","")&amp;IF(AND($O149&lt;&gt;"",$O149&lt;&gt;"Spouse or Common Law Spouse",$O149&lt;&gt;"Domestic Partner",$O149&lt;&gt;"Child",$O149&lt;&gt;"Other",$O149&lt;&gt;"Estate",$O149&lt;&gt;"Unknown"),"Dependent Relationship must use one of the approved options; ",""))</f>
        <v/>
      </c>
      <c r="Z149">
        <f>IF(COUNTA($A149:$U149)=0,"",IF(AND($A149&lt;&gt;"",NOT(IFERROR(AND(LEN($A149&amp;"")=9,ISNUMBER(--($A149&amp;""))),FALSE))),"Employee SSN must contain exactly 9 digits; ","")&amp;IF(AND($A149&lt;&gt;"",OR($A149="123456789",$A149="987654321",$A149="012345678",$A149=REPT(LEFT($A149&amp;"",1),9))),"Employee SSN appears to be a placeholder; ","")&amp;IF(AND($B149&lt;&gt;"",NOT(IFERROR(AND(LEN($B149&amp;"")=9,ISNUMBER(--($B149&amp;""))),FALSE))),"Dependent SSN must contain exactly 9 digits; ","")&amp;IF(AND($B149&lt;&gt;"",OR($B149="123456789",$B149="987654321",$B149="012345678",$B149=REPT(LEFT($B149&amp;"",1),9))),"Dependent SSN appears to be a placeholder; ","")&amp;IF(AND($A149&lt;&gt;"",$B149&lt;&gt;"",$A149&amp;""=$B149&amp;""),"Dependent SSN cannot match Employee SSN; ","")&amp;IF(AND($W149&lt;&gt;"",OR(COUNTIFS($W$2:$W$501,$W149,$C$2:$C$501,"&lt;&gt;"&amp;$C149)&gt;0,COUNTIFS($W$2:$W$501,$W149,$D$2:$D$501,"&lt;&gt;"&amp;$D149)&gt;0,COUNTIFS($W$2:$W$501,$W149,$L$2:$L$501,"&lt;&gt;"&amp;$L149)&gt;0)),"The same SSN is associated with a different name or birthdate; ",""))</f>
        <v/>
      </c>
      <c r="AA149">
        <f>IF(COUNTA($A149:$U149)=0,"",IF(AND($A149&lt;&gt;"",$S149&lt;&gt;"",COUNTIFS($A$2:$A$501,$A149,$S$2:$S$501,$S149,$B$2:$B$501,"",$O$2:$O$501,"")=0),"Add an employee row for this household and plan; ","")&amp;IF(AND($X149="Dependent",COUNTIFS($A$2:$A149,$A149,$S$2:$S149,$S149,$B$2:$B149,"",$O$2:$O149,"")=0),"Place the employee row before dependent rows for this plan; ","")&amp;IF(AND($X149="Dependent",COUNTIFS($A$2:$A$501,$A149,$S$2:$S$501,$S149,$B$2:$B$501,"",$O$2:$O$501,"")&gt;0,IFERROR(OR($P149&lt;&gt;LOOKUP(2,1/(($A$2:$A$501=$A149)*($S$2:$S$501=$S149)*($B$2:$B$501="")*($O$2:$O$501="")),$P$2:$P$501),$Q149&lt;&gt;LOOKUP(2,1/(($A$2:$A$501=$A149)*($S$2:$S$501=$S149)*($B$2:$B$501="")*($O$2:$O$501="")),$Q$2:$Q$501),$R149&lt;&gt;LOOKUP(2,1/(($A$2:$A$501=$A149)*($S$2:$S$501=$S149)*($B$2:$B$501="")*($O$2:$O$501="")),$R$2:$R$501),$T149&lt;&gt;LOOKUP(2,1/(($A$2:$A$501=$A149)*($S$2:$S$501=$S149)*($B$2:$B$501="")*($O$2:$O$501="")),$T$2:$T$501),$U149&lt;&gt;LOOKUP(2,1/(($A$2:$A$501=$A149)*($S$2:$S$501=$S149)*($B$2:$B$501="")*($O$2:$O$501="")),$U$2:$U$501)),FALSE)),"Dependent row does not match the employee row for eligibility, status, coverage level, or funding; ",""))</f>
        <v/>
      </c>
      <c r="AB149">
        <f>IF(COUNTA($A149:$U149)=0,"",IF($L149="","Birthdate is required; ","")&amp;IF(AND($L149&lt;&gt;"",OR(NOT(ISNUMBER($L149)),$L149&lt;=DATE(1900,1,1),$L149&gt;TODAY())),"Birthdate must be an exact valid past date; ","")&amp;IF($P149="","Eligibility Date is required; ","")&amp;IF(AND($P149&lt;&gt;"",OR(NOT(ISNUMBER($P149)),$P149&lt;=DATE(1900,1,1))),"Eligibility Date must be a valid date; ","")&amp;IF(AND($R149="Terminated",$Q149=""),"Termination Date is required when Status is Terminated; ","")&amp;IF(AND($Q149&lt;&gt;"",OR(NOT(ISNUMBER($Q149)),$Q149&lt;=DATE(1900,1,1))),"Termination Date must be a valid date; ","")&amp;IF(AND(ISNUMBER($P149),ISNUMBER($Q149),$Q149&lt;$P149),"Termination Date cannot be before Eligibility Date; ","")&amp;IF($R149="","Status is required; ","")&amp;IF(AND($R149&lt;&gt;"",$R149&lt;&gt;"Active",$R149&lt;&gt;"Terminated"),"Status must be Active or Terminated; ","")&amp;IF(AND('START HERE'!$C$8="Terminations Only",$R149&lt;&gt;"Terminated"),"Terminations Only files must contain terminated records; ",""))</f>
        <v/>
      </c>
      <c r="AC149">
        <f>IF(COUNTA($A149:$U149)=0,"",IF($S149="","Plan Name is required; ","")&amp;IF($T149="","Benefit Coverage Level is required; ","")&amp;IF(AND($U149&lt;&gt;"",OR(NOT(ISNUMBER($U149)),$U149&lt;0)),"Plan Funding Amount must be a nonnegative number; ","")&amp;IF(AND($A149&lt;&gt;"",$S149&lt;&gt;"",COUNTIFS($A$2:$A$501,$A149,$B$2:$B$501,$B149,$S$2:$S$501,$S149)&gt;1),"Duplicate participant and plan row; ",""))</f>
        <v/>
      </c>
      <c r="AD149">
        <f>IF(COUNTA($A149:$U149)=0,"",IF(AND($X149="Employee",$M149="",$N149=""),"No employee phone or email provided; ","")&amp;IF(AND($R149="Active",$Q149&lt;&gt;""),"Active record includes a Termination Date; confirm this is intentional; ","")&amp;IF(AND($B149&lt;&gt;"",$B149&amp;""&lt;&gt;$A149&amp;"",COUNTIF($A$2:$A$501,$B149)&gt;0),"Dependent SSN also appears as an Employee SSN elsewhere; confirm dual-employee coverage is intentional; ","")&amp;IF(AND($B149&lt;&gt;"",COUNTIF($B$2:$B$501,$B149)&gt;COUNTIFS($A$2:$A$501,$A149,$B$2:$B$501,$B149)),"Dependent SSN appears under more than one employee; confirm duplicate family coverage is intentional; ","")&amp;IF(AND(ROW()&gt;2,$A149&lt;&gt;"",$A149&lt;&gt;$A148,COUNTIF($A$2:$A148,$A149)&gt;0),"This household appears in more than one section of the census; keep the family together; ","")&amp;IF(OR(AND($C149&lt;&gt;"",LEN($C149&amp;"")&lt;&gt;LEN(TRIM($C149&amp;""))),AND($D149&lt;&gt;"",LEN($D149&amp;"")&lt;&gt;LEN(TRIM($D149&amp;""))),AND($E149&lt;&gt;"",LEN($E149&amp;"")&lt;&gt;LEN(TRIM($E149&amp;""))),AND($F149&lt;&gt;"",LEN($F149&amp;"")&lt;&gt;LEN(TRIM($F149&amp;""))),AND($G149&lt;&gt;"",LEN($G149&amp;"")&lt;&gt;LEN(TRIM($G149&amp;""))),AND($H149&lt;&gt;"",LEN($H149&amp;"")&lt;&gt;LEN(TRIM($H149&amp;""))),AND($I149&lt;&gt;"",LEN($I149&amp;"")&lt;&gt;LEN(TRIM($I149&amp;""))),AND($J149&lt;&gt;"",LEN($J149&amp;"")&lt;&gt;LEN(TRIM($J149&amp;""))),AND($K149&lt;&gt;"",LEN($K149&amp;"")&lt;&gt;LEN(TRIM($K149&amp;""))),AND($M149&lt;&gt;"",LEN($M149&amp;"")&lt;&gt;LEN(TRIM($M149&amp;""))),AND($N149&lt;&gt;"",LEN($N149&amp;"")&lt;&gt;LEN(TRIM($N149&amp;""))),AND($O149&lt;&gt;"",LEN($O149&amp;"")&lt;&gt;LEN(TRIM($O149&amp;""))),AND($R149&lt;&gt;"",LEN($R149&amp;"")&lt;&gt;LEN(TRIM($R149&amp;""))),AND($S149&lt;&gt;"",LEN($S149&amp;"")&lt;&gt;LEN(TRIM($S149&amp;""))),AND($T149&lt;&gt;"",LEN($T149&amp;"")&lt;&gt;LEN(TRIM($T149&amp;"")))),"Remove leading or trailing spaces from text fields; ","")&amp;IF(OR(AND(LEN($C149)&gt;1,OR(EXACT($C149,UPPER($C149)),EXACT($C149,LOWER($C149)))),AND(LEN($D149)&gt;1,OR(EXACT($D149,UPPER($D149)),EXACT($D149,LOWER($D149)))),AND(LEN($H149)&gt;1,OR(EXACT($H149,UPPER($H149)),EXACT($H149,LOWER($H149))))),"Review capitalization in First Name, Last Name, or City; ","")&amp;IF(AND($N149&lt;&gt;"",NOT(EXACT($N149,LOWER($N149)))),"Email will be standardized to lowercase in the clean output; ","")&amp;IF(AND(OR('START HERE'!$C$8="Initial Enrollment",'START HERE'!$C$8="Open Enrollment"),$R149="Terminated"),"A terminated row is included in an initial or open enrollment file; confirm this is intentional; ",""))</f>
        <v/>
      </c>
      <c r="AE149">
        <f>IF(COUNTA($A149:$U149)=0,"",IF(OR($A149="",AND($A149&lt;&gt;"",NOT(IFERROR(AND(LEN($A149&amp;"")=9,ISNUMBER(--($A149&amp;""))),FALSE))),AND($A149&lt;&gt;"",OR($A149="123456789",$A149="987654321",$A149="012345678",$A149=REPT(LEFT($A149&amp;"",1),9)))),"Employee SSN, ","")&amp;IF(OR(AND($O149&lt;&gt;"",$B149=""),AND($B149&lt;&gt;"",OR(NOT(IFERROR(AND(LEN($B149&amp;"")=9,ISNUMBER(--($B149&amp;""))),FALSE)),$B149=$A149,$B149="123456789",$B149="987654321",$B149="012345678",$B149=REPT(LEFT($B149&amp;"",1),9)))),"Dependent SSN, ","")&amp;IF(OR($C149="",LEN($C149)&gt;19,AND($C149&lt;&gt;"",SUMPRODUCT(--(ROW($1:$19)&lt;=LEN($C149&amp;"")),--ISERROR(FIND(MID($C149&amp;"",ROW($1:$19),1),"ABCDEFGHIJKLMNOPQRSTUVWXYZabcdefghijklmnopqrstuvwxyz .,")))&gt;0)),"First Name, ","")&amp;IF(OR($D149="",LEN($D149)&gt;26,AND($D149&lt;&gt;"",SUMPRODUCT(--(ROW($1:$26)&lt;=LEN($D149&amp;"")),--ISERROR(FIND(MID($D149&amp;"",ROW($1:$26),1),"ABCDEFGHIJKLMNOPQRSTUVWXYZabcdefghijklmnopqrstuvwxyz .,")))&gt;0)),"Last Name, ","")&amp;IF(OR(LEN($E149)&gt;1,AND($E149&lt;&gt;"",SUMPRODUCT(--(ROW($1:$1)&lt;=LEN($E149&amp;"")),--ISERROR(FIND(MID($E149&amp;"",ROW($1:$1),1),"ABCDEFGHIJKLMNOPQRSTUVWXYZabcdefghijklmnopqrstuvwxyz .,")))&gt;0)),"Middle Initial, ","")&amp;IF(OR($F149="",LEN($F149)&gt;75),"Address, ","")&amp;IF(OR($H149="",LEN($H149)&gt;30),"City, ","")&amp;IF(AND($K149="US",OR($I149="",LEN($I149)&lt;&gt;2)),"State, ","")&amp;IF($J149="","ZIP, ","")&amp;IF(OR($K149="",AND($K149&lt;&gt;"US",$K149&lt;&gt;"CA")),"Country, ","")&amp;IF(OR($L149="",AND($L149&lt;&gt;"",OR(NOT(ISNUMBER($L149)),$L149&lt;=DATE(1900,1,1),$L149&gt;TODAY()))),"Birthdate, ","")&amp;IF(AND($N149&lt;&gt;"",NOT(IFERROR(AND(ISNUMBER(SEARCH("@",$N149)),ISNUMBER(SEARCH(".",$N149,SEARCH("@",$N149)+2))),FALSE))),"Email, ","")&amp;IF(OR(AND($B149&lt;&gt;"",$O149=""),AND($O149&lt;&gt;"",$O149&lt;&gt;"Spouse or Common Law Spouse",$O149&lt;&gt;"Domestic Partner",$O149&lt;&gt;"Child",$O149&lt;&gt;"Other",$O149&lt;&gt;"Estate",$O149&lt;&gt;"Unknown")),"Dependent Relationship, ","")&amp;IF($AA149&lt;&gt;"","Household, ","")&amp;IF(OR($P149="",AND($P149&lt;&gt;"",OR(NOT(ISNUMBER($P149)),$P149&lt;=DATE(1900,1,1)))),"Eligibility Date, ","")&amp;IF(OR(AND($R149="Terminated",$Q149=""),AND($Q149&lt;&gt;"",OR(NOT(ISNUMBER($Q149)),$Q149&lt;=DATE(1900,1,1))),AND(ISNUMBER($P149),ISNUMBER($Q149),$Q149&lt;$P149)),"Termination Date, ","")&amp;IF(OR($R149="",AND($R149&lt;&gt;"Active",$R149&lt;&gt;"Terminated"),AND('START HERE'!$C$8="Terminations Only",$R149&lt;&gt;"Terminated")),"Status, ","")&amp;IF($S149="","Plan Name, ","")&amp;IF($T149="","Coverage Level, ","")&amp;IF(AND($U149&lt;&gt;"",OR(NOT(ISNUMBER($U149)),$U149&lt;0)),"Funding, ","")&amp;IF(AND($A149&lt;&gt;"",$S149&lt;&gt;"",COUNTIFS($A$2:$A$501,$A149,$B$2:$B$501,$B149,$S$2:$S$501,$S149)&gt;1),"Duplicate Row, ",""))</f>
        <v/>
      </c>
      <c r="AF149">
        <f>IF(COUNTA($A149:$U149)=0,"",$Y149&amp;$Z149&amp;$AA149&amp;$AB149&amp;$AC149)</f>
        <v/>
      </c>
      <c r="AG149">
        <f>IF($N149="","",LOWER(TRIM($N149)))</f>
        <v/>
      </c>
      <c r="AH149">
        <f>IF($A149="","",COUNTIFS($A$2:$A$501,$A149,$AI$2:$AI$501,1))</f>
        <v/>
      </c>
      <c r="AI149">
        <f>IF(COUNTA($A149:$U149)=0,"",--($AF149&lt;&gt;""))</f>
        <v/>
      </c>
      <c r="AJ149">
        <f>IF(COUNTA($A149:$U149)=0,"",--($AD149&lt;&gt;""))</f>
        <v/>
      </c>
    </row>
    <row r="150" ht="20" customHeight="1">
      <c r="A150" s="80" t="n"/>
      <c r="B150" s="80" t="n"/>
      <c r="C150" s="81" t="n"/>
      <c r="D150" s="81" t="n"/>
      <c r="E150" s="80" t="n"/>
      <c r="F150" s="81" t="n"/>
      <c r="G150" s="81" t="n"/>
      <c r="H150" s="81" t="n"/>
      <c r="I150" s="80" t="n"/>
      <c r="J150" s="80" t="n"/>
      <c r="K150" s="80" t="n"/>
      <c r="L150" s="82" t="n"/>
      <c r="M150" s="80" t="n"/>
      <c r="N150" s="80" t="n"/>
      <c r="O150" s="80" t="n"/>
      <c r="P150" s="82" t="n"/>
      <c r="Q150" s="82" t="n"/>
      <c r="R150" s="80" t="n"/>
      <c r="S150" s="80" t="n"/>
      <c r="T150" s="80" t="n"/>
      <c r="U150" s="83" t="n"/>
      <c r="V150">
        <f>IF($A150="","",IF($A150=$A149,$V149,IF($V149="",0,1-$V149)))</f>
        <v/>
      </c>
      <c r="W150">
        <f>IF($B150&lt;&gt;"",$B150,$A150)</f>
        <v/>
      </c>
      <c r="X150">
        <f>IF(COUNTA($A150:$U150)=0,"",IF(OR($B150&lt;&gt;"",$O150&lt;&gt;""),"Dependent","Employee"))</f>
        <v/>
      </c>
      <c r="Y150">
        <f>IF(COUNTA($A150:$U150)=0,"",IF($A150="","Employee SSN is required; ","")&amp;IF($C150="","First Name is required; ","")&amp;IF(LEN($C150&amp;"")&gt;19,"First Name exceeds 19 characters; ","")&amp;IF(AND($C150&lt;&gt;"",SUMPRODUCT(--(ROW($1:$19)&lt;=LEN($C150&amp;"")),--ISERROR(FIND(MID($C150&amp;"",ROW($1:$19),1),"ABCDEFGHIJKLMNOPQRSTUVWXYZabcdefghijklmnopqrstuvwxyz .,")))&gt;0),"First Name contains unsupported or encoded characters; use plain A-Z letters only; ","")&amp;IF($D150="","Last Name is required; ","")&amp;IF(LEN($D150&amp;"")&gt;26,"Last Name exceeds 26 characters; ","")&amp;IF(AND($D150&lt;&gt;"",SUMPRODUCT(--(ROW($1:$26)&lt;=LEN($D150&amp;"")),--ISERROR(FIND(MID($D150&amp;"",ROW($1:$26),1),"ABCDEFGHIJKLMNOPQRSTUVWXYZabcdefghijklmnopqrstuvwxyz .,")))&gt;0),"Last Name contains unsupported or encoded characters; use plain A-Z letters only; ","")&amp;IF(LEN($E150&amp;"")&gt;1,"Middle Initial may contain only one character; ","")&amp;IF(AND($E150&lt;&gt;"",SUMPRODUCT(--(ROW($1:$1)&lt;=LEN($E150&amp;"")),--ISERROR(FIND(MID($E150&amp;"",ROW($1:$1),1),"ABCDEFGHIJKLMNOPQRSTUVWXYZabcdefghijklmnopqrstuvwxyz .,")))&gt;0),"Middle Initial must be a plain A-Z letter; ","")&amp;IF($F150="","Address is required; ","")&amp;IF(LEN($F150&amp;"")&gt;75,"Address exceeds 75 characters; ","")&amp;IF(LEN($G150&amp;"")&gt;75,"Address 2 exceeds 75 characters; ","")&amp;IF($H150="","City is required; ","")&amp;IF(LEN($H150&amp;"")&gt;30,"City exceeds 30 characters; ","")&amp;IF($K150="","Country is required; ","")&amp;IF(AND($K150&lt;&gt;"",$K150&lt;&gt;"US",$K150&lt;&gt;"CA"),"Country must be US or CA; ","")&amp;IF(AND($K150="US",OR($I150="",LEN($I150&amp;"")&lt;&gt;2)),"Use a 2-letter state code; ","")&amp;IF($J150="","ZIP or postal code is required; ","")&amp;IF(AND($K150="US",$J150&lt;&gt;"",NOT(IFERROR(OR(AND(LEN($J150&amp;"")=5,ISNUMBER(--($J150&amp;""))),AND(LEN($J150&amp;"")=9,ISNUMBER(--($J150&amp;""))),AND(LEN($J150&amp;"")=10,MID($J150&amp;"",6,1)="-",ISNUMBER(--SUBSTITUTE($J150&amp;"","-","")))),FALSE))),"US ZIP must be 5 or 9 digits, with an optional ZIP+4 hyphen; ","")&amp;IF(AND($N150&lt;&gt;"",NOT(IFERROR(AND(ISNUMBER(SEARCH("@",$N150)),ISNUMBER(SEARCH(".",$N150,SEARCH("@",$N150)+2))),FALSE))),"Email format appears invalid; ","")&amp;IF(AND($O150&lt;&gt;"",$B150=""),"Dependent SSN is required for every dependent; ","")&amp;IF(AND($B150&lt;&gt;"",$O150=""),"Dependent Relationship is required when Dependent SSN is entered; ","")&amp;IF(AND($O150&lt;&gt;"",$O150&lt;&gt;"Spouse or Common Law Spouse",$O150&lt;&gt;"Domestic Partner",$O150&lt;&gt;"Child",$O150&lt;&gt;"Other",$O150&lt;&gt;"Estate",$O150&lt;&gt;"Unknown"),"Dependent Relationship must use one of the approved options; ",""))</f>
        <v/>
      </c>
      <c r="Z150">
        <f>IF(COUNTA($A150:$U150)=0,"",IF(AND($A150&lt;&gt;"",NOT(IFERROR(AND(LEN($A150&amp;"")=9,ISNUMBER(--($A150&amp;""))),FALSE))),"Employee SSN must contain exactly 9 digits; ","")&amp;IF(AND($A150&lt;&gt;"",OR($A150="123456789",$A150="987654321",$A150="012345678",$A150=REPT(LEFT($A150&amp;"",1),9))),"Employee SSN appears to be a placeholder; ","")&amp;IF(AND($B150&lt;&gt;"",NOT(IFERROR(AND(LEN($B150&amp;"")=9,ISNUMBER(--($B150&amp;""))),FALSE))),"Dependent SSN must contain exactly 9 digits; ","")&amp;IF(AND($B150&lt;&gt;"",OR($B150="123456789",$B150="987654321",$B150="012345678",$B150=REPT(LEFT($B150&amp;"",1),9))),"Dependent SSN appears to be a placeholder; ","")&amp;IF(AND($A150&lt;&gt;"",$B150&lt;&gt;"",$A150&amp;""=$B150&amp;""),"Dependent SSN cannot match Employee SSN; ","")&amp;IF(AND($W150&lt;&gt;"",OR(COUNTIFS($W$2:$W$501,$W150,$C$2:$C$501,"&lt;&gt;"&amp;$C150)&gt;0,COUNTIFS($W$2:$W$501,$W150,$D$2:$D$501,"&lt;&gt;"&amp;$D150)&gt;0,COUNTIFS($W$2:$W$501,$W150,$L$2:$L$501,"&lt;&gt;"&amp;$L150)&gt;0)),"The same SSN is associated with a different name or birthdate; ",""))</f>
        <v/>
      </c>
      <c r="AA150">
        <f>IF(COUNTA($A150:$U150)=0,"",IF(AND($A150&lt;&gt;"",$S150&lt;&gt;"",COUNTIFS($A$2:$A$501,$A150,$S$2:$S$501,$S150,$B$2:$B$501,"",$O$2:$O$501,"")=0),"Add an employee row for this household and plan; ","")&amp;IF(AND($X150="Dependent",COUNTIFS($A$2:$A150,$A150,$S$2:$S150,$S150,$B$2:$B150,"",$O$2:$O150,"")=0),"Place the employee row before dependent rows for this plan; ","")&amp;IF(AND($X150="Dependent",COUNTIFS($A$2:$A$501,$A150,$S$2:$S$501,$S150,$B$2:$B$501,"",$O$2:$O$501,"")&gt;0,IFERROR(OR($P150&lt;&gt;LOOKUP(2,1/(($A$2:$A$501=$A150)*($S$2:$S$501=$S150)*($B$2:$B$501="")*($O$2:$O$501="")),$P$2:$P$501),$Q150&lt;&gt;LOOKUP(2,1/(($A$2:$A$501=$A150)*($S$2:$S$501=$S150)*($B$2:$B$501="")*($O$2:$O$501="")),$Q$2:$Q$501),$R150&lt;&gt;LOOKUP(2,1/(($A$2:$A$501=$A150)*($S$2:$S$501=$S150)*($B$2:$B$501="")*($O$2:$O$501="")),$R$2:$R$501),$T150&lt;&gt;LOOKUP(2,1/(($A$2:$A$501=$A150)*($S$2:$S$501=$S150)*($B$2:$B$501="")*($O$2:$O$501="")),$T$2:$T$501),$U150&lt;&gt;LOOKUP(2,1/(($A$2:$A$501=$A150)*($S$2:$S$501=$S150)*($B$2:$B$501="")*($O$2:$O$501="")),$U$2:$U$501)),FALSE)),"Dependent row does not match the employee row for eligibility, status, coverage level, or funding; ",""))</f>
        <v/>
      </c>
      <c r="AB150">
        <f>IF(COUNTA($A150:$U150)=0,"",IF($L150="","Birthdate is required; ","")&amp;IF(AND($L150&lt;&gt;"",OR(NOT(ISNUMBER($L150)),$L150&lt;=DATE(1900,1,1),$L150&gt;TODAY())),"Birthdate must be an exact valid past date; ","")&amp;IF($P150="","Eligibility Date is required; ","")&amp;IF(AND($P150&lt;&gt;"",OR(NOT(ISNUMBER($P150)),$P150&lt;=DATE(1900,1,1))),"Eligibility Date must be a valid date; ","")&amp;IF(AND($R150="Terminated",$Q150=""),"Termination Date is required when Status is Terminated; ","")&amp;IF(AND($Q150&lt;&gt;"",OR(NOT(ISNUMBER($Q150)),$Q150&lt;=DATE(1900,1,1))),"Termination Date must be a valid date; ","")&amp;IF(AND(ISNUMBER($P150),ISNUMBER($Q150),$Q150&lt;$P150),"Termination Date cannot be before Eligibility Date; ","")&amp;IF($R150="","Status is required; ","")&amp;IF(AND($R150&lt;&gt;"",$R150&lt;&gt;"Active",$R150&lt;&gt;"Terminated"),"Status must be Active or Terminated; ","")&amp;IF(AND('START HERE'!$C$8="Terminations Only",$R150&lt;&gt;"Terminated"),"Terminations Only files must contain terminated records; ",""))</f>
        <v/>
      </c>
      <c r="AC150">
        <f>IF(COUNTA($A150:$U150)=0,"",IF($S150="","Plan Name is required; ","")&amp;IF($T150="","Benefit Coverage Level is required; ","")&amp;IF(AND($U150&lt;&gt;"",OR(NOT(ISNUMBER($U150)),$U150&lt;0)),"Plan Funding Amount must be a nonnegative number; ","")&amp;IF(AND($A150&lt;&gt;"",$S150&lt;&gt;"",COUNTIFS($A$2:$A$501,$A150,$B$2:$B$501,$B150,$S$2:$S$501,$S150)&gt;1),"Duplicate participant and plan row; ",""))</f>
        <v/>
      </c>
      <c r="AD150">
        <f>IF(COUNTA($A150:$U150)=0,"",IF(AND($X150="Employee",$M150="",$N150=""),"No employee phone or email provided; ","")&amp;IF(AND($R150="Active",$Q150&lt;&gt;""),"Active record includes a Termination Date; confirm this is intentional; ","")&amp;IF(AND($B150&lt;&gt;"",$B150&amp;""&lt;&gt;$A150&amp;"",COUNTIF($A$2:$A$501,$B150)&gt;0),"Dependent SSN also appears as an Employee SSN elsewhere; confirm dual-employee coverage is intentional; ","")&amp;IF(AND($B150&lt;&gt;"",COUNTIF($B$2:$B$501,$B150)&gt;COUNTIFS($A$2:$A$501,$A150,$B$2:$B$501,$B150)),"Dependent SSN appears under more than one employee; confirm duplicate family coverage is intentional; ","")&amp;IF(AND(ROW()&gt;2,$A150&lt;&gt;"",$A150&lt;&gt;$A149,COUNTIF($A$2:$A149,$A150)&gt;0),"This household appears in more than one section of the census; keep the family together; ","")&amp;IF(OR(AND($C150&lt;&gt;"",LEN($C150&amp;"")&lt;&gt;LEN(TRIM($C150&amp;""))),AND($D150&lt;&gt;"",LEN($D150&amp;"")&lt;&gt;LEN(TRIM($D150&amp;""))),AND($E150&lt;&gt;"",LEN($E150&amp;"")&lt;&gt;LEN(TRIM($E150&amp;""))),AND($F150&lt;&gt;"",LEN($F150&amp;"")&lt;&gt;LEN(TRIM($F150&amp;""))),AND($G150&lt;&gt;"",LEN($G150&amp;"")&lt;&gt;LEN(TRIM($G150&amp;""))),AND($H150&lt;&gt;"",LEN($H150&amp;"")&lt;&gt;LEN(TRIM($H150&amp;""))),AND($I150&lt;&gt;"",LEN($I150&amp;"")&lt;&gt;LEN(TRIM($I150&amp;""))),AND($J150&lt;&gt;"",LEN($J150&amp;"")&lt;&gt;LEN(TRIM($J150&amp;""))),AND($K150&lt;&gt;"",LEN($K150&amp;"")&lt;&gt;LEN(TRIM($K150&amp;""))),AND($M150&lt;&gt;"",LEN($M150&amp;"")&lt;&gt;LEN(TRIM($M150&amp;""))),AND($N150&lt;&gt;"",LEN($N150&amp;"")&lt;&gt;LEN(TRIM($N150&amp;""))),AND($O150&lt;&gt;"",LEN($O150&amp;"")&lt;&gt;LEN(TRIM($O150&amp;""))),AND($R150&lt;&gt;"",LEN($R150&amp;"")&lt;&gt;LEN(TRIM($R150&amp;""))),AND($S150&lt;&gt;"",LEN($S150&amp;"")&lt;&gt;LEN(TRIM($S150&amp;""))),AND($T150&lt;&gt;"",LEN($T150&amp;"")&lt;&gt;LEN(TRIM($T150&amp;"")))),"Remove leading or trailing spaces from text fields; ","")&amp;IF(OR(AND(LEN($C150)&gt;1,OR(EXACT($C150,UPPER($C150)),EXACT($C150,LOWER($C150)))),AND(LEN($D150)&gt;1,OR(EXACT($D150,UPPER($D150)),EXACT($D150,LOWER($D150)))),AND(LEN($H150)&gt;1,OR(EXACT($H150,UPPER($H150)),EXACT($H150,LOWER($H150))))),"Review capitalization in First Name, Last Name, or City; ","")&amp;IF(AND($N150&lt;&gt;"",NOT(EXACT($N150,LOWER($N150)))),"Email will be standardized to lowercase in the clean output; ","")&amp;IF(AND(OR('START HERE'!$C$8="Initial Enrollment",'START HERE'!$C$8="Open Enrollment"),$R150="Terminated"),"A terminated row is included in an initial or open enrollment file; confirm this is intentional; ",""))</f>
        <v/>
      </c>
      <c r="AE150">
        <f>IF(COUNTA($A150:$U150)=0,"",IF(OR($A150="",AND($A150&lt;&gt;"",NOT(IFERROR(AND(LEN($A150&amp;"")=9,ISNUMBER(--($A150&amp;""))),FALSE))),AND($A150&lt;&gt;"",OR($A150="123456789",$A150="987654321",$A150="012345678",$A150=REPT(LEFT($A150&amp;"",1),9)))),"Employee SSN, ","")&amp;IF(OR(AND($O150&lt;&gt;"",$B150=""),AND($B150&lt;&gt;"",OR(NOT(IFERROR(AND(LEN($B150&amp;"")=9,ISNUMBER(--($B150&amp;""))),FALSE)),$B150=$A150,$B150="123456789",$B150="987654321",$B150="012345678",$B150=REPT(LEFT($B150&amp;"",1),9)))),"Dependent SSN, ","")&amp;IF(OR($C150="",LEN($C150)&gt;19,AND($C150&lt;&gt;"",SUMPRODUCT(--(ROW($1:$19)&lt;=LEN($C150&amp;"")),--ISERROR(FIND(MID($C150&amp;"",ROW($1:$19),1),"ABCDEFGHIJKLMNOPQRSTUVWXYZabcdefghijklmnopqrstuvwxyz .,")))&gt;0)),"First Name, ","")&amp;IF(OR($D150="",LEN($D150)&gt;26,AND($D150&lt;&gt;"",SUMPRODUCT(--(ROW($1:$26)&lt;=LEN($D150&amp;"")),--ISERROR(FIND(MID($D150&amp;"",ROW($1:$26),1),"ABCDEFGHIJKLMNOPQRSTUVWXYZabcdefghijklmnopqrstuvwxyz .,")))&gt;0)),"Last Name, ","")&amp;IF(OR(LEN($E150)&gt;1,AND($E150&lt;&gt;"",SUMPRODUCT(--(ROW($1:$1)&lt;=LEN($E150&amp;"")),--ISERROR(FIND(MID($E150&amp;"",ROW($1:$1),1),"ABCDEFGHIJKLMNOPQRSTUVWXYZabcdefghijklmnopqrstuvwxyz .,")))&gt;0)),"Middle Initial, ","")&amp;IF(OR($F150="",LEN($F150)&gt;75),"Address, ","")&amp;IF(OR($H150="",LEN($H150)&gt;30),"City, ","")&amp;IF(AND($K150="US",OR($I150="",LEN($I150)&lt;&gt;2)),"State, ","")&amp;IF($J150="","ZIP, ","")&amp;IF(OR($K150="",AND($K150&lt;&gt;"US",$K150&lt;&gt;"CA")),"Country, ","")&amp;IF(OR($L150="",AND($L150&lt;&gt;"",OR(NOT(ISNUMBER($L150)),$L150&lt;=DATE(1900,1,1),$L150&gt;TODAY()))),"Birthdate, ","")&amp;IF(AND($N150&lt;&gt;"",NOT(IFERROR(AND(ISNUMBER(SEARCH("@",$N150)),ISNUMBER(SEARCH(".",$N150,SEARCH("@",$N150)+2))),FALSE))),"Email, ","")&amp;IF(OR(AND($B150&lt;&gt;"",$O150=""),AND($O150&lt;&gt;"",$O150&lt;&gt;"Spouse or Common Law Spouse",$O150&lt;&gt;"Domestic Partner",$O150&lt;&gt;"Child",$O150&lt;&gt;"Other",$O150&lt;&gt;"Estate",$O150&lt;&gt;"Unknown")),"Dependent Relationship, ","")&amp;IF($AA150&lt;&gt;"","Household, ","")&amp;IF(OR($P150="",AND($P150&lt;&gt;"",OR(NOT(ISNUMBER($P150)),$P150&lt;=DATE(1900,1,1)))),"Eligibility Date, ","")&amp;IF(OR(AND($R150="Terminated",$Q150=""),AND($Q150&lt;&gt;"",OR(NOT(ISNUMBER($Q150)),$Q150&lt;=DATE(1900,1,1))),AND(ISNUMBER($P150),ISNUMBER($Q150),$Q150&lt;$P150)),"Termination Date, ","")&amp;IF(OR($R150="",AND($R150&lt;&gt;"Active",$R150&lt;&gt;"Terminated"),AND('START HERE'!$C$8="Terminations Only",$R150&lt;&gt;"Terminated")),"Status, ","")&amp;IF($S150="","Plan Name, ","")&amp;IF($T150="","Coverage Level, ","")&amp;IF(AND($U150&lt;&gt;"",OR(NOT(ISNUMBER($U150)),$U150&lt;0)),"Funding, ","")&amp;IF(AND($A150&lt;&gt;"",$S150&lt;&gt;"",COUNTIFS($A$2:$A$501,$A150,$B$2:$B$501,$B150,$S$2:$S$501,$S150)&gt;1),"Duplicate Row, ",""))</f>
        <v/>
      </c>
      <c r="AF150">
        <f>IF(COUNTA($A150:$U150)=0,"",$Y150&amp;$Z150&amp;$AA150&amp;$AB150&amp;$AC150)</f>
        <v/>
      </c>
      <c r="AG150">
        <f>IF($N150="","",LOWER(TRIM($N150)))</f>
        <v/>
      </c>
      <c r="AH150">
        <f>IF($A150="","",COUNTIFS($A$2:$A$501,$A150,$AI$2:$AI$501,1))</f>
        <v/>
      </c>
      <c r="AI150">
        <f>IF(COUNTA($A150:$U150)=0,"",--($AF150&lt;&gt;""))</f>
        <v/>
      </c>
      <c r="AJ150">
        <f>IF(COUNTA($A150:$U150)=0,"",--($AD150&lt;&gt;""))</f>
        <v/>
      </c>
    </row>
    <row r="151" ht="20" customHeight="1">
      <c r="A151" s="80" t="n"/>
      <c r="B151" s="80" t="n"/>
      <c r="C151" s="81" t="n"/>
      <c r="D151" s="81" t="n"/>
      <c r="E151" s="80" t="n"/>
      <c r="F151" s="81" t="n"/>
      <c r="G151" s="81" t="n"/>
      <c r="H151" s="81" t="n"/>
      <c r="I151" s="80" t="n"/>
      <c r="J151" s="80" t="n"/>
      <c r="K151" s="80" t="n"/>
      <c r="L151" s="82" t="n"/>
      <c r="M151" s="80" t="n"/>
      <c r="N151" s="80" t="n"/>
      <c r="O151" s="80" t="n"/>
      <c r="P151" s="82" t="n"/>
      <c r="Q151" s="82" t="n"/>
      <c r="R151" s="80" t="n"/>
      <c r="S151" s="80" t="n"/>
      <c r="T151" s="80" t="n"/>
      <c r="U151" s="83" t="n"/>
      <c r="V151">
        <f>IF($A151="","",IF($A151=$A150,$V150,IF($V150="",0,1-$V150)))</f>
        <v/>
      </c>
      <c r="W151">
        <f>IF($B151&lt;&gt;"",$B151,$A151)</f>
        <v/>
      </c>
      <c r="X151">
        <f>IF(COUNTA($A151:$U151)=0,"",IF(OR($B151&lt;&gt;"",$O151&lt;&gt;""),"Dependent","Employee"))</f>
        <v/>
      </c>
      <c r="Y151">
        <f>IF(COUNTA($A151:$U151)=0,"",IF($A151="","Employee SSN is required; ","")&amp;IF($C151="","First Name is required; ","")&amp;IF(LEN($C151&amp;"")&gt;19,"First Name exceeds 19 characters; ","")&amp;IF(AND($C151&lt;&gt;"",SUMPRODUCT(--(ROW($1:$19)&lt;=LEN($C151&amp;"")),--ISERROR(FIND(MID($C151&amp;"",ROW($1:$19),1),"ABCDEFGHIJKLMNOPQRSTUVWXYZabcdefghijklmnopqrstuvwxyz .,")))&gt;0),"First Name contains unsupported or encoded characters; use plain A-Z letters only; ","")&amp;IF($D151="","Last Name is required; ","")&amp;IF(LEN($D151&amp;"")&gt;26,"Last Name exceeds 26 characters; ","")&amp;IF(AND($D151&lt;&gt;"",SUMPRODUCT(--(ROW($1:$26)&lt;=LEN($D151&amp;"")),--ISERROR(FIND(MID($D151&amp;"",ROW($1:$26),1),"ABCDEFGHIJKLMNOPQRSTUVWXYZabcdefghijklmnopqrstuvwxyz .,")))&gt;0),"Last Name contains unsupported or encoded characters; use plain A-Z letters only; ","")&amp;IF(LEN($E151&amp;"")&gt;1,"Middle Initial may contain only one character; ","")&amp;IF(AND($E151&lt;&gt;"",SUMPRODUCT(--(ROW($1:$1)&lt;=LEN($E151&amp;"")),--ISERROR(FIND(MID($E151&amp;"",ROW($1:$1),1),"ABCDEFGHIJKLMNOPQRSTUVWXYZabcdefghijklmnopqrstuvwxyz .,")))&gt;0),"Middle Initial must be a plain A-Z letter; ","")&amp;IF($F151="","Address is required; ","")&amp;IF(LEN($F151&amp;"")&gt;75,"Address exceeds 75 characters; ","")&amp;IF(LEN($G151&amp;"")&gt;75,"Address 2 exceeds 75 characters; ","")&amp;IF($H151="","City is required; ","")&amp;IF(LEN($H151&amp;"")&gt;30,"City exceeds 30 characters; ","")&amp;IF($K151="","Country is required; ","")&amp;IF(AND($K151&lt;&gt;"",$K151&lt;&gt;"US",$K151&lt;&gt;"CA"),"Country must be US or CA; ","")&amp;IF(AND($K151="US",OR($I151="",LEN($I151&amp;"")&lt;&gt;2)),"Use a 2-letter state code; ","")&amp;IF($J151="","ZIP or postal code is required; ","")&amp;IF(AND($K151="US",$J151&lt;&gt;"",NOT(IFERROR(OR(AND(LEN($J151&amp;"")=5,ISNUMBER(--($J151&amp;""))),AND(LEN($J151&amp;"")=9,ISNUMBER(--($J151&amp;""))),AND(LEN($J151&amp;"")=10,MID($J151&amp;"",6,1)="-",ISNUMBER(--SUBSTITUTE($J151&amp;"","-","")))),FALSE))),"US ZIP must be 5 or 9 digits, with an optional ZIP+4 hyphen; ","")&amp;IF(AND($N151&lt;&gt;"",NOT(IFERROR(AND(ISNUMBER(SEARCH("@",$N151)),ISNUMBER(SEARCH(".",$N151,SEARCH("@",$N151)+2))),FALSE))),"Email format appears invalid; ","")&amp;IF(AND($O151&lt;&gt;"",$B151=""),"Dependent SSN is required for every dependent; ","")&amp;IF(AND($B151&lt;&gt;"",$O151=""),"Dependent Relationship is required when Dependent SSN is entered; ","")&amp;IF(AND($O151&lt;&gt;"",$O151&lt;&gt;"Spouse or Common Law Spouse",$O151&lt;&gt;"Domestic Partner",$O151&lt;&gt;"Child",$O151&lt;&gt;"Other",$O151&lt;&gt;"Estate",$O151&lt;&gt;"Unknown"),"Dependent Relationship must use one of the approved options; ",""))</f>
        <v/>
      </c>
      <c r="Z151">
        <f>IF(COUNTA($A151:$U151)=0,"",IF(AND($A151&lt;&gt;"",NOT(IFERROR(AND(LEN($A151&amp;"")=9,ISNUMBER(--($A151&amp;""))),FALSE))),"Employee SSN must contain exactly 9 digits; ","")&amp;IF(AND($A151&lt;&gt;"",OR($A151="123456789",$A151="987654321",$A151="012345678",$A151=REPT(LEFT($A151&amp;"",1),9))),"Employee SSN appears to be a placeholder; ","")&amp;IF(AND($B151&lt;&gt;"",NOT(IFERROR(AND(LEN($B151&amp;"")=9,ISNUMBER(--($B151&amp;""))),FALSE))),"Dependent SSN must contain exactly 9 digits; ","")&amp;IF(AND($B151&lt;&gt;"",OR($B151="123456789",$B151="987654321",$B151="012345678",$B151=REPT(LEFT($B151&amp;"",1),9))),"Dependent SSN appears to be a placeholder; ","")&amp;IF(AND($A151&lt;&gt;"",$B151&lt;&gt;"",$A151&amp;""=$B151&amp;""),"Dependent SSN cannot match Employee SSN; ","")&amp;IF(AND($W151&lt;&gt;"",OR(COUNTIFS($W$2:$W$501,$W151,$C$2:$C$501,"&lt;&gt;"&amp;$C151)&gt;0,COUNTIFS($W$2:$W$501,$W151,$D$2:$D$501,"&lt;&gt;"&amp;$D151)&gt;0,COUNTIFS($W$2:$W$501,$W151,$L$2:$L$501,"&lt;&gt;"&amp;$L151)&gt;0)),"The same SSN is associated with a different name or birthdate; ",""))</f>
        <v/>
      </c>
      <c r="AA151">
        <f>IF(COUNTA($A151:$U151)=0,"",IF(AND($A151&lt;&gt;"",$S151&lt;&gt;"",COUNTIFS($A$2:$A$501,$A151,$S$2:$S$501,$S151,$B$2:$B$501,"",$O$2:$O$501,"")=0),"Add an employee row for this household and plan; ","")&amp;IF(AND($X151="Dependent",COUNTIFS($A$2:$A151,$A151,$S$2:$S151,$S151,$B$2:$B151,"",$O$2:$O151,"")=0),"Place the employee row before dependent rows for this plan; ","")&amp;IF(AND($X151="Dependent",COUNTIFS($A$2:$A$501,$A151,$S$2:$S$501,$S151,$B$2:$B$501,"",$O$2:$O$501,"")&gt;0,IFERROR(OR($P151&lt;&gt;LOOKUP(2,1/(($A$2:$A$501=$A151)*($S$2:$S$501=$S151)*($B$2:$B$501="")*($O$2:$O$501="")),$P$2:$P$501),$Q151&lt;&gt;LOOKUP(2,1/(($A$2:$A$501=$A151)*($S$2:$S$501=$S151)*($B$2:$B$501="")*($O$2:$O$501="")),$Q$2:$Q$501),$R151&lt;&gt;LOOKUP(2,1/(($A$2:$A$501=$A151)*($S$2:$S$501=$S151)*($B$2:$B$501="")*($O$2:$O$501="")),$R$2:$R$501),$T151&lt;&gt;LOOKUP(2,1/(($A$2:$A$501=$A151)*($S$2:$S$501=$S151)*($B$2:$B$501="")*($O$2:$O$501="")),$T$2:$T$501),$U151&lt;&gt;LOOKUP(2,1/(($A$2:$A$501=$A151)*($S$2:$S$501=$S151)*($B$2:$B$501="")*($O$2:$O$501="")),$U$2:$U$501)),FALSE)),"Dependent row does not match the employee row for eligibility, status, coverage level, or funding; ",""))</f>
        <v/>
      </c>
      <c r="AB151">
        <f>IF(COUNTA($A151:$U151)=0,"",IF($L151="","Birthdate is required; ","")&amp;IF(AND($L151&lt;&gt;"",OR(NOT(ISNUMBER($L151)),$L151&lt;=DATE(1900,1,1),$L151&gt;TODAY())),"Birthdate must be an exact valid past date; ","")&amp;IF($P151="","Eligibility Date is required; ","")&amp;IF(AND($P151&lt;&gt;"",OR(NOT(ISNUMBER($P151)),$P151&lt;=DATE(1900,1,1))),"Eligibility Date must be a valid date; ","")&amp;IF(AND($R151="Terminated",$Q151=""),"Termination Date is required when Status is Terminated; ","")&amp;IF(AND($Q151&lt;&gt;"",OR(NOT(ISNUMBER($Q151)),$Q151&lt;=DATE(1900,1,1))),"Termination Date must be a valid date; ","")&amp;IF(AND(ISNUMBER($P151),ISNUMBER($Q151),$Q151&lt;$P151),"Termination Date cannot be before Eligibility Date; ","")&amp;IF($R151="","Status is required; ","")&amp;IF(AND($R151&lt;&gt;"",$R151&lt;&gt;"Active",$R151&lt;&gt;"Terminated"),"Status must be Active or Terminated; ","")&amp;IF(AND('START HERE'!$C$8="Terminations Only",$R151&lt;&gt;"Terminated"),"Terminations Only files must contain terminated records; ",""))</f>
        <v/>
      </c>
      <c r="AC151">
        <f>IF(COUNTA($A151:$U151)=0,"",IF($S151="","Plan Name is required; ","")&amp;IF($T151="","Benefit Coverage Level is required; ","")&amp;IF(AND($U151&lt;&gt;"",OR(NOT(ISNUMBER($U151)),$U151&lt;0)),"Plan Funding Amount must be a nonnegative number; ","")&amp;IF(AND($A151&lt;&gt;"",$S151&lt;&gt;"",COUNTIFS($A$2:$A$501,$A151,$B$2:$B$501,$B151,$S$2:$S$501,$S151)&gt;1),"Duplicate participant and plan row; ",""))</f>
        <v/>
      </c>
      <c r="AD151">
        <f>IF(COUNTA($A151:$U151)=0,"",IF(AND($X151="Employee",$M151="",$N151=""),"No employee phone or email provided; ","")&amp;IF(AND($R151="Active",$Q151&lt;&gt;""),"Active record includes a Termination Date; confirm this is intentional; ","")&amp;IF(AND($B151&lt;&gt;"",$B151&amp;""&lt;&gt;$A151&amp;"",COUNTIF($A$2:$A$501,$B151)&gt;0),"Dependent SSN also appears as an Employee SSN elsewhere; confirm dual-employee coverage is intentional; ","")&amp;IF(AND($B151&lt;&gt;"",COUNTIF($B$2:$B$501,$B151)&gt;COUNTIFS($A$2:$A$501,$A151,$B$2:$B$501,$B151)),"Dependent SSN appears under more than one employee; confirm duplicate family coverage is intentional; ","")&amp;IF(AND(ROW()&gt;2,$A151&lt;&gt;"",$A151&lt;&gt;$A150,COUNTIF($A$2:$A150,$A151)&gt;0),"This household appears in more than one section of the census; keep the family together; ","")&amp;IF(OR(AND($C151&lt;&gt;"",LEN($C151&amp;"")&lt;&gt;LEN(TRIM($C151&amp;""))),AND($D151&lt;&gt;"",LEN($D151&amp;"")&lt;&gt;LEN(TRIM($D151&amp;""))),AND($E151&lt;&gt;"",LEN($E151&amp;"")&lt;&gt;LEN(TRIM($E151&amp;""))),AND($F151&lt;&gt;"",LEN($F151&amp;"")&lt;&gt;LEN(TRIM($F151&amp;""))),AND($G151&lt;&gt;"",LEN($G151&amp;"")&lt;&gt;LEN(TRIM($G151&amp;""))),AND($H151&lt;&gt;"",LEN($H151&amp;"")&lt;&gt;LEN(TRIM($H151&amp;""))),AND($I151&lt;&gt;"",LEN($I151&amp;"")&lt;&gt;LEN(TRIM($I151&amp;""))),AND($J151&lt;&gt;"",LEN($J151&amp;"")&lt;&gt;LEN(TRIM($J151&amp;""))),AND($K151&lt;&gt;"",LEN($K151&amp;"")&lt;&gt;LEN(TRIM($K151&amp;""))),AND($M151&lt;&gt;"",LEN($M151&amp;"")&lt;&gt;LEN(TRIM($M151&amp;""))),AND($N151&lt;&gt;"",LEN($N151&amp;"")&lt;&gt;LEN(TRIM($N151&amp;""))),AND($O151&lt;&gt;"",LEN($O151&amp;"")&lt;&gt;LEN(TRIM($O151&amp;""))),AND($R151&lt;&gt;"",LEN($R151&amp;"")&lt;&gt;LEN(TRIM($R151&amp;""))),AND($S151&lt;&gt;"",LEN($S151&amp;"")&lt;&gt;LEN(TRIM($S151&amp;""))),AND($T151&lt;&gt;"",LEN($T151&amp;"")&lt;&gt;LEN(TRIM($T151&amp;"")))),"Remove leading or trailing spaces from text fields; ","")&amp;IF(OR(AND(LEN($C151)&gt;1,OR(EXACT($C151,UPPER($C151)),EXACT($C151,LOWER($C151)))),AND(LEN($D151)&gt;1,OR(EXACT($D151,UPPER($D151)),EXACT($D151,LOWER($D151)))),AND(LEN($H151)&gt;1,OR(EXACT($H151,UPPER($H151)),EXACT($H151,LOWER($H151))))),"Review capitalization in First Name, Last Name, or City; ","")&amp;IF(AND($N151&lt;&gt;"",NOT(EXACT($N151,LOWER($N151)))),"Email will be standardized to lowercase in the clean output; ","")&amp;IF(AND(OR('START HERE'!$C$8="Initial Enrollment",'START HERE'!$C$8="Open Enrollment"),$R151="Terminated"),"A terminated row is included in an initial or open enrollment file; confirm this is intentional; ",""))</f>
        <v/>
      </c>
      <c r="AE151">
        <f>IF(COUNTA($A151:$U151)=0,"",IF(OR($A151="",AND($A151&lt;&gt;"",NOT(IFERROR(AND(LEN($A151&amp;"")=9,ISNUMBER(--($A151&amp;""))),FALSE))),AND($A151&lt;&gt;"",OR($A151="123456789",$A151="987654321",$A151="012345678",$A151=REPT(LEFT($A151&amp;"",1),9)))),"Employee SSN, ","")&amp;IF(OR(AND($O151&lt;&gt;"",$B151=""),AND($B151&lt;&gt;"",OR(NOT(IFERROR(AND(LEN($B151&amp;"")=9,ISNUMBER(--($B151&amp;""))),FALSE)),$B151=$A151,$B151="123456789",$B151="987654321",$B151="012345678",$B151=REPT(LEFT($B151&amp;"",1),9)))),"Dependent SSN, ","")&amp;IF(OR($C151="",LEN($C151)&gt;19,AND($C151&lt;&gt;"",SUMPRODUCT(--(ROW($1:$19)&lt;=LEN($C151&amp;"")),--ISERROR(FIND(MID($C151&amp;"",ROW($1:$19),1),"ABCDEFGHIJKLMNOPQRSTUVWXYZabcdefghijklmnopqrstuvwxyz .,")))&gt;0)),"First Name, ","")&amp;IF(OR($D151="",LEN($D151)&gt;26,AND($D151&lt;&gt;"",SUMPRODUCT(--(ROW($1:$26)&lt;=LEN($D151&amp;"")),--ISERROR(FIND(MID($D151&amp;"",ROW($1:$26),1),"ABCDEFGHIJKLMNOPQRSTUVWXYZabcdefghijklmnopqrstuvwxyz .,")))&gt;0)),"Last Name, ","")&amp;IF(OR(LEN($E151)&gt;1,AND($E151&lt;&gt;"",SUMPRODUCT(--(ROW($1:$1)&lt;=LEN($E151&amp;"")),--ISERROR(FIND(MID($E151&amp;"",ROW($1:$1),1),"ABCDEFGHIJKLMNOPQRSTUVWXYZabcdefghijklmnopqrstuvwxyz .,")))&gt;0)),"Middle Initial, ","")&amp;IF(OR($F151="",LEN($F151)&gt;75),"Address, ","")&amp;IF(OR($H151="",LEN($H151)&gt;30),"City, ","")&amp;IF(AND($K151="US",OR($I151="",LEN($I151)&lt;&gt;2)),"State, ","")&amp;IF($J151="","ZIP, ","")&amp;IF(OR($K151="",AND($K151&lt;&gt;"US",$K151&lt;&gt;"CA")),"Country, ","")&amp;IF(OR($L151="",AND($L151&lt;&gt;"",OR(NOT(ISNUMBER($L151)),$L151&lt;=DATE(1900,1,1),$L151&gt;TODAY()))),"Birthdate, ","")&amp;IF(AND($N151&lt;&gt;"",NOT(IFERROR(AND(ISNUMBER(SEARCH("@",$N151)),ISNUMBER(SEARCH(".",$N151,SEARCH("@",$N151)+2))),FALSE))),"Email, ","")&amp;IF(OR(AND($B151&lt;&gt;"",$O151=""),AND($O151&lt;&gt;"",$O151&lt;&gt;"Spouse or Common Law Spouse",$O151&lt;&gt;"Domestic Partner",$O151&lt;&gt;"Child",$O151&lt;&gt;"Other",$O151&lt;&gt;"Estate",$O151&lt;&gt;"Unknown")),"Dependent Relationship, ","")&amp;IF($AA151&lt;&gt;"","Household, ","")&amp;IF(OR($P151="",AND($P151&lt;&gt;"",OR(NOT(ISNUMBER($P151)),$P151&lt;=DATE(1900,1,1)))),"Eligibility Date, ","")&amp;IF(OR(AND($R151="Terminated",$Q151=""),AND($Q151&lt;&gt;"",OR(NOT(ISNUMBER($Q151)),$Q151&lt;=DATE(1900,1,1))),AND(ISNUMBER($P151),ISNUMBER($Q151),$Q151&lt;$P151)),"Termination Date, ","")&amp;IF(OR($R151="",AND($R151&lt;&gt;"Active",$R151&lt;&gt;"Terminated"),AND('START HERE'!$C$8="Terminations Only",$R151&lt;&gt;"Terminated")),"Status, ","")&amp;IF($S151="","Plan Name, ","")&amp;IF($T151="","Coverage Level, ","")&amp;IF(AND($U151&lt;&gt;"",OR(NOT(ISNUMBER($U151)),$U151&lt;0)),"Funding, ","")&amp;IF(AND($A151&lt;&gt;"",$S151&lt;&gt;"",COUNTIFS($A$2:$A$501,$A151,$B$2:$B$501,$B151,$S$2:$S$501,$S151)&gt;1),"Duplicate Row, ",""))</f>
        <v/>
      </c>
      <c r="AF151">
        <f>IF(COUNTA($A151:$U151)=0,"",$Y151&amp;$Z151&amp;$AA151&amp;$AB151&amp;$AC151)</f>
        <v/>
      </c>
      <c r="AG151">
        <f>IF($N151="","",LOWER(TRIM($N151)))</f>
        <v/>
      </c>
      <c r="AH151">
        <f>IF($A151="","",COUNTIFS($A$2:$A$501,$A151,$AI$2:$AI$501,1))</f>
        <v/>
      </c>
      <c r="AI151">
        <f>IF(COUNTA($A151:$U151)=0,"",--($AF151&lt;&gt;""))</f>
        <v/>
      </c>
      <c r="AJ151">
        <f>IF(COUNTA($A151:$U151)=0,"",--($AD151&lt;&gt;""))</f>
        <v/>
      </c>
    </row>
    <row r="152" ht="20" customHeight="1">
      <c r="A152" s="80" t="n"/>
      <c r="B152" s="80" t="n"/>
      <c r="C152" s="81" t="n"/>
      <c r="D152" s="81" t="n"/>
      <c r="E152" s="80" t="n"/>
      <c r="F152" s="81" t="n"/>
      <c r="G152" s="81" t="n"/>
      <c r="H152" s="81" t="n"/>
      <c r="I152" s="80" t="n"/>
      <c r="J152" s="80" t="n"/>
      <c r="K152" s="80" t="n"/>
      <c r="L152" s="82" t="n"/>
      <c r="M152" s="80" t="n"/>
      <c r="N152" s="80" t="n"/>
      <c r="O152" s="80" t="n"/>
      <c r="P152" s="82" t="n"/>
      <c r="Q152" s="82" t="n"/>
      <c r="R152" s="80" t="n"/>
      <c r="S152" s="80" t="n"/>
      <c r="T152" s="80" t="n"/>
      <c r="U152" s="83" t="n"/>
      <c r="V152">
        <f>IF($A152="","",IF($A152=$A151,$V151,IF($V151="",0,1-$V151)))</f>
        <v/>
      </c>
      <c r="W152">
        <f>IF($B152&lt;&gt;"",$B152,$A152)</f>
        <v/>
      </c>
      <c r="X152">
        <f>IF(COUNTA($A152:$U152)=0,"",IF(OR($B152&lt;&gt;"",$O152&lt;&gt;""),"Dependent","Employee"))</f>
        <v/>
      </c>
      <c r="Y152">
        <f>IF(COUNTA($A152:$U152)=0,"",IF($A152="","Employee SSN is required; ","")&amp;IF($C152="","First Name is required; ","")&amp;IF(LEN($C152&amp;"")&gt;19,"First Name exceeds 19 characters; ","")&amp;IF(AND($C152&lt;&gt;"",SUMPRODUCT(--(ROW($1:$19)&lt;=LEN($C152&amp;"")),--ISERROR(FIND(MID($C152&amp;"",ROW($1:$19),1),"ABCDEFGHIJKLMNOPQRSTUVWXYZabcdefghijklmnopqrstuvwxyz .,")))&gt;0),"First Name contains unsupported or encoded characters; use plain A-Z letters only; ","")&amp;IF($D152="","Last Name is required; ","")&amp;IF(LEN($D152&amp;"")&gt;26,"Last Name exceeds 26 characters; ","")&amp;IF(AND($D152&lt;&gt;"",SUMPRODUCT(--(ROW($1:$26)&lt;=LEN($D152&amp;"")),--ISERROR(FIND(MID($D152&amp;"",ROW($1:$26),1),"ABCDEFGHIJKLMNOPQRSTUVWXYZabcdefghijklmnopqrstuvwxyz .,")))&gt;0),"Last Name contains unsupported or encoded characters; use plain A-Z letters only; ","")&amp;IF(LEN($E152&amp;"")&gt;1,"Middle Initial may contain only one character; ","")&amp;IF(AND($E152&lt;&gt;"",SUMPRODUCT(--(ROW($1:$1)&lt;=LEN($E152&amp;"")),--ISERROR(FIND(MID($E152&amp;"",ROW($1:$1),1),"ABCDEFGHIJKLMNOPQRSTUVWXYZabcdefghijklmnopqrstuvwxyz .,")))&gt;0),"Middle Initial must be a plain A-Z letter; ","")&amp;IF($F152="","Address is required; ","")&amp;IF(LEN($F152&amp;"")&gt;75,"Address exceeds 75 characters; ","")&amp;IF(LEN($G152&amp;"")&gt;75,"Address 2 exceeds 75 characters; ","")&amp;IF($H152="","City is required; ","")&amp;IF(LEN($H152&amp;"")&gt;30,"City exceeds 30 characters; ","")&amp;IF($K152="","Country is required; ","")&amp;IF(AND($K152&lt;&gt;"",$K152&lt;&gt;"US",$K152&lt;&gt;"CA"),"Country must be US or CA; ","")&amp;IF(AND($K152="US",OR($I152="",LEN($I152&amp;"")&lt;&gt;2)),"Use a 2-letter state code; ","")&amp;IF($J152="","ZIP or postal code is required; ","")&amp;IF(AND($K152="US",$J152&lt;&gt;"",NOT(IFERROR(OR(AND(LEN($J152&amp;"")=5,ISNUMBER(--($J152&amp;""))),AND(LEN($J152&amp;"")=9,ISNUMBER(--($J152&amp;""))),AND(LEN($J152&amp;"")=10,MID($J152&amp;"",6,1)="-",ISNUMBER(--SUBSTITUTE($J152&amp;"","-","")))),FALSE))),"US ZIP must be 5 or 9 digits, with an optional ZIP+4 hyphen; ","")&amp;IF(AND($N152&lt;&gt;"",NOT(IFERROR(AND(ISNUMBER(SEARCH("@",$N152)),ISNUMBER(SEARCH(".",$N152,SEARCH("@",$N152)+2))),FALSE))),"Email format appears invalid; ","")&amp;IF(AND($O152&lt;&gt;"",$B152=""),"Dependent SSN is required for every dependent; ","")&amp;IF(AND($B152&lt;&gt;"",$O152=""),"Dependent Relationship is required when Dependent SSN is entered; ","")&amp;IF(AND($O152&lt;&gt;"",$O152&lt;&gt;"Spouse or Common Law Spouse",$O152&lt;&gt;"Domestic Partner",$O152&lt;&gt;"Child",$O152&lt;&gt;"Other",$O152&lt;&gt;"Estate",$O152&lt;&gt;"Unknown"),"Dependent Relationship must use one of the approved options; ",""))</f>
        <v/>
      </c>
      <c r="Z152">
        <f>IF(COUNTA($A152:$U152)=0,"",IF(AND($A152&lt;&gt;"",NOT(IFERROR(AND(LEN($A152&amp;"")=9,ISNUMBER(--($A152&amp;""))),FALSE))),"Employee SSN must contain exactly 9 digits; ","")&amp;IF(AND($A152&lt;&gt;"",OR($A152="123456789",$A152="987654321",$A152="012345678",$A152=REPT(LEFT($A152&amp;"",1),9))),"Employee SSN appears to be a placeholder; ","")&amp;IF(AND($B152&lt;&gt;"",NOT(IFERROR(AND(LEN($B152&amp;"")=9,ISNUMBER(--($B152&amp;""))),FALSE))),"Dependent SSN must contain exactly 9 digits; ","")&amp;IF(AND($B152&lt;&gt;"",OR($B152="123456789",$B152="987654321",$B152="012345678",$B152=REPT(LEFT($B152&amp;"",1),9))),"Dependent SSN appears to be a placeholder; ","")&amp;IF(AND($A152&lt;&gt;"",$B152&lt;&gt;"",$A152&amp;""=$B152&amp;""),"Dependent SSN cannot match Employee SSN; ","")&amp;IF(AND($W152&lt;&gt;"",OR(COUNTIFS($W$2:$W$501,$W152,$C$2:$C$501,"&lt;&gt;"&amp;$C152)&gt;0,COUNTIFS($W$2:$W$501,$W152,$D$2:$D$501,"&lt;&gt;"&amp;$D152)&gt;0,COUNTIFS($W$2:$W$501,$W152,$L$2:$L$501,"&lt;&gt;"&amp;$L152)&gt;0)),"The same SSN is associated with a different name or birthdate; ",""))</f>
        <v/>
      </c>
      <c r="AA152">
        <f>IF(COUNTA($A152:$U152)=0,"",IF(AND($A152&lt;&gt;"",$S152&lt;&gt;"",COUNTIFS($A$2:$A$501,$A152,$S$2:$S$501,$S152,$B$2:$B$501,"",$O$2:$O$501,"")=0),"Add an employee row for this household and plan; ","")&amp;IF(AND($X152="Dependent",COUNTIFS($A$2:$A152,$A152,$S$2:$S152,$S152,$B$2:$B152,"",$O$2:$O152,"")=0),"Place the employee row before dependent rows for this plan; ","")&amp;IF(AND($X152="Dependent",COUNTIFS($A$2:$A$501,$A152,$S$2:$S$501,$S152,$B$2:$B$501,"",$O$2:$O$501,"")&gt;0,IFERROR(OR($P152&lt;&gt;LOOKUP(2,1/(($A$2:$A$501=$A152)*($S$2:$S$501=$S152)*($B$2:$B$501="")*($O$2:$O$501="")),$P$2:$P$501),$Q152&lt;&gt;LOOKUP(2,1/(($A$2:$A$501=$A152)*($S$2:$S$501=$S152)*($B$2:$B$501="")*($O$2:$O$501="")),$Q$2:$Q$501),$R152&lt;&gt;LOOKUP(2,1/(($A$2:$A$501=$A152)*($S$2:$S$501=$S152)*($B$2:$B$501="")*($O$2:$O$501="")),$R$2:$R$501),$T152&lt;&gt;LOOKUP(2,1/(($A$2:$A$501=$A152)*($S$2:$S$501=$S152)*($B$2:$B$501="")*($O$2:$O$501="")),$T$2:$T$501),$U152&lt;&gt;LOOKUP(2,1/(($A$2:$A$501=$A152)*($S$2:$S$501=$S152)*($B$2:$B$501="")*($O$2:$O$501="")),$U$2:$U$501)),FALSE)),"Dependent row does not match the employee row for eligibility, status, coverage level, or funding; ",""))</f>
        <v/>
      </c>
      <c r="AB152">
        <f>IF(COUNTA($A152:$U152)=0,"",IF($L152="","Birthdate is required; ","")&amp;IF(AND($L152&lt;&gt;"",OR(NOT(ISNUMBER($L152)),$L152&lt;=DATE(1900,1,1),$L152&gt;TODAY())),"Birthdate must be an exact valid past date; ","")&amp;IF($P152="","Eligibility Date is required; ","")&amp;IF(AND($P152&lt;&gt;"",OR(NOT(ISNUMBER($P152)),$P152&lt;=DATE(1900,1,1))),"Eligibility Date must be a valid date; ","")&amp;IF(AND($R152="Terminated",$Q152=""),"Termination Date is required when Status is Terminated; ","")&amp;IF(AND($Q152&lt;&gt;"",OR(NOT(ISNUMBER($Q152)),$Q152&lt;=DATE(1900,1,1))),"Termination Date must be a valid date; ","")&amp;IF(AND(ISNUMBER($P152),ISNUMBER($Q152),$Q152&lt;$P152),"Termination Date cannot be before Eligibility Date; ","")&amp;IF($R152="","Status is required; ","")&amp;IF(AND($R152&lt;&gt;"",$R152&lt;&gt;"Active",$R152&lt;&gt;"Terminated"),"Status must be Active or Terminated; ","")&amp;IF(AND('START HERE'!$C$8="Terminations Only",$R152&lt;&gt;"Terminated"),"Terminations Only files must contain terminated records; ",""))</f>
        <v/>
      </c>
      <c r="AC152">
        <f>IF(COUNTA($A152:$U152)=0,"",IF($S152="","Plan Name is required; ","")&amp;IF($T152="","Benefit Coverage Level is required; ","")&amp;IF(AND($U152&lt;&gt;"",OR(NOT(ISNUMBER($U152)),$U152&lt;0)),"Plan Funding Amount must be a nonnegative number; ","")&amp;IF(AND($A152&lt;&gt;"",$S152&lt;&gt;"",COUNTIFS($A$2:$A$501,$A152,$B$2:$B$501,$B152,$S$2:$S$501,$S152)&gt;1),"Duplicate participant and plan row; ",""))</f>
        <v/>
      </c>
      <c r="AD152">
        <f>IF(COUNTA($A152:$U152)=0,"",IF(AND($X152="Employee",$M152="",$N152=""),"No employee phone or email provided; ","")&amp;IF(AND($R152="Active",$Q152&lt;&gt;""),"Active record includes a Termination Date; confirm this is intentional; ","")&amp;IF(AND($B152&lt;&gt;"",$B152&amp;""&lt;&gt;$A152&amp;"",COUNTIF($A$2:$A$501,$B152)&gt;0),"Dependent SSN also appears as an Employee SSN elsewhere; confirm dual-employee coverage is intentional; ","")&amp;IF(AND($B152&lt;&gt;"",COUNTIF($B$2:$B$501,$B152)&gt;COUNTIFS($A$2:$A$501,$A152,$B$2:$B$501,$B152)),"Dependent SSN appears under more than one employee; confirm duplicate family coverage is intentional; ","")&amp;IF(AND(ROW()&gt;2,$A152&lt;&gt;"",$A152&lt;&gt;$A151,COUNTIF($A$2:$A151,$A152)&gt;0),"This household appears in more than one section of the census; keep the family together; ","")&amp;IF(OR(AND($C152&lt;&gt;"",LEN($C152&amp;"")&lt;&gt;LEN(TRIM($C152&amp;""))),AND($D152&lt;&gt;"",LEN($D152&amp;"")&lt;&gt;LEN(TRIM($D152&amp;""))),AND($E152&lt;&gt;"",LEN($E152&amp;"")&lt;&gt;LEN(TRIM($E152&amp;""))),AND($F152&lt;&gt;"",LEN($F152&amp;"")&lt;&gt;LEN(TRIM($F152&amp;""))),AND($G152&lt;&gt;"",LEN($G152&amp;"")&lt;&gt;LEN(TRIM($G152&amp;""))),AND($H152&lt;&gt;"",LEN($H152&amp;"")&lt;&gt;LEN(TRIM($H152&amp;""))),AND($I152&lt;&gt;"",LEN($I152&amp;"")&lt;&gt;LEN(TRIM($I152&amp;""))),AND($J152&lt;&gt;"",LEN($J152&amp;"")&lt;&gt;LEN(TRIM($J152&amp;""))),AND($K152&lt;&gt;"",LEN($K152&amp;"")&lt;&gt;LEN(TRIM($K152&amp;""))),AND($M152&lt;&gt;"",LEN($M152&amp;"")&lt;&gt;LEN(TRIM($M152&amp;""))),AND($N152&lt;&gt;"",LEN($N152&amp;"")&lt;&gt;LEN(TRIM($N152&amp;""))),AND($O152&lt;&gt;"",LEN($O152&amp;"")&lt;&gt;LEN(TRIM($O152&amp;""))),AND($R152&lt;&gt;"",LEN($R152&amp;"")&lt;&gt;LEN(TRIM($R152&amp;""))),AND($S152&lt;&gt;"",LEN($S152&amp;"")&lt;&gt;LEN(TRIM($S152&amp;""))),AND($T152&lt;&gt;"",LEN($T152&amp;"")&lt;&gt;LEN(TRIM($T152&amp;"")))),"Remove leading or trailing spaces from text fields; ","")&amp;IF(OR(AND(LEN($C152)&gt;1,OR(EXACT($C152,UPPER($C152)),EXACT($C152,LOWER($C152)))),AND(LEN($D152)&gt;1,OR(EXACT($D152,UPPER($D152)),EXACT($D152,LOWER($D152)))),AND(LEN($H152)&gt;1,OR(EXACT($H152,UPPER($H152)),EXACT($H152,LOWER($H152))))),"Review capitalization in First Name, Last Name, or City; ","")&amp;IF(AND($N152&lt;&gt;"",NOT(EXACT($N152,LOWER($N152)))),"Email will be standardized to lowercase in the clean output; ","")&amp;IF(AND(OR('START HERE'!$C$8="Initial Enrollment",'START HERE'!$C$8="Open Enrollment"),$R152="Terminated"),"A terminated row is included in an initial or open enrollment file; confirm this is intentional; ",""))</f>
        <v/>
      </c>
      <c r="AE152">
        <f>IF(COUNTA($A152:$U152)=0,"",IF(OR($A152="",AND($A152&lt;&gt;"",NOT(IFERROR(AND(LEN($A152&amp;"")=9,ISNUMBER(--($A152&amp;""))),FALSE))),AND($A152&lt;&gt;"",OR($A152="123456789",$A152="987654321",$A152="012345678",$A152=REPT(LEFT($A152&amp;"",1),9)))),"Employee SSN, ","")&amp;IF(OR(AND($O152&lt;&gt;"",$B152=""),AND($B152&lt;&gt;"",OR(NOT(IFERROR(AND(LEN($B152&amp;"")=9,ISNUMBER(--($B152&amp;""))),FALSE)),$B152=$A152,$B152="123456789",$B152="987654321",$B152="012345678",$B152=REPT(LEFT($B152&amp;"",1),9)))),"Dependent SSN, ","")&amp;IF(OR($C152="",LEN($C152)&gt;19,AND($C152&lt;&gt;"",SUMPRODUCT(--(ROW($1:$19)&lt;=LEN($C152&amp;"")),--ISERROR(FIND(MID($C152&amp;"",ROW($1:$19),1),"ABCDEFGHIJKLMNOPQRSTUVWXYZabcdefghijklmnopqrstuvwxyz .,")))&gt;0)),"First Name, ","")&amp;IF(OR($D152="",LEN($D152)&gt;26,AND($D152&lt;&gt;"",SUMPRODUCT(--(ROW($1:$26)&lt;=LEN($D152&amp;"")),--ISERROR(FIND(MID($D152&amp;"",ROW($1:$26),1),"ABCDEFGHIJKLMNOPQRSTUVWXYZabcdefghijklmnopqrstuvwxyz .,")))&gt;0)),"Last Name, ","")&amp;IF(OR(LEN($E152)&gt;1,AND($E152&lt;&gt;"",SUMPRODUCT(--(ROW($1:$1)&lt;=LEN($E152&amp;"")),--ISERROR(FIND(MID($E152&amp;"",ROW($1:$1),1),"ABCDEFGHIJKLMNOPQRSTUVWXYZabcdefghijklmnopqrstuvwxyz .,")))&gt;0)),"Middle Initial, ","")&amp;IF(OR($F152="",LEN($F152)&gt;75),"Address, ","")&amp;IF(OR($H152="",LEN($H152)&gt;30),"City, ","")&amp;IF(AND($K152="US",OR($I152="",LEN($I152)&lt;&gt;2)),"State, ","")&amp;IF($J152="","ZIP, ","")&amp;IF(OR($K152="",AND($K152&lt;&gt;"US",$K152&lt;&gt;"CA")),"Country, ","")&amp;IF(OR($L152="",AND($L152&lt;&gt;"",OR(NOT(ISNUMBER($L152)),$L152&lt;=DATE(1900,1,1),$L152&gt;TODAY()))),"Birthdate, ","")&amp;IF(AND($N152&lt;&gt;"",NOT(IFERROR(AND(ISNUMBER(SEARCH("@",$N152)),ISNUMBER(SEARCH(".",$N152,SEARCH("@",$N152)+2))),FALSE))),"Email, ","")&amp;IF(OR(AND($B152&lt;&gt;"",$O152=""),AND($O152&lt;&gt;"",$O152&lt;&gt;"Spouse or Common Law Spouse",$O152&lt;&gt;"Domestic Partner",$O152&lt;&gt;"Child",$O152&lt;&gt;"Other",$O152&lt;&gt;"Estate",$O152&lt;&gt;"Unknown")),"Dependent Relationship, ","")&amp;IF($AA152&lt;&gt;"","Household, ","")&amp;IF(OR($P152="",AND($P152&lt;&gt;"",OR(NOT(ISNUMBER($P152)),$P152&lt;=DATE(1900,1,1)))),"Eligibility Date, ","")&amp;IF(OR(AND($R152="Terminated",$Q152=""),AND($Q152&lt;&gt;"",OR(NOT(ISNUMBER($Q152)),$Q152&lt;=DATE(1900,1,1))),AND(ISNUMBER($P152),ISNUMBER($Q152),$Q152&lt;$P152)),"Termination Date, ","")&amp;IF(OR($R152="",AND($R152&lt;&gt;"Active",$R152&lt;&gt;"Terminated"),AND('START HERE'!$C$8="Terminations Only",$R152&lt;&gt;"Terminated")),"Status, ","")&amp;IF($S152="","Plan Name, ","")&amp;IF($T152="","Coverage Level, ","")&amp;IF(AND($U152&lt;&gt;"",OR(NOT(ISNUMBER($U152)),$U152&lt;0)),"Funding, ","")&amp;IF(AND($A152&lt;&gt;"",$S152&lt;&gt;"",COUNTIFS($A$2:$A$501,$A152,$B$2:$B$501,$B152,$S$2:$S$501,$S152)&gt;1),"Duplicate Row, ",""))</f>
        <v/>
      </c>
      <c r="AF152">
        <f>IF(COUNTA($A152:$U152)=0,"",$Y152&amp;$Z152&amp;$AA152&amp;$AB152&amp;$AC152)</f>
        <v/>
      </c>
      <c r="AG152">
        <f>IF($N152="","",LOWER(TRIM($N152)))</f>
        <v/>
      </c>
      <c r="AH152">
        <f>IF($A152="","",COUNTIFS($A$2:$A$501,$A152,$AI$2:$AI$501,1))</f>
        <v/>
      </c>
      <c r="AI152">
        <f>IF(COUNTA($A152:$U152)=0,"",--($AF152&lt;&gt;""))</f>
        <v/>
      </c>
      <c r="AJ152">
        <f>IF(COUNTA($A152:$U152)=0,"",--($AD152&lt;&gt;""))</f>
        <v/>
      </c>
    </row>
    <row r="153" ht="20" customHeight="1">
      <c r="A153" s="80" t="n"/>
      <c r="B153" s="80" t="n"/>
      <c r="C153" s="81" t="n"/>
      <c r="D153" s="81" t="n"/>
      <c r="E153" s="80" t="n"/>
      <c r="F153" s="81" t="n"/>
      <c r="G153" s="81" t="n"/>
      <c r="H153" s="81" t="n"/>
      <c r="I153" s="80" t="n"/>
      <c r="J153" s="80" t="n"/>
      <c r="K153" s="80" t="n"/>
      <c r="L153" s="82" t="n"/>
      <c r="M153" s="80" t="n"/>
      <c r="N153" s="80" t="n"/>
      <c r="O153" s="80" t="n"/>
      <c r="P153" s="82" t="n"/>
      <c r="Q153" s="82" t="n"/>
      <c r="R153" s="80" t="n"/>
      <c r="S153" s="80" t="n"/>
      <c r="T153" s="80" t="n"/>
      <c r="U153" s="83" t="n"/>
      <c r="V153">
        <f>IF($A153="","",IF($A153=$A152,$V152,IF($V152="",0,1-$V152)))</f>
        <v/>
      </c>
      <c r="W153">
        <f>IF($B153&lt;&gt;"",$B153,$A153)</f>
        <v/>
      </c>
      <c r="X153">
        <f>IF(COUNTA($A153:$U153)=0,"",IF(OR($B153&lt;&gt;"",$O153&lt;&gt;""),"Dependent","Employee"))</f>
        <v/>
      </c>
      <c r="Y153">
        <f>IF(COUNTA($A153:$U153)=0,"",IF($A153="","Employee SSN is required; ","")&amp;IF($C153="","First Name is required; ","")&amp;IF(LEN($C153&amp;"")&gt;19,"First Name exceeds 19 characters; ","")&amp;IF(AND($C153&lt;&gt;"",SUMPRODUCT(--(ROW($1:$19)&lt;=LEN($C153&amp;"")),--ISERROR(FIND(MID($C153&amp;"",ROW($1:$19),1),"ABCDEFGHIJKLMNOPQRSTUVWXYZabcdefghijklmnopqrstuvwxyz .,")))&gt;0),"First Name contains unsupported or encoded characters; use plain A-Z letters only; ","")&amp;IF($D153="","Last Name is required; ","")&amp;IF(LEN($D153&amp;"")&gt;26,"Last Name exceeds 26 characters; ","")&amp;IF(AND($D153&lt;&gt;"",SUMPRODUCT(--(ROW($1:$26)&lt;=LEN($D153&amp;"")),--ISERROR(FIND(MID($D153&amp;"",ROW($1:$26),1),"ABCDEFGHIJKLMNOPQRSTUVWXYZabcdefghijklmnopqrstuvwxyz .,")))&gt;0),"Last Name contains unsupported or encoded characters; use plain A-Z letters only; ","")&amp;IF(LEN($E153&amp;"")&gt;1,"Middle Initial may contain only one character; ","")&amp;IF(AND($E153&lt;&gt;"",SUMPRODUCT(--(ROW($1:$1)&lt;=LEN($E153&amp;"")),--ISERROR(FIND(MID($E153&amp;"",ROW($1:$1),1),"ABCDEFGHIJKLMNOPQRSTUVWXYZabcdefghijklmnopqrstuvwxyz .,")))&gt;0),"Middle Initial must be a plain A-Z letter; ","")&amp;IF($F153="","Address is required; ","")&amp;IF(LEN($F153&amp;"")&gt;75,"Address exceeds 75 characters; ","")&amp;IF(LEN($G153&amp;"")&gt;75,"Address 2 exceeds 75 characters; ","")&amp;IF($H153="","City is required; ","")&amp;IF(LEN($H153&amp;"")&gt;30,"City exceeds 30 characters; ","")&amp;IF($K153="","Country is required; ","")&amp;IF(AND($K153&lt;&gt;"",$K153&lt;&gt;"US",$K153&lt;&gt;"CA"),"Country must be US or CA; ","")&amp;IF(AND($K153="US",OR($I153="",LEN($I153&amp;"")&lt;&gt;2)),"Use a 2-letter state code; ","")&amp;IF($J153="","ZIP or postal code is required; ","")&amp;IF(AND($K153="US",$J153&lt;&gt;"",NOT(IFERROR(OR(AND(LEN($J153&amp;"")=5,ISNUMBER(--($J153&amp;""))),AND(LEN($J153&amp;"")=9,ISNUMBER(--($J153&amp;""))),AND(LEN($J153&amp;"")=10,MID($J153&amp;"",6,1)="-",ISNUMBER(--SUBSTITUTE($J153&amp;"","-","")))),FALSE))),"US ZIP must be 5 or 9 digits, with an optional ZIP+4 hyphen; ","")&amp;IF(AND($N153&lt;&gt;"",NOT(IFERROR(AND(ISNUMBER(SEARCH("@",$N153)),ISNUMBER(SEARCH(".",$N153,SEARCH("@",$N153)+2))),FALSE))),"Email format appears invalid; ","")&amp;IF(AND($O153&lt;&gt;"",$B153=""),"Dependent SSN is required for every dependent; ","")&amp;IF(AND($B153&lt;&gt;"",$O153=""),"Dependent Relationship is required when Dependent SSN is entered; ","")&amp;IF(AND($O153&lt;&gt;"",$O153&lt;&gt;"Spouse or Common Law Spouse",$O153&lt;&gt;"Domestic Partner",$O153&lt;&gt;"Child",$O153&lt;&gt;"Other",$O153&lt;&gt;"Estate",$O153&lt;&gt;"Unknown"),"Dependent Relationship must use one of the approved options; ",""))</f>
        <v/>
      </c>
      <c r="Z153">
        <f>IF(COUNTA($A153:$U153)=0,"",IF(AND($A153&lt;&gt;"",NOT(IFERROR(AND(LEN($A153&amp;"")=9,ISNUMBER(--($A153&amp;""))),FALSE))),"Employee SSN must contain exactly 9 digits; ","")&amp;IF(AND($A153&lt;&gt;"",OR($A153="123456789",$A153="987654321",$A153="012345678",$A153=REPT(LEFT($A153&amp;"",1),9))),"Employee SSN appears to be a placeholder; ","")&amp;IF(AND($B153&lt;&gt;"",NOT(IFERROR(AND(LEN($B153&amp;"")=9,ISNUMBER(--($B153&amp;""))),FALSE))),"Dependent SSN must contain exactly 9 digits; ","")&amp;IF(AND($B153&lt;&gt;"",OR($B153="123456789",$B153="987654321",$B153="012345678",$B153=REPT(LEFT($B153&amp;"",1),9))),"Dependent SSN appears to be a placeholder; ","")&amp;IF(AND($A153&lt;&gt;"",$B153&lt;&gt;"",$A153&amp;""=$B153&amp;""),"Dependent SSN cannot match Employee SSN; ","")&amp;IF(AND($W153&lt;&gt;"",OR(COUNTIFS($W$2:$W$501,$W153,$C$2:$C$501,"&lt;&gt;"&amp;$C153)&gt;0,COUNTIFS($W$2:$W$501,$W153,$D$2:$D$501,"&lt;&gt;"&amp;$D153)&gt;0,COUNTIFS($W$2:$W$501,$W153,$L$2:$L$501,"&lt;&gt;"&amp;$L153)&gt;0)),"The same SSN is associated with a different name or birthdate; ",""))</f>
        <v/>
      </c>
      <c r="AA153">
        <f>IF(COUNTA($A153:$U153)=0,"",IF(AND($A153&lt;&gt;"",$S153&lt;&gt;"",COUNTIFS($A$2:$A$501,$A153,$S$2:$S$501,$S153,$B$2:$B$501,"",$O$2:$O$501,"")=0),"Add an employee row for this household and plan; ","")&amp;IF(AND($X153="Dependent",COUNTIFS($A$2:$A153,$A153,$S$2:$S153,$S153,$B$2:$B153,"",$O$2:$O153,"")=0),"Place the employee row before dependent rows for this plan; ","")&amp;IF(AND($X153="Dependent",COUNTIFS($A$2:$A$501,$A153,$S$2:$S$501,$S153,$B$2:$B$501,"",$O$2:$O$501,"")&gt;0,IFERROR(OR($P153&lt;&gt;LOOKUP(2,1/(($A$2:$A$501=$A153)*($S$2:$S$501=$S153)*($B$2:$B$501="")*($O$2:$O$501="")),$P$2:$P$501),$Q153&lt;&gt;LOOKUP(2,1/(($A$2:$A$501=$A153)*($S$2:$S$501=$S153)*($B$2:$B$501="")*($O$2:$O$501="")),$Q$2:$Q$501),$R153&lt;&gt;LOOKUP(2,1/(($A$2:$A$501=$A153)*($S$2:$S$501=$S153)*($B$2:$B$501="")*($O$2:$O$501="")),$R$2:$R$501),$T153&lt;&gt;LOOKUP(2,1/(($A$2:$A$501=$A153)*($S$2:$S$501=$S153)*($B$2:$B$501="")*($O$2:$O$501="")),$T$2:$T$501),$U153&lt;&gt;LOOKUP(2,1/(($A$2:$A$501=$A153)*($S$2:$S$501=$S153)*($B$2:$B$501="")*($O$2:$O$501="")),$U$2:$U$501)),FALSE)),"Dependent row does not match the employee row for eligibility, status, coverage level, or funding; ",""))</f>
        <v/>
      </c>
      <c r="AB153">
        <f>IF(COUNTA($A153:$U153)=0,"",IF($L153="","Birthdate is required; ","")&amp;IF(AND($L153&lt;&gt;"",OR(NOT(ISNUMBER($L153)),$L153&lt;=DATE(1900,1,1),$L153&gt;TODAY())),"Birthdate must be an exact valid past date; ","")&amp;IF($P153="","Eligibility Date is required; ","")&amp;IF(AND($P153&lt;&gt;"",OR(NOT(ISNUMBER($P153)),$P153&lt;=DATE(1900,1,1))),"Eligibility Date must be a valid date; ","")&amp;IF(AND($R153="Terminated",$Q153=""),"Termination Date is required when Status is Terminated; ","")&amp;IF(AND($Q153&lt;&gt;"",OR(NOT(ISNUMBER($Q153)),$Q153&lt;=DATE(1900,1,1))),"Termination Date must be a valid date; ","")&amp;IF(AND(ISNUMBER($P153),ISNUMBER($Q153),$Q153&lt;$P153),"Termination Date cannot be before Eligibility Date; ","")&amp;IF($R153="","Status is required; ","")&amp;IF(AND($R153&lt;&gt;"",$R153&lt;&gt;"Active",$R153&lt;&gt;"Terminated"),"Status must be Active or Terminated; ","")&amp;IF(AND('START HERE'!$C$8="Terminations Only",$R153&lt;&gt;"Terminated"),"Terminations Only files must contain terminated records; ",""))</f>
        <v/>
      </c>
      <c r="AC153">
        <f>IF(COUNTA($A153:$U153)=0,"",IF($S153="","Plan Name is required; ","")&amp;IF($T153="","Benefit Coverage Level is required; ","")&amp;IF(AND($U153&lt;&gt;"",OR(NOT(ISNUMBER($U153)),$U153&lt;0)),"Plan Funding Amount must be a nonnegative number; ","")&amp;IF(AND($A153&lt;&gt;"",$S153&lt;&gt;"",COUNTIFS($A$2:$A$501,$A153,$B$2:$B$501,$B153,$S$2:$S$501,$S153)&gt;1),"Duplicate participant and plan row; ",""))</f>
        <v/>
      </c>
      <c r="AD153">
        <f>IF(COUNTA($A153:$U153)=0,"",IF(AND($X153="Employee",$M153="",$N153=""),"No employee phone or email provided; ","")&amp;IF(AND($R153="Active",$Q153&lt;&gt;""),"Active record includes a Termination Date; confirm this is intentional; ","")&amp;IF(AND($B153&lt;&gt;"",$B153&amp;""&lt;&gt;$A153&amp;"",COUNTIF($A$2:$A$501,$B153)&gt;0),"Dependent SSN also appears as an Employee SSN elsewhere; confirm dual-employee coverage is intentional; ","")&amp;IF(AND($B153&lt;&gt;"",COUNTIF($B$2:$B$501,$B153)&gt;COUNTIFS($A$2:$A$501,$A153,$B$2:$B$501,$B153)),"Dependent SSN appears under more than one employee; confirm duplicate family coverage is intentional; ","")&amp;IF(AND(ROW()&gt;2,$A153&lt;&gt;"",$A153&lt;&gt;$A152,COUNTIF($A$2:$A152,$A153)&gt;0),"This household appears in more than one section of the census; keep the family together; ","")&amp;IF(OR(AND($C153&lt;&gt;"",LEN($C153&amp;"")&lt;&gt;LEN(TRIM($C153&amp;""))),AND($D153&lt;&gt;"",LEN($D153&amp;"")&lt;&gt;LEN(TRIM($D153&amp;""))),AND($E153&lt;&gt;"",LEN($E153&amp;"")&lt;&gt;LEN(TRIM($E153&amp;""))),AND($F153&lt;&gt;"",LEN($F153&amp;"")&lt;&gt;LEN(TRIM($F153&amp;""))),AND($G153&lt;&gt;"",LEN($G153&amp;"")&lt;&gt;LEN(TRIM($G153&amp;""))),AND($H153&lt;&gt;"",LEN($H153&amp;"")&lt;&gt;LEN(TRIM($H153&amp;""))),AND($I153&lt;&gt;"",LEN($I153&amp;"")&lt;&gt;LEN(TRIM($I153&amp;""))),AND($J153&lt;&gt;"",LEN($J153&amp;"")&lt;&gt;LEN(TRIM($J153&amp;""))),AND($K153&lt;&gt;"",LEN($K153&amp;"")&lt;&gt;LEN(TRIM($K153&amp;""))),AND($M153&lt;&gt;"",LEN($M153&amp;"")&lt;&gt;LEN(TRIM($M153&amp;""))),AND($N153&lt;&gt;"",LEN($N153&amp;"")&lt;&gt;LEN(TRIM($N153&amp;""))),AND($O153&lt;&gt;"",LEN($O153&amp;"")&lt;&gt;LEN(TRIM($O153&amp;""))),AND($R153&lt;&gt;"",LEN($R153&amp;"")&lt;&gt;LEN(TRIM($R153&amp;""))),AND($S153&lt;&gt;"",LEN($S153&amp;"")&lt;&gt;LEN(TRIM($S153&amp;""))),AND($T153&lt;&gt;"",LEN($T153&amp;"")&lt;&gt;LEN(TRIM($T153&amp;"")))),"Remove leading or trailing spaces from text fields; ","")&amp;IF(OR(AND(LEN($C153)&gt;1,OR(EXACT($C153,UPPER($C153)),EXACT($C153,LOWER($C153)))),AND(LEN($D153)&gt;1,OR(EXACT($D153,UPPER($D153)),EXACT($D153,LOWER($D153)))),AND(LEN($H153)&gt;1,OR(EXACT($H153,UPPER($H153)),EXACT($H153,LOWER($H153))))),"Review capitalization in First Name, Last Name, or City; ","")&amp;IF(AND($N153&lt;&gt;"",NOT(EXACT($N153,LOWER($N153)))),"Email will be standardized to lowercase in the clean output; ","")&amp;IF(AND(OR('START HERE'!$C$8="Initial Enrollment",'START HERE'!$C$8="Open Enrollment"),$R153="Terminated"),"A terminated row is included in an initial or open enrollment file; confirm this is intentional; ",""))</f>
        <v/>
      </c>
      <c r="AE153">
        <f>IF(COUNTA($A153:$U153)=0,"",IF(OR($A153="",AND($A153&lt;&gt;"",NOT(IFERROR(AND(LEN($A153&amp;"")=9,ISNUMBER(--($A153&amp;""))),FALSE))),AND($A153&lt;&gt;"",OR($A153="123456789",$A153="987654321",$A153="012345678",$A153=REPT(LEFT($A153&amp;"",1),9)))),"Employee SSN, ","")&amp;IF(OR(AND($O153&lt;&gt;"",$B153=""),AND($B153&lt;&gt;"",OR(NOT(IFERROR(AND(LEN($B153&amp;"")=9,ISNUMBER(--($B153&amp;""))),FALSE)),$B153=$A153,$B153="123456789",$B153="987654321",$B153="012345678",$B153=REPT(LEFT($B153&amp;"",1),9)))),"Dependent SSN, ","")&amp;IF(OR($C153="",LEN($C153)&gt;19,AND($C153&lt;&gt;"",SUMPRODUCT(--(ROW($1:$19)&lt;=LEN($C153&amp;"")),--ISERROR(FIND(MID($C153&amp;"",ROW($1:$19),1),"ABCDEFGHIJKLMNOPQRSTUVWXYZabcdefghijklmnopqrstuvwxyz .,")))&gt;0)),"First Name, ","")&amp;IF(OR($D153="",LEN($D153)&gt;26,AND($D153&lt;&gt;"",SUMPRODUCT(--(ROW($1:$26)&lt;=LEN($D153&amp;"")),--ISERROR(FIND(MID($D153&amp;"",ROW($1:$26),1),"ABCDEFGHIJKLMNOPQRSTUVWXYZabcdefghijklmnopqrstuvwxyz .,")))&gt;0)),"Last Name, ","")&amp;IF(OR(LEN($E153)&gt;1,AND($E153&lt;&gt;"",SUMPRODUCT(--(ROW($1:$1)&lt;=LEN($E153&amp;"")),--ISERROR(FIND(MID($E153&amp;"",ROW($1:$1),1),"ABCDEFGHIJKLMNOPQRSTUVWXYZabcdefghijklmnopqrstuvwxyz .,")))&gt;0)),"Middle Initial, ","")&amp;IF(OR($F153="",LEN($F153)&gt;75),"Address, ","")&amp;IF(OR($H153="",LEN($H153)&gt;30),"City, ","")&amp;IF(AND($K153="US",OR($I153="",LEN($I153)&lt;&gt;2)),"State, ","")&amp;IF($J153="","ZIP, ","")&amp;IF(OR($K153="",AND($K153&lt;&gt;"US",$K153&lt;&gt;"CA")),"Country, ","")&amp;IF(OR($L153="",AND($L153&lt;&gt;"",OR(NOT(ISNUMBER($L153)),$L153&lt;=DATE(1900,1,1),$L153&gt;TODAY()))),"Birthdate, ","")&amp;IF(AND($N153&lt;&gt;"",NOT(IFERROR(AND(ISNUMBER(SEARCH("@",$N153)),ISNUMBER(SEARCH(".",$N153,SEARCH("@",$N153)+2))),FALSE))),"Email, ","")&amp;IF(OR(AND($B153&lt;&gt;"",$O153=""),AND($O153&lt;&gt;"",$O153&lt;&gt;"Spouse or Common Law Spouse",$O153&lt;&gt;"Domestic Partner",$O153&lt;&gt;"Child",$O153&lt;&gt;"Other",$O153&lt;&gt;"Estate",$O153&lt;&gt;"Unknown")),"Dependent Relationship, ","")&amp;IF($AA153&lt;&gt;"","Household, ","")&amp;IF(OR($P153="",AND($P153&lt;&gt;"",OR(NOT(ISNUMBER($P153)),$P153&lt;=DATE(1900,1,1)))),"Eligibility Date, ","")&amp;IF(OR(AND($R153="Terminated",$Q153=""),AND($Q153&lt;&gt;"",OR(NOT(ISNUMBER($Q153)),$Q153&lt;=DATE(1900,1,1))),AND(ISNUMBER($P153),ISNUMBER($Q153),$Q153&lt;$P153)),"Termination Date, ","")&amp;IF(OR($R153="",AND($R153&lt;&gt;"Active",$R153&lt;&gt;"Terminated"),AND('START HERE'!$C$8="Terminations Only",$R153&lt;&gt;"Terminated")),"Status, ","")&amp;IF($S153="","Plan Name, ","")&amp;IF($T153="","Coverage Level, ","")&amp;IF(AND($U153&lt;&gt;"",OR(NOT(ISNUMBER($U153)),$U153&lt;0)),"Funding, ","")&amp;IF(AND($A153&lt;&gt;"",$S153&lt;&gt;"",COUNTIFS($A$2:$A$501,$A153,$B$2:$B$501,$B153,$S$2:$S$501,$S153)&gt;1),"Duplicate Row, ",""))</f>
        <v/>
      </c>
      <c r="AF153">
        <f>IF(COUNTA($A153:$U153)=0,"",$Y153&amp;$Z153&amp;$AA153&amp;$AB153&amp;$AC153)</f>
        <v/>
      </c>
      <c r="AG153">
        <f>IF($N153="","",LOWER(TRIM($N153)))</f>
        <v/>
      </c>
      <c r="AH153">
        <f>IF($A153="","",COUNTIFS($A$2:$A$501,$A153,$AI$2:$AI$501,1))</f>
        <v/>
      </c>
      <c r="AI153">
        <f>IF(COUNTA($A153:$U153)=0,"",--($AF153&lt;&gt;""))</f>
        <v/>
      </c>
      <c r="AJ153">
        <f>IF(COUNTA($A153:$U153)=0,"",--($AD153&lt;&gt;""))</f>
        <v/>
      </c>
    </row>
    <row r="154" ht="20" customHeight="1">
      <c r="A154" s="80" t="n"/>
      <c r="B154" s="80" t="n"/>
      <c r="C154" s="81" t="n"/>
      <c r="D154" s="81" t="n"/>
      <c r="E154" s="80" t="n"/>
      <c r="F154" s="81" t="n"/>
      <c r="G154" s="81" t="n"/>
      <c r="H154" s="81" t="n"/>
      <c r="I154" s="80" t="n"/>
      <c r="J154" s="80" t="n"/>
      <c r="K154" s="80" t="n"/>
      <c r="L154" s="82" t="n"/>
      <c r="M154" s="80" t="n"/>
      <c r="N154" s="80" t="n"/>
      <c r="O154" s="80" t="n"/>
      <c r="P154" s="82" t="n"/>
      <c r="Q154" s="82" t="n"/>
      <c r="R154" s="80" t="n"/>
      <c r="S154" s="80" t="n"/>
      <c r="T154" s="80" t="n"/>
      <c r="U154" s="83" t="n"/>
      <c r="V154">
        <f>IF($A154="","",IF($A154=$A153,$V153,IF($V153="",0,1-$V153)))</f>
        <v/>
      </c>
      <c r="W154">
        <f>IF($B154&lt;&gt;"",$B154,$A154)</f>
        <v/>
      </c>
      <c r="X154">
        <f>IF(COUNTA($A154:$U154)=0,"",IF(OR($B154&lt;&gt;"",$O154&lt;&gt;""),"Dependent","Employee"))</f>
        <v/>
      </c>
      <c r="Y154">
        <f>IF(COUNTA($A154:$U154)=0,"",IF($A154="","Employee SSN is required; ","")&amp;IF($C154="","First Name is required; ","")&amp;IF(LEN($C154&amp;"")&gt;19,"First Name exceeds 19 characters; ","")&amp;IF(AND($C154&lt;&gt;"",SUMPRODUCT(--(ROW($1:$19)&lt;=LEN($C154&amp;"")),--ISERROR(FIND(MID($C154&amp;"",ROW($1:$19),1),"ABCDEFGHIJKLMNOPQRSTUVWXYZabcdefghijklmnopqrstuvwxyz .,")))&gt;0),"First Name contains unsupported or encoded characters; use plain A-Z letters only; ","")&amp;IF($D154="","Last Name is required; ","")&amp;IF(LEN($D154&amp;"")&gt;26,"Last Name exceeds 26 characters; ","")&amp;IF(AND($D154&lt;&gt;"",SUMPRODUCT(--(ROW($1:$26)&lt;=LEN($D154&amp;"")),--ISERROR(FIND(MID($D154&amp;"",ROW($1:$26),1),"ABCDEFGHIJKLMNOPQRSTUVWXYZabcdefghijklmnopqrstuvwxyz .,")))&gt;0),"Last Name contains unsupported or encoded characters; use plain A-Z letters only; ","")&amp;IF(LEN($E154&amp;"")&gt;1,"Middle Initial may contain only one character; ","")&amp;IF(AND($E154&lt;&gt;"",SUMPRODUCT(--(ROW($1:$1)&lt;=LEN($E154&amp;"")),--ISERROR(FIND(MID($E154&amp;"",ROW($1:$1),1),"ABCDEFGHIJKLMNOPQRSTUVWXYZabcdefghijklmnopqrstuvwxyz .,")))&gt;0),"Middle Initial must be a plain A-Z letter; ","")&amp;IF($F154="","Address is required; ","")&amp;IF(LEN($F154&amp;"")&gt;75,"Address exceeds 75 characters; ","")&amp;IF(LEN($G154&amp;"")&gt;75,"Address 2 exceeds 75 characters; ","")&amp;IF($H154="","City is required; ","")&amp;IF(LEN($H154&amp;"")&gt;30,"City exceeds 30 characters; ","")&amp;IF($K154="","Country is required; ","")&amp;IF(AND($K154&lt;&gt;"",$K154&lt;&gt;"US",$K154&lt;&gt;"CA"),"Country must be US or CA; ","")&amp;IF(AND($K154="US",OR($I154="",LEN($I154&amp;"")&lt;&gt;2)),"Use a 2-letter state code; ","")&amp;IF($J154="","ZIP or postal code is required; ","")&amp;IF(AND($K154="US",$J154&lt;&gt;"",NOT(IFERROR(OR(AND(LEN($J154&amp;"")=5,ISNUMBER(--($J154&amp;""))),AND(LEN($J154&amp;"")=9,ISNUMBER(--($J154&amp;""))),AND(LEN($J154&amp;"")=10,MID($J154&amp;"",6,1)="-",ISNUMBER(--SUBSTITUTE($J154&amp;"","-","")))),FALSE))),"US ZIP must be 5 or 9 digits, with an optional ZIP+4 hyphen; ","")&amp;IF(AND($N154&lt;&gt;"",NOT(IFERROR(AND(ISNUMBER(SEARCH("@",$N154)),ISNUMBER(SEARCH(".",$N154,SEARCH("@",$N154)+2))),FALSE))),"Email format appears invalid; ","")&amp;IF(AND($O154&lt;&gt;"",$B154=""),"Dependent SSN is required for every dependent; ","")&amp;IF(AND($B154&lt;&gt;"",$O154=""),"Dependent Relationship is required when Dependent SSN is entered; ","")&amp;IF(AND($O154&lt;&gt;"",$O154&lt;&gt;"Spouse or Common Law Spouse",$O154&lt;&gt;"Domestic Partner",$O154&lt;&gt;"Child",$O154&lt;&gt;"Other",$O154&lt;&gt;"Estate",$O154&lt;&gt;"Unknown"),"Dependent Relationship must use one of the approved options; ",""))</f>
        <v/>
      </c>
      <c r="Z154">
        <f>IF(COUNTA($A154:$U154)=0,"",IF(AND($A154&lt;&gt;"",NOT(IFERROR(AND(LEN($A154&amp;"")=9,ISNUMBER(--($A154&amp;""))),FALSE))),"Employee SSN must contain exactly 9 digits; ","")&amp;IF(AND($A154&lt;&gt;"",OR($A154="123456789",$A154="987654321",$A154="012345678",$A154=REPT(LEFT($A154&amp;"",1),9))),"Employee SSN appears to be a placeholder; ","")&amp;IF(AND($B154&lt;&gt;"",NOT(IFERROR(AND(LEN($B154&amp;"")=9,ISNUMBER(--($B154&amp;""))),FALSE))),"Dependent SSN must contain exactly 9 digits; ","")&amp;IF(AND($B154&lt;&gt;"",OR($B154="123456789",$B154="987654321",$B154="012345678",$B154=REPT(LEFT($B154&amp;"",1),9))),"Dependent SSN appears to be a placeholder; ","")&amp;IF(AND($A154&lt;&gt;"",$B154&lt;&gt;"",$A154&amp;""=$B154&amp;""),"Dependent SSN cannot match Employee SSN; ","")&amp;IF(AND($W154&lt;&gt;"",OR(COUNTIFS($W$2:$W$501,$W154,$C$2:$C$501,"&lt;&gt;"&amp;$C154)&gt;0,COUNTIFS($W$2:$W$501,$W154,$D$2:$D$501,"&lt;&gt;"&amp;$D154)&gt;0,COUNTIFS($W$2:$W$501,$W154,$L$2:$L$501,"&lt;&gt;"&amp;$L154)&gt;0)),"The same SSN is associated with a different name or birthdate; ",""))</f>
        <v/>
      </c>
      <c r="AA154">
        <f>IF(COUNTA($A154:$U154)=0,"",IF(AND($A154&lt;&gt;"",$S154&lt;&gt;"",COUNTIFS($A$2:$A$501,$A154,$S$2:$S$501,$S154,$B$2:$B$501,"",$O$2:$O$501,"")=0),"Add an employee row for this household and plan; ","")&amp;IF(AND($X154="Dependent",COUNTIFS($A$2:$A154,$A154,$S$2:$S154,$S154,$B$2:$B154,"",$O$2:$O154,"")=0),"Place the employee row before dependent rows for this plan; ","")&amp;IF(AND($X154="Dependent",COUNTIFS($A$2:$A$501,$A154,$S$2:$S$501,$S154,$B$2:$B$501,"",$O$2:$O$501,"")&gt;0,IFERROR(OR($P154&lt;&gt;LOOKUP(2,1/(($A$2:$A$501=$A154)*($S$2:$S$501=$S154)*($B$2:$B$501="")*($O$2:$O$501="")),$P$2:$P$501),$Q154&lt;&gt;LOOKUP(2,1/(($A$2:$A$501=$A154)*($S$2:$S$501=$S154)*($B$2:$B$501="")*($O$2:$O$501="")),$Q$2:$Q$501),$R154&lt;&gt;LOOKUP(2,1/(($A$2:$A$501=$A154)*($S$2:$S$501=$S154)*($B$2:$B$501="")*($O$2:$O$501="")),$R$2:$R$501),$T154&lt;&gt;LOOKUP(2,1/(($A$2:$A$501=$A154)*($S$2:$S$501=$S154)*($B$2:$B$501="")*($O$2:$O$501="")),$T$2:$T$501),$U154&lt;&gt;LOOKUP(2,1/(($A$2:$A$501=$A154)*($S$2:$S$501=$S154)*($B$2:$B$501="")*($O$2:$O$501="")),$U$2:$U$501)),FALSE)),"Dependent row does not match the employee row for eligibility, status, coverage level, or funding; ",""))</f>
        <v/>
      </c>
      <c r="AB154">
        <f>IF(COUNTA($A154:$U154)=0,"",IF($L154="","Birthdate is required; ","")&amp;IF(AND($L154&lt;&gt;"",OR(NOT(ISNUMBER($L154)),$L154&lt;=DATE(1900,1,1),$L154&gt;TODAY())),"Birthdate must be an exact valid past date; ","")&amp;IF($P154="","Eligibility Date is required; ","")&amp;IF(AND($P154&lt;&gt;"",OR(NOT(ISNUMBER($P154)),$P154&lt;=DATE(1900,1,1))),"Eligibility Date must be a valid date; ","")&amp;IF(AND($R154="Terminated",$Q154=""),"Termination Date is required when Status is Terminated; ","")&amp;IF(AND($Q154&lt;&gt;"",OR(NOT(ISNUMBER($Q154)),$Q154&lt;=DATE(1900,1,1))),"Termination Date must be a valid date; ","")&amp;IF(AND(ISNUMBER($P154),ISNUMBER($Q154),$Q154&lt;$P154),"Termination Date cannot be before Eligibility Date; ","")&amp;IF($R154="","Status is required; ","")&amp;IF(AND($R154&lt;&gt;"",$R154&lt;&gt;"Active",$R154&lt;&gt;"Terminated"),"Status must be Active or Terminated; ","")&amp;IF(AND('START HERE'!$C$8="Terminations Only",$R154&lt;&gt;"Terminated"),"Terminations Only files must contain terminated records; ",""))</f>
        <v/>
      </c>
      <c r="AC154">
        <f>IF(COUNTA($A154:$U154)=0,"",IF($S154="","Plan Name is required; ","")&amp;IF($T154="","Benefit Coverage Level is required; ","")&amp;IF(AND($U154&lt;&gt;"",OR(NOT(ISNUMBER($U154)),$U154&lt;0)),"Plan Funding Amount must be a nonnegative number; ","")&amp;IF(AND($A154&lt;&gt;"",$S154&lt;&gt;"",COUNTIFS($A$2:$A$501,$A154,$B$2:$B$501,$B154,$S$2:$S$501,$S154)&gt;1),"Duplicate participant and plan row; ",""))</f>
        <v/>
      </c>
      <c r="AD154">
        <f>IF(COUNTA($A154:$U154)=0,"",IF(AND($X154="Employee",$M154="",$N154=""),"No employee phone or email provided; ","")&amp;IF(AND($R154="Active",$Q154&lt;&gt;""),"Active record includes a Termination Date; confirm this is intentional; ","")&amp;IF(AND($B154&lt;&gt;"",$B154&amp;""&lt;&gt;$A154&amp;"",COUNTIF($A$2:$A$501,$B154)&gt;0),"Dependent SSN also appears as an Employee SSN elsewhere; confirm dual-employee coverage is intentional; ","")&amp;IF(AND($B154&lt;&gt;"",COUNTIF($B$2:$B$501,$B154)&gt;COUNTIFS($A$2:$A$501,$A154,$B$2:$B$501,$B154)),"Dependent SSN appears under more than one employee; confirm duplicate family coverage is intentional; ","")&amp;IF(AND(ROW()&gt;2,$A154&lt;&gt;"",$A154&lt;&gt;$A153,COUNTIF($A$2:$A153,$A154)&gt;0),"This household appears in more than one section of the census; keep the family together; ","")&amp;IF(OR(AND($C154&lt;&gt;"",LEN($C154&amp;"")&lt;&gt;LEN(TRIM($C154&amp;""))),AND($D154&lt;&gt;"",LEN($D154&amp;"")&lt;&gt;LEN(TRIM($D154&amp;""))),AND($E154&lt;&gt;"",LEN($E154&amp;"")&lt;&gt;LEN(TRIM($E154&amp;""))),AND($F154&lt;&gt;"",LEN($F154&amp;"")&lt;&gt;LEN(TRIM($F154&amp;""))),AND($G154&lt;&gt;"",LEN($G154&amp;"")&lt;&gt;LEN(TRIM($G154&amp;""))),AND($H154&lt;&gt;"",LEN($H154&amp;"")&lt;&gt;LEN(TRIM($H154&amp;""))),AND($I154&lt;&gt;"",LEN($I154&amp;"")&lt;&gt;LEN(TRIM($I154&amp;""))),AND($J154&lt;&gt;"",LEN($J154&amp;"")&lt;&gt;LEN(TRIM($J154&amp;""))),AND($K154&lt;&gt;"",LEN($K154&amp;"")&lt;&gt;LEN(TRIM($K154&amp;""))),AND($M154&lt;&gt;"",LEN($M154&amp;"")&lt;&gt;LEN(TRIM($M154&amp;""))),AND($N154&lt;&gt;"",LEN($N154&amp;"")&lt;&gt;LEN(TRIM($N154&amp;""))),AND($O154&lt;&gt;"",LEN($O154&amp;"")&lt;&gt;LEN(TRIM($O154&amp;""))),AND($R154&lt;&gt;"",LEN($R154&amp;"")&lt;&gt;LEN(TRIM($R154&amp;""))),AND($S154&lt;&gt;"",LEN($S154&amp;"")&lt;&gt;LEN(TRIM($S154&amp;""))),AND($T154&lt;&gt;"",LEN($T154&amp;"")&lt;&gt;LEN(TRIM($T154&amp;"")))),"Remove leading or trailing spaces from text fields; ","")&amp;IF(OR(AND(LEN($C154)&gt;1,OR(EXACT($C154,UPPER($C154)),EXACT($C154,LOWER($C154)))),AND(LEN($D154)&gt;1,OR(EXACT($D154,UPPER($D154)),EXACT($D154,LOWER($D154)))),AND(LEN($H154)&gt;1,OR(EXACT($H154,UPPER($H154)),EXACT($H154,LOWER($H154))))),"Review capitalization in First Name, Last Name, or City; ","")&amp;IF(AND($N154&lt;&gt;"",NOT(EXACT($N154,LOWER($N154)))),"Email will be standardized to lowercase in the clean output; ","")&amp;IF(AND(OR('START HERE'!$C$8="Initial Enrollment",'START HERE'!$C$8="Open Enrollment"),$R154="Terminated"),"A terminated row is included in an initial or open enrollment file; confirm this is intentional; ",""))</f>
        <v/>
      </c>
      <c r="AE154">
        <f>IF(COUNTA($A154:$U154)=0,"",IF(OR($A154="",AND($A154&lt;&gt;"",NOT(IFERROR(AND(LEN($A154&amp;"")=9,ISNUMBER(--($A154&amp;""))),FALSE))),AND($A154&lt;&gt;"",OR($A154="123456789",$A154="987654321",$A154="012345678",$A154=REPT(LEFT($A154&amp;"",1),9)))),"Employee SSN, ","")&amp;IF(OR(AND($O154&lt;&gt;"",$B154=""),AND($B154&lt;&gt;"",OR(NOT(IFERROR(AND(LEN($B154&amp;"")=9,ISNUMBER(--($B154&amp;""))),FALSE)),$B154=$A154,$B154="123456789",$B154="987654321",$B154="012345678",$B154=REPT(LEFT($B154&amp;"",1),9)))),"Dependent SSN, ","")&amp;IF(OR($C154="",LEN($C154)&gt;19,AND($C154&lt;&gt;"",SUMPRODUCT(--(ROW($1:$19)&lt;=LEN($C154&amp;"")),--ISERROR(FIND(MID($C154&amp;"",ROW($1:$19),1),"ABCDEFGHIJKLMNOPQRSTUVWXYZabcdefghijklmnopqrstuvwxyz .,")))&gt;0)),"First Name, ","")&amp;IF(OR($D154="",LEN($D154)&gt;26,AND($D154&lt;&gt;"",SUMPRODUCT(--(ROW($1:$26)&lt;=LEN($D154&amp;"")),--ISERROR(FIND(MID($D154&amp;"",ROW($1:$26),1),"ABCDEFGHIJKLMNOPQRSTUVWXYZabcdefghijklmnopqrstuvwxyz .,")))&gt;0)),"Last Name, ","")&amp;IF(OR(LEN($E154)&gt;1,AND($E154&lt;&gt;"",SUMPRODUCT(--(ROW($1:$1)&lt;=LEN($E154&amp;"")),--ISERROR(FIND(MID($E154&amp;"",ROW($1:$1),1),"ABCDEFGHIJKLMNOPQRSTUVWXYZabcdefghijklmnopqrstuvwxyz .,")))&gt;0)),"Middle Initial, ","")&amp;IF(OR($F154="",LEN($F154)&gt;75),"Address, ","")&amp;IF(OR($H154="",LEN($H154)&gt;30),"City, ","")&amp;IF(AND($K154="US",OR($I154="",LEN($I154)&lt;&gt;2)),"State, ","")&amp;IF($J154="","ZIP, ","")&amp;IF(OR($K154="",AND($K154&lt;&gt;"US",$K154&lt;&gt;"CA")),"Country, ","")&amp;IF(OR($L154="",AND($L154&lt;&gt;"",OR(NOT(ISNUMBER($L154)),$L154&lt;=DATE(1900,1,1),$L154&gt;TODAY()))),"Birthdate, ","")&amp;IF(AND($N154&lt;&gt;"",NOT(IFERROR(AND(ISNUMBER(SEARCH("@",$N154)),ISNUMBER(SEARCH(".",$N154,SEARCH("@",$N154)+2))),FALSE))),"Email, ","")&amp;IF(OR(AND($B154&lt;&gt;"",$O154=""),AND($O154&lt;&gt;"",$O154&lt;&gt;"Spouse or Common Law Spouse",$O154&lt;&gt;"Domestic Partner",$O154&lt;&gt;"Child",$O154&lt;&gt;"Other",$O154&lt;&gt;"Estate",$O154&lt;&gt;"Unknown")),"Dependent Relationship, ","")&amp;IF($AA154&lt;&gt;"","Household, ","")&amp;IF(OR($P154="",AND($P154&lt;&gt;"",OR(NOT(ISNUMBER($P154)),$P154&lt;=DATE(1900,1,1)))),"Eligibility Date, ","")&amp;IF(OR(AND($R154="Terminated",$Q154=""),AND($Q154&lt;&gt;"",OR(NOT(ISNUMBER($Q154)),$Q154&lt;=DATE(1900,1,1))),AND(ISNUMBER($P154),ISNUMBER($Q154),$Q154&lt;$P154)),"Termination Date, ","")&amp;IF(OR($R154="",AND($R154&lt;&gt;"Active",$R154&lt;&gt;"Terminated"),AND('START HERE'!$C$8="Terminations Only",$R154&lt;&gt;"Terminated")),"Status, ","")&amp;IF($S154="","Plan Name, ","")&amp;IF($T154="","Coverage Level, ","")&amp;IF(AND($U154&lt;&gt;"",OR(NOT(ISNUMBER($U154)),$U154&lt;0)),"Funding, ","")&amp;IF(AND($A154&lt;&gt;"",$S154&lt;&gt;"",COUNTIFS($A$2:$A$501,$A154,$B$2:$B$501,$B154,$S$2:$S$501,$S154)&gt;1),"Duplicate Row, ",""))</f>
        <v/>
      </c>
      <c r="AF154">
        <f>IF(COUNTA($A154:$U154)=0,"",$Y154&amp;$Z154&amp;$AA154&amp;$AB154&amp;$AC154)</f>
        <v/>
      </c>
      <c r="AG154">
        <f>IF($N154="","",LOWER(TRIM($N154)))</f>
        <v/>
      </c>
      <c r="AH154">
        <f>IF($A154="","",COUNTIFS($A$2:$A$501,$A154,$AI$2:$AI$501,1))</f>
        <v/>
      </c>
      <c r="AI154">
        <f>IF(COUNTA($A154:$U154)=0,"",--($AF154&lt;&gt;""))</f>
        <v/>
      </c>
      <c r="AJ154">
        <f>IF(COUNTA($A154:$U154)=0,"",--($AD154&lt;&gt;""))</f>
        <v/>
      </c>
    </row>
    <row r="155" ht="20" customHeight="1">
      <c r="A155" s="80" t="n"/>
      <c r="B155" s="80" t="n"/>
      <c r="C155" s="81" t="n"/>
      <c r="D155" s="81" t="n"/>
      <c r="E155" s="80" t="n"/>
      <c r="F155" s="81" t="n"/>
      <c r="G155" s="81" t="n"/>
      <c r="H155" s="81" t="n"/>
      <c r="I155" s="80" t="n"/>
      <c r="J155" s="80" t="n"/>
      <c r="K155" s="80" t="n"/>
      <c r="L155" s="82" t="n"/>
      <c r="M155" s="80" t="n"/>
      <c r="N155" s="80" t="n"/>
      <c r="O155" s="80" t="n"/>
      <c r="P155" s="82" t="n"/>
      <c r="Q155" s="82" t="n"/>
      <c r="R155" s="80" t="n"/>
      <c r="S155" s="80" t="n"/>
      <c r="T155" s="80" t="n"/>
      <c r="U155" s="83" t="n"/>
      <c r="V155">
        <f>IF($A155="","",IF($A155=$A154,$V154,IF($V154="",0,1-$V154)))</f>
        <v/>
      </c>
      <c r="W155">
        <f>IF($B155&lt;&gt;"",$B155,$A155)</f>
        <v/>
      </c>
      <c r="X155">
        <f>IF(COUNTA($A155:$U155)=0,"",IF(OR($B155&lt;&gt;"",$O155&lt;&gt;""),"Dependent","Employee"))</f>
        <v/>
      </c>
      <c r="Y155">
        <f>IF(COUNTA($A155:$U155)=0,"",IF($A155="","Employee SSN is required; ","")&amp;IF($C155="","First Name is required; ","")&amp;IF(LEN($C155&amp;"")&gt;19,"First Name exceeds 19 characters; ","")&amp;IF(AND($C155&lt;&gt;"",SUMPRODUCT(--(ROW($1:$19)&lt;=LEN($C155&amp;"")),--ISERROR(FIND(MID($C155&amp;"",ROW($1:$19),1),"ABCDEFGHIJKLMNOPQRSTUVWXYZabcdefghijklmnopqrstuvwxyz .,")))&gt;0),"First Name contains unsupported or encoded characters; use plain A-Z letters only; ","")&amp;IF($D155="","Last Name is required; ","")&amp;IF(LEN($D155&amp;"")&gt;26,"Last Name exceeds 26 characters; ","")&amp;IF(AND($D155&lt;&gt;"",SUMPRODUCT(--(ROW($1:$26)&lt;=LEN($D155&amp;"")),--ISERROR(FIND(MID($D155&amp;"",ROW($1:$26),1),"ABCDEFGHIJKLMNOPQRSTUVWXYZabcdefghijklmnopqrstuvwxyz .,")))&gt;0),"Last Name contains unsupported or encoded characters; use plain A-Z letters only; ","")&amp;IF(LEN($E155&amp;"")&gt;1,"Middle Initial may contain only one character; ","")&amp;IF(AND($E155&lt;&gt;"",SUMPRODUCT(--(ROW($1:$1)&lt;=LEN($E155&amp;"")),--ISERROR(FIND(MID($E155&amp;"",ROW($1:$1),1),"ABCDEFGHIJKLMNOPQRSTUVWXYZabcdefghijklmnopqrstuvwxyz .,")))&gt;0),"Middle Initial must be a plain A-Z letter; ","")&amp;IF($F155="","Address is required; ","")&amp;IF(LEN($F155&amp;"")&gt;75,"Address exceeds 75 characters; ","")&amp;IF(LEN($G155&amp;"")&gt;75,"Address 2 exceeds 75 characters; ","")&amp;IF($H155="","City is required; ","")&amp;IF(LEN($H155&amp;"")&gt;30,"City exceeds 30 characters; ","")&amp;IF($K155="","Country is required; ","")&amp;IF(AND($K155&lt;&gt;"",$K155&lt;&gt;"US",$K155&lt;&gt;"CA"),"Country must be US or CA; ","")&amp;IF(AND($K155="US",OR($I155="",LEN($I155&amp;"")&lt;&gt;2)),"Use a 2-letter state code; ","")&amp;IF($J155="","ZIP or postal code is required; ","")&amp;IF(AND($K155="US",$J155&lt;&gt;"",NOT(IFERROR(OR(AND(LEN($J155&amp;"")=5,ISNUMBER(--($J155&amp;""))),AND(LEN($J155&amp;"")=9,ISNUMBER(--($J155&amp;""))),AND(LEN($J155&amp;"")=10,MID($J155&amp;"",6,1)="-",ISNUMBER(--SUBSTITUTE($J155&amp;"","-","")))),FALSE))),"US ZIP must be 5 or 9 digits, with an optional ZIP+4 hyphen; ","")&amp;IF(AND($N155&lt;&gt;"",NOT(IFERROR(AND(ISNUMBER(SEARCH("@",$N155)),ISNUMBER(SEARCH(".",$N155,SEARCH("@",$N155)+2))),FALSE))),"Email format appears invalid; ","")&amp;IF(AND($O155&lt;&gt;"",$B155=""),"Dependent SSN is required for every dependent; ","")&amp;IF(AND($B155&lt;&gt;"",$O155=""),"Dependent Relationship is required when Dependent SSN is entered; ","")&amp;IF(AND($O155&lt;&gt;"",$O155&lt;&gt;"Spouse or Common Law Spouse",$O155&lt;&gt;"Domestic Partner",$O155&lt;&gt;"Child",$O155&lt;&gt;"Other",$O155&lt;&gt;"Estate",$O155&lt;&gt;"Unknown"),"Dependent Relationship must use one of the approved options; ",""))</f>
        <v/>
      </c>
      <c r="Z155">
        <f>IF(COUNTA($A155:$U155)=0,"",IF(AND($A155&lt;&gt;"",NOT(IFERROR(AND(LEN($A155&amp;"")=9,ISNUMBER(--($A155&amp;""))),FALSE))),"Employee SSN must contain exactly 9 digits; ","")&amp;IF(AND($A155&lt;&gt;"",OR($A155="123456789",$A155="987654321",$A155="012345678",$A155=REPT(LEFT($A155&amp;"",1),9))),"Employee SSN appears to be a placeholder; ","")&amp;IF(AND($B155&lt;&gt;"",NOT(IFERROR(AND(LEN($B155&amp;"")=9,ISNUMBER(--($B155&amp;""))),FALSE))),"Dependent SSN must contain exactly 9 digits; ","")&amp;IF(AND($B155&lt;&gt;"",OR($B155="123456789",$B155="987654321",$B155="012345678",$B155=REPT(LEFT($B155&amp;"",1),9))),"Dependent SSN appears to be a placeholder; ","")&amp;IF(AND($A155&lt;&gt;"",$B155&lt;&gt;"",$A155&amp;""=$B155&amp;""),"Dependent SSN cannot match Employee SSN; ","")&amp;IF(AND($W155&lt;&gt;"",OR(COUNTIFS($W$2:$W$501,$W155,$C$2:$C$501,"&lt;&gt;"&amp;$C155)&gt;0,COUNTIFS($W$2:$W$501,$W155,$D$2:$D$501,"&lt;&gt;"&amp;$D155)&gt;0,COUNTIFS($W$2:$W$501,$W155,$L$2:$L$501,"&lt;&gt;"&amp;$L155)&gt;0)),"The same SSN is associated with a different name or birthdate; ",""))</f>
        <v/>
      </c>
      <c r="AA155">
        <f>IF(COUNTA($A155:$U155)=0,"",IF(AND($A155&lt;&gt;"",$S155&lt;&gt;"",COUNTIFS($A$2:$A$501,$A155,$S$2:$S$501,$S155,$B$2:$B$501,"",$O$2:$O$501,"")=0),"Add an employee row for this household and plan; ","")&amp;IF(AND($X155="Dependent",COUNTIFS($A$2:$A155,$A155,$S$2:$S155,$S155,$B$2:$B155,"",$O$2:$O155,"")=0),"Place the employee row before dependent rows for this plan; ","")&amp;IF(AND($X155="Dependent",COUNTIFS($A$2:$A$501,$A155,$S$2:$S$501,$S155,$B$2:$B$501,"",$O$2:$O$501,"")&gt;0,IFERROR(OR($P155&lt;&gt;LOOKUP(2,1/(($A$2:$A$501=$A155)*($S$2:$S$501=$S155)*($B$2:$B$501="")*($O$2:$O$501="")),$P$2:$P$501),$Q155&lt;&gt;LOOKUP(2,1/(($A$2:$A$501=$A155)*($S$2:$S$501=$S155)*($B$2:$B$501="")*($O$2:$O$501="")),$Q$2:$Q$501),$R155&lt;&gt;LOOKUP(2,1/(($A$2:$A$501=$A155)*($S$2:$S$501=$S155)*($B$2:$B$501="")*($O$2:$O$501="")),$R$2:$R$501),$T155&lt;&gt;LOOKUP(2,1/(($A$2:$A$501=$A155)*($S$2:$S$501=$S155)*($B$2:$B$501="")*($O$2:$O$501="")),$T$2:$T$501),$U155&lt;&gt;LOOKUP(2,1/(($A$2:$A$501=$A155)*($S$2:$S$501=$S155)*($B$2:$B$501="")*($O$2:$O$501="")),$U$2:$U$501)),FALSE)),"Dependent row does not match the employee row for eligibility, status, coverage level, or funding; ",""))</f>
        <v/>
      </c>
      <c r="AB155">
        <f>IF(COUNTA($A155:$U155)=0,"",IF($L155="","Birthdate is required; ","")&amp;IF(AND($L155&lt;&gt;"",OR(NOT(ISNUMBER($L155)),$L155&lt;=DATE(1900,1,1),$L155&gt;TODAY())),"Birthdate must be an exact valid past date; ","")&amp;IF($P155="","Eligibility Date is required; ","")&amp;IF(AND($P155&lt;&gt;"",OR(NOT(ISNUMBER($P155)),$P155&lt;=DATE(1900,1,1))),"Eligibility Date must be a valid date; ","")&amp;IF(AND($R155="Terminated",$Q155=""),"Termination Date is required when Status is Terminated; ","")&amp;IF(AND($Q155&lt;&gt;"",OR(NOT(ISNUMBER($Q155)),$Q155&lt;=DATE(1900,1,1))),"Termination Date must be a valid date; ","")&amp;IF(AND(ISNUMBER($P155),ISNUMBER($Q155),$Q155&lt;$P155),"Termination Date cannot be before Eligibility Date; ","")&amp;IF($R155="","Status is required; ","")&amp;IF(AND($R155&lt;&gt;"",$R155&lt;&gt;"Active",$R155&lt;&gt;"Terminated"),"Status must be Active or Terminated; ","")&amp;IF(AND('START HERE'!$C$8="Terminations Only",$R155&lt;&gt;"Terminated"),"Terminations Only files must contain terminated records; ",""))</f>
        <v/>
      </c>
      <c r="AC155">
        <f>IF(COUNTA($A155:$U155)=0,"",IF($S155="","Plan Name is required; ","")&amp;IF($T155="","Benefit Coverage Level is required; ","")&amp;IF(AND($U155&lt;&gt;"",OR(NOT(ISNUMBER($U155)),$U155&lt;0)),"Plan Funding Amount must be a nonnegative number; ","")&amp;IF(AND($A155&lt;&gt;"",$S155&lt;&gt;"",COUNTIFS($A$2:$A$501,$A155,$B$2:$B$501,$B155,$S$2:$S$501,$S155)&gt;1),"Duplicate participant and plan row; ",""))</f>
        <v/>
      </c>
      <c r="AD155">
        <f>IF(COUNTA($A155:$U155)=0,"",IF(AND($X155="Employee",$M155="",$N155=""),"No employee phone or email provided; ","")&amp;IF(AND($R155="Active",$Q155&lt;&gt;""),"Active record includes a Termination Date; confirm this is intentional; ","")&amp;IF(AND($B155&lt;&gt;"",$B155&amp;""&lt;&gt;$A155&amp;"",COUNTIF($A$2:$A$501,$B155)&gt;0),"Dependent SSN also appears as an Employee SSN elsewhere; confirm dual-employee coverage is intentional; ","")&amp;IF(AND($B155&lt;&gt;"",COUNTIF($B$2:$B$501,$B155)&gt;COUNTIFS($A$2:$A$501,$A155,$B$2:$B$501,$B155)),"Dependent SSN appears under more than one employee; confirm duplicate family coverage is intentional; ","")&amp;IF(AND(ROW()&gt;2,$A155&lt;&gt;"",$A155&lt;&gt;$A154,COUNTIF($A$2:$A154,$A155)&gt;0),"This household appears in more than one section of the census; keep the family together; ","")&amp;IF(OR(AND($C155&lt;&gt;"",LEN($C155&amp;"")&lt;&gt;LEN(TRIM($C155&amp;""))),AND($D155&lt;&gt;"",LEN($D155&amp;"")&lt;&gt;LEN(TRIM($D155&amp;""))),AND($E155&lt;&gt;"",LEN($E155&amp;"")&lt;&gt;LEN(TRIM($E155&amp;""))),AND($F155&lt;&gt;"",LEN($F155&amp;"")&lt;&gt;LEN(TRIM($F155&amp;""))),AND($G155&lt;&gt;"",LEN($G155&amp;"")&lt;&gt;LEN(TRIM($G155&amp;""))),AND($H155&lt;&gt;"",LEN($H155&amp;"")&lt;&gt;LEN(TRIM($H155&amp;""))),AND($I155&lt;&gt;"",LEN($I155&amp;"")&lt;&gt;LEN(TRIM($I155&amp;""))),AND($J155&lt;&gt;"",LEN($J155&amp;"")&lt;&gt;LEN(TRIM($J155&amp;""))),AND($K155&lt;&gt;"",LEN($K155&amp;"")&lt;&gt;LEN(TRIM($K155&amp;""))),AND($M155&lt;&gt;"",LEN($M155&amp;"")&lt;&gt;LEN(TRIM($M155&amp;""))),AND($N155&lt;&gt;"",LEN($N155&amp;"")&lt;&gt;LEN(TRIM($N155&amp;""))),AND($O155&lt;&gt;"",LEN($O155&amp;"")&lt;&gt;LEN(TRIM($O155&amp;""))),AND($R155&lt;&gt;"",LEN($R155&amp;"")&lt;&gt;LEN(TRIM($R155&amp;""))),AND($S155&lt;&gt;"",LEN($S155&amp;"")&lt;&gt;LEN(TRIM($S155&amp;""))),AND($T155&lt;&gt;"",LEN($T155&amp;"")&lt;&gt;LEN(TRIM($T155&amp;"")))),"Remove leading or trailing spaces from text fields; ","")&amp;IF(OR(AND(LEN($C155)&gt;1,OR(EXACT($C155,UPPER($C155)),EXACT($C155,LOWER($C155)))),AND(LEN($D155)&gt;1,OR(EXACT($D155,UPPER($D155)),EXACT($D155,LOWER($D155)))),AND(LEN($H155)&gt;1,OR(EXACT($H155,UPPER($H155)),EXACT($H155,LOWER($H155))))),"Review capitalization in First Name, Last Name, or City; ","")&amp;IF(AND($N155&lt;&gt;"",NOT(EXACT($N155,LOWER($N155)))),"Email will be standardized to lowercase in the clean output; ","")&amp;IF(AND(OR('START HERE'!$C$8="Initial Enrollment",'START HERE'!$C$8="Open Enrollment"),$R155="Terminated"),"A terminated row is included in an initial or open enrollment file; confirm this is intentional; ",""))</f>
        <v/>
      </c>
      <c r="AE155">
        <f>IF(COUNTA($A155:$U155)=0,"",IF(OR($A155="",AND($A155&lt;&gt;"",NOT(IFERROR(AND(LEN($A155&amp;"")=9,ISNUMBER(--($A155&amp;""))),FALSE))),AND($A155&lt;&gt;"",OR($A155="123456789",$A155="987654321",$A155="012345678",$A155=REPT(LEFT($A155&amp;"",1),9)))),"Employee SSN, ","")&amp;IF(OR(AND($O155&lt;&gt;"",$B155=""),AND($B155&lt;&gt;"",OR(NOT(IFERROR(AND(LEN($B155&amp;"")=9,ISNUMBER(--($B155&amp;""))),FALSE)),$B155=$A155,$B155="123456789",$B155="987654321",$B155="012345678",$B155=REPT(LEFT($B155&amp;"",1),9)))),"Dependent SSN, ","")&amp;IF(OR($C155="",LEN($C155)&gt;19,AND($C155&lt;&gt;"",SUMPRODUCT(--(ROW($1:$19)&lt;=LEN($C155&amp;"")),--ISERROR(FIND(MID($C155&amp;"",ROW($1:$19),1),"ABCDEFGHIJKLMNOPQRSTUVWXYZabcdefghijklmnopqrstuvwxyz .,")))&gt;0)),"First Name, ","")&amp;IF(OR($D155="",LEN($D155)&gt;26,AND($D155&lt;&gt;"",SUMPRODUCT(--(ROW($1:$26)&lt;=LEN($D155&amp;"")),--ISERROR(FIND(MID($D155&amp;"",ROW($1:$26),1),"ABCDEFGHIJKLMNOPQRSTUVWXYZabcdefghijklmnopqrstuvwxyz .,")))&gt;0)),"Last Name, ","")&amp;IF(OR(LEN($E155)&gt;1,AND($E155&lt;&gt;"",SUMPRODUCT(--(ROW($1:$1)&lt;=LEN($E155&amp;"")),--ISERROR(FIND(MID($E155&amp;"",ROW($1:$1),1),"ABCDEFGHIJKLMNOPQRSTUVWXYZabcdefghijklmnopqrstuvwxyz .,")))&gt;0)),"Middle Initial, ","")&amp;IF(OR($F155="",LEN($F155)&gt;75),"Address, ","")&amp;IF(OR($H155="",LEN($H155)&gt;30),"City, ","")&amp;IF(AND($K155="US",OR($I155="",LEN($I155)&lt;&gt;2)),"State, ","")&amp;IF($J155="","ZIP, ","")&amp;IF(OR($K155="",AND($K155&lt;&gt;"US",$K155&lt;&gt;"CA")),"Country, ","")&amp;IF(OR($L155="",AND($L155&lt;&gt;"",OR(NOT(ISNUMBER($L155)),$L155&lt;=DATE(1900,1,1),$L155&gt;TODAY()))),"Birthdate, ","")&amp;IF(AND($N155&lt;&gt;"",NOT(IFERROR(AND(ISNUMBER(SEARCH("@",$N155)),ISNUMBER(SEARCH(".",$N155,SEARCH("@",$N155)+2))),FALSE))),"Email, ","")&amp;IF(OR(AND($B155&lt;&gt;"",$O155=""),AND($O155&lt;&gt;"",$O155&lt;&gt;"Spouse or Common Law Spouse",$O155&lt;&gt;"Domestic Partner",$O155&lt;&gt;"Child",$O155&lt;&gt;"Other",$O155&lt;&gt;"Estate",$O155&lt;&gt;"Unknown")),"Dependent Relationship, ","")&amp;IF($AA155&lt;&gt;"","Household, ","")&amp;IF(OR($P155="",AND($P155&lt;&gt;"",OR(NOT(ISNUMBER($P155)),$P155&lt;=DATE(1900,1,1)))),"Eligibility Date, ","")&amp;IF(OR(AND($R155="Terminated",$Q155=""),AND($Q155&lt;&gt;"",OR(NOT(ISNUMBER($Q155)),$Q155&lt;=DATE(1900,1,1))),AND(ISNUMBER($P155),ISNUMBER($Q155),$Q155&lt;$P155)),"Termination Date, ","")&amp;IF(OR($R155="",AND($R155&lt;&gt;"Active",$R155&lt;&gt;"Terminated"),AND('START HERE'!$C$8="Terminations Only",$R155&lt;&gt;"Terminated")),"Status, ","")&amp;IF($S155="","Plan Name, ","")&amp;IF($T155="","Coverage Level, ","")&amp;IF(AND($U155&lt;&gt;"",OR(NOT(ISNUMBER($U155)),$U155&lt;0)),"Funding, ","")&amp;IF(AND($A155&lt;&gt;"",$S155&lt;&gt;"",COUNTIFS($A$2:$A$501,$A155,$B$2:$B$501,$B155,$S$2:$S$501,$S155)&gt;1),"Duplicate Row, ",""))</f>
        <v/>
      </c>
      <c r="AF155">
        <f>IF(COUNTA($A155:$U155)=0,"",$Y155&amp;$Z155&amp;$AA155&amp;$AB155&amp;$AC155)</f>
        <v/>
      </c>
      <c r="AG155">
        <f>IF($N155="","",LOWER(TRIM($N155)))</f>
        <v/>
      </c>
      <c r="AH155">
        <f>IF($A155="","",COUNTIFS($A$2:$A$501,$A155,$AI$2:$AI$501,1))</f>
        <v/>
      </c>
      <c r="AI155">
        <f>IF(COUNTA($A155:$U155)=0,"",--($AF155&lt;&gt;""))</f>
        <v/>
      </c>
      <c r="AJ155">
        <f>IF(COUNTA($A155:$U155)=0,"",--($AD155&lt;&gt;""))</f>
        <v/>
      </c>
    </row>
    <row r="156" ht="20" customHeight="1">
      <c r="A156" s="80" t="n"/>
      <c r="B156" s="80" t="n"/>
      <c r="C156" s="81" t="n"/>
      <c r="D156" s="81" t="n"/>
      <c r="E156" s="80" t="n"/>
      <c r="F156" s="81" t="n"/>
      <c r="G156" s="81" t="n"/>
      <c r="H156" s="81" t="n"/>
      <c r="I156" s="80" t="n"/>
      <c r="J156" s="80" t="n"/>
      <c r="K156" s="80" t="n"/>
      <c r="L156" s="82" t="n"/>
      <c r="M156" s="80" t="n"/>
      <c r="N156" s="80" t="n"/>
      <c r="O156" s="80" t="n"/>
      <c r="P156" s="82" t="n"/>
      <c r="Q156" s="82" t="n"/>
      <c r="R156" s="80" t="n"/>
      <c r="S156" s="80" t="n"/>
      <c r="T156" s="80" t="n"/>
      <c r="U156" s="83" t="n"/>
      <c r="V156">
        <f>IF($A156="","",IF($A156=$A155,$V155,IF($V155="",0,1-$V155)))</f>
        <v/>
      </c>
      <c r="W156">
        <f>IF($B156&lt;&gt;"",$B156,$A156)</f>
        <v/>
      </c>
      <c r="X156">
        <f>IF(COUNTA($A156:$U156)=0,"",IF(OR($B156&lt;&gt;"",$O156&lt;&gt;""),"Dependent","Employee"))</f>
        <v/>
      </c>
      <c r="Y156">
        <f>IF(COUNTA($A156:$U156)=0,"",IF($A156="","Employee SSN is required; ","")&amp;IF($C156="","First Name is required; ","")&amp;IF(LEN($C156&amp;"")&gt;19,"First Name exceeds 19 characters; ","")&amp;IF(AND($C156&lt;&gt;"",SUMPRODUCT(--(ROW($1:$19)&lt;=LEN($C156&amp;"")),--ISERROR(FIND(MID($C156&amp;"",ROW($1:$19),1),"ABCDEFGHIJKLMNOPQRSTUVWXYZabcdefghijklmnopqrstuvwxyz .,")))&gt;0),"First Name contains unsupported or encoded characters; use plain A-Z letters only; ","")&amp;IF($D156="","Last Name is required; ","")&amp;IF(LEN($D156&amp;"")&gt;26,"Last Name exceeds 26 characters; ","")&amp;IF(AND($D156&lt;&gt;"",SUMPRODUCT(--(ROW($1:$26)&lt;=LEN($D156&amp;"")),--ISERROR(FIND(MID($D156&amp;"",ROW($1:$26),1),"ABCDEFGHIJKLMNOPQRSTUVWXYZabcdefghijklmnopqrstuvwxyz .,")))&gt;0),"Last Name contains unsupported or encoded characters; use plain A-Z letters only; ","")&amp;IF(LEN($E156&amp;"")&gt;1,"Middle Initial may contain only one character; ","")&amp;IF(AND($E156&lt;&gt;"",SUMPRODUCT(--(ROW($1:$1)&lt;=LEN($E156&amp;"")),--ISERROR(FIND(MID($E156&amp;"",ROW($1:$1),1),"ABCDEFGHIJKLMNOPQRSTUVWXYZabcdefghijklmnopqrstuvwxyz .,")))&gt;0),"Middle Initial must be a plain A-Z letter; ","")&amp;IF($F156="","Address is required; ","")&amp;IF(LEN($F156&amp;"")&gt;75,"Address exceeds 75 characters; ","")&amp;IF(LEN($G156&amp;"")&gt;75,"Address 2 exceeds 75 characters; ","")&amp;IF($H156="","City is required; ","")&amp;IF(LEN($H156&amp;"")&gt;30,"City exceeds 30 characters; ","")&amp;IF($K156="","Country is required; ","")&amp;IF(AND($K156&lt;&gt;"",$K156&lt;&gt;"US",$K156&lt;&gt;"CA"),"Country must be US or CA; ","")&amp;IF(AND($K156="US",OR($I156="",LEN($I156&amp;"")&lt;&gt;2)),"Use a 2-letter state code; ","")&amp;IF($J156="","ZIP or postal code is required; ","")&amp;IF(AND($K156="US",$J156&lt;&gt;"",NOT(IFERROR(OR(AND(LEN($J156&amp;"")=5,ISNUMBER(--($J156&amp;""))),AND(LEN($J156&amp;"")=9,ISNUMBER(--($J156&amp;""))),AND(LEN($J156&amp;"")=10,MID($J156&amp;"",6,1)="-",ISNUMBER(--SUBSTITUTE($J156&amp;"","-","")))),FALSE))),"US ZIP must be 5 or 9 digits, with an optional ZIP+4 hyphen; ","")&amp;IF(AND($N156&lt;&gt;"",NOT(IFERROR(AND(ISNUMBER(SEARCH("@",$N156)),ISNUMBER(SEARCH(".",$N156,SEARCH("@",$N156)+2))),FALSE))),"Email format appears invalid; ","")&amp;IF(AND($O156&lt;&gt;"",$B156=""),"Dependent SSN is required for every dependent; ","")&amp;IF(AND($B156&lt;&gt;"",$O156=""),"Dependent Relationship is required when Dependent SSN is entered; ","")&amp;IF(AND($O156&lt;&gt;"",$O156&lt;&gt;"Spouse or Common Law Spouse",$O156&lt;&gt;"Domestic Partner",$O156&lt;&gt;"Child",$O156&lt;&gt;"Other",$O156&lt;&gt;"Estate",$O156&lt;&gt;"Unknown"),"Dependent Relationship must use one of the approved options; ",""))</f>
        <v/>
      </c>
      <c r="Z156">
        <f>IF(COUNTA($A156:$U156)=0,"",IF(AND($A156&lt;&gt;"",NOT(IFERROR(AND(LEN($A156&amp;"")=9,ISNUMBER(--($A156&amp;""))),FALSE))),"Employee SSN must contain exactly 9 digits; ","")&amp;IF(AND($A156&lt;&gt;"",OR($A156="123456789",$A156="987654321",$A156="012345678",$A156=REPT(LEFT($A156&amp;"",1),9))),"Employee SSN appears to be a placeholder; ","")&amp;IF(AND($B156&lt;&gt;"",NOT(IFERROR(AND(LEN($B156&amp;"")=9,ISNUMBER(--($B156&amp;""))),FALSE))),"Dependent SSN must contain exactly 9 digits; ","")&amp;IF(AND($B156&lt;&gt;"",OR($B156="123456789",$B156="987654321",$B156="012345678",$B156=REPT(LEFT($B156&amp;"",1),9))),"Dependent SSN appears to be a placeholder; ","")&amp;IF(AND($A156&lt;&gt;"",$B156&lt;&gt;"",$A156&amp;""=$B156&amp;""),"Dependent SSN cannot match Employee SSN; ","")&amp;IF(AND($W156&lt;&gt;"",OR(COUNTIFS($W$2:$W$501,$W156,$C$2:$C$501,"&lt;&gt;"&amp;$C156)&gt;0,COUNTIFS($W$2:$W$501,$W156,$D$2:$D$501,"&lt;&gt;"&amp;$D156)&gt;0,COUNTIFS($W$2:$W$501,$W156,$L$2:$L$501,"&lt;&gt;"&amp;$L156)&gt;0)),"The same SSN is associated with a different name or birthdate; ",""))</f>
        <v/>
      </c>
      <c r="AA156">
        <f>IF(COUNTA($A156:$U156)=0,"",IF(AND($A156&lt;&gt;"",$S156&lt;&gt;"",COUNTIFS($A$2:$A$501,$A156,$S$2:$S$501,$S156,$B$2:$B$501,"",$O$2:$O$501,"")=0),"Add an employee row for this household and plan; ","")&amp;IF(AND($X156="Dependent",COUNTIFS($A$2:$A156,$A156,$S$2:$S156,$S156,$B$2:$B156,"",$O$2:$O156,"")=0),"Place the employee row before dependent rows for this plan; ","")&amp;IF(AND($X156="Dependent",COUNTIFS($A$2:$A$501,$A156,$S$2:$S$501,$S156,$B$2:$B$501,"",$O$2:$O$501,"")&gt;0,IFERROR(OR($P156&lt;&gt;LOOKUP(2,1/(($A$2:$A$501=$A156)*($S$2:$S$501=$S156)*($B$2:$B$501="")*($O$2:$O$501="")),$P$2:$P$501),$Q156&lt;&gt;LOOKUP(2,1/(($A$2:$A$501=$A156)*($S$2:$S$501=$S156)*($B$2:$B$501="")*($O$2:$O$501="")),$Q$2:$Q$501),$R156&lt;&gt;LOOKUP(2,1/(($A$2:$A$501=$A156)*($S$2:$S$501=$S156)*($B$2:$B$501="")*($O$2:$O$501="")),$R$2:$R$501),$T156&lt;&gt;LOOKUP(2,1/(($A$2:$A$501=$A156)*($S$2:$S$501=$S156)*($B$2:$B$501="")*($O$2:$O$501="")),$T$2:$T$501),$U156&lt;&gt;LOOKUP(2,1/(($A$2:$A$501=$A156)*($S$2:$S$501=$S156)*($B$2:$B$501="")*($O$2:$O$501="")),$U$2:$U$501)),FALSE)),"Dependent row does not match the employee row for eligibility, status, coverage level, or funding; ",""))</f>
        <v/>
      </c>
      <c r="AB156">
        <f>IF(COUNTA($A156:$U156)=0,"",IF($L156="","Birthdate is required; ","")&amp;IF(AND($L156&lt;&gt;"",OR(NOT(ISNUMBER($L156)),$L156&lt;=DATE(1900,1,1),$L156&gt;TODAY())),"Birthdate must be an exact valid past date; ","")&amp;IF($P156="","Eligibility Date is required; ","")&amp;IF(AND($P156&lt;&gt;"",OR(NOT(ISNUMBER($P156)),$P156&lt;=DATE(1900,1,1))),"Eligibility Date must be a valid date; ","")&amp;IF(AND($R156="Terminated",$Q156=""),"Termination Date is required when Status is Terminated; ","")&amp;IF(AND($Q156&lt;&gt;"",OR(NOT(ISNUMBER($Q156)),$Q156&lt;=DATE(1900,1,1))),"Termination Date must be a valid date; ","")&amp;IF(AND(ISNUMBER($P156),ISNUMBER($Q156),$Q156&lt;$P156),"Termination Date cannot be before Eligibility Date; ","")&amp;IF($R156="","Status is required; ","")&amp;IF(AND($R156&lt;&gt;"",$R156&lt;&gt;"Active",$R156&lt;&gt;"Terminated"),"Status must be Active or Terminated; ","")&amp;IF(AND('START HERE'!$C$8="Terminations Only",$R156&lt;&gt;"Terminated"),"Terminations Only files must contain terminated records; ",""))</f>
        <v/>
      </c>
      <c r="AC156">
        <f>IF(COUNTA($A156:$U156)=0,"",IF($S156="","Plan Name is required; ","")&amp;IF($T156="","Benefit Coverage Level is required; ","")&amp;IF(AND($U156&lt;&gt;"",OR(NOT(ISNUMBER($U156)),$U156&lt;0)),"Plan Funding Amount must be a nonnegative number; ","")&amp;IF(AND($A156&lt;&gt;"",$S156&lt;&gt;"",COUNTIFS($A$2:$A$501,$A156,$B$2:$B$501,$B156,$S$2:$S$501,$S156)&gt;1),"Duplicate participant and plan row; ",""))</f>
        <v/>
      </c>
      <c r="AD156">
        <f>IF(COUNTA($A156:$U156)=0,"",IF(AND($X156="Employee",$M156="",$N156=""),"No employee phone or email provided; ","")&amp;IF(AND($R156="Active",$Q156&lt;&gt;""),"Active record includes a Termination Date; confirm this is intentional; ","")&amp;IF(AND($B156&lt;&gt;"",$B156&amp;""&lt;&gt;$A156&amp;"",COUNTIF($A$2:$A$501,$B156)&gt;0),"Dependent SSN also appears as an Employee SSN elsewhere; confirm dual-employee coverage is intentional; ","")&amp;IF(AND($B156&lt;&gt;"",COUNTIF($B$2:$B$501,$B156)&gt;COUNTIFS($A$2:$A$501,$A156,$B$2:$B$501,$B156)),"Dependent SSN appears under more than one employee; confirm duplicate family coverage is intentional; ","")&amp;IF(AND(ROW()&gt;2,$A156&lt;&gt;"",$A156&lt;&gt;$A155,COUNTIF($A$2:$A155,$A156)&gt;0),"This household appears in more than one section of the census; keep the family together; ","")&amp;IF(OR(AND($C156&lt;&gt;"",LEN($C156&amp;"")&lt;&gt;LEN(TRIM($C156&amp;""))),AND($D156&lt;&gt;"",LEN($D156&amp;"")&lt;&gt;LEN(TRIM($D156&amp;""))),AND($E156&lt;&gt;"",LEN($E156&amp;"")&lt;&gt;LEN(TRIM($E156&amp;""))),AND($F156&lt;&gt;"",LEN($F156&amp;"")&lt;&gt;LEN(TRIM($F156&amp;""))),AND($G156&lt;&gt;"",LEN($G156&amp;"")&lt;&gt;LEN(TRIM($G156&amp;""))),AND($H156&lt;&gt;"",LEN($H156&amp;"")&lt;&gt;LEN(TRIM($H156&amp;""))),AND($I156&lt;&gt;"",LEN($I156&amp;"")&lt;&gt;LEN(TRIM($I156&amp;""))),AND($J156&lt;&gt;"",LEN($J156&amp;"")&lt;&gt;LEN(TRIM($J156&amp;""))),AND($K156&lt;&gt;"",LEN($K156&amp;"")&lt;&gt;LEN(TRIM($K156&amp;""))),AND($M156&lt;&gt;"",LEN($M156&amp;"")&lt;&gt;LEN(TRIM($M156&amp;""))),AND($N156&lt;&gt;"",LEN($N156&amp;"")&lt;&gt;LEN(TRIM($N156&amp;""))),AND($O156&lt;&gt;"",LEN($O156&amp;"")&lt;&gt;LEN(TRIM($O156&amp;""))),AND($R156&lt;&gt;"",LEN($R156&amp;"")&lt;&gt;LEN(TRIM($R156&amp;""))),AND($S156&lt;&gt;"",LEN($S156&amp;"")&lt;&gt;LEN(TRIM($S156&amp;""))),AND($T156&lt;&gt;"",LEN($T156&amp;"")&lt;&gt;LEN(TRIM($T156&amp;"")))),"Remove leading or trailing spaces from text fields; ","")&amp;IF(OR(AND(LEN($C156)&gt;1,OR(EXACT($C156,UPPER($C156)),EXACT($C156,LOWER($C156)))),AND(LEN($D156)&gt;1,OR(EXACT($D156,UPPER($D156)),EXACT($D156,LOWER($D156)))),AND(LEN($H156)&gt;1,OR(EXACT($H156,UPPER($H156)),EXACT($H156,LOWER($H156))))),"Review capitalization in First Name, Last Name, or City; ","")&amp;IF(AND($N156&lt;&gt;"",NOT(EXACT($N156,LOWER($N156)))),"Email will be standardized to lowercase in the clean output; ","")&amp;IF(AND(OR('START HERE'!$C$8="Initial Enrollment",'START HERE'!$C$8="Open Enrollment"),$R156="Terminated"),"A terminated row is included in an initial or open enrollment file; confirm this is intentional; ",""))</f>
        <v/>
      </c>
      <c r="AE156">
        <f>IF(COUNTA($A156:$U156)=0,"",IF(OR($A156="",AND($A156&lt;&gt;"",NOT(IFERROR(AND(LEN($A156&amp;"")=9,ISNUMBER(--($A156&amp;""))),FALSE))),AND($A156&lt;&gt;"",OR($A156="123456789",$A156="987654321",$A156="012345678",$A156=REPT(LEFT($A156&amp;"",1),9)))),"Employee SSN, ","")&amp;IF(OR(AND($O156&lt;&gt;"",$B156=""),AND($B156&lt;&gt;"",OR(NOT(IFERROR(AND(LEN($B156&amp;"")=9,ISNUMBER(--($B156&amp;""))),FALSE)),$B156=$A156,$B156="123456789",$B156="987654321",$B156="012345678",$B156=REPT(LEFT($B156&amp;"",1),9)))),"Dependent SSN, ","")&amp;IF(OR($C156="",LEN($C156)&gt;19,AND($C156&lt;&gt;"",SUMPRODUCT(--(ROW($1:$19)&lt;=LEN($C156&amp;"")),--ISERROR(FIND(MID($C156&amp;"",ROW($1:$19),1),"ABCDEFGHIJKLMNOPQRSTUVWXYZabcdefghijklmnopqrstuvwxyz .,")))&gt;0)),"First Name, ","")&amp;IF(OR($D156="",LEN($D156)&gt;26,AND($D156&lt;&gt;"",SUMPRODUCT(--(ROW($1:$26)&lt;=LEN($D156&amp;"")),--ISERROR(FIND(MID($D156&amp;"",ROW($1:$26),1),"ABCDEFGHIJKLMNOPQRSTUVWXYZabcdefghijklmnopqrstuvwxyz .,")))&gt;0)),"Last Name, ","")&amp;IF(OR(LEN($E156)&gt;1,AND($E156&lt;&gt;"",SUMPRODUCT(--(ROW($1:$1)&lt;=LEN($E156&amp;"")),--ISERROR(FIND(MID($E156&amp;"",ROW($1:$1),1),"ABCDEFGHIJKLMNOPQRSTUVWXYZabcdefghijklmnopqrstuvwxyz .,")))&gt;0)),"Middle Initial, ","")&amp;IF(OR($F156="",LEN($F156)&gt;75),"Address, ","")&amp;IF(OR($H156="",LEN($H156)&gt;30),"City, ","")&amp;IF(AND($K156="US",OR($I156="",LEN($I156)&lt;&gt;2)),"State, ","")&amp;IF($J156="","ZIP, ","")&amp;IF(OR($K156="",AND($K156&lt;&gt;"US",$K156&lt;&gt;"CA")),"Country, ","")&amp;IF(OR($L156="",AND($L156&lt;&gt;"",OR(NOT(ISNUMBER($L156)),$L156&lt;=DATE(1900,1,1),$L156&gt;TODAY()))),"Birthdate, ","")&amp;IF(AND($N156&lt;&gt;"",NOT(IFERROR(AND(ISNUMBER(SEARCH("@",$N156)),ISNUMBER(SEARCH(".",$N156,SEARCH("@",$N156)+2))),FALSE))),"Email, ","")&amp;IF(OR(AND($B156&lt;&gt;"",$O156=""),AND($O156&lt;&gt;"",$O156&lt;&gt;"Spouse or Common Law Spouse",$O156&lt;&gt;"Domestic Partner",$O156&lt;&gt;"Child",$O156&lt;&gt;"Other",$O156&lt;&gt;"Estate",$O156&lt;&gt;"Unknown")),"Dependent Relationship, ","")&amp;IF($AA156&lt;&gt;"","Household, ","")&amp;IF(OR($P156="",AND($P156&lt;&gt;"",OR(NOT(ISNUMBER($P156)),$P156&lt;=DATE(1900,1,1)))),"Eligibility Date, ","")&amp;IF(OR(AND($R156="Terminated",$Q156=""),AND($Q156&lt;&gt;"",OR(NOT(ISNUMBER($Q156)),$Q156&lt;=DATE(1900,1,1))),AND(ISNUMBER($P156),ISNUMBER($Q156),$Q156&lt;$P156)),"Termination Date, ","")&amp;IF(OR($R156="",AND($R156&lt;&gt;"Active",$R156&lt;&gt;"Terminated"),AND('START HERE'!$C$8="Terminations Only",$R156&lt;&gt;"Terminated")),"Status, ","")&amp;IF($S156="","Plan Name, ","")&amp;IF($T156="","Coverage Level, ","")&amp;IF(AND($U156&lt;&gt;"",OR(NOT(ISNUMBER($U156)),$U156&lt;0)),"Funding, ","")&amp;IF(AND($A156&lt;&gt;"",$S156&lt;&gt;"",COUNTIFS($A$2:$A$501,$A156,$B$2:$B$501,$B156,$S$2:$S$501,$S156)&gt;1),"Duplicate Row, ",""))</f>
        <v/>
      </c>
      <c r="AF156">
        <f>IF(COUNTA($A156:$U156)=0,"",$Y156&amp;$Z156&amp;$AA156&amp;$AB156&amp;$AC156)</f>
        <v/>
      </c>
      <c r="AG156">
        <f>IF($N156="","",LOWER(TRIM($N156)))</f>
        <v/>
      </c>
      <c r="AH156">
        <f>IF($A156="","",COUNTIFS($A$2:$A$501,$A156,$AI$2:$AI$501,1))</f>
        <v/>
      </c>
      <c r="AI156">
        <f>IF(COUNTA($A156:$U156)=0,"",--($AF156&lt;&gt;""))</f>
        <v/>
      </c>
      <c r="AJ156">
        <f>IF(COUNTA($A156:$U156)=0,"",--($AD156&lt;&gt;""))</f>
        <v/>
      </c>
    </row>
    <row r="157" ht="20" customHeight="1">
      <c r="A157" s="80" t="n"/>
      <c r="B157" s="80" t="n"/>
      <c r="C157" s="81" t="n"/>
      <c r="D157" s="81" t="n"/>
      <c r="E157" s="80" t="n"/>
      <c r="F157" s="81" t="n"/>
      <c r="G157" s="81" t="n"/>
      <c r="H157" s="81" t="n"/>
      <c r="I157" s="80" t="n"/>
      <c r="J157" s="80" t="n"/>
      <c r="K157" s="80" t="n"/>
      <c r="L157" s="82" t="n"/>
      <c r="M157" s="80" t="n"/>
      <c r="N157" s="80" t="n"/>
      <c r="O157" s="80" t="n"/>
      <c r="P157" s="82" t="n"/>
      <c r="Q157" s="82" t="n"/>
      <c r="R157" s="80" t="n"/>
      <c r="S157" s="80" t="n"/>
      <c r="T157" s="80" t="n"/>
      <c r="U157" s="83" t="n"/>
      <c r="V157">
        <f>IF($A157="","",IF($A157=$A156,$V156,IF($V156="",0,1-$V156)))</f>
        <v/>
      </c>
      <c r="W157">
        <f>IF($B157&lt;&gt;"",$B157,$A157)</f>
        <v/>
      </c>
      <c r="X157">
        <f>IF(COUNTA($A157:$U157)=0,"",IF(OR($B157&lt;&gt;"",$O157&lt;&gt;""),"Dependent","Employee"))</f>
        <v/>
      </c>
      <c r="Y157">
        <f>IF(COUNTA($A157:$U157)=0,"",IF($A157="","Employee SSN is required; ","")&amp;IF($C157="","First Name is required; ","")&amp;IF(LEN($C157&amp;"")&gt;19,"First Name exceeds 19 characters; ","")&amp;IF(AND($C157&lt;&gt;"",SUMPRODUCT(--(ROW($1:$19)&lt;=LEN($C157&amp;"")),--ISERROR(FIND(MID($C157&amp;"",ROW($1:$19),1),"ABCDEFGHIJKLMNOPQRSTUVWXYZabcdefghijklmnopqrstuvwxyz .,")))&gt;0),"First Name contains unsupported or encoded characters; use plain A-Z letters only; ","")&amp;IF($D157="","Last Name is required; ","")&amp;IF(LEN($D157&amp;"")&gt;26,"Last Name exceeds 26 characters; ","")&amp;IF(AND($D157&lt;&gt;"",SUMPRODUCT(--(ROW($1:$26)&lt;=LEN($D157&amp;"")),--ISERROR(FIND(MID($D157&amp;"",ROW($1:$26),1),"ABCDEFGHIJKLMNOPQRSTUVWXYZabcdefghijklmnopqrstuvwxyz .,")))&gt;0),"Last Name contains unsupported or encoded characters; use plain A-Z letters only; ","")&amp;IF(LEN($E157&amp;"")&gt;1,"Middle Initial may contain only one character; ","")&amp;IF(AND($E157&lt;&gt;"",SUMPRODUCT(--(ROW($1:$1)&lt;=LEN($E157&amp;"")),--ISERROR(FIND(MID($E157&amp;"",ROW($1:$1),1),"ABCDEFGHIJKLMNOPQRSTUVWXYZabcdefghijklmnopqrstuvwxyz .,")))&gt;0),"Middle Initial must be a plain A-Z letter; ","")&amp;IF($F157="","Address is required; ","")&amp;IF(LEN($F157&amp;"")&gt;75,"Address exceeds 75 characters; ","")&amp;IF(LEN($G157&amp;"")&gt;75,"Address 2 exceeds 75 characters; ","")&amp;IF($H157="","City is required; ","")&amp;IF(LEN($H157&amp;"")&gt;30,"City exceeds 30 characters; ","")&amp;IF($K157="","Country is required; ","")&amp;IF(AND($K157&lt;&gt;"",$K157&lt;&gt;"US",$K157&lt;&gt;"CA"),"Country must be US or CA; ","")&amp;IF(AND($K157="US",OR($I157="",LEN($I157&amp;"")&lt;&gt;2)),"Use a 2-letter state code; ","")&amp;IF($J157="","ZIP or postal code is required; ","")&amp;IF(AND($K157="US",$J157&lt;&gt;"",NOT(IFERROR(OR(AND(LEN($J157&amp;"")=5,ISNUMBER(--($J157&amp;""))),AND(LEN($J157&amp;"")=9,ISNUMBER(--($J157&amp;""))),AND(LEN($J157&amp;"")=10,MID($J157&amp;"",6,1)="-",ISNUMBER(--SUBSTITUTE($J157&amp;"","-","")))),FALSE))),"US ZIP must be 5 or 9 digits, with an optional ZIP+4 hyphen; ","")&amp;IF(AND($N157&lt;&gt;"",NOT(IFERROR(AND(ISNUMBER(SEARCH("@",$N157)),ISNUMBER(SEARCH(".",$N157,SEARCH("@",$N157)+2))),FALSE))),"Email format appears invalid; ","")&amp;IF(AND($O157&lt;&gt;"",$B157=""),"Dependent SSN is required for every dependent; ","")&amp;IF(AND($B157&lt;&gt;"",$O157=""),"Dependent Relationship is required when Dependent SSN is entered; ","")&amp;IF(AND($O157&lt;&gt;"",$O157&lt;&gt;"Spouse or Common Law Spouse",$O157&lt;&gt;"Domestic Partner",$O157&lt;&gt;"Child",$O157&lt;&gt;"Other",$O157&lt;&gt;"Estate",$O157&lt;&gt;"Unknown"),"Dependent Relationship must use one of the approved options; ",""))</f>
        <v/>
      </c>
      <c r="Z157">
        <f>IF(COUNTA($A157:$U157)=0,"",IF(AND($A157&lt;&gt;"",NOT(IFERROR(AND(LEN($A157&amp;"")=9,ISNUMBER(--($A157&amp;""))),FALSE))),"Employee SSN must contain exactly 9 digits; ","")&amp;IF(AND($A157&lt;&gt;"",OR($A157="123456789",$A157="987654321",$A157="012345678",$A157=REPT(LEFT($A157&amp;"",1),9))),"Employee SSN appears to be a placeholder; ","")&amp;IF(AND($B157&lt;&gt;"",NOT(IFERROR(AND(LEN($B157&amp;"")=9,ISNUMBER(--($B157&amp;""))),FALSE))),"Dependent SSN must contain exactly 9 digits; ","")&amp;IF(AND($B157&lt;&gt;"",OR($B157="123456789",$B157="987654321",$B157="012345678",$B157=REPT(LEFT($B157&amp;"",1),9))),"Dependent SSN appears to be a placeholder; ","")&amp;IF(AND($A157&lt;&gt;"",$B157&lt;&gt;"",$A157&amp;""=$B157&amp;""),"Dependent SSN cannot match Employee SSN; ","")&amp;IF(AND($W157&lt;&gt;"",OR(COUNTIFS($W$2:$W$501,$W157,$C$2:$C$501,"&lt;&gt;"&amp;$C157)&gt;0,COUNTIFS($W$2:$W$501,$W157,$D$2:$D$501,"&lt;&gt;"&amp;$D157)&gt;0,COUNTIFS($W$2:$W$501,$W157,$L$2:$L$501,"&lt;&gt;"&amp;$L157)&gt;0)),"The same SSN is associated with a different name or birthdate; ",""))</f>
        <v/>
      </c>
      <c r="AA157">
        <f>IF(COUNTA($A157:$U157)=0,"",IF(AND($A157&lt;&gt;"",$S157&lt;&gt;"",COUNTIFS($A$2:$A$501,$A157,$S$2:$S$501,$S157,$B$2:$B$501,"",$O$2:$O$501,"")=0),"Add an employee row for this household and plan; ","")&amp;IF(AND($X157="Dependent",COUNTIFS($A$2:$A157,$A157,$S$2:$S157,$S157,$B$2:$B157,"",$O$2:$O157,"")=0),"Place the employee row before dependent rows for this plan; ","")&amp;IF(AND($X157="Dependent",COUNTIFS($A$2:$A$501,$A157,$S$2:$S$501,$S157,$B$2:$B$501,"",$O$2:$O$501,"")&gt;0,IFERROR(OR($P157&lt;&gt;LOOKUP(2,1/(($A$2:$A$501=$A157)*($S$2:$S$501=$S157)*($B$2:$B$501="")*($O$2:$O$501="")),$P$2:$P$501),$Q157&lt;&gt;LOOKUP(2,1/(($A$2:$A$501=$A157)*($S$2:$S$501=$S157)*($B$2:$B$501="")*($O$2:$O$501="")),$Q$2:$Q$501),$R157&lt;&gt;LOOKUP(2,1/(($A$2:$A$501=$A157)*($S$2:$S$501=$S157)*($B$2:$B$501="")*($O$2:$O$501="")),$R$2:$R$501),$T157&lt;&gt;LOOKUP(2,1/(($A$2:$A$501=$A157)*($S$2:$S$501=$S157)*($B$2:$B$501="")*($O$2:$O$501="")),$T$2:$T$501),$U157&lt;&gt;LOOKUP(2,1/(($A$2:$A$501=$A157)*($S$2:$S$501=$S157)*($B$2:$B$501="")*($O$2:$O$501="")),$U$2:$U$501)),FALSE)),"Dependent row does not match the employee row for eligibility, status, coverage level, or funding; ",""))</f>
        <v/>
      </c>
      <c r="AB157">
        <f>IF(COUNTA($A157:$U157)=0,"",IF($L157="","Birthdate is required; ","")&amp;IF(AND($L157&lt;&gt;"",OR(NOT(ISNUMBER($L157)),$L157&lt;=DATE(1900,1,1),$L157&gt;TODAY())),"Birthdate must be an exact valid past date; ","")&amp;IF($P157="","Eligibility Date is required; ","")&amp;IF(AND($P157&lt;&gt;"",OR(NOT(ISNUMBER($P157)),$P157&lt;=DATE(1900,1,1))),"Eligibility Date must be a valid date; ","")&amp;IF(AND($R157="Terminated",$Q157=""),"Termination Date is required when Status is Terminated; ","")&amp;IF(AND($Q157&lt;&gt;"",OR(NOT(ISNUMBER($Q157)),$Q157&lt;=DATE(1900,1,1))),"Termination Date must be a valid date; ","")&amp;IF(AND(ISNUMBER($P157),ISNUMBER($Q157),$Q157&lt;$P157),"Termination Date cannot be before Eligibility Date; ","")&amp;IF($R157="","Status is required; ","")&amp;IF(AND($R157&lt;&gt;"",$R157&lt;&gt;"Active",$R157&lt;&gt;"Terminated"),"Status must be Active or Terminated; ","")&amp;IF(AND('START HERE'!$C$8="Terminations Only",$R157&lt;&gt;"Terminated"),"Terminations Only files must contain terminated records; ",""))</f>
        <v/>
      </c>
      <c r="AC157">
        <f>IF(COUNTA($A157:$U157)=0,"",IF($S157="","Plan Name is required; ","")&amp;IF($T157="","Benefit Coverage Level is required; ","")&amp;IF(AND($U157&lt;&gt;"",OR(NOT(ISNUMBER($U157)),$U157&lt;0)),"Plan Funding Amount must be a nonnegative number; ","")&amp;IF(AND($A157&lt;&gt;"",$S157&lt;&gt;"",COUNTIFS($A$2:$A$501,$A157,$B$2:$B$501,$B157,$S$2:$S$501,$S157)&gt;1),"Duplicate participant and plan row; ",""))</f>
        <v/>
      </c>
      <c r="AD157">
        <f>IF(COUNTA($A157:$U157)=0,"",IF(AND($X157="Employee",$M157="",$N157=""),"No employee phone or email provided; ","")&amp;IF(AND($R157="Active",$Q157&lt;&gt;""),"Active record includes a Termination Date; confirm this is intentional; ","")&amp;IF(AND($B157&lt;&gt;"",$B157&amp;""&lt;&gt;$A157&amp;"",COUNTIF($A$2:$A$501,$B157)&gt;0),"Dependent SSN also appears as an Employee SSN elsewhere; confirm dual-employee coverage is intentional; ","")&amp;IF(AND($B157&lt;&gt;"",COUNTIF($B$2:$B$501,$B157)&gt;COUNTIFS($A$2:$A$501,$A157,$B$2:$B$501,$B157)),"Dependent SSN appears under more than one employee; confirm duplicate family coverage is intentional; ","")&amp;IF(AND(ROW()&gt;2,$A157&lt;&gt;"",$A157&lt;&gt;$A156,COUNTIF($A$2:$A156,$A157)&gt;0),"This household appears in more than one section of the census; keep the family together; ","")&amp;IF(OR(AND($C157&lt;&gt;"",LEN($C157&amp;"")&lt;&gt;LEN(TRIM($C157&amp;""))),AND($D157&lt;&gt;"",LEN($D157&amp;"")&lt;&gt;LEN(TRIM($D157&amp;""))),AND($E157&lt;&gt;"",LEN($E157&amp;"")&lt;&gt;LEN(TRIM($E157&amp;""))),AND($F157&lt;&gt;"",LEN($F157&amp;"")&lt;&gt;LEN(TRIM($F157&amp;""))),AND($G157&lt;&gt;"",LEN($G157&amp;"")&lt;&gt;LEN(TRIM($G157&amp;""))),AND($H157&lt;&gt;"",LEN($H157&amp;"")&lt;&gt;LEN(TRIM($H157&amp;""))),AND($I157&lt;&gt;"",LEN($I157&amp;"")&lt;&gt;LEN(TRIM($I157&amp;""))),AND($J157&lt;&gt;"",LEN($J157&amp;"")&lt;&gt;LEN(TRIM($J157&amp;""))),AND($K157&lt;&gt;"",LEN($K157&amp;"")&lt;&gt;LEN(TRIM($K157&amp;""))),AND($M157&lt;&gt;"",LEN($M157&amp;"")&lt;&gt;LEN(TRIM($M157&amp;""))),AND($N157&lt;&gt;"",LEN($N157&amp;"")&lt;&gt;LEN(TRIM($N157&amp;""))),AND($O157&lt;&gt;"",LEN($O157&amp;"")&lt;&gt;LEN(TRIM($O157&amp;""))),AND($R157&lt;&gt;"",LEN($R157&amp;"")&lt;&gt;LEN(TRIM($R157&amp;""))),AND($S157&lt;&gt;"",LEN($S157&amp;"")&lt;&gt;LEN(TRIM($S157&amp;""))),AND($T157&lt;&gt;"",LEN($T157&amp;"")&lt;&gt;LEN(TRIM($T157&amp;"")))),"Remove leading or trailing spaces from text fields; ","")&amp;IF(OR(AND(LEN($C157)&gt;1,OR(EXACT($C157,UPPER($C157)),EXACT($C157,LOWER($C157)))),AND(LEN($D157)&gt;1,OR(EXACT($D157,UPPER($D157)),EXACT($D157,LOWER($D157)))),AND(LEN($H157)&gt;1,OR(EXACT($H157,UPPER($H157)),EXACT($H157,LOWER($H157))))),"Review capitalization in First Name, Last Name, or City; ","")&amp;IF(AND($N157&lt;&gt;"",NOT(EXACT($N157,LOWER($N157)))),"Email will be standardized to lowercase in the clean output; ","")&amp;IF(AND(OR('START HERE'!$C$8="Initial Enrollment",'START HERE'!$C$8="Open Enrollment"),$R157="Terminated"),"A terminated row is included in an initial or open enrollment file; confirm this is intentional; ",""))</f>
        <v/>
      </c>
      <c r="AE157">
        <f>IF(COUNTA($A157:$U157)=0,"",IF(OR($A157="",AND($A157&lt;&gt;"",NOT(IFERROR(AND(LEN($A157&amp;"")=9,ISNUMBER(--($A157&amp;""))),FALSE))),AND($A157&lt;&gt;"",OR($A157="123456789",$A157="987654321",$A157="012345678",$A157=REPT(LEFT($A157&amp;"",1),9)))),"Employee SSN, ","")&amp;IF(OR(AND($O157&lt;&gt;"",$B157=""),AND($B157&lt;&gt;"",OR(NOT(IFERROR(AND(LEN($B157&amp;"")=9,ISNUMBER(--($B157&amp;""))),FALSE)),$B157=$A157,$B157="123456789",$B157="987654321",$B157="012345678",$B157=REPT(LEFT($B157&amp;"",1),9)))),"Dependent SSN, ","")&amp;IF(OR($C157="",LEN($C157)&gt;19,AND($C157&lt;&gt;"",SUMPRODUCT(--(ROW($1:$19)&lt;=LEN($C157&amp;"")),--ISERROR(FIND(MID($C157&amp;"",ROW($1:$19),1),"ABCDEFGHIJKLMNOPQRSTUVWXYZabcdefghijklmnopqrstuvwxyz .,")))&gt;0)),"First Name, ","")&amp;IF(OR($D157="",LEN($D157)&gt;26,AND($D157&lt;&gt;"",SUMPRODUCT(--(ROW($1:$26)&lt;=LEN($D157&amp;"")),--ISERROR(FIND(MID($D157&amp;"",ROW($1:$26),1),"ABCDEFGHIJKLMNOPQRSTUVWXYZabcdefghijklmnopqrstuvwxyz .,")))&gt;0)),"Last Name, ","")&amp;IF(OR(LEN($E157)&gt;1,AND($E157&lt;&gt;"",SUMPRODUCT(--(ROW($1:$1)&lt;=LEN($E157&amp;"")),--ISERROR(FIND(MID($E157&amp;"",ROW($1:$1),1),"ABCDEFGHIJKLMNOPQRSTUVWXYZabcdefghijklmnopqrstuvwxyz .,")))&gt;0)),"Middle Initial, ","")&amp;IF(OR($F157="",LEN($F157)&gt;75),"Address, ","")&amp;IF(OR($H157="",LEN($H157)&gt;30),"City, ","")&amp;IF(AND($K157="US",OR($I157="",LEN($I157)&lt;&gt;2)),"State, ","")&amp;IF($J157="","ZIP, ","")&amp;IF(OR($K157="",AND($K157&lt;&gt;"US",$K157&lt;&gt;"CA")),"Country, ","")&amp;IF(OR($L157="",AND($L157&lt;&gt;"",OR(NOT(ISNUMBER($L157)),$L157&lt;=DATE(1900,1,1),$L157&gt;TODAY()))),"Birthdate, ","")&amp;IF(AND($N157&lt;&gt;"",NOT(IFERROR(AND(ISNUMBER(SEARCH("@",$N157)),ISNUMBER(SEARCH(".",$N157,SEARCH("@",$N157)+2))),FALSE))),"Email, ","")&amp;IF(OR(AND($B157&lt;&gt;"",$O157=""),AND($O157&lt;&gt;"",$O157&lt;&gt;"Spouse or Common Law Spouse",$O157&lt;&gt;"Domestic Partner",$O157&lt;&gt;"Child",$O157&lt;&gt;"Other",$O157&lt;&gt;"Estate",$O157&lt;&gt;"Unknown")),"Dependent Relationship, ","")&amp;IF($AA157&lt;&gt;"","Household, ","")&amp;IF(OR($P157="",AND($P157&lt;&gt;"",OR(NOT(ISNUMBER($P157)),$P157&lt;=DATE(1900,1,1)))),"Eligibility Date, ","")&amp;IF(OR(AND($R157="Terminated",$Q157=""),AND($Q157&lt;&gt;"",OR(NOT(ISNUMBER($Q157)),$Q157&lt;=DATE(1900,1,1))),AND(ISNUMBER($P157),ISNUMBER($Q157),$Q157&lt;$P157)),"Termination Date, ","")&amp;IF(OR($R157="",AND($R157&lt;&gt;"Active",$R157&lt;&gt;"Terminated"),AND('START HERE'!$C$8="Terminations Only",$R157&lt;&gt;"Terminated")),"Status, ","")&amp;IF($S157="","Plan Name, ","")&amp;IF($T157="","Coverage Level, ","")&amp;IF(AND($U157&lt;&gt;"",OR(NOT(ISNUMBER($U157)),$U157&lt;0)),"Funding, ","")&amp;IF(AND($A157&lt;&gt;"",$S157&lt;&gt;"",COUNTIFS($A$2:$A$501,$A157,$B$2:$B$501,$B157,$S$2:$S$501,$S157)&gt;1),"Duplicate Row, ",""))</f>
        <v/>
      </c>
      <c r="AF157">
        <f>IF(COUNTA($A157:$U157)=0,"",$Y157&amp;$Z157&amp;$AA157&amp;$AB157&amp;$AC157)</f>
        <v/>
      </c>
      <c r="AG157">
        <f>IF($N157="","",LOWER(TRIM($N157)))</f>
        <v/>
      </c>
      <c r="AH157">
        <f>IF($A157="","",COUNTIFS($A$2:$A$501,$A157,$AI$2:$AI$501,1))</f>
        <v/>
      </c>
      <c r="AI157">
        <f>IF(COUNTA($A157:$U157)=0,"",--($AF157&lt;&gt;""))</f>
        <v/>
      </c>
      <c r="AJ157">
        <f>IF(COUNTA($A157:$U157)=0,"",--($AD157&lt;&gt;""))</f>
        <v/>
      </c>
    </row>
    <row r="158" ht="20" customHeight="1">
      <c r="A158" s="80" t="n"/>
      <c r="B158" s="80" t="n"/>
      <c r="C158" s="81" t="n"/>
      <c r="D158" s="81" t="n"/>
      <c r="E158" s="80" t="n"/>
      <c r="F158" s="81" t="n"/>
      <c r="G158" s="81" t="n"/>
      <c r="H158" s="81" t="n"/>
      <c r="I158" s="80" t="n"/>
      <c r="J158" s="80" t="n"/>
      <c r="K158" s="80" t="n"/>
      <c r="L158" s="82" t="n"/>
      <c r="M158" s="80" t="n"/>
      <c r="N158" s="80" t="n"/>
      <c r="O158" s="80" t="n"/>
      <c r="P158" s="82" t="n"/>
      <c r="Q158" s="82" t="n"/>
      <c r="R158" s="80" t="n"/>
      <c r="S158" s="80" t="n"/>
      <c r="T158" s="80" t="n"/>
      <c r="U158" s="83" t="n"/>
      <c r="V158">
        <f>IF($A158="","",IF($A158=$A157,$V157,IF($V157="",0,1-$V157)))</f>
        <v/>
      </c>
      <c r="W158">
        <f>IF($B158&lt;&gt;"",$B158,$A158)</f>
        <v/>
      </c>
      <c r="X158">
        <f>IF(COUNTA($A158:$U158)=0,"",IF(OR($B158&lt;&gt;"",$O158&lt;&gt;""),"Dependent","Employee"))</f>
        <v/>
      </c>
      <c r="Y158">
        <f>IF(COUNTA($A158:$U158)=0,"",IF($A158="","Employee SSN is required; ","")&amp;IF($C158="","First Name is required; ","")&amp;IF(LEN($C158&amp;"")&gt;19,"First Name exceeds 19 characters; ","")&amp;IF(AND($C158&lt;&gt;"",SUMPRODUCT(--(ROW($1:$19)&lt;=LEN($C158&amp;"")),--ISERROR(FIND(MID($C158&amp;"",ROW($1:$19),1),"ABCDEFGHIJKLMNOPQRSTUVWXYZabcdefghijklmnopqrstuvwxyz .,")))&gt;0),"First Name contains unsupported or encoded characters; use plain A-Z letters only; ","")&amp;IF($D158="","Last Name is required; ","")&amp;IF(LEN($D158&amp;"")&gt;26,"Last Name exceeds 26 characters; ","")&amp;IF(AND($D158&lt;&gt;"",SUMPRODUCT(--(ROW($1:$26)&lt;=LEN($D158&amp;"")),--ISERROR(FIND(MID($D158&amp;"",ROW($1:$26),1),"ABCDEFGHIJKLMNOPQRSTUVWXYZabcdefghijklmnopqrstuvwxyz .,")))&gt;0),"Last Name contains unsupported or encoded characters; use plain A-Z letters only; ","")&amp;IF(LEN($E158&amp;"")&gt;1,"Middle Initial may contain only one character; ","")&amp;IF(AND($E158&lt;&gt;"",SUMPRODUCT(--(ROW($1:$1)&lt;=LEN($E158&amp;"")),--ISERROR(FIND(MID($E158&amp;"",ROW($1:$1),1),"ABCDEFGHIJKLMNOPQRSTUVWXYZabcdefghijklmnopqrstuvwxyz .,")))&gt;0),"Middle Initial must be a plain A-Z letter; ","")&amp;IF($F158="","Address is required; ","")&amp;IF(LEN($F158&amp;"")&gt;75,"Address exceeds 75 characters; ","")&amp;IF(LEN($G158&amp;"")&gt;75,"Address 2 exceeds 75 characters; ","")&amp;IF($H158="","City is required; ","")&amp;IF(LEN($H158&amp;"")&gt;30,"City exceeds 30 characters; ","")&amp;IF($K158="","Country is required; ","")&amp;IF(AND($K158&lt;&gt;"",$K158&lt;&gt;"US",$K158&lt;&gt;"CA"),"Country must be US or CA; ","")&amp;IF(AND($K158="US",OR($I158="",LEN($I158&amp;"")&lt;&gt;2)),"Use a 2-letter state code; ","")&amp;IF($J158="","ZIP or postal code is required; ","")&amp;IF(AND($K158="US",$J158&lt;&gt;"",NOT(IFERROR(OR(AND(LEN($J158&amp;"")=5,ISNUMBER(--($J158&amp;""))),AND(LEN($J158&amp;"")=9,ISNUMBER(--($J158&amp;""))),AND(LEN($J158&amp;"")=10,MID($J158&amp;"",6,1)="-",ISNUMBER(--SUBSTITUTE($J158&amp;"","-","")))),FALSE))),"US ZIP must be 5 or 9 digits, with an optional ZIP+4 hyphen; ","")&amp;IF(AND($N158&lt;&gt;"",NOT(IFERROR(AND(ISNUMBER(SEARCH("@",$N158)),ISNUMBER(SEARCH(".",$N158,SEARCH("@",$N158)+2))),FALSE))),"Email format appears invalid; ","")&amp;IF(AND($O158&lt;&gt;"",$B158=""),"Dependent SSN is required for every dependent; ","")&amp;IF(AND($B158&lt;&gt;"",$O158=""),"Dependent Relationship is required when Dependent SSN is entered; ","")&amp;IF(AND($O158&lt;&gt;"",$O158&lt;&gt;"Spouse or Common Law Spouse",$O158&lt;&gt;"Domestic Partner",$O158&lt;&gt;"Child",$O158&lt;&gt;"Other",$O158&lt;&gt;"Estate",$O158&lt;&gt;"Unknown"),"Dependent Relationship must use one of the approved options; ",""))</f>
        <v/>
      </c>
      <c r="Z158">
        <f>IF(COUNTA($A158:$U158)=0,"",IF(AND($A158&lt;&gt;"",NOT(IFERROR(AND(LEN($A158&amp;"")=9,ISNUMBER(--($A158&amp;""))),FALSE))),"Employee SSN must contain exactly 9 digits; ","")&amp;IF(AND($A158&lt;&gt;"",OR($A158="123456789",$A158="987654321",$A158="012345678",$A158=REPT(LEFT($A158&amp;"",1),9))),"Employee SSN appears to be a placeholder; ","")&amp;IF(AND($B158&lt;&gt;"",NOT(IFERROR(AND(LEN($B158&amp;"")=9,ISNUMBER(--($B158&amp;""))),FALSE))),"Dependent SSN must contain exactly 9 digits; ","")&amp;IF(AND($B158&lt;&gt;"",OR($B158="123456789",$B158="987654321",$B158="012345678",$B158=REPT(LEFT($B158&amp;"",1),9))),"Dependent SSN appears to be a placeholder; ","")&amp;IF(AND($A158&lt;&gt;"",$B158&lt;&gt;"",$A158&amp;""=$B158&amp;""),"Dependent SSN cannot match Employee SSN; ","")&amp;IF(AND($W158&lt;&gt;"",OR(COUNTIFS($W$2:$W$501,$W158,$C$2:$C$501,"&lt;&gt;"&amp;$C158)&gt;0,COUNTIFS($W$2:$W$501,$W158,$D$2:$D$501,"&lt;&gt;"&amp;$D158)&gt;0,COUNTIFS($W$2:$W$501,$W158,$L$2:$L$501,"&lt;&gt;"&amp;$L158)&gt;0)),"The same SSN is associated with a different name or birthdate; ",""))</f>
        <v/>
      </c>
      <c r="AA158">
        <f>IF(COUNTA($A158:$U158)=0,"",IF(AND($A158&lt;&gt;"",$S158&lt;&gt;"",COUNTIFS($A$2:$A$501,$A158,$S$2:$S$501,$S158,$B$2:$B$501,"",$O$2:$O$501,"")=0),"Add an employee row for this household and plan; ","")&amp;IF(AND($X158="Dependent",COUNTIFS($A$2:$A158,$A158,$S$2:$S158,$S158,$B$2:$B158,"",$O$2:$O158,"")=0),"Place the employee row before dependent rows for this plan; ","")&amp;IF(AND($X158="Dependent",COUNTIFS($A$2:$A$501,$A158,$S$2:$S$501,$S158,$B$2:$B$501,"",$O$2:$O$501,"")&gt;0,IFERROR(OR($P158&lt;&gt;LOOKUP(2,1/(($A$2:$A$501=$A158)*($S$2:$S$501=$S158)*($B$2:$B$501="")*($O$2:$O$501="")),$P$2:$P$501),$Q158&lt;&gt;LOOKUP(2,1/(($A$2:$A$501=$A158)*($S$2:$S$501=$S158)*($B$2:$B$501="")*($O$2:$O$501="")),$Q$2:$Q$501),$R158&lt;&gt;LOOKUP(2,1/(($A$2:$A$501=$A158)*($S$2:$S$501=$S158)*($B$2:$B$501="")*($O$2:$O$501="")),$R$2:$R$501),$T158&lt;&gt;LOOKUP(2,1/(($A$2:$A$501=$A158)*($S$2:$S$501=$S158)*($B$2:$B$501="")*($O$2:$O$501="")),$T$2:$T$501),$U158&lt;&gt;LOOKUP(2,1/(($A$2:$A$501=$A158)*($S$2:$S$501=$S158)*($B$2:$B$501="")*($O$2:$O$501="")),$U$2:$U$501)),FALSE)),"Dependent row does not match the employee row for eligibility, status, coverage level, or funding; ",""))</f>
        <v/>
      </c>
      <c r="AB158">
        <f>IF(COUNTA($A158:$U158)=0,"",IF($L158="","Birthdate is required; ","")&amp;IF(AND($L158&lt;&gt;"",OR(NOT(ISNUMBER($L158)),$L158&lt;=DATE(1900,1,1),$L158&gt;TODAY())),"Birthdate must be an exact valid past date; ","")&amp;IF($P158="","Eligibility Date is required; ","")&amp;IF(AND($P158&lt;&gt;"",OR(NOT(ISNUMBER($P158)),$P158&lt;=DATE(1900,1,1))),"Eligibility Date must be a valid date; ","")&amp;IF(AND($R158="Terminated",$Q158=""),"Termination Date is required when Status is Terminated; ","")&amp;IF(AND($Q158&lt;&gt;"",OR(NOT(ISNUMBER($Q158)),$Q158&lt;=DATE(1900,1,1))),"Termination Date must be a valid date; ","")&amp;IF(AND(ISNUMBER($P158),ISNUMBER($Q158),$Q158&lt;$P158),"Termination Date cannot be before Eligibility Date; ","")&amp;IF($R158="","Status is required; ","")&amp;IF(AND($R158&lt;&gt;"",$R158&lt;&gt;"Active",$R158&lt;&gt;"Terminated"),"Status must be Active or Terminated; ","")&amp;IF(AND('START HERE'!$C$8="Terminations Only",$R158&lt;&gt;"Terminated"),"Terminations Only files must contain terminated records; ",""))</f>
        <v/>
      </c>
      <c r="AC158">
        <f>IF(COUNTA($A158:$U158)=0,"",IF($S158="","Plan Name is required; ","")&amp;IF($T158="","Benefit Coverage Level is required; ","")&amp;IF(AND($U158&lt;&gt;"",OR(NOT(ISNUMBER($U158)),$U158&lt;0)),"Plan Funding Amount must be a nonnegative number; ","")&amp;IF(AND($A158&lt;&gt;"",$S158&lt;&gt;"",COUNTIFS($A$2:$A$501,$A158,$B$2:$B$501,$B158,$S$2:$S$501,$S158)&gt;1),"Duplicate participant and plan row; ",""))</f>
        <v/>
      </c>
      <c r="AD158">
        <f>IF(COUNTA($A158:$U158)=0,"",IF(AND($X158="Employee",$M158="",$N158=""),"No employee phone or email provided; ","")&amp;IF(AND($R158="Active",$Q158&lt;&gt;""),"Active record includes a Termination Date; confirm this is intentional; ","")&amp;IF(AND($B158&lt;&gt;"",$B158&amp;""&lt;&gt;$A158&amp;"",COUNTIF($A$2:$A$501,$B158)&gt;0),"Dependent SSN also appears as an Employee SSN elsewhere; confirm dual-employee coverage is intentional; ","")&amp;IF(AND($B158&lt;&gt;"",COUNTIF($B$2:$B$501,$B158)&gt;COUNTIFS($A$2:$A$501,$A158,$B$2:$B$501,$B158)),"Dependent SSN appears under more than one employee; confirm duplicate family coverage is intentional; ","")&amp;IF(AND(ROW()&gt;2,$A158&lt;&gt;"",$A158&lt;&gt;$A157,COUNTIF($A$2:$A157,$A158)&gt;0),"This household appears in more than one section of the census; keep the family together; ","")&amp;IF(OR(AND($C158&lt;&gt;"",LEN($C158&amp;"")&lt;&gt;LEN(TRIM($C158&amp;""))),AND($D158&lt;&gt;"",LEN($D158&amp;"")&lt;&gt;LEN(TRIM($D158&amp;""))),AND($E158&lt;&gt;"",LEN($E158&amp;"")&lt;&gt;LEN(TRIM($E158&amp;""))),AND($F158&lt;&gt;"",LEN($F158&amp;"")&lt;&gt;LEN(TRIM($F158&amp;""))),AND($G158&lt;&gt;"",LEN($G158&amp;"")&lt;&gt;LEN(TRIM($G158&amp;""))),AND($H158&lt;&gt;"",LEN($H158&amp;"")&lt;&gt;LEN(TRIM($H158&amp;""))),AND($I158&lt;&gt;"",LEN($I158&amp;"")&lt;&gt;LEN(TRIM($I158&amp;""))),AND($J158&lt;&gt;"",LEN($J158&amp;"")&lt;&gt;LEN(TRIM($J158&amp;""))),AND($K158&lt;&gt;"",LEN($K158&amp;"")&lt;&gt;LEN(TRIM($K158&amp;""))),AND($M158&lt;&gt;"",LEN($M158&amp;"")&lt;&gt;LEN(TRIM($M158&amp;""))),AND($N158&lt;&gt;"",LEN($N158&amp;"")&lt;&gt;LEN(TRIM($N158&amp;""))),AND($O158&lt;&gt;"",LEN($O158&amp;"")&lt;&gt;LEN(TRIM($O158&amp;""))),AND($R158&lt;&gt;"",LEN($R158&amp;"")&lt;&gt;LEN(TRIM($R158&amp;""))),AND($S158&lt;&gt;"",LEN($S158&amp;"")&lt;&gt;LEN(TRIM($S158&amp;""))),AND($T158&lt;&gt;"",LEN($T158&amp;"")&lt;&gt;LEN(TRIM($T158&amp;"")))),"Remove leading or trailing spaces from text fields; ","")&amp;IF(OR(AND(LEN($C158)&gt;1,OR(EXACT($C158,UPPER($C158)),EXACT($C158,LOWER($C158)))),AND(LEN($D158)&gt;1,OR(EXACT($D158,UPPER($D158)),EXACT($D158,LOWER($D158)))),AND(LEN($H158)&gt;1,OR(EXACT($H158,UPPER($H158)),EXACT($H158,LOWER($H158))))),"Review capitalization in First Name, Last Name, or City; ","")&amp;IF(AND($N158&lt;&gt;"",NOT(EXACT($N158,LOWER($N158)))),"Email will be standardized to lowercase in the clean output; ","")&amp;IF(AND(OR('START HERE'!$C$8="Initial Enrollment",'START HERE'!$C$8="Open Enrollment"),$R158="Terminated"),"A terminated row is included in an initial or open enrollment file; confirm this is intentional; ",""))</f>
        <v/>
      </c>
      <c r="AE158">
        <f>IF(COUNTA($A158:$U158)=0,"",IF(OR($A158="",AND($A158&lt;&gt;"",NOT(IFERROR(AND(LEN($A158&amp;"")=9,ISNUMBER(--($A158&amp;""))),FALSE))),AND($A158&lt;&gt;"",OR($A158="123456789",$A158="987654321",$A158="012345678",$A158=REPT(LEFT($A158&amp;"",1),9)))),"Employee SSN, ","")&amp;IF(OR(AND($O158&lt;&gt;"",$B158=""),AND($B158&lt;&gt;"",OR(NOT(IFERROR(AND(LEN($B158&amp;"")=9,ISNUMBER(--($B158&amp;""))),FALSE)),$B158=$A158,$B158="123456789",$B158="987654321",$B158="012345678",$B158=REPT(LEFT($B158&amp;"",1),9)))),"Dependent SSN, ","")&amp;IF(OR($C158="",LEN($C158)&gt;19,AND($C158&lt;&gt;"",SUMPRODUCT(--(ROW($1:$19)&lt;=LEN($C158&amp;"")),--ISERROR(FIND(MID($C158&amp;"",ROW($1:$19),1),"ABCDEFGHIJKLMNOPQRSTUVWXYZabcdefghijklmnopqrstuvwxyz .,")))&gt;0)),"First Name, ","")&amp;IF(OR($D158="",LEN($D158)&gt;26,AND($D158&lt;&gt;"",SUMPRODUCT(--(ROW($1:$26)&lt;=LEN($D158&amp;"")),--ISERROR(FIND(MID($D158&amp;"",ROW($1:$26),1),"ABCDEFGHIJKLMNOPQRSTUVWXYZabcdefghijklmnopqrstuvwxyz .,")))&gt;0)),"Last Name, ","")&amp;IF(OR(LEN($E158)&gt;1,AND($E158&lt;&gt;"",SUMPRODUCT(--(ROW($1:$1)&lt;=LEN($E158&amp;"")),--ISERROR(FIND(MID($E158&amp;"",ROW($1:$1),1),"ABCDEFGHIJKLMNOPQRSTUVWXYZabcdefghijklmnopqrstuvwxyz .,")))&gt;0)),"Middle Initial, ","")&amp;IF(OR($F158="",LEN($F158)&gt;75),"Address, ","")&amp;IF(OR($H158="",LEN($H158)&gt;30),"City, ","")&amp;IF(AND($K158="US",OR($I158="",LEN($I158)&lt;&gt;2)),"State, ","")&amp;IF($J158="","ZIP, ","")&amp;IF(OR($K158="",AND($K158&lt;&gt;"US",$K158&lt;&gt;"CA")),"Country, ","")&amp;IF(OR($L158="",AND($L158&lt;&gt;"",OR(NOT(ISNUMBER($L158)),$L158&lt;=DATE(1900,1,1),$L158&gt;TODAY()))),"Birthdate, ","")&amp;IF(AND($N158&lt;&gt;"",NOT(IFERROR(AND(ISNUMBER(SEARCH("@",$N158)),ISNUMBER(SEARCH(".",$N158,SEARCH("@",$N158)+2))),FALSE))),"Email, ","")&amp;IF(OR(AND($B158&lt;&gt;"",$O158=""),AND($O158&lt;&gt;"",$O158&lt;&gt;"Spouse or Common Law Spouse",$O158&lt;&gt;"Domestic Partner",$O158&lt;&gt;"Child",$O158&lt;&gt;"Other",$O158&lt;&gt;"Estate",$O158&lt;&gt;"Unknown")),"Dependent Relationship, ","")&amp;IF($AA158&lt;&gt;"","Household, ","")&amp;IF(OR($P158="",AND($P158&lt;&gt;"",OR(NOT(ISNUMBER($P158)),$P158&lt;=DATE(1900,1,1)))),"Eligibility Date, ","")&amp;IF(OR(AND($R158="Terminated",$Q158=""),AND($Q158&lt;&gt;"",OR(NOT(ISNUMBER($Q158)),$Q158&lt;=DATE(1900,1,1))),AND(ISNUMBER($P158),ISNUMBER($Q158),$Q158&lt;$P158)),"Termination Date, ","")&amp;IF(OR($R158="",AND($R158&lt;&gt;"Active",$R158&lt;&gt;"Terminated"),AND('START HERE'!$C$8="Terminations Only",$R158&lt;&gt;"Terminated")),"Status, ","")&amp;IF($S158="","Plan Name, ","")&amp;IF($T158="","Coverage Level, ","")&amp;IF(AND($U158&lt;&gt;"",OR(NOT(ISNUMBER($U158)),$U158&lt;0)),"Funding, ","")&amp;IF(AND($A158&lt;&gt;"",$S158&lt;&gt;"",COUNTIFS($A$2:$A$501,$A158,$B$2:$B$501,$B158,$S$2:$S$501,$S158)&gt;1),"Duplicate Row, ",""))</f>
        <v/>
      </c>
      <c r="AF158">
        <f>IF(COUNTA($A158:$U158)=0,"",$Y158&amp;$Z158&amp;$AA158&amp;$AB158&amp;$AC158)</f>
        <v/>
      </c>
      <c r="AG158">
        <f>IF($N158="","",LOWER(TRIM($N158)))</f>
        <v/>
      </c>
      <c r="AH158">
        <f>IF($A158="","",COUNTIFS($A$2:$A$501,$A158,$AI$2:$AI$501,1))</f>
        <v/>
      </c>
      <c r="AI158">
        <f>IF(COUNTA($A158:$U158)=0,"",--($AF158&lt;&gt;""))</f>
        <v/>
      </c>
      <c r="AJ158">
        <f>IF(COUNTA($A158:$U158)=0,"",--($AD158&lt;&gt;""))</f>
        <v/>
      </c>
    </row>
    <row r="159" ht="20" customHeight="1">
      <c r="A159" s="80" t="n"/>
      <c r="B159" s="80" t="n"/>
      <c r="C159" s="81" t="n"/>
      <c r="D159" s="81" t="n"/>
      <c r="E159" s="80" t="n"/>
      <c r="F159" s="81" t="n"/>
      <c r="G159" s="81" t="n"/>
      <c r="H159" s="81" t="n"/>
      <c r="I159" s="80" t="n"/>
      <c r="J159" s="80" t="n"/>
      <c r="K159" s="80" t="n"/>
      <c r="L159" s="82" t="n"/>
      <c r="M159" s="80" t="n"/>
      <c r="N159" s="80" t="n"/>
      <c r="O159" s="80" t="n"/>
      <c r="P159" s="82" t="n"/>
      <c r="Q159" s="82" t="n"/>
      <c r="R159" s="80" t="n"/>
      <c r="S159" s="80" t="n"/>
      <c r="T159" s="80" t="n"/>
      <c r="U159" s="83" t="n"/>
      <c r="V159">
        <f>IF($A159="","",IF($A159=$A158,$V158,IF($V158="",0,1-$V158)))</f>
        <v/>
      </c>
      <c r="W159">
        <f>IF($B159&lt;&gt;"",$B159,$A159)</f>
        <v/>
      </c>
      <c r="X159">
        <f>IF(COUNTA($A159:$U159)=0,"",IF(OR($B159&lt;&gt;"",$O159&lt;&gt;""),"Dependent","Employee"))</f>
        <v/>
      </c>
      <c r="Y159">
        <f>IF(COUNTA($A159:$U159)=0,"",IF($A159="","Employee SSN is required; ","")&amp;IF($C159="","First Name is required; ","")&amp;IF(LEN($C159&amp;"")&gt;19,"First Name exceeds 19 characters; ","")&amp;IF(AND($C159&lt;&gt;"",SUMPRODUCT(--(ROW($1:$19)&lt;=LEN($C159&amp;"")),--ISERROR(FIND(MID($C159&amp;"",ROW($1:$19),1),"ABCDEFGHIJKLMNOPQRSTUVWXYZabcdefghijklmnopqrstuvwxyz .,")))&gt;0),"First Name contains unsupported or encoded characters; use plain A-Z letters only; ","")&amp;IF($D159="","Last Name is required; ","")&amp;IF(LEN($D159&amp;"")&gt;26,"Last Name exceeds 26 characters; ","")&amp;IF(AND($D159&lt;&gt;"",SUMPRODUCT(--(ROW($1:$26)&lt;=LEN($D159&amp;"")),--ISERROR(FIND(MID($D159&amp;"",ROW($1:$26),1),"ABCDEFGHIJKLMNOPQRSTUVWXYZabcdefghijklmnopqrstuvwxyz .,")))&gt;0),"Last Name contains unsupported or encoded characters; use plain A-Z letters only; ","")&amp;IF(LEN($E159&amp;"")&gt;1,"Middle Initial may contain only one character; ","")&amp;IF(AND($E159&lt;&gt;"",SUMPRODUCT(--(ROW($1:$1)&lt;=LEN($E159&amp;"")),--ISERROR(FIND(MID($E159&amp;"",ROW($1:$1),1),"ABCDEFGHIJKLMNOPQRSTUVWXYZabcdefghijklmnopqrstuvwxyz .,")))&gt;0),"Middle Initial must be a plain A-Z letter; ","")&amp;IF($F159="","Address is required; ","")&amp;IF(LEN($F159&amp;"")&gt;75,"Address exceeds 75 characters; ","")&amp;IF(LEN($G159&amp;"")&gt;75,"Address 2 exceeds 75 characters; ","")&amp;IF($H159="","City is required; ","")&amp;IF(LEN($H159&amp;"")&gt;30,"City exceeds 30 characters; ","")&amp;IF($K159="","Country is required; ","")&amp;IF(AND($K159&lt;&gt;"",$K159&lt;&gt;"US",$K159&lt;&gt;"CA"),"Country must be US or CA; ","")&amp;IF(AND($K159="US",OR($I159="",LEN($I159&amp;"")&lt;&gt;2)),"Use a 2-letter state code; ","")&amp;IF($J159="","ZIP or postal code is required; ","")&amp;IF(AND($K159="US",$J159&lt;&gt;"",NOT(IFERROR(OR(AND(LEN($J159&amp;"")=5,ISNUMBER(--($J159&amp;""))),AND(LEN($J159&amp;"")=9,ISNUMBER(--($J159&amp;""))),AND(LEN($J159&amp;"")=10,MID($J159&amp;"",6,1)="-",ISNUMBER(--SUBSTITUTE($J159&amp;"","-","")))),FALSE))),"US ZIP must be 5 or 9 digits, with an optional ZIP+4 hyphen; ","")&amp;IF(AND($N159&lt;&gt;"",NOT(IFERROR(AND(ISNUMBER(SEARCH("@",$N159)),ISNUMBER(SEARCH(".",$N159,SEARCH("@",$N159)+2))),FALSE))),"Email format appears invalid; ","")&amp;IF(AND($O159&lt;&gt;"",$B159=""),"Dependent SSN is required for every dependent; ","")&amp;IF(AND($B159&lt;&gt;"",$O159=""),"Dependent Relationship is required when Dependent SSN is entered; ","")&amp;IF(AND($O159&lt;&gt;"",$O159&lt;&gt;"Spouse or Common Law Spouse",$O159&lt;&gt;"Domestic Partner",$O159&lt;&gt;"Child",$O159&lt;&gt;"Other",$O159&lt;&gt;"Estate",$O159&lt;&gt;"Unknown"),"Dependent Relationship must use one of the approved options; ",""))</f>
        <v/>
      </c>
      <c r="Z159">
        <f>IF(COUNTA($A159:$U159)=0,"",IF(AND($A159&lt;&gt;"",NOT(IFERROR(AND(LEN($A159&amp;"")=9,ISNUMBER(--($A159&amp;""))),FALSE))),"Employee SSN must contain exactly 9 digits; ","")&amp;IF(AND($A159&lt;&gt;"",OR($A159="123456789",$A159="987654321",$A159="012345678",$A159=REPT(LEFT($A159&amp;"",1),9))),"Employee SSN appears to be a placeholder; ","")&amp;IF(AND($B159&lt;&gt;"",NOT(IFERROR(AND(LEN($B159&amp;"")=9,ISNUMBER(--($B159&amp;""))),FALSE))),"Dependent SSN must contain exactly 9 digits; ","")&amp;IF(AND($B159&lt;&gt;"",OR($B159="123456789",$B159="987654321",$B159="012345678",$B159=REPT(LEFT($B159&amp;"",1),9))),"Dependent SSN appears to be a placeholder; ","")&amp;IF(AND($A159&lt;&gt;"",$B159&lt;&gt;"",$A159&amp;""=$B159&amp;""),"Dependent SSN cannot match Employee SSN; ","")&amp;IF(AND($W159&lt;&gt;"",OR(COUNTIFS($W$2:$W$501,$W159,$C$2:$C$501,"&lt;&gt;"&amp;$C159)&gt;0,COUNTIFS($W$2:$W$501,$W159,$D$2:$D$501,"&lt;&gt;"&amp;$D159)&gt;0,COUNTIFS($W$2:$W$501,$W159,$L$2:$L$501,"&lt;&gt;"&amp;$L159)&gt;0)),"The same SSN is associated with a different name or birthdate; ",""))</f>
        <v/>
      </c>
      <c r="AA159">
        <f>IF(COUNTA($A159:$U159)=0,"",IF(AND($A159&lt;&gt;"",$S159&lt;&gt;"",COUNTIFS($A$2:$A$501,$A159,$S$2:$S$501,$S159,$B$2:$B$501,"",$O$2:$O$501,"")=0),"Add an employee row for this household and plan; ","")&amp;IF(AND($X159="Dependent",COUNTIFS($A$2:$A159,$A159,$S$2:$S159,$S159,$B$2:$B159,"",$O$2:$O159,"")=0),"Place the employee row before dependent rows for this plan; ","")&amp;IF(AND($X159="Dependent",COUNTIFS($A$2:$A$501,$A159,$S$2:$S$501,$S159,$B$2:$B$501,"",$O$2:$O$501,"")&gt;0,IFERROR(OR($P159&lt;&gt;LOOKUP(2,1/(($A$2:$A$501=$A159)*($S$2:$S$501=$S159)*($B$2:$B$501="")*($O$2:$O$501="")),$P$2:$P$501),$Q159&lt;&gt;LOOKUP(2,1/(($A$2:$A$501=$A159)*($S$2:$S$501=$S159)*($B$2:$B$501="")*($O$2:$O$501="")),$Q$2:$Q$501),$R159&lt;&gt;LOOKUP(2,1/(($A$2:$A$501=$A159)*($S$2:$S$501=$S159)*($B$2:$B$501="")*($O$2:$O$501="")),$R$2:$R$501),$T159&lt;&gt;LOOKUP(2,1/(($A$2:$A$501=$A159)*($S$2:$S$501=$S159)*($B$2:$B$501="")*($O$2:$O$501="")),$T$2:$T$501),$U159&lt;&gt;LOOKUP(2,1/(($A$2:$A$501=$A159)*($S$2:$S$501=$S159)*($B$2:$B$501="")*($O$2:$O$501="")),$U$2:$U$501)),FALSE)),"Dependent row does not match the employee row for eligibility, status, coverage level, or funding; ",""))</f>
        <v/>
      </c>
      <c r="AB159">
        <f>IF(COUNTA($A159:$U159)=0,"",IF($L159="","Birthdate is required; ","")&amp;IF(AND($L159&lt;&gt;"",OR(NOT(ISNUMBER($L159)),$L159&lt;=DATE(1900,1,1),$L159&gt;TODAY())),"Birthdate must be an exact valid past date; ","")&amp;IF($P159="","Eligibility Date is required; ","")&amp;IF(AND($P159&lt;&gt;"",OR(NOT(ISNUMBER($P159)),$P159&lt;=DATE(1900,1,1))),"Eligibility Date must be a valid date; ","")&amp;IF(AND($R159="Terminated",$Q159=""),"Termination Date is required when Status is Terminated; ","")&amp;IF(AND($Q159&lt;&gt;"",OR(NOT(ISNUMBER($Q159)),$Q159&lt;=DATE(1900,1,1))),"Termination Date must be a valid date; ","")&amp;IF(AND(ISNUMBER($P159),ISNUMBER($Q159),$Q159&lt;$P159),"Termination Date cannot be before Eligibility Date; ","")&amp;IF($R159="","Status is required; ","")&amp;IF(AND($R159&lt;&gt;"",$R159&lt;&gt;"Active",$R159&lt;&gt;"Terminated"),"Status must be Active or Terminated; ","")&amp;IF(AND('START HERE'!$C$8="Terminations Only",$R159&lt;&gt;"Terminated"),"Terminations Only files must contain terminated records; ",""))</f>
        <v/>
      </c>
      <c r="AC159">
        <f>IF(COUNTA($A159:$U159)=0,"",IF($S159="","Plan Name is required; ","")&amp;IF($T159="","Benefit Coverage Level is required; ","")&amp;IF(AND($U159&lt;&gt;"",OR(NOT(ISNUMBER($U159)),$U159&lt;0)),"Plan Funding Amount must be a nonnegative number; ","")&amp;IF(AND($A159&lt;&gt;"",$S159&lt;&gt;"",COUNTIFS($A$2:$A$501,$A159,$B$2:$B$501,$B159,$S$2:$S$501,$S159)&gt;1),"Duplicate participant and plan row; ",""))</f>
        <v/>
      </c>
      <c r="AD159">
        <f>IF(COUNTA($A159:$U159)=0,"",IF(AND($X159="Employee",$M159="",$N159=""),"No employee phone or email provided; ","")&amp;IF(AND($R159="Active",$Q159&lt;&gt;""),"Active record includes a Termination Date; confirm this is intentional; ","")&amp;IF(AND($B159&lt;&gt;"",$B159&amp;""&lt;&gt;$A159&amp;"",COUNTIF($A$2:$A$501,$B159)&gt;0),"Dependent SSN also appears as an Employee SSN elsewhere; confirm dual-employee coverage is intentional; ","")&amp;IF(AND($B159&lt;&gt;"",COUNTIF($B$2:$B$501,$B159)&gt;COUNTIFS($A$2:$A$501,$A159,$B$2:$B$501,$B159)),"Dependent SSN appears under more than one employee; confirm duplicate family coverage is intentional; ","")&amp;IF(AND(ROW()&gt;2,$A159&lt;&gt;"",$A159&lt;&gt;$A158,COUNTIF($A$2:$A158,$A159)&gt;0),"This household appears in more than one section of the census; keep the family together; ","")&amp;IF(OR(AND($C159&lt;&gt;"",LEN($C159&amp;"")&lt;&gt;LEN(TRIM($C159&amp;""))),AND($D159&lt;&gt;"",LEN($D159&amp;"")&lt;&gt;LEN(TRIM($D159&amp;""))),AND($E159&lt;&gt;"",LEN($E159&amp;"")&lt;&gt;LEN(TRIM($E159&amp;""))),AND($F159&lt;&gt;"",LEN($F159&amp;"")&lt;&gt;LEN(TRIM($F159&amp;""))),AND($G159&lt;&gt;"",LEN($G159&amp;"")&lt;&gt;LEN(TRIM($G159&amp;""))),AND($H159&lt;&gt;"",LEN($H159&amp;"")&lt;&gt;LEN(TRIM($H159&amp;""))),AND($I159&lt;&gt;"",LEN($I159&amp;"")&lt;&gt;LEN(TRIM($I159&amp;""))),AND($J159&lt;&gt;"",LEN($J159&amp;"")&lt;&gt;LEN(TRIM($J159&amp;""))),AND($K159&lt;&gt;"",LEN($K159&amp;"")&lt;&gt;LEN(TRIM($K159&amp;""))),AND($M159&lt;&gt;"",LEN($M159&amp;"")&lt;&gt;LEN(TRIM($M159&amp;""))),AND($N159&lt;&gt;"",LEN($N159&amp;"")&lt;&gt;LEN(TRIM($N159&amp;""))),AND($O159&lt;&gt;"",LEN($O159&amp;"")&lt;&gt;LEN(TRIM($O159&amp;""))),AND($R159&lt;&gt;"",LEN($R159&amp;"")&lt;&gt;LEN(TRIM($R159&amp;""))),AND($S159&lt;&gt;"",LEN($S159&amp;"")&lt;&gt;LEN(TRIM($S159&amp;""))),AND($T159&lt;&gt;"",LEN($T159&amp;"")&lt;&gt;LEN(TRIM($T159&amp;"")))),"Remove leading or trailing spaces from text fields; ","")&amp;IF(OR(AND(LEN($C159)&gt;1,OR(EXACT($C159,UPPER($C159)),EXACT($C159,LOWER($C159)))),AND(LEN($D159)&gt;1,OR(EXACT($D159,UPPER($D159)),EXACT($D159,LOWER($D159)))),AND(LEN($H159)&gt;1,OR(EXACT($H159,UPPER($H159)),EXACT($H159,LOWER($H159))))),"Review capitalization in First Name, Last Name, or City; ","")&amp;IF(AND($N159&lt;&gt;"",NOT(EXACT($N159,LOWER($N159)))),"Email will be standardized to lowercase in the clean output; ","")&amp;IF(AND(OR('START HERE'!$C$8="Initial Enrollment",'START HERE'!$C$8="Open Enrollment"),$R159="Terminated"),"A terminated row is included in an initial or open enrollment file; confirm this is intentional; ",""))</f>
        <v/>
      </c>
      <c r="AE159">
        <f>IF(COUNTA($A159:$U159)=0,"",IF(OR($A159="",AND($A159&lt;&gt;"",NOT(IFERROR(AND(LEN($A159&amp;"")=9,ISNUMBER(--($A159&amp;""))),FALSE))),AND($A159&lt;&gt;"",OR($A159="123456789",$A159="987654321",$A159="012345678",$A159=REPT(LEFT($A159&amp;"",1),9)))),"Employee SSN, ","")&amp;IF(OR(AND($O159&lt;&gt;"",$B159=""),AND($B159&lt;&gt;"",OR(NOT(IFERROR(AND(LEN($B159&amp;"")=9,ISNUMBER(--($B159&amp;""))),FALSE)),$B159=$A159,$B159="123456789",$B159="987654321",$B159="012345678",$B159=REPT(LEFT($B159&amp;"",1),9)))),"Dependent SSN, ","")&amp;IF(OR($C159="",LEN($C159)&gt;19,AND($C159&lt;&gt;"",SUMPRODUCT(--(ROW($1:$19)&lt;=LEN($C159&amp;"")),--ISERROR(FIND(MID($C159&amp;"",ROW($1:$19),1),"ABCDEFGHIJKLMNOPQRSTUVWXYZabcdefghijklmnopqrstuvwxyz .,")))&gt;0)),"First Name, ","")&amp;IF(OR($D159="",LEN($D159)&gt;26,AND($D159&lt;&gt;"",SUMPRODUCT(--(ROW($1:$26)&lt;=LEN($D159&amp;"")),--ISERROR(FIND(MID($D159&amp;"",ROW($1:$26),1),"ABCDEFGHIJKLMNOPQRSTUVWXYZabcdefghijklmnopqrstuvwxyz .,")))&gt;0)),"Last Name, ","")&amp;IF(OR(LEN($E159)&gt;1,AND($E159&lt;&gt;"",SUMPRODUCT(--(ROW($1:$1)&lt;=LEN($E159&amp;"")),--ISERROR(FIND(MID($E159&amp;"",ROW($1:$1),1),"ABCDEFGHIJKLMNOPQRSTUVWXYZabcdefghijklmnopqrstuvwxyz .,")))&gt;0)),"Middle Initial, ","")&amp;IF(OR($F159="",LEN($F159)&gt;75),"Address, ","")&amp;IF(OR($H159="",LEN($H159)&gt;30),"City, ","")&amp;IF(AND($K159="US",OR($I159="",LEN($I159)&lt;&gt;2)),"State, ","")&amp;IF($J159="","ZIP, ","")&amp;IF(OR($K159="",AND($K159&lt;&gt;"US",$K159&lt;&gt;"CA")),"Country, ","")&amp;IF(OR($L159="",AND($L159&lt;&gt;"",OR(NOT(ISNUMBER($L159)),$L159&lt;=DATE(1900,1,1),$L159&gt;TODAY()))),"Birthdate, ","")&amp;IF(AND($N159&lt;&gt;"",NOT(IFERROR(AND(ISNUMBER(SEARCH("@",$N159)),ISNUMBER(SEARCH(".",$N159,SEARCH("@",$N159)+2))),FALSE))),"Email, ","")&amp;IF(OR(AND($B159&lt;&gt;"",$O159=""),AND($O159&lt;&gt;"",$O159&lt;&gt;"Spouse or Common Law Spouse",$O159&lt;&gt;"Domestic Partner",$O159&lt;&gt;"Child",$O159&lt;&gt;"Other",$O159&lt;&gt;"Estate",$O159&lt;&gt;"Unknown")),"Dependent Relationship, ","")&amp;IF($AA159&lt;&gt;"","Household, ","")&amp;IF(OR($P159="",AND($P159&lt;&gt;"",OR(NOT(ISNUMBER($P159)),$P159&lt;=DATE(1900,1,1)))),"Eligibility Date, ","")&amp;IF(OR(AND($R159="Terminated",$Q159=""),AND($Q159&lt;&gt;"",OR(NOT(ISNUMBER($Q159)),$Q159&lt;=DATE(1900,1,1))),AND(ISNUMBER($P159),ISNUMBER($Q159),$Q159&lt;$P159)),"Termination Date, ","")&amp;IF(OR($R159="",AND($R159&lt;&gt;"Active",$R159&lt;&gt;"Terminated"),AND('START HERE'!$C$8="Terminations Only",$R159&lt;&gt;"Terminated")),"Status, ","")&amp;IF($S159="","Plan Name, ","")&amp;IF($T159="","Coverage Level, ","")&amp;IF(AND($U159&lt;&gt;"",OR(NOT(ISNUMBER($U159)),$U159&lt;0)),"Funding, ","")&amp;IF(AND($A159&lt;&gt;"",$S159&lt;&gt;"",COUNTIFS($A$2:$A$501,$A159,$B$2:$B$501,$B159,$S$2:$S$501,$S159)&gt;1),"Duplicate Row, ",""))</f>
        <v/>
      </c>
      <c r="AF159">
        <f>IF(COUNTA($A159:$U159)=0,"",$Y159&amp;$Z159&amp;$AA159&amp;$AB159&amp;$AC159)</f>
        <v/>
      </c>
      <c r="AG159">
        <f>IF($N159="","",LOWER(TRIM($N159)))</f>
        <v/>
      </c>
      <c r="AH159">
        <f>IF($A159="","",COUNTIFS($A$2:$A$501,$A159,$AI$2:$AI$501,1))</f>
        <v/>
      </c>
      <c r="AI159">
        <f>IF(COUNTA($A159:$U159)=0,"",--($AF159&lt;&gt;""))</f>
        <v/>
      </c>
      <c r="AJ159">
        <f>IF(COUNTA($A159:$U159)=0,"",--($AD159&lt;&gt;""))</f>
        <v/>
      </c>
    </row>
    <row r="160" ht="20" customHeight="1">
      <c r="A160" s="80" t="n"/>
      <c r="B160" s="80" t="n"/>
      <c r="C160" s="81" t="n"/>
      <c r="D160" s="81" t="n"/>
      <c r="E160" s="80" t="n"/>
      <c r="F160" s="81" t="n"/>
      <c r="G160" s="81" t="n"/>
      <c r="H160" s="81" t="n"/>
      <c r="I160" s="80" t="n"/>
      <c r="J160" s="80" t="n"/>
      <c r="K160" s="80" t="n"/>
      <c r="L160" s="82" t="n"/>
      <c r="M160" s="80" t="n"/>
      <c r="N160" s="80" t="n"/>
      <c r="O160" s="80" t="n"/>
      <c r="P160" s="82" t="n"/>
      <c r="Q160" s="82" t="n"/>
      <c r="R160" s="80" t="n"/>
      <c r="S160" s="80" t="n"/>
      <c r="T160" s="80" t="n"/>
      <c r="U160" s="83" t="n"/>
      <c r="V160">
        <f>IF($A160="","",IF($A160=$A159,$V159,IF($V159="",0,1-$V159)))</f>
        <v/>
      </c>
      <c r="W160">
        <f>IF($B160&lt;&gt;"",$B160,$A160)</f>
        <v/>
      </c>
      <c r="X160">
        <f>IF(COUNTA($A160:$U160)=0,"",IF(OR($B160&lt;&gt;"",$O160&lt;&gt;""),"Dependent","Employee"))</f>
        <v/>
      </c>
      <c r="Y160">
        <f>IF(COUNTA($A160:$U160)=0,"",IF($A160="","Employee SSN is required; ","")&amp;IF($C160="","First Name is required; ","")&amp;IF(LEN($C160&amp;"")&gt;19,"First Name exceeds 19 characters; ","")&amp;IF(AND($C160&lt;&gt;"",SUMPRODUCT(--(ROW($1:$19)&lt;=LEN($C160&amp;"")),--ISERROR(FIND(MID($C160&amp;"",ROW($1:$19),1),"ABCDEFGHIJKLMNOPQRSTUVWXYZabcdefghijklmnopqrstuvwxyz .,")))&gt;0),"First Name contains unsupported or encoded characters; use plain A-Z letters only; ","")&amp;IF($D160="","Last Name is required; ","")&amp;IF(LEN($D160&amp;"")&gt;26,"Last Name exceeds 26 characters; ","")&amp;IF(AND($D160&lt;&gt;"",SUMPRODUCT(--(ROW($1:$26)&lt;=LEN($D160&amp;"")),--ISERROR(FIND(MID($D160&amp;"",ROW($1:$26),1),"ABCDEFGHIJKLMNOPQRSTUVWXYZabcdefghijklmnopqrstuvwxyz .,")))&gt;0),"Last Name contains unsupported or encoded characters; use plain A-Z letters only; ","")&amp;IF(LEN($E160&amp;"")&gt;1,"Middle Initial may contain only one character; ","")&amp;IF(AND($E160&lt;&gt;"",SUMPRODUCT(--(ROW($1:$1)&lt;=LEN($E160&amp;"")),--ISERROR(FIND(MID($E160&amp;"",ROW($1:$1),1),"ABCDEFGHIJKLMNOPQRSTUVWXYZabcdefghijklmnopqrstuvwxyz .,")))&gt;0),"Middle Initial must be a plain A-Z letter; ","")&amp;IF($F160="","Address is required; ","")&amp;IF(LEN($F160&amp;"")&gt;75,"Address exceeds 75 characters; ","")&amp;IF(LEN($G160&amp;"")&gt;75,"Address 2 exceeds 75 characters; ","")&amp;IF($H160="","City is required; ","")&amp;IF(LEN($H160&amp;"")&gt;30,"City exceeds 30 characters; ","")&amp;IF($K160="","Country is required; ","")&amp;IF(AND($K160&lt;&gt;"",$K160&lt;&gt;"US",$K160&lt;&gt;"CA"),"Country must be US or CA; ","")&amp;IF(AND($K160="US",OR($I160="",LEN($I160&amp;"")&lt;&gt;2)),"Use a 2-letter state code; ","")&amp;IF($J160="","ZIP or postal code is required; ","")&amp;IF(AND($K160="US",$J160&lt;&gt;"",NOT(IFERROR(OR(AND(LEN($J160&amp;"")=5,ISNUMBER(--($J160&amp;""))),AND(LEN($J160&amp;"")=9,ISNUMBER(--($J160&amp;""))),AND(LEN($J160&amp;"")=10,MID($J160&amp;"",6,1)="-",ISNUMBER(--SUBSTITUTE($J160&amp;"","-","")))),FALSE))),"US ZIP must be 5 or 9 digits, with an optional ZIP+4 hyphen; ","")&amp;IF(AND($N160&lt;&gt;"",NOT(IFERROR(AND(ISNUMBER(SEARCH("@",$N160)),ISNUMBER(SEARCH(".",$N160,SEARCH("@",$N160)+2))),FALSE))),"Email format appears invalid; ","")&amp;IF(AND($O160&lt;&gt;"",$B160=""),"Dependent SSN is required for every dependent; ","")&amp;IF(AND($B160&lt;&gt;"",$O160=""),"Dependent Relationship is required when Dependent SSN is entered; ","")&amp;IF(AND($O160&lt;&gt;"",$O160&lt;&gt;"Spouse or Common Law Spouse",$O160&lt;&gt;"Domestic Partner",$O160&lt;&gt;"Child",$O160&lt;&gt;"Other",$O160&lt;&gt;"Estate",$O160&lt;&gt;"Unknown"),"Dependent Relationship must use one of the approved options; ",""))</f>
        <v/>
      </c>
      <c r="Z160">
        <f>IF(COUNTA($A160:$U160)=0,"",IF(AND($A160&lt;&gt;"",NOT(IFERROR(AND(LEN($A160&amp;"")=9,ISNUMBER(--($A160&amp;""))),FALSE))),"Employee SSN must contain exactly 9 digits; ","")&amp;IF(AND($A160&lt;&gt;"",OR($A160="123456789",$A160="987654321",$A160="012345678",$A160=REPT(LEFT($A160&amp;"",1),9))),"Employee SSN appears to be a placeholder; ","")&amp;IF(AND($B160&lt;&gt;"",NOT(IFERROR(AND(LEN($B160&amp;"")=9,ISNUMBER(--($B160&amp;""))),FALSE))),"Dependent SSN must contain exactly 9 digits; ","")&amp;IF(AND($B160&lt;&gt;"",OR($B160="123456789",$B160="987654321",$B160="012345678",$B160=REPT(LEFT($B160&amp;"",1),9))),"Dependent SSN appears to be a placeholder; ","")&amp;IF(AND($A160&lt;&gt;"",$B160&lt;&gt;"",$A160&amp;""=$B160&amp;""),"Dependent SSN cannot match Employee SSN; ","")&amp;IF(AND($W160&lt;&gt;"",OR(COUNTIFS($W$2:$W$501,$W160,$C$2:$C$501,"&lt;&gt;"&amp;$C160)&gt;0,COUNTIFS($W$2:$W$501,$W160,$D$2:$D$501,"&lt;&gt;"&amp;$D160)&gt;0,COUNTIFS($W$2:$W$501,$W160,$L$2:$L$501,"&lt;&gt;"&amp;$L160)&gt;0)),"The same SSN is associated with a different name or birthdate; ",""))</f>
        <v/>
      </c>
      <c r="AA160">
        <f>IF(COUNTA($A160:$U160)=0,"",IF(AND($A160&lt;&gt;"",$S160&lt;&gt;"",COUNTIFS($A$2:$A$501,$A160,$S$2:$S$501,$S160,$B$2:$B$501,"",$O$2:$O$501,"")=0),"Add an employee row for this household and plan; ","")&amp;IF(AND($X160="Dependent",COUNTIFS($A$2:$A160,$A160,$S$2:$S160,$S160,$B$2:$B160,"",$O$2:$O160,"")=0),"Place the employee row before dependent rows for this plan; ","")&amp;IF(AND($X160="Dependent",COUNTIFS($A$2:$A$501,$A160,$S$2:$S$501,$S160,$B$2:$B$501,"",$O$2:$O$501,"")&gt;0,IFERROR(OR($P160&lt;&gt;LOOKUP(2,1/(($A$2:$A$501=$A160)*($S$2:$S$501=$S160)*($B$2:$B$501="")*($O$2:$O$501="")),$P$2:$P$501),$Q160&lt;&gt;LOOKUP(2,1/(($A$2:$A$501=$A160)*($S$2:$S$501=$S160)*($B$2:$B$501="")*($O$2:$O$501="")),$Q$2:$Q$501),$R160&lt;&gt;LOOKUP(2,1/(($A$2:$A$501=$A160)*($S$2:$S$501=$S160)*($B$2:$B$501="")*($O$2:$O$501="")),$R$2:$R$501),$T160&lt;&gt;LOOKUP(2,1/(($A$2:$A$501=$A160)*($S$2:$S$501=$S160)*($B$2:$B$501="")*($O$2:$O$501="")),$T$2:$T$501),$U160&lt;&gt;LOOKUP(2,1/(($A$2:$A$501=$A160)*($S$2:$S$501=$S160)*($B$2:$B$501="")*($O$2:$O$501="")),$U$2:$U$501)),FALSE)),"Dependent row does not match the employee row for eligibility, status, coverage level, or funding; ",""))</f>
        <v/>
      </c>
      <c r="AB160">
        <f>IF(COUNTA($A160:$U160)=0,"",IF($L160="","Birthdate is required; ","")&amp;IF(AND($L160&lt;&gt;"",OR(NOT(ISNUMBER($L160)),$L160&lt;=DATE(1900,1,1),$L160&gt;TODAY())),"Birthdate must be an exact valid past date; ","")&amp;IF($P160="","Eligibility Date is required; ","")&amp;IF(AND($P160&lt;&gt;"",OR(NOT(ISNUMBER($P160)),$P160&lt;=DATE(1900,1,1))),"Eligibility Date must be a valid date; ","")&amp;IF(AND($R160="Terminated",$Q160=""),"Termination Date is required when Status is Terminated; ","")&amp;IF(AND($Q160&lt;&gt;"",OR(NOT(ISNUMBER($Q160)),$Q160&lt;=DATE(1900,1,1))),"Termination Date must be a valid date; ","")&amp;IF(AND(ISNUMBER($P160),ISNUMBER($Q160),$Q160&lt;$P160),"Termination Date cannot be before Eligibility Date; ","")&amp;IF($R160="","Status is required; ","")&amp;IF(AND($R160&lt;&gt;"",$R160&lt;&gt;"Active",$R160&lt;&gt;"Terminated"),"Status must be Active or Terminated; ","")&amp;IF(AND('START HERE'!$C$8="Terminations Only",$R160&lt;&gt;"Terminated"),"Terminations Only files must contain terminated records; ",""))</f>
        <v/>
      </c>
      <c r="AC160">
        <f>IF(COUNTA($A160:$U160)=0,"",IF($S160="","Plan Name is required; ","")&amp;IF($T160="","Benefit Coverage Level is required; ","")&amp;IF(AND($U160&lt;&gt;"",OR(NOT(ISNUMBER($U160)),$U160&lt;0)),"Plan Funding Amount must be a nonnegative number; ","")&amp;IF(AND($A160&lt;&gt;"",$S160&lt;&gt;"",COUNTIFS($A$2:$A$501,$A160,$B$2:$B$501,$B160,$S$2:$S$501,$S160)&gt;1),"Duplicate participant and plan row; ",""))</f>
        <v/>
      </c>
      <c r="AD160">
        <f>IF(COUNTA($A160:$U160)=0,"",IF(AND($X160="Employee",$M160="",$N160=""),"No employee phone or email provided; ","")&amp;IF(AND($R160="Active",$Q160&lt;&gt;""),"Active record includes a Termination Date; confirm this is intentional; ","")&amp;IF(AND($B160&lt;&gt;"",$B160&amp;""&lt;&gt;$A160&amp;"",COUNTIF($A$2:$A$501,$B160)&gt;0),"Dependent SSN also appears as an Employee SSN elsewhere; confirm dual-employee coverage is intentional; ","")&amp;IF(AND($B160&lt;&gt;"",COUNTIF($B$2:$B$501,$B160)&gt;COUNTIFS($A$2:$A$501,$A160,$B$2:$B$501,$B160)),"Dependent SSN appears under more than one employee; confirm duplicate family coverage is intentional; ","")&amp;IF(AND(ROW()&gt;2,$A160&lt;&gt;"",$A160&lt;&gt;$A159,COUNTIF($A$2:$A159,$A160)&gt;0),"This household appears in more than one section of the census; keep the family together; ","")&amp;IF(OR(AND($C160&lt;&gt;"",LEN($C160&amp;"")&lt;&gt;LEN(TRIM($C160&amp;""))),AND($D160&lt;&gt;"",LEN($D160&amp;"")&lt;&gt;LEN(TRIM($D160&amp;""))),AND($E160&lt;&gt;"",LEN($E160&amp;"")&lt;&gt;LEN(TRIM($E160&amp;""))),AND($F160&lt;&gt;"",LEN($F160&amp;"")&lt;&gt;LEN(TRIM($F160&amp;""))),AND($G160&lt;&gt;"",LEN($G160&amp;"")&lt;&gt;LEN(TRIM($G160&amp;""))),AND($H160&lt;&gt;"",LEN($H160&amp;"")&lt;&gt;LEN(TRIM($H160&amp;""))),AND($I160&lt;&gt;"",LEN($I160&amp;"")&lt;&gt;LEN(TRIM($I160&amp;""))),AND($J160&lt;&gt;"",LEN($J160&amp;"")&lt;&gt;LEN(TRIM($J160&amp;""))),AND($K160&lt;&gt;"",LEN($K160&amp;"")&lt;&gt;LEN(TRIM($K160&amp;""))),AND($M160&lt;&gt;"",LEN($M160&amp;"")&lt;&gt;LEN(TRIM($M160&amp;""))),AND($N160&lt;&gt;"",LEN($N160&amp;"")&lt;&gt;LEN(TRIM($N160&amp;""))),AND($O160&lt;&gt;"",LEN($O160&amp;"")&lt;&gt;LEN(TRIM($O160&amp;""))),AND($R160&lt;&gt;"",LEN($R160&amp;"")&lt;&gt;LEN(TRIM($R160&amp;""))),AND($S160&lt;&gt;"",LEN($S160&amp;"")&lt;&gt;LEN(TRIM($S160&amp;""))),AND($T160&lt;&gt;"",LEN($T160&amp;"")&lt;&gt;LEN(TRIM($T160&amp;"")))),"Remove leading or trailing spaces from text fields; ","")&amp;IF(OR(AND(LEN($C160)&gt;1,OR(EXACT($C160,UPPER($C160)),EXACT($C160,LOWER($C160)))),AND(LEN($D160)&gt;1,OR(EXACT($D160,UPPER($D160)),EXACT($D160,LOWER($D160)))),AND(LEN($H160)&gt;1,OR(EXACT($H160,UPPER($H160)),EXACT($H160,LOWER($H160))))),"Review capitalization in First Name, Last Name, or City; ","")&amp;IF(AND($N160&lt;&gt;"",NOT(EXACT($N160,LOWER($N160)))),"Email will be standardized to lowercase in the clean output; ","")&amp;IF(AND(OR('START HERE'!$C$8="Initial Enrollment",'START HERE'!$C$8="Open Enrollment"),$R160="Terminated"),"A terminated row is included in an initial or open enrollment file; confirm this is intentional; ",""))</f>
        <v/>
      </c>
      <c r="AE160">
        <f>IF(COUNTA($A160:$U160)=0,"",IF(OR($A160="",AND($A160&lt;&gt;"",NOT(IFERROR(AND(LEN($A160&amp;"")=9,ISNUMBER(--($A160&amp;""))),FALSE))),AND($A160&lt;&gt;"",OR($A160="123456789",$A160="987654321",$A160="012345678",$A160=REPT(LEFT($A160&amp;"",1),9)))),"Employee SSN, ","")&amp;IF(OR(AND($O160&lt;&gt;"",$B160=""),AND($B160&lt;&gt;"",OR(NOT(IFERROR(AND(LEN($B160&amp;"")=9,ISNUMBER(--($B160&amp;""))),FALSE)),$B160=$A160,$B160="123456789",$B160="987654321",$B160="012345678",$B160=REPT(LEFT($B160&amp;"",1),9)))),"Dependent SSN, ","")&amp;IF(OR($C160="",LEN($C160)&gt;19,AND($C160&lt;&gt;"",SUMPRODUCT(--(ROW($1:$19)&lt;=LEN($C160&amp;"")),--ISERROR(FIND(MID($C160&amp;"",ROW($1:$19),1),"ABCDEFGHIJKLMNOPQRSTUVWXYZabcdefghijklmnopqrstuvwxyz .,")))&gt;0)),"First Name, ","")&amp;IF(OR($D160="",LEN($D160)&gt;26,AND($D160&lt;&gt;"",SUMPRODUCT(--(ROW($1:$26)&lt;=LEN($D160&amp;"")),--ISERROR(FIND(MID($D160&amp;"",ROW($1:$26),1),"ABCDEFGHIJKLMNOPQRSTUVWXYZabcdefghijklmnopqrstuvwxyz .,")))&gt;0)),"Last Name, ","")&amp;IF(OR(LEN($E160)&gt;1,AND($E160&lt;&gt;"",SUMPRODUCT(--(ROW($1:$1)&lt;=LEN($E160&amp;"")),--ISERROR(FIND(MID($E160&amp;"",ROW($1:$1),1),"ABCDEFGHIJKLMNOPQRSTUVWXYZabcdefghijklmnopqrstuvwxyz .,")))&gt;0)),"Middle Initial, ","")&amp;IF(OR($F160="",LEN($F160)&gt;75),"Address, ","")&amp;IF(OR($H160="",LEN($H160)&gt;30),"City, ","")&amp;IF(AND($K160="US",OR($I160="",LEN($I160)&lt;&gt;2)),"State, ","")&amp;IF($J160="","ZIP, ","")&amp;IF(OR($K160="",AND($K160&lt;&gt;"US",$K160&lt;&gt;"CA")),"Country, ","")&amp;IF(OR($L160="",AND($L160&lt;&gt;"",OR(NOT(ISNUMBER($L160)),$L160&lt;=DATE(1900,1,1),$L160&gt;TODAY()))),"Birthdate, ","")&amp;IF(AND($N160&lt;&gt;"",NOT(IFERROR(AND(ISNUMBER(SEARCH("@",$N160)),ISNUMBER(SEARCH(".",$N160,SEARCH("@",$N160)+2))),FALSE))),"Email, ","")&amp;IF(OR(AND($B160&lt;&gt;"",$O160=""),AND($O160&lt;&gt;"",$O160&lt;&gt;"Spouse or Common Law Spouse",$O160&lt;&gt;"Domestic Partner",$O160&lt;&gt;"Child",$O160&lt;&gt;"Other",$O160&lt;&gt;"Estate",$O160&lt;&gt;"Unknown")),"Dependent Relationship, ","")&amp;IF($AA160&lt;&gt;"","Household, ","")&amp;IF(OR($P160="",AND($P160&lt;&gt;"",OR(NOT(ISNUMBER($P160)),$P160&lt;=DATE(1900,1,1)))),"Eligibility Date, ","")&amp;IF(OR(AND($R160="Terminated",$Q160=""),AND($Q160&lt;&gt;"",OR(NOT(ISNUMBER($Q160)),$Q160&lt;=DATE(1900,1,1))),AND(ISNUMBER($P160),ISNUMBER($Q160),$Q160&lt;$P160)),"Termination Date, ","")&amp;IF(OR($R160="",AND($R160&lt;&gt;"Active",$R160&lt;&gt;"Terminated"),AND('START HERE'!$C$8="Terminations Only",$R160&lt;&gt;"Terminated")),"Status, ","")&amp;IF($S160="","Plan Name, ","")&amp;IF($T160="","Coverage Level, ","")&amp;IF(AND($U160&lt;&gt;"",OR(NOT(ISNUMBER($U160)),$U160&lt;0)),"Funding, ","")&amp;IF(AND($A160&lt;&gt;"",$S160&lt;&gt;"",COUNTIFS($A$2:$A$501,$A160,$B$2:$B$501,$B160,$S$2:$S$501,$S160)&gt;1),"Duplicate Row, ",""))</f>
        <v/>
      </c>
      <c r="AF160">
        <f>IF(COUNTA($A160:$U160)=0,"",$Y160&amp;$Z160&amp;$AA160&amp;$AB160&amp;$AC160)</f>
        <v/>
      </c>
      <c r="AG160">
        <f>IF($N160="","",LOWER(TRIM($N160)))</f>
        <v/>
      </c>
      <c r="AH160">
        <f>IF($A160="","",COUNTIFS($A$2:$A$501,$A160,$AI$2:$AI$501,1))</f>
        <v/>
      </c>
      <c r="AI160">
        <f>IF(COUNTA($A160:$U160)=0,"",--($AF160&lt;&gt;""))</f>
        <v/>
      </c>
      <c r="AJ160">
        <f>IF(COUNTA($A160:$U160)=0,"",--($AD160&lt;&gt;""))</f>
        <v/>
      </c>
    </row>
    <row r="161" ht="20" customHeight="1">
      <c r="A161" s="80" t="n"/>
      <c r="B161" s="80" t="n"/>
      <c r="C161" s="81" t="n"/>
      <c r="D161" s="81" t="n"/>
      <c r="E161" s="80" t="n"/>
      <c r="F161" s="81" t="n"/>
      <c r="G161" s="81" t="n"/>
      <c r="H161" s="81" t="n"/>
      <c r="I161" s="80" t="n"/>
      <c r="J161" s="80" t="n"/>
      <c r="K161" s="80" t="n"/>
      <c r="L161" s="82" t="n"/>
      <c r="M161" s="80" t="n"/>
      <c r="N161" s="80" t="n"/>
      <c r="O161" s="80" t="n"/>
      <c r="P161" s="82" t="n"/>
      <c r="Q161" s="82" t="n"/>
      <c r="R161" s="80" t="n"/>
      <c r="S161" s="80" t="n"/>
      <c r="T161" s="80" t="n"/>
      <c r="U161" s="83" t="n"/>
      <c r="V161">
        <f>IF($A161="","",IF($A161=$A160,$V160,IF($V160="",0,1-$V160)))</f>
        <v/>
      </c>
      <c r="W161">
        <f>IF($B161&lt;&gt;"",$B161,$A161)</f>
        <v/>
      </c>
      <c r="X161">
        <f>IF(COUNTA($A161:$U161)=0,"",IF(OR($B161&lt;&gt;"",$O161&lt;&gt;""),"Dependent","Employee"))</f>
        <v/>
      </c>
      <c r="Y161">
        <f>IF(COUNTA($A161:$U161)=0,"",IF($A161="","Employee SSN is required; ","")&amp;IF($C161="","First Name is required; ","")&amp;IF(LEN($C161&amp;"")&gt;19,"First Name exceeds 19 characters; ","")&amp;IF(AND($C161&lt;&gt;"",SUMPRODUCT(--(ROW($1:$19)&lt;=LEN($C161&amp;"")),--ISERROR(FIND(MID($C161&amp;"",ROW($1:$19),1),"ABCDEFGHIJKLMNOPQRSTUVWXYZabcdefghijklmnopqrstuvwxyz .,")))&gt;0),"First Name contains unsupported or encoded characters; use plain A-Z letters only; ","")&amp;IF($D161="","Last Name is required; ","")&amp;IF(LEN($D161&amp;"")&gt;26,"Last Name exceeds 26 characters; ","")&amp;IF(AND($D161&lt;&gt;"",SUMPRODUCT(--(ROW($1:$26)&lt;=LEN($D161&amp;"")),--ISERROR(FIND(MID($D161&amp;"",ROW($1:$26),1),"ABCDEFGHIJKLMNOPQRSTUVWXYZabcdefghijklmnopqrstuvwxyz .,")))&gt;0),"Last Name contains unsupported or encoded characters; use plain A-Z letters only; ","")&amp;IF(LEN($E161&amp;"")&gt;1,"Middle Initial may contain only one character; ","")&amp;IF(AND($E161&lt;&gt;"",SUMPRODUCT(--(ROW($1:$1)&lt;=LEN($E161&amp;"")),--ISERROR(FIND(MID($E161&amp;"",ROW($1:$1),1),"ABCDEFGHIJKLMNOPQRSTUVWXYZabcdefghijklmnopqrstuvwxyz .,")))&gt;0),"Middle Initial must be a plain A-Z letter; ","")&amp;IF($F161="","Address is required; ","")&amp;IF(LEN($F161&amp;"")&gt;75,"Address exceeds 75 characters; ","")&amp;IF(LEN($G161&amp;"")&gt;75,"Address 2 exceeds 75 characters; ","")&amp;IF($H161="","City is required; ","")&amp;IF(LEN($H161&amp;"")&gt;30,"City exceeds 30 characters; ","")&amp;IF($K161="","Country is required; ","")&amp;IF(AND($K161&lt;&gt;"",$K161&lt;&gt;"US",$K161&lt;&gt;"CA"),"Country must be US or CA; ","")&amp;IF(AND($K161="US",OR($I161="",LEN($I161&amp;"")&lt;&gt;2)),"Use a 2-letter state code; ","")&amp;IF($J161="","ZIP or postal code is required; ","")&amp;IF(AND($K161="US",$J161&lt;&gt;"",NOT(IFERROR(OR(AND(LEN($J161&amp;"")=5,ISNUMBER(--($J161&amp;""))),AND(LEN($J161&amp;"")=9,ISNUMBER(--($J161&amp;""))),AND(LEN($J161&amp;"")=10,MID($J161&amp;"",6,1)="-",ISNUMBER(--SUBSTITUTE($J161&amp;"","-","")))),FALSE))),"US ZIP must be 5 or 9 digits, with an optional ZIP+4 hyphen; ","")&amp;IF(AND($N161&lt;&gt;"",NOT(IFERROR(AND(ISNUMBER(SEARCH("@",$N161)),ISNUMBER(SEARCH(".",$N161,SEARCH("@",$N161)+2))),FALSE))),"Email format appears invalid; ","")&amp;IF(AND($O161&lt;&gt;"",$B161=""),"Dependent SSN is required for every dependent; ","")&amp;IF(AND($B161&lt;&gt;"",$O161=""),"Dependent Relationship is required when Dependent SSN is entered; ","")&amp;IF(AND($O161&lt;&gt;"",$O161&lt;&gt;"Spouse or Common Law Spouse",$O161&lt;&gt;"Domestic Partner",$O161&lt;&gt;"Child",$O161&lt;&gt;"Other",$O161&lt;&gt;"Estate",$O161&lt;&gt;"Unknown"),"Dependent Relationship must use one of the approved options; ",""))</f>
        <v/>
      </c>
      <c r="Z161">
        <f>IF(COUNTA($A161:$U161)=0,"",IF(AND($A161&lt;&gt;"",NOT(IFERROR(AND(LEN($A161&amp;"")=9,ISNUMBER(--($A161&amp;""))),FALSE))),"Employee SSN must contain exactly 9 digits; ","")&amp;IF(AND($A161&lt;&gt;"",OR($A161="123456789",$A161="987654321",$A161="012345678",$A161=REPT(LEFT($A161&amp;"",1),9))),"Employee SSN appears to be a placeholder; ","")&amp;IF(AND($B161&lt;&gt;"",NOT(IFERROR(AND(LEN($B161&amp;"")=9,ISNUMBER(--($B161&amp;""))),FALSE))),"Dependent SSN must contain exactly 9 digits; ","")&amp;IF(AND($B161&lt;&gt;"",OR($B161="123456789",$B161="987654321",$B161="012345678",$B161=REPT(LEFT($B161&amp;"",1),9))),"Dependent SSN appears to be a placeholder; ","")&amp;IF(AND($A161&lt;&gt;"",$B161&lt;&gt;"",$A161&amp;""=$B161&amp;""),"Dependent SSN cannot match Employee SSN; ","")&amp;IF(AND($W161&lt;&gt;"",OR(COUNTIFS($W$2:$W$501,$W161,$C$2:$C$501,"&lt;&gt;"&amp;$C161)&gt;0,COUNTIFS($W$2:$W$501,$W161,$D$2:$D$501,"&lt;&gt;"&amp;$D161)&gt;0,COUNTIFS($W$2:$W$501,$W161,$L$2:$L$501,"&lt;&gt;"&amp;$L161)&gt;0)),"The same SSN is associated with a different name or birthdate; ",""))</f>
        <v/>
      </c>
      <c r="AA161">
        <f>IF(COUNTA($A161:$U161)=0,"",IF(AND($A161&lt;&gt;"",$S161&lt;&gt;"",COUNTIFS($A$2:$A$501,$A161,$S$2:$S$501,$S161,$B$2:$B$501,"",$O$2:$O$501,"")=0),"Add an employee row for this household and plan; ","")&amp;IF(AND($X161="Dependent",COUNTIFS($A$2:$A161,$A161,$S$2:$S161,$S161,$B$2:$B161,"",$O$2:$O161,"")=0),"Place the employee row before dependent rows for this plan; ","")&amp;IF(AND($X161="Dependent",COUNTIFS($A$2:$A$501,$A161,$S$2:$S$501,$S161,$B$2:$B$501,"",$O$2:$O$501,"")&gt;0,IFERROR(OR($P161&lt;&gt;LOOKUP(2,1/(($A$2:$A$501=$A161)*($S$2:$S$501=$S161)*($B$2:$B$501="")*($O$2:$O$501="")),$P$2:$P$501),$Q161&lt;&gt;LOOKUP(2,1/(($A$2:$A$501=$A161)*($S$2:$S$501=$S161)*($B$2:$B$501="")*($O$2:$O$501="")),$Q$2:$Q$501),$R161&lt;&gt;LOOKUP(2,1/(($A$2:$A$501=$A161)*($S$2:$S$501=$S161)*($B$2:$B$501="")*($O$2:$O$501="")),$R$2:$R$501),$T161&lt;&gt;LOOKUP(2,1/(($A$2:$A$501=$A161)*($S$2:$S$501=$S161)*($B$2:$B$501="")*($O$2:$O$501="")),$T$2:$T$501),$U161&lt;&gt;LOOKUP(2,1/(($A$2:$A$501=$A161)*($S$2:$S$501=$S161)*($B$2:$B$501="")*($O$2:$O$501="")),$U$2:$U$501)),FALSE)),"Dependent row does not match the employee row for eligibility, status, coverage level, or funding; ",""))</f>
        <v/>
      </c>
      <c r="AB161">
        <f>IF(COUNTA($A161:$U161)=0,"",IF($L161="","Birthdate is required; ","")&amp;IF(AND($L161&lt;&gt;"",OR(NOT(ISNUMBER($L161)),$L161&lt;=DATE(1900,1,1),$L161&gt;TODAY())),"Birthdate must be an exact valid past date; ","")&amp;IF($P161="","Eligibility Date is required; ","")&amp;IF(AND($P161&lt;&gt;"",OR(NOT(ISNUMBER($P161)),$P161&lt;=DATE(1900,1,1))),"Eligibility Date must be a valid date; ","")&amp;IF(AND($R161="Terminated",$Q161=""),"Termination Date is required when Status is Terminated; ","")&amp;IF(AND($Q161&lt;&gt;"",OR(NOT(ISNUMBER($Q161)),$Q161&lt;=DATE(1900,1,1))),"Termination Date must be a valid date; ","")&amp;IF(AND(ISNUMBER($P161),ISNUMBER($Q161),$Q161&lt;$P161),"Termination Date cannot be before Eligibility Date; ","")&amp;IF($R161="","Status is required; ","")&amp;IF(AND($R161&lt;&gt;"",$R161&lt;&gt;"Active",$R161&lt;&gt;"Terminated"),"Status must be Active or Terminated; ","")&amp;IF(AND('START HERE'!$C$8="Terminations Only",$R161&lt;&gt;"Terminated"),"Terminations Only files must contain terminated records; ",""))</f>
        <v/>
      </c>
      <c r="AC161">
        <f>IF(COUNTA($A161:$U161)=0,"",IF($S161="","Plan Name is required; ","")&amp;IF($T161="","Benefit Coverage Level is required; ","")&amp;IF(AND($U161&lt;&gt;"",OR(NOT(ISNUMBER($U161)),$U161&lt;0)),"Plan Funding Amount must be a nonnegative number; ","")&amp;IF(AND($A161&lt;&gt;"",$S161&lt;&gt;"",COUNTIFS($A$2:$A$501,$A161,$B$2:$B$501,$B161,$S$2:$S$501,$S161)&gt;1),"Duplicate participant and plan row; ",""))</f>
        <v/>
      </c>
      <c r="AD161">
        <f>IF(COUNTA($A161:$U161)=0,"",IF(AND($X161="Employee",$M161="",$N161=""),"No employee phone or email provided; ","")&amp;IF(AND($R161="Active",$Q161&lt;&gt;""),"Active record includes a Termination Date; confirm this is intentional; ","")&amp;IF(AND($B161&lt;&gt;"",$B161&amp;""&lt;&gt;$A161&amp;"",COUNTIF($A$2:$A$501,$B161)&gt;0),"Dependent SSN also appears as an Employee SSN elsewhere; confirm dual-employee coverage is intentional; ","")&amp;IF(AND($B161&lt;&gt;"",COUNTIF($B$2:$B$501,$B161)&gt;COUNTIFS($A$2:$A$501,$A161,$B$2:$B$501,$B161)),"Dependent SSN appears under more than one employee; confirm duplicate family coverage is intentional; ","")&amp;IF(AND(ROW()&gt;2,$A161&lt;&gt;"",$A161&lt;&gt;$A160,COUNTIF($A$2:$A160,$A161)&gt;0),"This household appears in more than one section of the census; keep the family together; ","")&amp;IF(OR(AND($C161&lt;&gt;"",LEN($C161&amp;"")&lt;&gt;LEN(TRIM($C161&amp;""))),AND($D161&lt;&gt;"",LEN($D161&amp;"")&lt;&gt;LEN(TRIM($D161&amp;""))),AND($E161&lt;&gt;"",LEN($E161&amp;"")&lt;&gt;LEN(TRIM($E161&amp;""))),AND($F161&lt;&gt;"",LEN($F161&amp;"")&lt;&gt;LEN(TRIM($F161&amp;""))),AND($G161&lt;&gt;"",LEN($G161&amp;"")&lt;&gt;LEN(TRIM($G161&amp;""))),AND($H161&lt;&gt;"",LEN($H161&amp;"")&lt;&gt;LEN(TRIM($H161&amp;""))),AND($I161&lt;&gt;"",LEN($I161&amp;"")&lt;&gt;LEN(TRIM($I161&amp;""))),AND($J161&lt;&gt;"",LEN($J161&amp;"")&lt;&gt;LEN(TRIM($J161&amp;""))),AND($K161&lt;&gt;"",LEN($K161&amp;"")&lt;&gt;LEN(TRIM($K161&amp;""))),AND($M161&lt;&gt;"",LEN($M161&amp;"")&lt;&gt;LEN(TRIM($M161&amp;""))),AND($N161&lt;&gt;"",LEN($N161&amp;"")&lt;&gt;LEN(TRIM($N161&amp;""))),AND($O161&lt;&gt;"",LEN($O161&amp;"")&lt;&gt;LEN(TRIM($O161&amp;""))),AND($R161&lt;&gt;"",LEN($R161&amp;"")&lt;&gt;LEN(TRIM($R161&amp;""))),AND($S161&lt;&gt;"",LEN($S161&amp;"")&lt;&gt;LEN(TRIM($S161&amp;""))),AND($T161&lt;&gt;"",LEN($T161&amp;"")&lt;&gt;LEN(TRIM($T161&amp;"")))),"Remove leading or trailing spaces from text fields; ","")&amp;IF(OR(AND(LEN($C161)&gt;1,OR(EXACT($C161,UPPER($C161)),EXACT($C161,LOWER($C161)))),AND(LEN($D161)&gt;1,OR(EXACT($D161,UPPER($D161)),EXACT($D161,LOWER($D161)))),AND(LEN($H161)&gt;1,OR(EXACT($H161,UPPER($H161)),EXACT($H161,LOWER($H161))))),"Review capitalization in First Name, Last Name, or City; ","")&amp;IF(AND($N161&lt;&gt;"",NOT(EXACT($N161,LOWER($N161)))),"Email will be standardized to lowercase in the clean output; ","")&amp;IF(AND(OR('START HERE'!$C$8="Initial Enrollment",'START HERE'!$C$8="Open Enrollment"),$R161="Terminated"),"A terminated row is included in an initial or open enrollment file; confirm this is intentional; ",""))</f>
        <v/>
      </c>
      <c r="AE161">
        <f>IF(COUNTA($A161:$U161)=0,"",IF(OR($A161="",AND($A161&lt;&gt;"",NOT(IFERROR(AND(LEN($A161&amp;"")=9,ISNUMBER(--($A161&amp;""))),FALSE))),AND($A161&lt;&gt;"",OR($A161="123456789",$A161="987654321",$A161="012345678",$A161=REPT(LEFT($A161&amp;"",1),9)))),"Employee SSN, ","")&amp;IF(OR(AND($O161&lt;&gt;"",$B161=""),AND($B161&lt;&gt;"",OR(NOT(IFERROR(AND(LEN($B161&amp;"")=9,ISNUMBER(--($B161&amp;""))),FALSE)),$B161=$A161,$B161="123456789",$B161="987654321",$B161="012345678",$B161=REPT(LEFT($B161&amp;"",1),9)))),"Dependent SSN, ","")&amp;IF(OR($C161="",LEN($C161)&gt;19,AND($C161&lt;&gt;"",SUMPRODUCT(--(ROW($1:$19)&lt;=LEN($C161&amp;"")),--ISERROR(FIND(MID($C161&amp;"",ROW($1:$19),1),"ABCDEFGHIJKLMNOPQRSTUVWXYZabcdefghijklmnopqrstuvwxyz .,")))&gt;0)),"First Name, ","")&amp;IF(OR($D161="",LEN($D161)&gt;26,AND($D161&lt;&gt;"",SUMPRODUCT(--(ROW($1:$26)&lt;=LEN($D161&amp;"")),--ISERROR(FIND(MID($D161&amp;"",ROW($1:$26),1),"ABCDEFGHIJKLMNOPQRSTUVWXYZabcdefghijklmnopqrstuvwxyz .,")))&gt;0)),"Last Name, ","")&amp;IF(OR(LEN($E161)&gt;1,AND($E161&lt;&gt;"",SUMPRODUCT(--(ROW($1:$1)&lt;=LEN($E161&amp;"")),--ISERROR(FIND(MID($E161&amp;"",ROW($1:$1),1),"ABCDEFGHIJKLMNOPQRSTUVWXYZabcdefghijklmnopqrstuvwxyz .,")))&gt;0)),"Middle Initial, ","")&amp;IF(OR($F161="",LEN($F161)&gt;75),"Address, ","")&amp;IF(OR($H161="",LEN($H161)&gt;30),"City, ","")&amp;IF(AND($K161="US",OR($I161="",LEN($I161)&lt;&gt;2)),"State, ","")&amp;IF($J161="","ZIP, ","")&amp;IF(OR($K161="",AND($K161&lt;&gt;"US",$K161&lt;&gt;"CA")),"Country, ","")&amp;IF(OR($L161="",AND($L161&lt;&gt;"",OR(NOT(ISNUMBER($L161)),$L161&lt;=DATE(1900,1,1),$L161&gt;TODAY()))),"Birthdate, ","")&amp;IF(AND($N161&lt;&gt;"",NOT(IFERROR(AND(ISNUMBER(SEARCH("@",$N161)),ISNUMBER(SEARCH(".",$N161,SEARCH("@",$N161)+2))),FALSE))),"Email, ","")&amp;IF(OR(AND($B161&lt;&gt;"",$O161=""),AND($O161&lt;&gt;"",$O161&lt;&gt;"Spouse or Common Law Spouse",$O161&lt;&gt;"Domestic Partner",$O161&lt;&gt;"Child",$O161&lt;&gt;"Other",$O161&lt;&gt;"Estate",$O161&lt;&gt;"Unknown")),"Dependent Relationship, ","")&amp;IF($AA161&lt;&gt;"","Household, ","")&amp;IF(OR($P161="",AND($P161&lt;&gt;"",OR(NOT(ISNUMBER($P161)),$P161&lt;=DATE(1900,1,1)))),"Eligibility Date, ","")&amp;IF(OR(AND($R161="Terminated",$Q161=""),AND($Q161&lt;&gt;"",OR(NOT(ISNUMBER($Q161)),$Q161&lt;=DATE(1900,1,1))),AND(ISNUMBER($P161),ISNUMBER($Q161),$Q161&lt;$P161)),"Termination Date, ","")&amp;IF(OR($R161="",AND($R161&lt;&gt;"Active",$R161&lt;&gt;"Terminated"),AND('START HERE'!$C$8="Terminations Only",$R161&lt;&gt;"Terminated")),"Status, ","")&amp;IF($S161="","Plan Name, ","")&amp;IF($T161="","Coverage Level, ","")&amp;IF(AND($U161&lt;&gt;"",OR(NOT(ISNUMBER($U161)),$U161&lt;0)),"Funding, ","")&amp;IF(AND($A161&lt;&gt;"",$S161&lt;&gt;"",COUNTIFS($A$2:$A$501,$A161,$B$2:$B$501,$B161,$S$2:$S$501,$S161)&gt;1),"Duplicate Row, ",""))</f>
        <v/>
      </c>
      <c r="AF161">
        <f>IF(COUNTA($A161:$U161)=0,"",$Y161&amp;$Z161&amp;$AA161&amp;$AB161&amp;$AC161)</f>
        <v/>
      </c>
      <c r="AG161">
        <f>IF($N161="","",LOWER(TRIM($N161)))</f>
        <v/>
      </c>
      <c r="AH161">
        <f>IF($A161="","",COUNTIFS($A$2:$A$501,$A161,$AI$2:$AI$501,1))</f>
        <v/>
      </c>
      <c r="AI161">
        <f>IF(COUNTA($A161:$U161)=0,"",--($AF161&lt;&gt;""))</f>
        <v/>
      </c>
      <c r="AJ161">
        <f>IF(COUNTA($A161:$U161)=0,"",--($AD161&lt;&gt;""))</f>
        <v/>
      </c>
    </row>
    <row r="162" ht="20" customHeight="1">
      <c r="A162" s="80" t="n"/>
      <c r="B162" s="80" t="n"/>
      <c r="C162" s="81" t="n"/>
      <c r="D162" s="81" t="n"/>
      <c r="E162" s="80" t="n"/>
      <c r="F162" s="81" t="n"/>
      <c r="G162" s="81" t="n"/>
      <c r="H162" s="81" t="n"/>
      <c r="I162" s="80" t="n"/>
      <c r="J162" s="80" t="n"/>
      <c r="K162" s="80" t="n"/>
      <c r="L162" s="82" t="n"/>
      <c r="M162" s="80" t="n"/>
      <c r="N162" s="80" t="n"/>
      <c r="O162" s="80" t="n"/>
      <c r="P162" s="82" t="n"/>
      <c r="Q162" s="82" t="n"/>
      <c r="R162" s="80" t="n"/>
      <c r="S162" s="80" t="n"/>
      <c r="T162" s="80" t="n"/>
      <c r="U162" s="83" t="n"/>
      <c r="V162">
        <f>IF($A162="","",IF($A162=$A161,$V161,IF($V161="",0,1-$V161)))</f>
        <v/>
      </c>
      <c r="W162">
        <f>IF($B162&lt;&gt;"",$B162,$A162)</f>
        <v/>
      </c>
      <c r="X162">
        <f>IF(COUNTA($A162:$U162)=0,"",IF(OR($B162&lt;&gt;"",$O162&lt;&gt;""),"Dependent","Employee"))</f>
        <v/>
      </c>
      <c r="Y162">
        <f>IF(COUNTA($A162:$U162)=0,"",IF($A162="","Employee SSN is required; ","")&amp;IF($C162="","First Name is required; ","")&amp;IF(LEN($C162&amp;"")&gt;19,"First Name exceeds 19 characters; ","")&amp;IF(AND($C162&lt;&gt;"",SUMPRODUCT(--(ROW($1:$19)&lt;=LEN($C162&amp;"")),--ISERROR(FIND(MID($C162&amp;"",ROW($1:$19),1),"ABCDEFGHIJKLMNOPQRSTUVWXYZabcdefghijklmnopqrstuvwxyz .,")))&gt;0),"First Name contains unsupported or encoded characters; use plain A-Z letters only; ","")&amp;IF($D162="","Last Name is required; ","")&amp;IF(LEN($D162&amp;"")&gt;26,"Last Name exceeds 26 characters; ","")&amp;IF(AND($D162&lt;&gt;"",SUMPRODUCT(--(ROW($1:$26)&lt;=LEN($D162&amp;"")),--ISERROR(FIND(MID($D162&amp;"",ROW($1:$26),1),"ABCDEFGHIJKLMNOPQRSTUVWXYZabcdefghijklmnopqrstuvwxyz .,")))&gt;0),"Last Name contains unsupported or encoded characters; use plain A-Z letters only; ","")&amp;IF(LEN($E162&amp;"")&gt;1,"Middle Initial may contain only one character; ","")&amp;IF(AND($E162&lt;&gt;"",SUMPRODUCT(--(ROW($1:$1)&lt;=LEN($E162&amp;"")),--ISERROR(FIND(MID($E162&amp;"",ROW($1:$1),1),"ABCDEFGHIJKLMNOPQRSTUVWXYZabcdefghijklmnopqrstuvwxyz .,")))&gt;0),"Middle Initial must be a plain A-Z letter; ","")&amp;IF($F162="","Address is required; ","")&amp;IF(LEN($F162&amp;"")&gt;75,"Address exceeds 75 characters; ","")&amp;IF(LEN($G162&amp;"")&gt;75,"Address 2 exceeds 75 characters; ","")&amp;IF($H162="","City is required; ","")&amp;IF(LEN($H162&amp;"")&gt;30,"City exceeds 30 characters; ","")&amp;IF($K162="","Country is required; ","")&amp;IF(AND($K162&lt;&gt;"",$K162&lt;&gt;"US",$K162&lt;&gt;"CA"),"Country must be US or CA; ","")&amp;IF(AND($K162="US",OR($I162="",LEN($I162&amp;"")&lt;&gt;2)),"Use a 2-letter state code; ","")&amp;IF($J162="","ZIP or postal code is required; ","")&amp;IF(AND($K162="US",$J162&lt;&gt;"",NOT(IFERROR(OR(AND(LEN($J162&amp;"")=5,ISNUMBER(--($J162&amp;""))),AND(LEN($J162&amp;"")=9,ISNUMBER(--($J162&amp;""))),AND(LEN($J162&amp;"")=10,MID($J162&amp;"",6,1)="-",ISNUMBER(--SUBSTITUTE($J162&amp;"","-","")))),FALSE))),"US ZIP must be 5 or 9 digits, with an optional ZIP+4 hyphen; ","")&amp;IF(AND($N162&lt;&gt;"",NOT(IFERROR(AND(ISNUMBER(SEARCH("@",$N162)),ISNUMBER(SEARCH(".",$N162,SEARCH("@",$N162)+2))),FALSE))),"Email format appears invalid; ","")&amp;IF(AND($O162&lt;&gt;"",$B162=""),"Dependent SSN is required for every dependent; ","")&amp;IF(AND($B162&lt;&gt;"",$O162=""),"Dependent Relationship is required when Dependent SSN is entered; ","")&amp;IF(AND($O162&lt;&gt;"",$O162&lt;&gt;"Spouse or Common Law Spouse",$O162&lt;&gt;"Domestic Partner",$O162&lt;&gt;"Child",$O162&lt;&gt;"Other",$O162&lt;&gt;"Estate",$O162&lt;&gt;"Unknown"),"Dependent Relationship must use one of the approved options; ",""))</f>
        <v/>
      </c>
      <c r="Z162">
        <f>IF(COUNTA($A162:$U162)=0,"",IF(AND($A162&lt;&gt;"",NOT(IFERROR(AND(LEN($A162&amp;"")=9,ISNUMBER(--($A162&amp;""))),FALSE))),"Employee SSN must contain exactly 9 digits; ","")&amp;IF(AND($A162&lt;&gt;"",OR($A162="123456789",$A162="987654321",$A162="012345678",$A162=REPT(LEFT($A162&amp;"",1),9))),"Employee SSN appears to be a placeholder; ","")&amp;IF(AND($B162&lt;&gt;"",NOT(IFERROR(AND(LEN($B162&amp;"")=9,ISNUMBER(--($B162&amp;""))),FALSE))),"Dependent SSN must contain exactly 9 digits; ","")&amp;IF(AND($B162&lt;&gt;"",OR($B162="123456789",$B162="987654321",$B162="012345678",$B162=REPT(LEFT($B162&amp;"",1),9))),"Dependent SSN appears to be a placeholder; ","")&amp;IF(AND($A162&lt;&gt;"",$B162&lt;&gt;"",$A162&amp;""=$B162&amp;""),"Dependent SSN cannot match Employee SSN; ","")&amp;IF(AND($W162&lt;&gt;"",OR(COUNTIFS($W$2:$W$501,$W162,$C$2:$C$501,"&lt;&gt;"&amp;$C162)&gt;0,COUNTIFS($W$2:$W$501,$W162,$D$2:$D$501,"&lt;&gt;"&amp;$D162)&gt;0,COUNTIFS($W$2:$W$501,$W162,$L$2:$L$501,"&lt;&gt;"&amp;$L162)&gt;0)),"The same SSN is associated with a different name or birthdate; ",""))</f>
        <v/>
      </c>
      <c r="AA162">
        <f>IF(COUNTA($A162:$U162)=0,"",IF(AND($A162&lt;&gt;"",$S162&lt;&gt;"",COUNTIFS($A$2:$A$501,$A162,$S$2:$S$501,$S162,$B$2:$B$501,"",$O$2:$O$501,"")=0),"Add an employee row for this household and plan; ","")&amp;IF(AND($X162="Dependent",COUNTIFS($A$2:$A162,$A162,$S$2:$S162,$S162,$B$2:$B162,"",$O$2:$O162,"")=0),"Place the employee row before dependent rows for this plan; ","")&amp;IF(AND($X162="Dependent",COUNTIFS($A$2:$A$501,$A162,$S$2:$S$501,$S162,$B$2:$B$501,"",$O$2:$O$501,"")&gt;0,IFERROR(OR($P162&lt;&gt;LOOKUP(2,1/(($A$2:$A$501=$A162)*($S$2:$S$501=$S162)*($B$2:$B$501="")*($O$2:$O$501="")),$P$2:$P$501),$Q162&lt;&gt;LOOKUP(2,1/(($A$2:$A$501=$A162)*($S$2:$S$501=$S162)*($B$2:$B$501="")*($O$2:$O$501="")),$Q$2:$Q$501),$R162&lt;&gt;LOOKUP(2,1/(($A$2:$A$501=$A162)*($S$2:$S$501=$S162)*($B$2:$B$501="")*($O$2:$O$501="")),$R$2:$R$501),$T162&lt;&gt;LOOKUP(2,1/(($A$2:$A$501=$A162)*($S$2:$S$501=$S162)*($B$2:$B$501="")*($O$2:$O$501="")),$T$2:$T$501),$U162&lt;&gt;LOOKUP(2,1/(($A$2:$A$501=$A162)*($S$2:$S$501=$S162)*($B$2:$B$501="")*($O$2:$O$501="")),$U$2:$U$501)),FALSE)),"Dependent row does not match the employee row for eligibility, status, coverage level, or funding; ",""))</f>
        <v/>
      </c>
      <c r="AB162">
        <f>IF(COUNTA($A162:$U162)=0,"",IF($L162="","Birthdate is required; ","")&amp;IF(AND($L162&lt;&gt;"",OR(NOT(ISNUMBER($L162)),$L162&lt;=DATE(1900,1,1),$L162&gt;TODAY())),"Birthdate must be an exact valid past date; ","")&amp;IF($P162="","Eligibility Date is required; ","")&amp;IF(AND($P162&lt;&gt;"",OR(NOT(ISNUMBER($P162)),$P162&lt;=DATE(1900,1,1))),"Eligibility Date must be a valid date; ","")&amp;IF(AND($R162="Terminated",$Q162=""),"Termination Date is required when Status is Terminated; ","")&amp;IF(AND($Q162&lt;&gt;"",OR(NOT(ISNUMBER($Q162)),$Q162&lt;=DATE(1900,1,1))),"Termination Date must be a valid date; ","")&amp;IF(AND(ISNUMBER($P162),ISNUMBER($Q162),$Q162&lt;$P162),"Termination Date cannot be before Eligibility Date; ","")&amp;IF($R162="","Status is required; ","")&amp;IF(AND($R162&lt;&gt;"",$R162&lt;&gt;"Active",$R162&lt;&gt;"Terminated"),"Status must be Active or Terminated; ","")&amp;IF(AND('START HERE'!$C$8="Terminations Only",$R162&lt;&gt;"Terminated"),"Terminations Only files must contain terminated records; ",""))</f>
        <v/>
      </c>
      <c r="AC162">
        <f>IF(COUNTA($A162:$U162)=0,"",IF($S162="","Plan Name is required; ","")&amp;IF($T162="","Benefit Coverage Level is required; ","")&amp;IF(AND($U162&lt;&gt;"",OR(NOT(ISNUMBER($U162)),$U162&lt;0)),"Plan Funding Amount must be a nonnegative number; ","")&amp;IF(AND($A162&lt;&gt;"",$S162&lt;&gt;"",COUNTIFS($A$2:$A$501,$A162,$B$2:$B$501,$B162,$S$2:$S$501,$S162)&gt;1),"Duplicate participant and plan row; ",""))</f>
        <v/>
      </c>
      <c r="AD162">
        <f>IF(COUNTA($A162:$U162)=0,"",IF(AND($X162="Employee",$M162="",$N162=""),"No employee phone or email provided; ","")&amp;IF(AND($R162="Active",$Q162&lt;&gt;""),"Active record includes a Termination Date; confirm this is intentional; ","")&amp;IF(AND($B162&lt;&gt;"",$B162&amp;""&lt;&gt;$A162&amp;"",COUNTIF($A$2:$A$501,$B162)&gt;0),"Dependent SSN also appears as an Employee SSN elsewhere; confirm dual-employee coverage is intentional; ","")&amp;IF(AND($B162&lt;&gt;"",COUNTIF($B$2:$B$501,$B162)&gt;COUNTIFS($A$2:$A$501,$A162,$B$2:$B$501,$B162)),"Dependent SSN appears under more than one employee; confirm duplicate family coverage is intentional; ","")&amp;IF(AND(ROW()&gt;2,$A162&lt;&gt;"",$A162&lt;&gt;$A161,COUNTIF($A$2:$A161,$A162)&gt;0),"This household appears in more than one section of the census; keep the family together; ","")&amp;IF(OR(AND($C162&lt;&gt;"",LEN($C162&amp;"")&lt;&gt;LEN(TRIM($C162&amp;""))),AND($D162&lt;&gt;"",LEN($D162&amp;"")&lt;&gt;LEN(TRIM($D162&amp;""))),AND($E162&lt;&gt;"",LEN($E162&amp;"")&lt;&gt;LEN(TRIM($E162&amp;""))),AND($F162&lt;&gt;"",LEN($F162&amp;"")&lt;&gt;LEN(TRIM($F162&amp;""))),AND($G162&lt;&gt;"",LEN($G162&amp;"")&lt;&gt;LEN(TRIM($G162&amp;""))),AND($H162&lt;&gt;"",LEN($H162&amp;"")&lt;&gt;LEN(TRIM($H162&amp;""))),AND($I162&lt;&gt;"",LEN($I162&amp;"")&lt;&gt;LEN(TRIM($I162&amp;""))),AND($J162&lt;&gt;"",LEN($J162&amp;"")&lt;&gt;LEN(TRIM($J162&amp;""))),AND($K162&lt;&gt;"",LEN($K162&amp;"")&lt;&gt;LEN(TRIM($K162&amp;""))),AND($M162&lt;&gt;"",LEN($M162&amp;"")&lt;&gt;LEN(TRIM($M162&amp;""))),AND($N162&lt;&gt;"",LEN($N162&amp;"")&lt;&gt;LEN(TRIM($N162&amp;""))),AND($O162&lt;&gt;"",LEN($O162&amp;"")&lt;&gt;LEN(TRIM($O162&amp;""))),AND($R162&lt;&gt;"",LEN($R162&amp;"")&lt;&gt;LEN(TRIM($R162&amp;""))),AND($S162&lt;&gt;"",LEN($S162&amp;"")&lt;&gt;LEN(TRIM($S162&amp;""))),AND($T162&lt;&gt;"",LEN($T162&amp;"")&lt;&gt;LEN(TRIM($T162&amp;"")))),"Remove leading or trailing spaces from text fields; ","")&amp;IF(OR(AND(LEN($C162)&gt;1,OR(EXACT($C162,UPPER($C162)),EXACT($C162,LOWER($C162)))),AND(LEN($D162)&gt;1,OR(EXACT($D162,UPPER($D162)),EXACT($D162,LOWER($D162)))),AND(LEN($H162)&gt;1,OR(EXACT($H162,UPPER($H162)),EXACT($H162,LOWER($H162))))),"Review capitalization in First Name, Last Name, or City; ","")&amp;IF(AND($N162&lt;&gt;"",NOT(EXACT($N162,LOWER($N162)))),"Email will be standardized to lowercase in the clean output; ","")&amp;IF(AND(OR('START HERE'!$C$8="Initial Enrollment",'START HERE'!$C$8="Open Enrollment"),$R162="Terminated"),"A terminated row is included in an initial or open enrollment file; confirm this is intentional; ",""))</f>
        <v/>
      </c>
      <c r="AE162">
        <f>IF(COUNTA($A162:$U162)=0,"",IF(OR($A162="",AND($A162&lt;&gt;"",NOT(IFERROR(AND(LEN($A162&amp;"")=9,ISNUMBER(--($A162&amp;""))),FALSE))),AND($A162&lt;&gt;"",OR($A162="123456789",$A162="987654321",$A162="012345678",$A162=REPT(LEFT($A162&amp;"",1),9)))),"Employee SSN, ","")&amp;IF(OR(AND($O162&lt;&gt;"",$B162=""),AND($B162&lt;&gt;"",OR(NOT(IFERROR(AND(LEN($B162&amp;"")=9,ISNUMBER(--($B162&amp;""))),FALSE)),$B162=$A162,$B162="123456789",$B162="987654321",$B162="012345678",$B162=REPT(LEFT($B162&amp;"",1),9)))),"Dependent SSN, ","")&amp;IF(OR($C162="",LEN($C162)&gt;19,AND($C162&lt;&gt;"",SUMPRODUCT(--(ROW($1:$19)&lt;=LEN($C162&amp;"")),--ISERROR(FIND(MID($C162&amp;"",ROW($1:$19),1),"ABCDEFGHIJKLMNOPQRSTUVWXYZabcdefghijklmnopqrstuvwxyz .,")))&gt;0)),"First Name, ","")&amp;IF(OR($D162="",LEN($D162)&gt;26,AND($D162&lt;&gt;"",SUMPRODUCT(--(ROW($1:$26)&lt;=LEN($D162&amp;"")),--ISERROR(FIND(MID($D162&amp;"",ROW($1:$26),1),"ABCDEFGHIJKLMNOPQRSTUVWXYZabcdefghijklmnopqrstuvwxyz .,")))&gt;0)),"Last Name, ","")&amp;IF(OR(LEN($E162)&gt;1,AND($E162&lt;&gt;"",SUMPRODUCT(--(ROW($1:$1)&lt;=LEN($E162&amp;"")),--ISERROR(FIND(MID($E162&amp;"",ROW($1:$1),1),"ABCDEFGHIJKLMNOPQRSTUVWXYZabcdefghijklmnopqrstuvwxyz .,")))&gt;0)),"Middle Initial, ","")&amp;IF(OR($F162="",LEN($F162)&gt;75),"Address, ","")&amp;IF(OR($H162="",LEN($H162)&gt;30),"City, ","")&amp;IF(AND($K162="US",OR($I162="",LEN($I162)&lt;&gt;2)),"State, ","")&amp;IF($J162="","ZIP, ","")&amp;IF(OR($K162="",AND($K162&lt;&gt;"US",$K162&lt;&gt;"CA")),"Country, ","")&amp;IF(OR($L162="",AND($L162&lt;&gt;"",OR(NOT(ISNUMBER($L162)),$L162&lt;=DATE(1900,1,1),$L162&gt;TODAY()))),"Birthdate, ","")&amp;IF(AND($N162&lt;&gt;"",NOT(IFERROR(AND(ISNUMBER(SEARCH("@",$N162)),ISNUMBER(SEARCH(".",$N162,SEARCH("@",$N162)+2))),FALSE))),"Email, ","")&amp;IF(OR(AND($B162&lt;&gt;"",$O162=""),AND($O162&lt;&gt;"",$O162&lt;&gt;"Spouse or Common Law Spouse",$O162&lt;&gt;"Domestic Partner",$O162&lt;&gt;"Child",$O162&lt;&gt;"Other",$O162&lt;&gt;"Estate",$O162&lt;&gt;"Unknown")),"Dependent Relationship, ","")&amp;IF($AA162&lt;&gt;"","Household, ","")&amp;IF(OR($P162="",AND($P162&lt;&gt;"",OR(NOT(ISNUMBER($P162)),$P162&lt;=DATE(1900,1,1)))),"Eligibility Date, ","")&amp;IF(OR(AND($R162="Terminated",$Q162=""),AND($Q162&lt;&gt;"",OR(NOT(ISNUMBER($Q162)),$Q162&lt;=DATE(1900,1,1))),AND(ISNUMBER($P162),ISNUMBER($Q162),$Q162&lt;$P162)),"Termination Date, ","")&amp;IF(OR($R162="",AND($R162&lt;&gt;"Active",$R162&lt;&gt;"Terminated"),AND('START HERE'!$C$8="Terminations Only",$R162&lt;&gt;"Terminated")),"Status, ","")&amp;IF($S162="","Plan Name, ","")&amp;IF($T162="","Coverage Level, ","")&amp;IF(AND($U162&lt;&gt;"",OR(NOT(ISNUMBER($U162)),$U162&lt;0)),"Funding, ","")&amp;IF(AND($A162&lt;&gt;"",$S162&lt;&gt;"",COUNTIFS($A$2:$A$501,$A162,$B$2:$B$501,$B162,$S$2:$S$501,$S162)&gt;1),"Duplicate Row, ",""))</f>
        <v/>
      </c>
      <c r="AF162">
        <f>IF(COUNTA($A162:$U162)=0,"",$Y162&amp;$Z162&amp;$AA162&amp;$AB162&amp;$AC162)</f>
        <v/>
      </c>
      <c r="AG162">
        <f>IF($N162="","",LOWER(TRIM($N162)))</f>
        <v/>
      </c>
      <c r="AH162">
        <f>IF($A162="","",COUNTIFS($A$2:$A$501,$A162,$AI$2:$AI$501,1))</f>
        <v/>
      </c>
      <c r="AI162">
        <f>IF(COUNTA($A162:$U162)=0,"",--($AF162&lt;&gt;""))</f>
        <v/>
      </c>
      <c r="AJ162">
        <f>IF(COUNTA($A162:$U162)=0,"",--($AD162&lt;&gt;""))</f>
        <v/>
      </c>
    </row>
    <row r="163" ht="20" customHeight="1">
      <c r="A163" s="80" t="n"/>
      <c r="B163" s="80" t="n"/>
      <c r="C163" s="81" t="n"/>
      <c r="D163" s="81" t="n"/>
      <c r="E163" s="80" t="n"/>
      <c r="F163" s="81" t="n"/>
      <c r="G163" s="81" t="n"/>
      <c r="H163" s="81" t="n"/>
      <c r="I163" s="80" t="n"/>
      <c r="J163" s="80" t="n"/>
      <c r="K163" s="80" t="n"/>
      <c r="L163" s="82" t="n"/>
      <c r="M163" s="80" t="n"/>
      <c r="N163" s="80" t="n"/>
      <c r="O163" s="80" t="n"/>
      <c r="P163" s="82" t="n"/>
      <c r="Q163" s="82" t="n"/>
      <c r="R163" s="80" t="n"/>
      <c r="S163" s="80" t="n"/>
      <c r="T163" s="80" t="n"/>
      <c r="U163" s="83" t="n"/>
      <c r="V163">
        <f>IF($A163="","",IF($A163=$A162,$V162,IF($V162="",0,1-$V162)))</f>
        <v/>
      </c>
      <c r="W163">
        <f>IF($B163&lt;&gt;"",$B163,$A163)</f>
        <v/>
      </c>
      <c r="X163">
        <f>IF(COUNTA($A163:$U163)=0,"",IF(OR($B163&lt;&gt;"",$O163&lt;&gt;""),"Dependent","Employee"))</f>
        <v/>
      </c>
      <c r="Y163">
        <f>IF(COUNTA($A163:$U163)=0,"",IF($A163="","Employee SSN is required; ","")&amp;IF($C163="","First Name is required; ","")&amp;IF(LEN($C163&amp;"")&gt;19,"First Name exceeds 19 characters; ","")&amp;IF(AND($C163&lt;&gt;"",SUMPRODUCT(--(ROW($1:$19)&lt;=LEN($C163&amp;"")),--ISERROR(FIND(MID($C163&amp;"",ROW($1:$19),1),"ABCDEFGHIJKLMNOPQRSTUVWXYZabcdefghijklmnopqrstuvwxyz .,")))&gt;0),"First Name contains unsupported or encoded characters; use plain A-Z letters only; ","")&amp;IF($D163="","Last Name is required; ","")&amp;IF(LEN($D163&amp;"")&gt;26,"Last Name exceeds 26 characters; ","")&amp;IF(AND($D163&lt;&gt;"",SUMPRODUCT(--(ROW($1:$26)&lt;=LEN($D163&amp;"")),--ISERROR(FIND(MID($D163&amp;"",ROW($1:$26),1),"ABCDEFGHIJKLMNOPQRSTUVWXYZabcdefghijklmnopqrstuvwxyz .,")))&gt;0),"Last Name contains unsupported or encoded characters; use plain A-Z letters only; ","")&amp;IF(LEN($E163&amp;"")&gt;1,"Middle Initial may contain only one character; ","")&amp;IF(AND($E163&lt;&gt;"",SUMPRODUCT(--(ROW($1:$1)&lt;=LEN($E163&amp;"")),--ISERROR(FIND(MID($E163&amp;"",ROW($1:$1),1),"ABCDEFGHIJKLMNOPQRSTUVWXYZabcdefghijklmnopqrstuvwxyz .,")))&gt;0),"Middle Initial must be a plain A-Z letter; ","")&amp;IF($F163="","Address is required; ","")&amp;IF(LEN($F163&amp;"")&gt;75,"Address exceeds 75 characters; ","")&amp;IF(LEN($G163&amp;"")&gt;75,"Address 2 exceeds 75 characters; ","")&amp;IF($H163="","City is required; ","")&amp;IF(LEN($H163&amp;"")&gt;30,"City exceeds 30 characters; ","")&amp;IF($K163="","Country is required; ","")&amp;IF(AND($K163&lt;&gt;"",$K163&lt;&gt;"US",$K163&lt;&gt;"CA"),"Country must be US or CA; ","")&amp;IF(AND($K163="US",OR($I163="",LEN($I163&amp;"")&lt;&gt;2)),"Use a 2-letter state code; ","")&amp;IF($J163="","ZIP or postal code is required; ","")&amp;IF(AND($K163="US",$J163&lt;&gt;"",NOT(IFERROR(OR(AND(LEN($J163&amp;"")=5,ISNUMBER(--($J163&amp;""))),AND(LEN($J163&amp;"")=9,ISNUMBER(--($J163&amp;""))),AND(LEN($J163&amp;"")=10,MID($J163&amp;"",6,1)="-",ISNUMBER(--SUBSTITUTE($J163&amp;"","-","")))),FALSE))),"US ZIP must be 5 or 9 digits, with an optional ZIP+4 hyphen; ","")&amp;IF(AND($N163&lt;&gt;"",NOT(IFERROR(AND(ISNUMBER(SEARCH("@",$N163)),ISNUMBER(SEARCH(".",$N163,SEARCH("@",$N163)+2))),FALSE))),"Email format appears invalid; ","")&amp;IF(AND($O163&lt;&gt;"",$B163=""),"Dependent SSN is required for every dependent; ","")&amp;IF(AND($B163&lt;&gt;"",$O163=""),"Dependent Relationship is required when Dependent SSN is entered; ","")&amp;IF(AND($O163&lt;&gt;"",$O163&lt;&gt;"Spouse or Common Law Spouse",$O163&lt;&gt;"Domestic Partner",$O163&lt;&gt;"Child",$O163&lt;&gt;"Other",$O163&lt;&gt;"Estate",$O163&lt;&gt;"Unknown"),"Dependent Relationship must use one of the approved options; ",""))</f>
        <v/>
      </c>
      <c r="Z163">
        <f>IF(COUNTA($A163:$U163)=0,"",IF(AND($A163&lt;&gt;"",NOT(IFERROR(AND(LEN($A163&amp;"")=9,ISNUMBER(--($A163&amp;""))),FALSE))),"Employee SSN must contain exactly 9 digits; ","")&amp;IF(AND($A163&lt;&gt;"",OR($A163="123456789",$A163="987654321",$A163="012345678",$A163=REPT(LEFT($A163&amp;"",1),9))),"Employee SSN appears to be a placeholder; ","")&amp;IF(AND($B163&lt;&gt;"",NOT(IFERROR(AND(LEN($B163&amp;"")=9,ISNUMBER(--($B163&amp;""))),FALSE))),"Dependent SSN must contain exactly 9 digits; ","")&amp;IF(AND($B163&lt;&gt;"",OR($B163="123456789",$B163="987654321",$B163="012345678",$B163=REPT(LEFT($B163&amp;"",1),9))),"Dependent SSN appears to be a placeholder; ","")&amp;IF(AND($A163&lt;&gt;"",$B163&lt;&gt;"",$A163&amp;""=$B163&amp;""),"Dependent SSN cannot match Employee SSN; ","")&amp;IF(AND($W163&lt;&gt;"",OR(COUNTIFS($W$2:$W$501,$W163,$C$2:$C$501,"&lt;&gt;"&amp;$C163)&gt;0,COUNTIFS($W$2:$W$501,$W163,$D$2:$D$501,"&lt;&gt;"&amp;$D163)&gt;0,COUNTIFS($W$2:$W$501,$W163,$L$2:$L$501,"&lt;&gt;"&amp;$L163)&gt;0)),"The same SSN is associated with a different name or birthdate; ",""))</f>
        <v/>
      </c>
      <c r="AA163">
        <f>IF(COUNTA($A163:$U163)=0,"",IF(AND($A163&lt;&gt;"",$S163&lt;&gt;"",COUNTIFS($A$2:$A$501,$A163,$S$2:$S$501,$S163,$B$2:$B$501,"",$O$2:$O$501,"")=0),"Add an employee row for this household and plan; ","")&amp;IF(AND($X163="Dependent",COUNTIFS($A$2:$A163,$A163,$S$2:$S163,$S163,$B$2:$B163,"",$O$2:$O163,"")=0),"Place the employee row before dependent rows for this plan; ","")&amp;IF(AND($X163="Dependent",COUNTIFS($A$2:$A$501,$A163,$S$2:$S$501,$S163,$B$2:$B$501,"",$O$2:$O$501,"")&gt;0,IFERROR(OR($P163&lt;&gt;LOOKUP(2,1/(($A$2:$A$501=$A163)*($S$2:$S$501=$S163)*($B$2:$B$501="")*($O$2:$O$501="")),$P$2:$P$501),$Q163&lt;&gt;LOOKUP(2,1/(($A$2:$A$501=$A163)*($S$2:$S$501=$S163)*($B$2:$B$501="")*($O$2:$O$501="")),$Q$2:$Q$501),$R163&lt;&gt;LOOKUP(2,1/(($A$2:$A$501=$A163)*($S$2:$S$501=$S163)*($B$2:$B$501="")*($O$2:$O$501="")),$R$2:$R$501),$T163&lt;&gt;LOOKUP(2,1/(($A$2:$A$501=$A163)*($S$2:$S$501=$S163)*($B$2:$B$501="")*($O$2:$O$501="")),$T$2:$T$501),$U163&lt;&gt;LOOKUP(2,1/(($A$2:$A$501=$A163)*($S$2:$S$501=$S163)*($B$2:$B$501="")*($O$2:$O$501="")),$U$2:$U$501)),FALSE)),"Dependent row does not match the employee row for eligibility, status, coverage level, or funding; ",""))</f>
        <v/>
      </c>
      <c r="AB163">
        <f>IF(COUNTA($A163:$U163)=0,"",IF($L163="","Birthdate is required; ","")&amp;IF(AND($L163&lt;&gt;"",OR(NOT(ISNUMBER($L163)),$L163&lt;=DATE(1900,1,1),$L163&gt;TODAY())),"Birthdate must be an exact valid past date; ","")&amp;IF($P163="","Eligibility Date is required; ","")&amp;IF(AND($P163&lt;&gt;"",OR(NOT(ISNUMBER($P163)),$P163&lt;=DATE(1900,1,1))),"Eligibility Date must be a valid date; ","")&amp;IF(AND($R163="Terminated",$Q163=""),"Termination Date is required when Status is Terminated; ","")&amp;IF(AND($Q163&lt;&gt;"",OR(NOT(ISNUMBER($Q163)),$Q163&lt;=DATE(1900,1,1))),"Termination Date must be a valid date; ","")&amp;IF(AND(ISNUMBER($P163),ISNUMBER($Q163),$Q163&lt;$P163),"Termination Date cannot be before Eligibility Date; ","")&amp;IF($R163="","Status is required; ","")&amp;IF(AND($R163&lt;&gt;"",$R163&lt;&gt;"Active",$R163&lt;&gt;"Terminated"),"Status must be Active or Terminated; ","")&amp;IF(AND('START HERE'!$C$8="Terminations Only",$R163&lt;&gt;"Terminated"),"Terminations Only files must contain terminated records; ",""))</f>
        <v/>
      </c>
      <c r="AC163">
        <f>IF(COUNTA($A163:$U163)=0,"",IF($S163="","Plan Name is required; ","")&amp;IF($T163="","Benefit Coverage Level is required; ","")&amp;IF(AND($U163&lt;&gt;"",OR(NOT(ISNUMBER($U163)),$U163&lt;0)),"Plan Funding Amount must be a nonnegative number; ","")&amp;IF(AND($A163&lt;&gt;"",$S163&lt;&gt;"",COUNTIFS($A$2:$A$501,$A163,$B$2:$B$501,$B163,$S$2:$S$501,$S163)&gt;1),"Duplicate participant and plan row; ",""))</f>
        <v/>
      </c>
      <c r="AD163">
        <f>IF(COUNTA($A163:$U163)=0,"",IF(AND($X163="Employee",$M163="",$N163=""),"No employee phone or email provided; ","")&amp;IF(AND($R163="Active",$Q163&lt;&gt;""),"Active record includes a Termination Date; confirm this is intentional; ","")&amp;IF(AND($B163&lt;&gt;"",$B163&amp;""&lt;&gt;$A163&amp;"",COUNTIF($A$2:$A$501,$B163)&gt;0),"Dependent SSN also appears as an Employee SSN elsewhere; confirm dual-employee coverage is intentional; ","")&amp;IF(AND($B163&lt;&gt;"",COUNTIF($B$2:$B$501,$B163)&gt;COUNTIFS($A$2:$A$501,$A163,$B$2:$B$501,$B163)),"Dependent SSN appears under more than one employee; confirm duplicate family coverage is intentional; ","")&amp;IF(AND(ROW()&gt;2,$A163&lt;&gt;"",$A163&lt;&gt;$A162,COUNTIF($A$2:$A162,$A163)&gt;0),"This household appears in more than one section of the census; keep the family together; ","")&amp;IF(OR(AND($C163&lt;&gt;"",LEN($C163&amp;"")&lt;&gt;LEN(TRIM($C163&amp;""))),AND($D163&lt;&gt;"",LEN($D163&amp;"")&lt;&gt;LEN(TRIM($D163&amp;""))),AND($E163&lt;&gt;"",LEN($E163&amp;"")&lt;&gt;LEN(TRIM($E163&amp;""))),AND($F163&lt;&gt;"",LEN($F163&amp;"")&lt;&gt;LEN(TRIM($F163&amp;""))),AND($G163&lt;&gt;"",LEN($G163&amp;"")&lt;&gt;LEN(TRIM($G163&amp;""))),AND($H163&lt;&gt;"",LEN($H163&amp;"")&lt;&gt;LEN(TRIM($H163&amp;""))),AND($I163&lt;&gt;"",LEN($I163&amp;"")&lt;&gt;LEN(TRIM($I163&amp;""))),AND($J163&lt;&gt;"",LEN($J163&amp;"")&lt;&gt;LEN(TRIM($J163&amp;""))),AND($K163&lt;&gt;"",LEN($K163&amp;"")&lt;&gt;LEN(TRIM($K163&amp;""))),AND($M163&lt;&gt;"",LEN($M163&amp;"")&lt;&gt;LEN(TRIM($M163&amp;""))),AND($N163&lt;&gt;"",LEN($N163&amp;"")&lt;&gt;LEN(TRIM($N163&amp;""))),AND($O163&lt;&gt;"",LEN($O163&amp;"")&lt;&gt;LEN(TRIM($O163&amp;""))),AND($R163&lt;&gt;"",LEN($R163&amp;"")&lt;&gt;LEN(TRIM($R163&amp;""))),AND($S163&lt;&gt;"",LEN($S163&amp;"")&lt;&gt;LEN(TRIM($S163&amp;""))),AND($T163&lt;&gt;"",LEN($T163&amp;"")&lt;&gt;LEN(TRIM($T163&amp;"")))),"Remove leading or trailing spaces from text fields; ","")&amp;IF(OR(AND(LEN($C163)&gt;1,OR(EXACT($C163,UPPER($C163)),EXACT($C163,LOWER($C163)))),AND(LEN($D163)&gt;1,OR(EXACT($D163,UPPER($D163)),EXACT($D163,LOWER($D163)))),AND(LEN($H163)&gt;1,OR(EXACT($H163,UPPER($H163)),EXACT($H163,LOWER($H163))))),"Review capitalization in First Name, Last Name, or City; ","")&amp;IF(AND($N163&lt;&gt;"",NOT(EXACT($N163,LOWER($N163)))),"Email will be standardized to lowercase in the clean output; ","")&amp;IF(AND(OR('START HERE'!$C$8="Initial Enrollment",'START HERE'!$C$8="Open Enrollment"),$R163="Terminated"),"A terminated row is included in an initial or open enrollment file; confirm this is intentional; ",""))</f>
        <v/>
      </c>
      <c r="AE163">
        <f>IF(COUNTA($A163:$U163)=0,"",IF(OR($A163="",AND($A163&lt;&gt;"",NOT(IFERROR(AND(LEN($A163&amp;"")=9,ISNUMBER(--($A163&amp;""))),FALSE))),AND($A163&lt;&gt;"",OR($A163="123456789",$A163="987654321",$A163="012345678",$A163=REPT(LEFT($A163&amp;"",1),9)))),"Employee SSN, ","")&amp;IF(OR(AND($O163&lt;&gt;"",$B163=""),AND($B163&lt;&gt;"",OR(NOT(IFERROR(AND(LEN($B163&amp;"")=9,ISNUMBER(--($B163&amp;""))),FALSE)),$B163=$A163,$B163="123456789",$B163="987654321",$B163="012345678",$B163=REPT(LEFT($B163&amp;"",1),9)))),"Dependent SSN, ","")&amp;IF(OR($C163="",LEN($C163)&gt;19,AND($C163&lt;&gt;"",SUMPRODUCT(--(ROW($1:$19)&lt;=LEN($C163&amp;"")),--ISERROR(FIND(MID($C163&amp;"",ROW($1:$19),1),"ABCDEFGHIJKLMNOPQRSTUVWXYZabcdefghijklmnopqrstuvwxyz .,")))&gt;0)),"First Name, ","")&amp;IF(OR($D163="",LEN($D163)&gt;26,AND($D163&lt;&gt;"",SUMPRODUCT(--(ROW($1:$26)&lt;=LEN($D163&amp;"")),--ISERROR(FIND(MID($D163&amp;"",ROW($1:$26),1),"ABCDEFGHIJKLMNOPQRSTUVWXYZabcdefghijklmnopqrstuvwxyz .,")))&gt;0)),"Last Name, ","")&amp;IF(OR(LEN($E163)&gt;1,AND($E163&lt;&gt;"",SUMPRODUCT(--(ROW($1:$1)&lt;=LEN($E163&amp;"")),--ISERROR(FIND(MID($E163&amp;"",ROW($1:$1),1),"ABCDEFGHIJKLMNOPQRSTUVWXYZabcdefghijklmnopqrstuvwxyz .,")))&gt;0)),"Middle Initial, ","")&amp;IF(OR($F163="",LEN($F163)&gt;75),"Address, ","")&amp;IF(OR($H163="",LEN($H163)&gt;30),"City, ","")&amp;IF(AND($K163="US",OR($I163="",LEN($I163)&lt;&gt;2)),"State, ","")&amp;IF($J163="","ZIP, ","")&amp;IF(OR($K163="",AND($K163&lt;&gt;"US",$K163&lt;&gt;"CA")),"Country, ","")&amp;IF(OR($L163="",AND($L163&lt;&gt;"",OR(NOT(ISNUMBER($L163)),$L163&lt;=DATE(1900,1,1),$L163&gt;TODAY()))),"Birthdate, ","")&amp;IF(AND($N163&lt;&gt;"",NOT(IFERROR(AND(ISNUMBER(SEARCH("@",$N163)),ISNUMBER(SEARCH(".",$N163,SEARCH("@",$N163)+2))),FALSE))),"Email, ","")&amp;IF(OR(AND($B163&lt;&gt;"",$O163=""),AND($O163&lt;&gt;"",$O163&lt;&gt;"Spouse or Common Law Spouse",$O163&lt;&gt;"Domestic Partner",$O163&lt;&gt;"Child",$O163&lt;&gt;"Other",$O163&lt;&gt;"Estate",$O163&lt;&gt;"Unknown")),"Dependent Relationship, ","")&amp;IF($AA163&lt;&gt;"","Household, ","")&amp;IF(OR($P163="",AND($P163&lt;&gt;"",OR(NOT(ISNUMBER($P163)),$P163&lt;=DATE(1900,1,1)))),"Eligibility Date, ","")&amp;IF(OR(AND($R163="Terminated",$Q163=""),AND($Q163&lt;&gt;"",OR(NOT(ISNUMBER($Q163)),$Q163&lt;=DATE(1900,1,1))),AND(ISNUMBER($P163),ISNUMBER($Q163),$Q163&lt;$P163)),"Termination Date, ","")&amp;IF(OR($R163="",AND($R163&lt;&gt;"Active",$R163&lt;&gt;"Terminated"),AND('START HERE'!$C$8="Terminations Only",$R163&lt;&gt;"Terminated")),"Status, ","")&amp;IF($S163="","Plan Name, ","")&amp;IF($T163="","Coverage Level, ","")&amp;IF(AND($U163&lt;&gt;"",OR(NOT(ISNUMBER($U163)),$U163&lt;0)),"Funding, ","")&amp;IF(AND($A163&lt;&gt;"",$S163&lt;&gt;"",COUNTIFS($A$2:$A$501,$A163,$B$2:$B$501,$B163,$S$2:$S$501,$S163)&gt;1),"Duplicate Row, ",""))</f>
        <v/>
      </c>
      <c r="AF163">
        <f>IF(COUNTA($A163:$U163)=0,"",$Y163&amp;$Z163&amp;$AA163&amp;$AB163&amp;$AC163)</f>
        <v/>
      </c>
      <c r="AG163">
        <f>IF($N163="","",LOWER(TRIM($N163)))</f>
        <v/>
      </c>
      <c r="AH163">
        <f>IF($A163="","",COUNTIFS($A$2:$A$501,$A163,$AI$2:$AI$501,1))</f>
        <v/>
      </c>
      <c r="AI163">
        <f>IF(COUNTA($A163:$U163)=0,"",--($AF163&lt;&gt;""))</f>
        <v/>
      </c>
      <c r="AJ163">
        <f>IF(COUNTA($A163:$U163)=0,"",--($AD163&lt;&gt;""))</f>
        <v/>
      </c>
    </row>
    <row r="164" ht="20" customHeight="1">
      <c r="A164" s="80" t="n"/>
      <c r="B164" s="80" t="n"/>
      <c r="C164" s="81" t="n"/>
      <c r="D164" s="81" t="n"/>
      <c r="E164" s="80" t="n"/>
      <c r="F164" s="81" t="n"/>
      <c r="G164" s="81" t="n"/>
      <c r="H164" s="81" t="n"/>
      <c r="I164" s="80" t="n"/>
      <c r="J164" s="80" t="n"/>
      <c r="K164" s="80" t="n"/>
      <c r="L164" s="82" t="n"/>
      <c r="M164" s="80" t="n"/>
      <c r="N164" s="80" t="n"/>
      <c r="O164" s="80" t="n"/>
      <c r="P164" s="82" t="n"/>
      <c r="Q164" s="82" t="n"/>
      <c r="R164" s="80" t="n"/>
      <c r="S164" s="80" t="n"/>
      <c r="T164" s="80" t="n"/>
      <c r="U164" s="83" t="n"/>
      <c r="V164">
        <f>IF($A164="","",IF($A164=$A163,$V163,IF($V163="",0,1-$V163)))</f>
        <v/>
      </c>
      <c r="W164">
        <f>IF($B164&lt;&gt;"",$B164,$A164)</f>
        <v/>
      </c>
      <c r="X164">
        <f>IF(COUNTA($A164:$U164)=0,"",IF(OR($B164&lt;&gt;"",$O164&lt;&gt;""),"Dependent","Employee"))</f>
        <v/>
      </c>
      <c r="Y164">
        <f>IF(COUNTA($A164:$U164)=0,"",IF($A164="","Employee SSN is required; ","")&amp;IF($C164="","First Name is required; ","")&amp;IF(LEN($C164&amp;"")&gt;19,"First Name exceeds 19 characters; ","")&amp;IF(AND($C164&lt;&gt;"",SUMPRODUCT(--(ROW($1:$19)&lt;=LEN($C164&amp;"")),--ISERROR(FIND(MID($C164&amp;"",ROW($1:$19),1),"ABCDEFGHIJKLMNOPQRSTUVWXYZabcdefghijklmnopqrstuvwxyz .,")))&gt;0),"First Name contains unsupported or encoded characters; use plain A-Z letters only; ","")&amp;IF($D164="","Last Name is required; ","")&amp;IF(LEN($D164&amp;"")&gt;26,"Last Name exceeds 26 characters; ","")&amp;IF(AND($D164&lt;&gt;"",SUMPRODUCT(--(ROW($1:$26)&lt;=LEN($D164&amp;"")),--ISERROR(FIND(MID($D164&amp;"",ROW($1:$26),1),"ABCDEFGHIJKLMNOPQRSTUVWXYZabcdefghijklmnopqrstuvwxyz .,")))&gt;0),"Last Name contains unsupported or encoded characters; use plain A-Z letters only; ","")&amp;IF(LEN($E164&amp;"")&gt;1,"Middle Initial may contain only one character; ","")&amp;IF(AND($E164&lt;&gt;"",SUMPRODUCT(--(ROW($1:$1)&lt;=LEN($E164&amp;"")),--ISERROR(FIND(MID($E164&amp;"",ROW($1:$1),1),"ABCDEFGHIJKLMNOPQRSTUVWXYZabcdefghijklmnopqrstuvwxyz .,")))&gt;0),"Middle Initial must be a plain A-Z letter; ","")&amp;IF($F164="","Address is required; ","")&amp;IF(LEN($F164&amp;"")&gt;75,"Address exceeds 75 characters; ","")&amp;IF(LEN($G164&amp;"")&gt;75,"Address 2 exceeds 75 characters; ","")&amp;IF($H164="","City is required; ","")&amp;IF(LEN($H164&amp;"")&gt;30,"City exceeds 30 characters; ","")&amp;IF($K164="","Country is required; ","")&amp;IF(AND($K164&lt;&gt;"",$K164&lt;&gt;"US",$K164&lt;&gt;"CA"),"Country must be US or CA; ","")&amp;IF(AND($K164="US",OR($I164="",LEN($I164&amp;"")&lt;&gt;2)),"Use a 2-letter state code; ","")&amp;IF($J164="","ZIP or postal code is required; ","")&amp;IF(AND($K164="US",$J164&lt;&gt;"",NOT(IFERROR(OR(AND(LEN($J164&amp;"")=5,ISNUMBER(--($J164&amp;""))),AND(LEN($J164&amp;"")=9,ISNUMBER(--($J164&amp;""))),AND(LEN($J164&amp;"")=10,MID($J164&amp;"",6,1)="-",ISNUMBER(--SUBSTITUTE($J164&amp;"","-","")))),FALSE))),"US ZIP must be 5 or 9 digits, with an optional ZIP+4 hyphen; ","")&amp;IF(AND($N164&lt;&gt;"",NOT(IFERROR(AND(ISNUMBER(SEARCH("@",$N164)),ISNUMBER(SEARCH(".",$N164,SEARCH("@",$N164)+2))),FALSE))),"Email format appears invalid; ","")&amp;IF(AND($O164&lt;&gt;"",$B164=""),"Dependent SSN is required for every dependent; ","")&amp;IF(AND($B164&lt;&gt;"",$O164=""),"Dependent Relationship is required when Dependent SSN is entered; ","")&amp;IF(AND($O164&lt;&gt;"",$O164&lt;&gt;"Spouse or Common Law Spouse",$O164&lt;&gt;"Domestic Partner",$O164&lt;&gt;"Child",$O164&lt;&gt;"Other",$O164&lt;&gt;"Estate",$O164&lt;&gt;"Unknown"),"Dependent Relationship must use one of the approved options; ",""))</f>
        <v/>
      </c>
      <c r="Z164">
        <f>IF(COUNTA($A164:$U164)=0,"",IF(AND($A164&lt;&gt;"",NOT(IFERROR(AND(LEN($A164&amp;"")=9,ISNUMBER(--($A164&amp;""))),FALSE))),"Employee SSN must contain exactly 9 digits; ","")&amp;IF(AND($A164&lt;&gt;"",OR($A164="123456789",$A164="987654321",$A164="012345678",$A164=REPT(LEFT($A164&amp;"",1),9))),"Employee SSN appears to be a placeholder; ","")&amp;IF(AND($B164&lt;&gt;"",NOT(IFERROR(AND(LEN($B164&amp;"")=9,ISNUMBER(--($B164&amp;""))),FALSE))),"Dependent SSN must contain exactly 9 digits; ","")&amp;IF(AND($B164&lt;&gt;"",OR($B164="123456789",$B164="987654321",$B164="012345678",$B164=REPT(LEFT($B164&amp;"",1),9))),"Dependent SSN appears to be a placeholder; ","")&amp;IF(AND($A164&lt;&gt;"",$B164&lt;&gt;"",$A164&amp;""=$B164&amp;""),"Dependent SSN cannot match Employee SSN; ","")&amp;IF(AND($W164&lt;&gt;"",OR(COUNTIFS($W$2:$W$501,$W164,$C$2:$C$501,"&lt;&gt;"&amp;$C164)&gt;0,COUNTIFS($W$2:$W$501,$W164,$D$2:$D$501,"&lt;&gt;"&amp;$D164)&gt;0,COUNTIFS($W$2:$W$501,$W164,$L$2:$L$501,"&lt;&gt;"&amp;$L164)&gt;0)),"The same SSN is associated with a different name or birthdate; ",""))</f>
        <v/>
      </c>
      <c r="AA164">
        <f>IF(COUNTA($A164:$U164)=0,"",IF(AND($A164&lt;&gt;"",$S164&lt;&gt;"",COUNTIFS($A$2:$A$501,$A164,$S$2:$S$501,$S164,$B$2:$B$501,"",$O$2:$O$501,"")=0),"Add an employee row for this household and plan; ","")&amp;IF(AND($X164="Dependent",COUNTIFS($A$2:$A164,$A164,$S$2:$S164,$S164,$B$2:$B164,"",$O$2:$O164,"")=0),"Place the employee row before dependent rows for this plan; ","")&amp;IF(AND($X164="Dependent",COUNTIFS($A$2:$A$501,$A164,$S$2:$S$501,$S164,$B$2:$B$501,"",$O$2:$O$501,"")&gt;0,IFERROR(OR($P164&lt;&gt;LOOKUP(2,1/(($A$2:$A$501=$A164)*($S$2:$S$501=$S164)*($B$2:$B$501="")*($O$2:$O$501="")),$P$2:$P$501),$Q164&lt;&gt;LOOKUP(2,1/(($A$2:$A$501=$A164)*($S$2:$S$501=$S164)*($B$2:$B$501="")*($O$2:$O$501="")),$Q$2:$Q$501),$R164&lt;&gt;LOOKUP(2,1/(($A$2:$A$501=$A164)*($S$2:$S$501=$S164)*($B$2:$B$501="")*($O$2:$O$501="")),$R$2:$R$501),$T164&lt;&gt;LOOKUP(2,1/(($A$2:$A$501=$A164)*($S$2:$S$501=$S164)*($B$2:$B$501="")*($O$2:$O$501="")),$T$2:$T$501),$U164&lt;&gt;LOOKUP(2,1/(($A$2:$A$501=$A164)*($S$2:$S$501=$S164)*($B$2:$B$501="")*($O$2:$O$501="")),$U$2:$U$501)),FALSE)),"Dependent row does not match the employee row for eligibility, status, coverage level, or funding; ",""))</f>
        <v/>
      </c>
      <c r="AB164">
        <f>IF(COUNTA($A164:$U164)=0,"",IF($L164="","Birthdate is required; ","")&amp;IF(AND($L164&lt;&gt;"",OR(NOT(ISNUMBER($L164)),$L164&lt;=DATE(1900,1,1),$L164&gt;TODAY())),"Birthdate must be an exact valid past date; ","")&amp;IF($P164="","Eligibility Date is required; ","")&amp;IF(AND($P164&lt;&gt;"",OR(NOT(ISNUMBER($P164)),$P164&lt;=DATE(1900,1,1))),"Eligibility Date must be a valid date; ","")&amp;IF(AND($R164="Terminated",$Q164=""),"Termination Date is required when Status is Terminated; ","")&amp;IF(AND($Q164&lt;&gt;"",OR(NOT(ISNUMBER($Q164)),$Q164&lt;=DATE(1900,1,1))),"Termination Date must be a valid date; ","")&amp;IF(AND(ISNUMBER($P164),ISNUMBER($Q164),$Q164&lt;$P164),"Termination Date cannot be before Eligibility Date; ","")&amp;IF($R164="","Status is required; ","")&amp;IF(AND($R164&lt;&gt;"",$R164&lt;&gt;"Active",$R164&lt;&gt;"Terminated"),"Status must be Active or Terminated; ","")&amp;IF(AND('START HERE'!$C$8="Terminations Only",$R164&lt;&gt;"Terminated"),"Terminations Only files must contain terminated records; ",""))</f>
        <v/>
      </c>
      <c r="AC164">
        <f>IF(COUNTA($A164:$U164)=0,"",IF($S164="","Plan Name is required; ","")&amp;IF($T164="","Benefit Coverage Level is required; ","")&amp;IF(AND($U164&lt;&gt;"",OR(NOT(ISNUMBER($U164)),$U164&lt;0)),"Plan Funding Amount must be a nonnegative number; ","")&amp;IF(AND($A164&lt;&gt;"",$S164&lt;&gt;"",COUNTIFS($A$2:$A$501,$A164,$B$2:$B$501,$B164,$S$2:$S$501,$S164)&gt;1),"Duplicate participant and plan row; ",""))</f>
        <v/>
      </c>
      <c r="AD164">
        <f>IF(COUNTA($A164:$U164)=0,"",IF(AND($X164="Employee",$M164="",$N164=""),"No employee phone or email provided; ","")&amp;IF(AND($R164="Active",$Q164&lt;&gt;""),"Active record includes a Termination Date; confirm this is intentional; ","")&amp;IF(AND($B164&lt;&gt;"",$B164&amp;""&lt;&gt;$A164&amp;"",COUNTIF($A$2:$A$501,$B164)&gt;0),"Dependent SSN also appears as an Employee SSN elsewhere; confirm dual-employee coverage is intentional; ","")&amp;IF(AND($B164&lt;&gt;"",COUNTIF($B$2:$B$501,$B164)&gt;COUNTIFS($A$2:$A$501,$A164,$B$2:$B$501,$B164)),"Dependent SSN appears under more than one employee; confirm duplicate family coverage is intentional; ","")&amp;IF(AND(ROW()&gt;2,$A164&lt;&gt;"",$A164&lt;&gt;$A163,COUNTIF($A$2:$A163,$A164)&gt;0),"This household appears in more than one section of the census; keep the family together; ","")&amp;IF(OR(AND($C164&lt;&gt;"",LEN($C164&amp;"")&lt;&gt;LEN(TRIM($C164&amp;""))),AND($D164&lt;&gt;"",LEN($D164&amp;"")&lt;&gt;LEN(TRIM($D164&amp;""))),AND($E164&lt;&gt;"",LEN($E164&amp;"")&lt;&gt;LEN(TRIM($E164&amp;""))),AND($F164&lt;&gt;"",LEN($F164&amp;"")&lt;&gt;LEN(TRIM($F164&amp;""))),AND($G164&lt;&gt;"",LEN($G164&amp;"")&lt;&gt;LEN(TRIM($G164&amp;""))),AND($H164&lt;&gt;"",LEN($H164&amp;"")&lt;&gt;LEN(TRIM($H164&amp;""))),AND($I164&lt;&gt;"",LEN($I164&amp;"")&lt;&gt;LEN(TRIM($I164&amp;""))),AND($J164&lt;&gt;"",LEN($J164&amp;"")&lt;&gt;LEN(TRIM($J164&amp;""))),AND($K164&lt;&gt;"",LEN($K164&amp;"")&lt;&gt;LEN(TRIM($K164&amp;""))),AND($M164&lt;&gt;"",LEN($M164&amp;"")&lt;&gt;LEN(TRIM($M164&amp;""))),AND($N164&lt;&gt;"",LEN($N164&amp;"")&lt;&gt;LEN(TRIM($N164&amp;""))),AND($O164&lt;&gt;"",LEN($O164&amp;"")&lt;&gt;LEN(TRIM($O164&amp;""))),AND($R164&lt;&gt;"",LEN($R164&amp;"")&lt;&gt;LEN(TRIM($R164&amp;""))),AND($S164&lt;&gt;"",LEN($S164&amp;"")&lt;&gt;LEN(TRIM($S164&amp;""))),AND($T164&lt;&gt;"",LEN($T164&amp;"")&lt;&gt;LEN(TRIM($T164&amp;"")))),"Remove leading or trailing spaces from text fields; ","")&amp;IF(OR(AND(LEN($C164)&gt;1,OR(EXACT($C164,UPPER($C164)),EXACT($C164,LOWER($C164)))),AND(LEN($D164)&gt;1,OR(EXACT($D164,UPPER($D164)),EXACT($D164,LOWER($D164)))),AND(LEN($H164)&gt;1,OR(EXACT($H164,UPPER($H164)),EXACT($H164,LOWER($H164))))),"Review capitalization in First Name, Last Name, or City; ","")&amp;IF(AND($N164&lt;&gt;"",NOT(EXACT($N164,LOWER($N164)))),"Email will be standardized to lowercase in the clean output; ","")&amp;IF(AND(OR('START HERE'!$C$8="Initial Enrollment",'START HERE'!$C$8="Open Enrollment"),$R164="Terminated"),"A terminated row is included in an initial or open enrollment file; confirm this is intentional; ",""))</f>
        <v/>
      </c>
      <c r="AE164">
        <f>IF(COUNTA($A164:$U164)=0,"",IF(OR($A164="",AND($A164&lt;&gt;"",NOT(IFERROR(AND(LEN($A164&amp;"")=9,ISNUMBER(--($A164&amp;""))),FALSE))),AND($A164&lt;&gt;"",OR($A164="123456789",$A164="987654321",$A164="012345678",$A164=REPT(LEFT($A164&amp;"",1),9)))),"Employee SSN, ","")&amp;IF(OR(AND($O164&lt;&gt;"",$B164=""),AND($B164&lt;&gt;"",OR(NOT(IFERROR(AND(LEN($B164&amp;"")=9,ISNUMBER(--($B164&amp;""))),FALSE)),$B164=$A164,$B164="123456789",$B164="987654321",$B164="012345678",$B164=REPT(LEFT($B164&amp;"",1),9)))),"Dependent SSN, ","")&amp;IF(OR($C164="",LEN($C164)&gt;19,AND($C164&lt;&gt;"",SUMPRODUCT(--(ROW($1:$19)&lt;=LEN($C164&amp;"")),--ISERROR(FIND(MID($C164&amp;"",ROW($1:$19),1),"ABCDEFGHIJKLMNOPQRSTUVWXYZabcdefghijklmnopqrstuvwxyz .,")))&gt;0)),"First Name, ","")&amp;IF(OR($D164="",LEN($D164)&gt;26,AND($D164&lt;&gt;"",SUMPRODUCT(--(ROW($1:$26)&lt;=LEN($D164&amp;"")),--ISERROR(FIND(MID($D164&amp;"",ROW($1:$26),1),"ABCDEFGHIJKLMNOPQRSTUVWXYZabcdefghijklmnopqrstuvwxyz .,")))&gt;0)),"Last Name, ","")&amp;IF(OR(LEN($E164)&gt;1,AND($E164&lt;&gt;"",SUMPRODUCT(--(ROW($1:$1)&lt;=LEN($E164&amp;"")),--ISERROR(FIND(MID($E164&amp;"",ROW($1:$1),1),"ABCDEFGHIJKLMNOPQRSTUVWXYZabcdefghijklmnopqrstuvwxyz .,")))&gt;0)),"Middle Initial, ","")&amp;IF(OR($F164="",LEN($F164)&gt;75),"Address, ","")&amp;IF(OR($H164="",LEN($H164)&gt;30),"City, ","")&amp;IF(AND($K164="US",OR($I164="",LEN($I164)&lt;&gt;2)),"State, ","")&amp;IF($J164="","ZIP, ","")&amp;IF(OR($K164="",AND($K164&lt;&gt;"US",$K164&lt;&gt;"CA")),"Country, ","")&amp;IF(OR($L164="",AND($L164&lt;&gt;"",OR(NOT(ISNUMBER($L164)),$L164&lt;=DATE(1900,1,1),$L164&gt;TODAY()))),"Birthdate, ","")&amp;IF(AND($N164&lt;&gt;"",NOT(IFERROR(AND(ISNUMBER(SEARCH("@",$N164)),ISNUMBER(SEARCH(".",$N164,SEARCH("@",$N164)+2))),FALSE))),"Email, ","")&amp;IF(OR(AND($B164&lt;&gt;"",$O164=""),AND($O164&lt;&gt;"",$O164&lt;&gt;"Spouse or Common Law Spouse",$O164&lt;&gt;"Domestic Partner",$O164&lt;&gt;"Child",$O164&lt;&gt;"Other",$O164&lt;&gt;"Estate",$O164&lt;&gt;"Unknown")),"Dependent Relationship, ","")&amp;IF($AA164&lt;&gt;"","Household, ","")&amp;IF(OR($P164="",AND($P164&lt;&gt;"",OR(NOT(ISNUMBER($P164)),$P164&lt;=DATE(1900,1,1)))),"Eligibility Date, ","")&amp;IF(OR(AND($R164="Terminated",$Q164=""),AND($Q164&lt;&gt;"",OR(NOT(ISNUMBER($Q164)),$Q164&lt;=DATE(1900,1,1))),AND(ISNUMBER($P164),ISNUMBER($Q164),$Q164&lt;$P164)),"Termination Date, ","")&amp;IF(OR($R164="",AND($R164&lt;&gt;"Active",$R164&lt;&gt;"Terminated"),AND('START HERE'!$C$8="Terminations Only",$R164&lt;&gt;"Terminated")),"Status, ","")&amp;IF($S164="","Plan Name, ","")&amp;IF($T164="","Coverage Level, ","")&amp;IF(AND($U164&lt;&gt;"",OR(NOT(ISNUMBER($U164)),$U164&lt;0)),"Funding, ","")&amp;IF(AND($A164&lt;&gt;"",$S164&lt;&gt;"",COUNTIFS($A$2:$A$501,$A164,$B$2:$B$501,$B164,$S$2:$S$501,$S164)&gt;1),"Duplicate Row, ",""))</f>
        <v/>
      </c>
      <c r="AF164">
        <f>IF(COUNTA($A164:$U164)=0,"",$Y164&amp;$Z164&amp;$AA164&amp;$AB164&amp;$AC164)</f>
        <v/>
      </c>
      <c r="AG164">
        <f>IF($N164="","",LOWER(TRIM($N164)))</f>
        <v/>
      </c>
      <c r="AH164">
        <f>IF($A164="","",COUNTIFS($A$2:$A$501,$A164,$AI$2:$AI$501,1))</f>
        <v/>
      </c>
      <c r="AI164">
        <f>IF(COUNTA($A164:$U164)=0,"",--($AF164&lt;&gt;""))</f>
        <v/>
      </c>
      <c r="AJ164">
        <f>IF(COUNTA($A164:$U164)=0,"",--($AD164&lt;&gt;""))</f>
        <v/>
      </c>
    </row>
    <row r="165" ht="20" customHeight="1">
      <c r="A165" s="80" t="n"/>
      <c r="B165" s="80" t="n"/>
      <c r="C165" s="81" t="n"/>
      <c r="D165" s="81" t="n"/>
      <c r="E165" s="80" t="n"/>
      <c r="F165" s="81" t="n"/>
      <c r="G165" s="81" t="n"/>
      <c r="H165" s="81" t="n"/>
      <c r="I165" s="80" t="n"/>
      <c r="J165" s="80" t="n"/>
      <c r="K165" s="80" t="n"/>
      <c r="L165" s="82" t="n"/>
      <c r="M165" s="80" t="n"/>
      <c r="N165" s="80" t="n"/>
      <c r="O165" s="80" t="n"/>
      <c r="P165" s="82" t="n"/>
      <c r="Q165" s="82" t="n"/>
      <c r="R165" s="80" t="n"/>
      <c r="S165" s="80" t="n"/>
      <c r="T165" s="80" t="n"/>
      <c r="U165" s="83" t="n"/>
      <c r="V165">
        <f>IF($A165="","",IF($A165=$A164,$V164,IF($V164="",0,1-$V164)))</f>
        <v/>
      </c>
      <c r="W165">
        <f>IF($B165&lt;&gt;"",$B165,$A165)</f>
        <v/>
      </c>
      <c r="X165">
        <f>IF(COUNTA($A165:$U165)=0,"",IF(OR($B165&lt;&gt;"",$O165&lt;&gt;""),"Dependent","Employee"))</f>
        <v/>
      </c>
      <c r="Y165">
        <f>IF(COUNTA($A165:$U165)=0,"",IF($A165="","Employee SSN is required; ","")&amp;IF($C165="","First Name is required; ","")&amp;IF(LEN($C165&amp;"")&gt;19,"First Name exceeds 19 characters; ","")&amp;IF(AND($C165&lt;&gt;"",SUMPRODUCT(--(ROW($1:$19)&lt;=LEN($C165&amp;"")),--ISERROR(FIND(MID($C165&amp;"",ROW($1:$19),1),"ABCDEFGHIJKLMNOPQRSTUVWXYZabcdefghijklmnopqrstuvwxyz .,")))&gt;0),"First Name contains unsupported or encoded characters; use plain A-Z letters only; ","")&amp;IF($D165="","Last Name is required; ","")&amp;IF(LEN($D165&amp;"")&gt;26,"Last Name exceeds 26 characters; ","")&amp;IF(AND($D165&lt;&gt;"",SUMPRODUCT(--(ROW($1:$26)&lt;=LEN($D165&amp;"")),--ISERROR(FIND(MID($D165&amp;"",ROW($1:$26),1),"ABCDEFGHIJKLMNOPQRSTUVWXYZabcdefghijklmnopqrstuvwxyz .,")))&gt;0),"Last Name contains unsupported or encoded characters; use plain A-Z letters only; ","")&amp;IF(LEN($E165&amp;"")&gt;1,"Middle Initial may contain only one character; ","")&amp;IF(AND($E165&lt;&gt;"",SUMPRODUCT(--(ROW($1:$1)&lt;=LEN($E165&amp;"")),--ISERROR(FIND(MID($E165&amp;"",ROW($1:$1),1),"ABCDEFGHIJKLMNOPQRSTUVWXYZabcdefghijklmnopqrstuvwxyz .,")))&gt;0),"Middle Initial must be a plain A-Z letter; ","")&amp;IF($F165="","Address is required; ","")&amp;IF(LEN($F165&amp;"")&gt;75,"Address exceeds 75 characters; ","")&amp;IF(LEN($G165&amp;"")&gt;75,"Address 2 exceeds 75 characters; ","")&amp;IF($H165="","City is required; ","")&amp;IF(LEN($H165&amp;"")&gt;30,"City exceeds 30 characters; ","")&amp;IF($K165="","Country is required; ","")&amp;IF(AND($K165&lt;&gt;"",$K165&lt;&gt;"US",$K165&lt;&gt;"CA"),"Country must be US or CA; ","")&amp;IF(AND($K165="US",OR($I165="",LEN($I165&amp;"")&lt;&gt;2)),"Use a 2-letter state code; ","")&amp;IF($J165="","ZIP or postal code is required; ","")&amp;IF(AND($K165="US",$J165&lt;&gt;"",NOT(IFERROR(OR(AND(LEN($J165&amp;"")=5,ISNUMBER(--($J165&amp;""))),AND(LEN($J165&amp;"")=9,ISNUMBER(--($J165&amp;""))),AND(LEN($J165&amp;"")=10,MID($J165&amp;"",6,1)="-",ISNUMBER(--SUBSTITUTE($J165&amp;"","-","")))),FALSE))),"US ZIP must be 5 or 9 digits, with an optional ZIP+4 hyphen; ","")&amp;IF(AND($N165&lt;&gt;"",NOT(IFERROR(AND(ISNUMBER(SEARCH("@",$N165)),ISNUMBER(SEARCH(".",$N165,SEARCH("@",$N165)+2))),FALSE))),"Email format appears invalid; ","")&amp;IF(AND($O165&lt;&gt;"",$B165=""),"Dependent SSN is required for every dependent; ","")&amp;IF(AND($B165&lt;&gt;"",$O165=""),"Dependent Relationship is required when Dependent SSN is entered; ","")&amp;IF(AND($O165&lt;&gt;"",$O165&lt;&gt;"Spouse or Common Law Spouse",$O165&lt;&gt;"Domestic Partner",$O165&lt;&gt;"Child",$O165&lt;&gt;"Other",$O165&lt;&gt;"Estate",$O165&lt;&gt;"Unknown"),"Dependent Relationship must use one of the approved options; ",""))</f>
        <v/>
      </c>
      <c r="Z165">
        <f>IF(COUNTA($A165:$U165)=0,"",IF(AND($A165&lt;&gt;"",NOT(IFERROR(AND(LEN($A165&amp;"")=9,ISNUMBER(--($A165&amp;""))),FALSE))),"Employee SSN must contain exactly 9 digits; ","")&amp;IF(AND($A165&lt;&gt;"",OR($A165="123456789",$A165="987654321",$A165="012345678",$A165=REPT(LEFT($A165&amp;"",1),9))),"Employee SSN appears to be a placeholder; ","")&amp;IF(AND($B165&lt;&gt;"",NOT(IFERROR(AND(LEN($B165&amp;"")=9,ISNUMBER(--($B165&amp;""))),FALSE))),"Dependent SSN must contain exactly 9 digits; ","")&amp;IF(AND($B165&lt;&gt;"",OR($B165="123456789",$B165="987654321",$B165="012345678",$B165=REPT(LEFT($B165&amp;"",1),9))),"Dependent SSN appears to be a placeholder; ","")&amp;IF(AND($A165&lt;&gt;"",$B165&lt;&gt;"",$A165&amp;""=$B165&amp;""),"Dependent SSN cannot match Employee SSN; ","")&amp;IF(AND($W165&lt;&gt;"",OR(COUNTIFS($W$2:$W$501,$W165,$C$2:$C$501,"&lt;&gt;"&amp;$C165)&gt;0,COUNTIFS($W$2:$W$501,$W165,$D$2:$D$501,"&lt;&gt;"&amp;$D165)&gt;0,COUNTIFS($W$2:$W$501,$W165,$L$2:$L$501,"&lt;&gt;"&amp;$L165)&gt;0)),"The same SSN is associated with a different name or birthdate; ",""))</f>
        <v/>
      </c>
      <c r="AA165">
        <f>IF(COUNTA($A165:$U165)=0,"",IF(AND($A165&lt;&gt;"",$S165&lt;&gt;"",COUNTIFS($A$2:$A$501,$A165,$S$2:$S$501,$S165,$B$2:$B$501,"",$O$2:$O$501,"")=0),"Add an employee row for this household and plan; ","")&amp;IF(AND($X165="Dependent",COUNTIFS($A$2:$A165,$A165,$S$2:$S165,$S165,$B$2:$B165,"",$O$2:$O165,"")=0),"Place the employee row before dependent rows for this plan; ","")&amp;IF(AND($X165="Dependent",COUNTIFS($A$2:$A$501,$A165,$S$2:$S$501,$S165,$B$2:$B$501,"",$O$2:$O$501,"")&gt;0,IFERROR(OR($P165&lt;&gt;LOOKUP(2,1/(($A$2:$A$501=$A165)*($S$2:$S$501=$S165)*($B$2:$B$501="")*($O$2:$O$501="")),$P$2:$P$501),$Q165&lt;&gt;LOOKUP(2,1/(($A$2:$A$501=$A165)*($S$2:$S$501=$S165)*($B$2:$B$501="")*($O$2:$O$501="")),$Q$2:$Q$501),$R165&lt;&gt;LOOKUP(2,1/(($A$2:$A$501=$A165)*($S$2:$S$501=$S165)*($B$2:$B$501="")*($O$2:$O$501="")),$R$2:$R$501),$T165&lt;&gt;LOOKUP(2,1/(($A$2:$A$501=$A165)*($S$2:$S$501=$S165)*($B$2:$B$501="")*($O$2:$O$501="")),$T$2:$T$501),$U165&lt;&gt;LOOKUP(2,1/(($A$2:$A$501=$A165)*($S$2:$S$501=$S165)*($B$2:$B$501="")*($O$2:$O$501="")),$U$2:$U$501)),FALSE)),"Dependent row does not match the employee row for eligibility, status, coverage level, or funding; ",""))</f>
        <v/>
      </c>
      <c r="AB165">
        <f>IF(COUNTA($A165:$U165)=0,"",IF($L165="","Birthdate is required; ","")&amp;IF(AND($L165&lt;&gt;"",OR(NOT(ISNUMBER($L165)),$L165&lt;=DATE(1900,1,1),$L165&gt;TODAY())),"Birthdate must be an exact valid past date; ","")&amp;IF($P165="","Eligibility Date is required; ","")&amp;IF(AND($P165&lt;&gt;"",OR(NOT(ISNUMBER($P165)),$P165&lt;=DATE(1900,1,1))),"Eligibility Date must be a valid date; ","")&amp;IF(AND($R165="Terminated",$Q165=""),"Termination Date is required when Status is Terminated; ","")&amp;IF(AND($Q165&lt;&gt;"",OR(NOT(ISNUMBER($Q165)),$Q165&lt;=DATE(1900,1,1))),"Termination Date must be a valid date; ","")&amp;IF(AND(ISNUMBER($P165),ISNUMBER($Q165),$Q165&lt;$P165),"Termination Date cannot be before Eligibility Date; ","")&amp;IF($R165="","Status is required; ","")&amp;IF(AND($R165&lt;&gt;"",$R165&lt;&gt;"Active",$R165&lt;&gt;"Terminated"),"Status must be Active or Terminated; ","")&amp;IF(AND('START HERE'!$C$8="Terminations Only",$R165&lt;&gt;"Terminated"),"Terminations Only files must contain terminated records; ",""))</f>
        <v/>
      </c>
      <c r="AC165">
        <f>IF(COUNTA($A165:$U165)=0,"",IF($S165="","Plan Name is required; ","")&amp;IF($T165="","Benefit Coverage Level is required; ","")&amp;IF(AND($U165&lt;&gt;"",OR(NOT(ISNUMBER($U165)),$U165&lt;0)),"Plan Funding Amount must be a nonnegative number; ","")&amp;IF(AND($A165&lt;&gt;"",$S165&lt;&gt;"",COUNTIFS($A$2:$A$501,$A165,$B$2:$B$501,$B165,$S$2:$S$501,$S165)&gt;1),"Duplicate participant and plan row; ",""))</f>
        <v/>
      </c>
      <c r="AD165">
        <f>IF(COUNTA($A165:$U165)=0,"",IF(AND($X165="Employee",$M165="",$N165=""),"No employee phone or email provided; ","")&amp;IF(AND($R165="Active",$Q165&lt;&gt;""),"Active record includes a Termination Date; confirm this is intentional; ","")&amp;IF(AND($B165&lt;&gt;"",$B165&amp;""&lt;&gt;$A165&amp;"",COUNTIF($A$2:$A$501,$B165)&gt;0),"Dependent SSN also appears as an Employee SSN elsewhere; confirm dual-employee coverage is intentional; ","")&amp;IF(AND($B165&lt;&gt;"",COUNTIF($B$2:$B$501,$B165)&gt;COUNTIFS($A$2:$A$501,$A165,$B$2:$B$501,$B165)),"Dependent SSN appears under more than one employee; confirm duplicate family coverage is intentional; ","")&amp;IF(AND(ROW()&gt;2,$A165&lt;&gt;"",$A165&lt;&gt;$A164,COUNTIF($A$2:$A164,$A165)&gt;0),"This household appears in more than one section of the census; keep the family together; ","")&amp;IF(OR(AND($C165&lt;&gt;"",LEN($C165&amp;"")&lt;&gt;LEN(TRIM($C165&amp;""))),AND($D165&lt;&gt;"",LEN($D165&amp;"")&lt;&gt;LEN(TRIM($D165&amp;""))),AND($E165&lt;&gt;"",LEN($E165&amp;"")&lt;&gt;LEN(TRIM($E165&amp;""))),AND($F165&lt;&gt;"",LEN($F165&amp;"")&lt;&gt;LEN(TRIM($F165&amp;""))),AND($G165&lt;&gt;"",LEN($G165&amp;"")&lt;&gt;LEN(TRIM($G165&amp;""))),AND($H165&lt;&gt;"",LEN($H165&amp;"")&lt;&gt;LEN(TRIM($H165&amp;""))),AND($I165&lt;&gt;"",LEN($I165&amp;"")&lt;&gt;LEN(TRIM($I165&amp;""))),AND($J165&lt;&gt;"",LEN($J165&amp;"")&lt;&gt;LEN(TRIM($J165&amp;""))),AND($K165&lt;&gt;"",LEN($K165&amp;"")&lt;&gt;LEN(TRIM($K165&amp;""))),AND($M165&lt;&gt;"",LEN($M165&amp;"")&lt;&gt;LEN(TRIM($M165&amp;""))),AND($N165&lt;&gt;"",LEN($N165&amp;"")&lt;&gt;LEN(TRIM($N165&amp;""))),AND($O165&lt;&gt;"",LEN($O165&amp;"")&lt;&gt;LEN(TRIM($O165&amp;""))),AND($R165&lt;&gt;"",LEN($R165&amp;"")&lt;&gt;LEN(TRIM($R165&amp;""))),AND($S165&lt;&gt;"",LEN($S165&amp;"")&lt;&gt;LEN(TRIM($S165&amp;""))),AND($T165&lt;&gt;"",LEN($T165&amp;"")&lt;&gt;LEN(TRIM($T165&amp;"")))),"Remove leading or trailing spaces from text fields; ","")&amp;IF(OR(AND(LEN($C165)&gt;1,OR(EXACT($C165,UPPER($C165)),EXACT($C165,LOWER($C165)))),AND(LEN($D165)&gt;1,OR(EXACT($D165,UPPER($D165)),EXACT($D165,LOWER($D165)))),AND(LEN($H165)&gt;1,OR(EXACT($H165,UPPER($H165)),EXACT($H165,LOWER($H165))))),"Review capitalization in First Name, Last Name, or City; ","")&amp;IF(AND($N165&lt;&gt;"",NOT(EXACT($N165,LOWER($N165)))),"Email will be standardized to lowercase in the clean output; ","")&amp;IF(AND(OR('START HERE'!$C$8="Initial Enrollment",'START HERE'!$C$8="Open Enrollment"),$R165="Terminated"),"A terminated row is included in an initial or open enrollment file; confirm this is intentional; ",""))</f>
        <v/>
      </c>
      <c r="AE165">
        <f>IF(COUNTA($A165:$U165)=0,"",IF(OR($A165="",AND($A165&lt;&gt;"",NOT(IFERROR(AND(LEN($A165&amp;"")=9,ISNUMBER(--($A165&amp;""))),FALSE))),AND($A165&lt;&gt;"",OR($A165="123456789",$A165="987654321",$A165="012345678",$A165=REPT(LEFT($A165&amp;"",1),9)))),"Employee SSN, ","")&amp;IF(OR(AND($O165&lt;&gt;"",$B165=""),AND($B165&lt;&gt;"",OR(NOT(IFERROR(AND(LEN($B165&amp;"")=9,ISNUMBER(--($B165&amp;""))),FALSE)),$B165=$A165,$B165="123456789",$B165="987654321",$B165="012345678",$B165=REPT(LEFT($B165&amp;"",1),9)))),"Dependent SSN, ","")&amp;IF(OR($C165="",LEN($C165)&gt;19,AND($C165&lt;&gt;"",SUMPRODUCT(--(ROW($1:$19)&lt;=LEN($C165&amp;"")),--ISERROR(FIND(MID($C165&amp;"",ROW($1:$19),1),"ABCDEFGHIJKLMNOPQRSTUVWXYZabcdefghijklmnopqrstuvwxyz .,")))&gt;0)),"First Name, ","")&amp;IF(OR($D165="",LEN($D165)&gt;26,AND($D165&lt;&gt;"",SUMPRODUCT(--(ROW($1:$26)&lt;=LEN($D165&amp;"")),--ISERROR(FIND(MID($D165&amp;"",ROW($1:$26),1),"ABCDEFGHIJKLMNOPQRSTUVWXYZabcdefghijklmnopqrstuvwxyz .,")))&gt;0)),"Last Name, ","")&amp;IF(OR(LEN($E165)&gt;1,AND($E165&lt;&gt;"",SUMPRODUCT(--(ROW($1:$1)&lt;=LEN($E165&amp;"")),--ISERROR(FIND(MID($E165&amp;"",ROW($1:$1),1),"ABCDEFGHIJKLMNOPQRSTUVWXYZabcdefghijklmnopqrstuvwxyz .,")))&gt;0)),"Middle Initial, ","")&amp;IF(OR($F165="",LEN($F165)&gt;75),"Address, ","")&amp;IF(OR($H165="",LEN($H165)&gt;30),"City, ","")&amp;IF(AND($K165="US",OR($I165="",LEN($I165)&lt;&gt;2)),"State, ","")&amp;IF($J165="","ZIP, ","")&amp;IF(OR($K165="",AND($K165&lt;&gt;"US",$K165&lt;&gt;"CA")),"Country, ","")&amp;IF(OR($L165="",AND($L165&lt;&gt;"",OR(NOT(ISNUMBER($L165)),$L165&lt;=DATE(1900,1,1),$L165&gt;TODAY()))),"Birthdate, ","")&amp;IF(AND($N165&lt;&gt;"",NOT(IFERROR(AND(ISNUMBER(SEARCH("@",$N165)),ISNUMBER(SEARCH(".",$N165,SEARCH("@",$N165)+2))),FALSE))),"Email, ","")&amp;IF(OR(AND($B165&lt;&gt;"",$O165=""),AND($O165&lt;&gt;"",$O165&lt;&gt;"Spouse or Common Law Spouse",$O165&lt;&gt;"Domestic Partner",$O165&lt;&gt;"Child",$O165&lt;&gt;"Other",$O165&lt;&gt;"Estate",$O165&lt;&gt;"Unknown")),"Dependent Relationship, ","")&amp;IF($AA165&lt;&gt;"","Household, ","")&amp;IF(OR($P165="",AND($P165&lt;&gt;"",OR(NOT(ISNUMBER($P165)),$P165&lt;=DATE(1900,1,1)))),"Eligibility Date, ","")&amp;IF(OR(AND($R165="Terminated",$Q165=""),AND($Q165&lt;&gt;"",OR(NOT(ISNUMBER($Q165)),$Q165&lt;=DATE(1900,1,1))),AND(ISNUMBER($P165),ISNUMBER($Q165),$Q165&lt;$P165)),"Termination Date, ","")&amp;IF(OR($R165="",AND($R165&lt;&gt;"Active",$R165&lt;&gt;"Terminated"),AND('START HERE'!$C$8="Terminations Only",$R165&lt;&gt;"Terminated")),"Status, ","")&amp;IF($S165="","Plan Name, ","")&amp;IF($T165="","Coverage Level, ","")&amp;IF(AND($U165&lt;&gt;"",OR(NOT(ISNUMBER($U165)),$U165&lt;0)),"Funding, ","")&amp;IF(AND($A165&lt;&gt;"",$S165&lt;&gt;"",COUNTIFS($A$2:$A$501,$A165,$B$2:$B$501,$B165,$S$2:$S$501,$S165)&gt;1),"Duplicate Row, ",""))</f>
        <v/>
      </c>
      <c r="AF165">
        <f>IF(COUNTA($A165:$U165)=0,"",$Y165&amp;$Z165&amp;$AA165&amp;$AB165&amp;$AC165)</f>
        <v/>
      </c>
      <c r="AG165">
        <f>IF($N165="","",LOWER(TRIM($N165)))</f>
        <v/>
      </c>
      <c r="AH165">
        <f>IF($A165="","",COUNTIFS($A$2:$A$501,$A165,$AI$2:$AI$501,1))</f>
        <v/>
      </c>
      <c r="AI165">
        <f>IF(COUNTA($A165:$U165)=0,"",--($AF165&lt;&gt;""))</f>
        <v/>
      </c>
      <c r="AJ165">
        <f>IF(COUNTA($A165:$U165)=0,"",--($AD165&lt;&gt;""))</f>
        <v/>
      </c>
    </row>
    <row r="166" ht="20" customHeight="1">
      <c r="A166" s="80" t="n"/>
      <c r="B166" s="80" t="n"/>
      <c r="C166" s="81" t="n"/>
      <c r="D166" s="81" t="n"/>
      <c r="E166" s="80" t="n"/>
      <c r="F166" s="81" t="n"/>
      <c r="G166" s="81" t="n"/>
      <c r="H166" s="81" t="n"/>
      <c r="I166" s="80" t="n"/>
      <c r="J166" s="80" t="n"/>
      <c r="K166" s="80" t="n"/>
      <c r="L166" s="82" t="n"/>
      <c r="M166" s="80" t="n"/>
      <c r="N166" s="80" t="n"/>
      <c r="O166" s="80" t="n"/>
      <c r="P166" s="82" t="n"/>
      <c r="Q166" s="82" t="n"/>
      <c r="R166" s="80" t="n"/>
      <c r="S166" s="80" t="n"/>
      <c r="T166" s="80" t="n"/>
      <c r="U166" s="83" t="n"/>
      <c r="V166">
        <f>IF($A166="","",IF($A166=$A165,$V165,IF($V165="",0,1-$V165)))</f>
        <v/>
      </c>
      <c r="W166">
        <f>IF($B166&lt;&gt;"",$B166,$A166)</f>
        <v/>
      </c>
      <c r="X166">
        <f>IF(COUNTA($A166:$U166)=0,"",IF(OR($B166&lt;&gt;"",$O166&lt;&gt;""),"Dependent","Employee"))</f>
        <v/>
      </c>
      <c r="Y166">
        <f>IF(COUNTA($A166:$U166)=0,"",IF($A166="","Employee SSN is required; ","")&amp;IF($C166="","First Name is required; ","")&amp;IF(LEN($C166&amp;"")&gt;19,"First Name exceeds 19 characters; ","")&amp;IF(AND($C166&lt;&gt;"",SUMPRODUCT(--(ROW($1:$19)&lt;=LEN($C166&amp;"")),--ISERROR(FIND(MID($C166&amp;"",ROW($1:$19),1),"ABCDEFGHIJKLMNOPQRSTUVWXYZabcdefghijklmnopqrstuvwxyz .,")))&gt;0),"First Name contains unsupported or encoded characters; use plain A-Z letters only; ","")&amp;IF($D166="","Last Name is required; ","")&amp;IF(LEN($D166&amp;"")&gt;26,"Last Name exceeds 26 characters; ","")&amp;IF(AND($D166&lt;&gt;"",SUMPRODUCT(--(ROW($1:$26)&lt;=LEN($D166&amp;"")),--ISERROR(FIND(MID($D166&amp;"",ROW($1:$26),1),"ABCDEFGHIJKLMNOPQRSTUVWXYZabcdefghijklmnopqrstuvwxyz .,")))&gt;0),"Last Name contains unsupported or encoded characters; use plain A-Z letters only; ","")&amp;IF(LEN($E166&amp;"")&gt;1,"Middle Initial may contain only one character; ","")&amp;IF(AND($E166&lt;&gt;"",SUMPRODUCT(--(ROW($1:$1)&lt;=LEN($E166&amp;"")),--ISERROR(FIND(MID($E166&amp;"",ROW($1:$1),1),"ABCDEFGHIJKLMNOPQRSTUVWXYZabcdefghijklmnopqrstuvwxyz .,")))&gt;0),"Middle Initial must be a plain A-Z letter; ","")&amp;IF($F166="","Address is required; ","")&amp;IF(LEN($F166&amp;"")&gt;75,"Address exceeds 75 characters; ","")&amp;IF(LEN($G166&amp;"")&gt;75,"Address 2 exceeds 75 characters; ","")&amp;IF($H166="","City is required; ","")&amp;IF(LEN($H166&amp;"")&gt;30,"City exceeds 30 characters; ","")&amp;IF($K166="","Country is required; ","")&amp;IF(AND($K166&lt;&gt;"",$K166&lt;&gt;"US",$K166&lt;&gt;"CA"),"Country must be US or CA; ","")&amp;IF(AND($K166="US",OR($I166="",LEN($I166&amp;"")&lt;&gt;2)),"Use a 2-letter state code; ","")&amp;IF($J166="","ZIP or postal code is required; ","")&amp;IF(AND($K166="US",$J166&lt;&gt;"",NOT(IFERROR(OR(AND(LEN($J166&amp;"")=5,ISNUMBER(--($J166&amp;""))),AND(LEN($J166&amp;"")=9,ISNUMBER(--($J166&amp;""))),AND(LEN($J166&amp;"")=10,MID($J166&amp;"",6,1)="-",ISNUMBER(--SUBSTITUTE($J166&amp;"","-","")))),FALSE))),"US ZIP must be 5 or 9 digits, with an optional ZIP+4 hyphen; ","")&amp;IF(AND($N166&lt;&gt;"",NOT(IFERROR(AND(ISNUMBER(SEARCH("@",$N166)),ISNUMBER(SEARCH(".",$N166,SEARCH("@",$N166)+2))),FALSE))),"Email format appears invalid; ","")&amp;IF(AND($O166&lt;&gt;"",$B166=""),"Dependent SSN is required for every dependent; ","")&amp;IF(AND($B166&lt;&gt;"",$O166=""),"Dependent Relationship is required when Dependent SSN is entered; ","")&amp;IF(AND($O166&lt;&gt;"",$O166&lt;&gt;"Spouse or Common Law Spouse",$O166&lt;&gt;"Domestic Partner",$O166&lt;&gt;"Child",$O166&lt;&gt;"Other",$O166&lt;&gt;"Estate",$O166&lt;&gt;"Unknown"),"Dependent Relationship must use one of the approved options; ",""))</f>
        <v/>
      </c>
      <c r="Z166">
        <f>IF(COUNTA($A166:$U166)=0,"",IF(AND($A166&lt;&gt;"",NOT(IFERROR(AND(LEN($A166&amp;"")=9,ISNUMBER(--($A166&amp;""))),FALSE))),"Employee SSN must contain exactly 9 digits; ","")&amp;IF(AND($A166&lt;&gt;"",OR($A166="123456789",$A166="987654321",$A166="012345678",$A166=REPT(LEFT($A166&amp;"",1),9))),"Employee SSN appears to be a placeholder; ","")&amp;IF(AND($B166&lt;&gt;"",NOT(IFERROR(AND(LEN($B166&amp;"")=9,ISNUMBER(--($B166&amp;""))),FALSE))),"Dependent SSN must contain exactly 9 digits; ","")&amp;IF(AND($B166&lt;&gt;"",OR($B166="123456789",$B166="987654321",$B166="012345678",$B166=REPT(LEFT($B166&amp;"",1),9))),"Dependent SSN appears to be a placeholder; ","")&amp;IF(AND($A166&lt;&gt;"",$B166&lt;&gt;"",$A166&amp;""=$B166&amp;""),"Dependent SSN cannot match Employee SSN; ","")&amp;IF(AND($W166&lt;&gt;"",OR(COUNTIFS($W$2:$W$501,$W166,$C$2:$C$501,"&lt;&gt;"&amp;$C166)&gt;0,COUNTIFS($W$2:$W$501,$W166,$D$2:$D$501,"&lt;&gt;"&amp;$D166)&gt;0,COUNTIFS($W$2:$W$501,$W166,$L$2:$L$501,"&lt;&gt;"&amp;$L166)&gt;0)),"The same SSN is associated with a different name or birthdate; ",""))</f>
        <v/>
      </c>
      <c r="AA166">
        <f>IF(COUNTA($A166:$U166)=0,"",IF(AND($A166&lt;&gt;"",$S166&lt;&gt;"",COUNTIFS($A$2:$A$501,$A166,$S$2:$S$501,$S166,$B$2:$B$501,"",$O$2:$O$501,"")=0),"Add an employee row for this household and plan; ","")&amp;IF(AND($X166="Dependent",COUNTIFS($A$2:$A166,$A166,$S$2:$S166,$S166,$B$2:$B166,"",$O$2:$O166,"")=0),"Place the employee row before dependent rows for this plan; ","")&amp;IF(AND($X166="Dependent",COUNTIFS($A$2:$A$501,$A166,$S$2:$S$501,$S166,$B$2:$B$501,"",$O$2:$O$501,"")&gt;0,IFERROR(OR($P166&lt;&gt;LOOKUP(2,1/(($A$2:$A$501=$A166)*($S$2:$S$501=$S166)*($B$2:$B$501="")*($O$2:$O$501="")),$P$2:$P$501),$Q166&lt;&gt;LOOKUP(2,1/(($A$2:$A$501=$A166)*($S$2:$S$501=$S166)*($B$2:$B$501="")*($O$2:$O$501="")),$Q$2:$Q$501),$R166&lt;&gt;LOOKUP(2,1/(($A$2:$A$501=$A166)*($S$2:$S$501=$S166)*($B$2:$B$501="")*($O$2:$O$501="")),$R$2:$R$501),$T166&lt;&gt;LOOKUP(2,1/(($A$2:$A$501=$A166)*($S$2:$S$501=$S166)*($B$2:$B$501="")*($O$2:$O$501="")),$T$2:$T$501),$U166&lt;&gt;LOOKUP(2,1/(($A$2:$A$501=$A166)*($S$2:$S$501=$S166)*($B$2:$B$501="")*($O$2:$O$501="")),$U$2:$U$501)),FALSE)),"Dependent row does not match the employee row for eligibility, status, coverage level, or funding; ",""))</f>
        <v/>
      </c>
      <c r="AB166">
        <f>IF(COUNTA($A166:$U166)=0,"",IF($L166="","Birthdate is required; ","")&amp;IF(AND($L166&lt;&gt;"",OR(NOT(ISNUMBER($L166)),$L166&lt;=DATE(1900,1,1),$L166&gt;TODAY())),"Birthdate must be an exact valid past date; ","")&amp;IF($P166="","Eligibility Date is required; ","")&amp;IF(AND($P166&lt;&gt;"",OR(NOT(ISNUMBER($P166)),$P166&lt;=DATE(1900,1,1))),"Eligibility Date must be a valid date; ","")&amp;IF(AND($R166="Terminated",$Q166=""),"Termination Date is required when Status is Terminated; ","")&amp;IF(AND($Q166&lt;&gt;"",OR(NOT(ISNUMBER($Q166)),$Q166&lt;=DATE(1900,1,1))),"Termination Date must be a valid date; ","")&amp;IF(AND(ISNUMBER($P166),ISNUMBER($Q166),$Q166&lt;$P166),"Termination Date cannot be before Eligibility Date; ","")&amp;IF($R166="","Status is required; ","")&amp;IF(AND($R166&lt;&gt;"",$R166&lt;&gt;"Active",$R166&lt;&gt;"Terminated"),"Status must be Active or Terminated; ","")&amp;IF(AND('START HERE'!$C$8="Terminations Only",$R166&lt;&gt;"Terminated"),"Terminations Only files must contain terminated records; ",""))</f>
        <v/>
      </c>
      <c r="AC166">
        <f>IF(COUNTA($A166:$U166)=0,"",IF($S166="","Plan Name is required; ","")&amp;IF($T166="","Benefit Coverage Level is required; ","")&amp;IF(AND($U166&lt;&gt;"",OR(NOT(ISNUMBER($U166)),$U166&lt;0)),"Plan Funding Amount must be a nonnegative number; ","")&amp;IF(AND($A166&lt;&gt;"",$S166&lt;&gt;"",COUNTIFS($A$2:$A$501,$A166,$B$2:$B$501,$B166,$S$2:$S$501,$S166)&gt;1),"Duplicate participant and plan row; ",""))</f>
        <v/>
      </c>
      <c r="AD166">
        <f>IF(COUNTA($A166:$U166)=0,"",IF(AND($X166="Employee",$M166="",$N166=""),"No employee phone or email provided; ","")&amp;IF(AND($R166="Active",$Q166&lt;&gt;""),"Active record includes a Termination Date; confirm this is intentional; ","")&amp;IF(AND($B166&lt;&gt;"",$B166&amp;""&lt;&gt;$A166&amp;"",COUNTIF($A$2:$A$501,$B166)&gt;0),"Dependent SSN also appears as an Employee SSN elsewhere; confirm dual-employee coverage is intentional; ","")&amp;IF(AND($B166&lt;&gt;"",COUNTIF($B$2:$B$501,$B166)&gt;COUNTIFS($A$2:$A$501,$A166,$B$2:$B$501,$B166)),"Dependent SSN appears under more than one employee; confirm duplicate family coverage is intentional; ","")&amp;IF(AND(ROW()&gt;2,$A166&lt;&gt;"",$A166&lt;&gt;$A165,COUNTIF($A$2:$A165,$A166)&gt;0),"This household appears in more than one section of the census; keep the family together; ","")&amp;IF(OR(AND($C166&lt;&gt;"",LEN($C166&amp;"")&lt;&gt;LEN(TRIM($C166&amp;""))),AND($D166&lt;&gt;"",LEN($D166&amp;"")&lt;&gt;LEN(TRIM($D166&amp;""))),AND($E166&lt;&gt;"",LEN($E166&amp;"")&lt;&gt;LEN(TRIM($E166&amp;""))),AND($F166&lt;&gt;"",LEN($F166&amp;"")&lt;&gt;LEN(TRIM($F166&amp;""))),AND($G166&lt;&gt;"",LEN($G166&amp;"")&lt;&gt;LEN(TRIM($G166&amp;""))),AND($H166&lt;&gt;"",LEN($H166&amp;"")&lt;&gt;LEN(TRIM($H166&amp;""))),AND($I166&lt;&gt;"",LEN($I166&amp;"")&lt;&gt;LEN(TRIM($I166&amp;""))),AND($J166&lt;&gt;"",LEN($J166&amp;"")&lt;&gt;LEN(TRIM($J166&amp;""))),AND($K166&lt;&gt;"",LEN($K166&amp;"")&lt;&gt;LEN(TRIM($K166&amp;""))),AND($M166&lt;&gt;"",LEN($M166&amp;"")&lt;&gt;LEN(TRIM($M166&amp;""))),AND($N166&lt;&gt;"",LEN($N166&amp;"")&lt;&gt;LEN(TRIM($N166&amp;""))),AND($O166&lt;&gt;"",LEN($O166&amp;"")&lt;&gt;LEN(TRIM($O166&amp;""))),AND($R166&lt;&gt;"",LEN($R166&amp;"")&lt;&gt;LEN(TRIM($R166&amp;""))),AND($S166&lt;&gt;"",LEN($S166&amp;"")&lt;&gt;LEN(TRIM($S166&amp;""))),AND($T166&lt;&gt;"",LEN($T166&amp;"")&lt;&gt;LEN(TRIM($T166&amp;"")))),"Remove leading or trailing spaces from text fields; ","")&amp;IF(OR(AND(LEN($C166)&gt;1,OR(EXACT($C166,UPPER($C166)),EXACT($C166,LOWER($C166)))),AND(LEN($D166)&gt;1,OR(EXACT($D166,UPPER($D166)),EXACT($D166,LOWER($D166)))),AND(LEN($H166)&gt;1,OR(EXACT($H166,UPPER($H166)),EXACT($H166,LOWER($H166))))),"Review capitalization in First Name, Last Name, or City; ","")&amp;IF(AND($N166&lt;&gt;"",NOT(EXACT($N166,LOWER($N166)))),"Email will be standardized to lowercase in the clean output; ","")&amp;IF(AND(OR('START HERE'!$C$8="Initial Enrollment",'START HERE'!$C$8="Open Enrollment"),$R166="Terminated"),"A terminated row is included in an initial or open enrollment file; confirm this is intentional; ",""))</f>
        <v/>
      </c>
      <c r="AE166">
        <f>IF(COUNTA($A166:$U166)=0,"",IF(OR($A166="",AND($A166&lt;&gt;"",NOT(IFERROR(AND(LEN($A166&amp;"")=9,ISNUMBER(--($A166&amp;""))),FALSE))),AND($A166&lt;&gt;"",OR($A166="123456789",$A166="987654321",$A166="012345678",$A166=REPT(LEFT($A166&amp;"",1),9)))),"Employee SSN, ","")&amp;IF(OR(AND($O166&lt;&gt;"",$B166=""),AND($B166&lt;&gt;"",OR(NOT(IFERROR(AND(LEN($B166&amp;"")=9,ISNUMBER(--($B166&amp;""))),FALSE)),$B166=$A166,$B166="123456789",$B166="987654321",$B166="012345678",$B166=REPT(LEFT($B166&amp;"",1),9)))),"Dependent SSN, ","")&amp;IF(OR($C166="",LEN($C166)&gt;19,AND($C166&lt;&gt;"",SUMPRODUCT(--(ROW($1:$19)&lt;=LEN($C166&amp;"")),--ISERROR(FIND(MID($C166&amp;"",ROW($1:$19),1),"ABCDEFGHIJKLMNOPQRSTUVWXYZabcdefghijklmnopqrstuvwxyz .,")))&gt;0)),"First Name, ","")&amp;IF(OR($D166="",LEN($D166)&gt;26,AND($D166&lt;&gt;"",SUMPRODUCT(--(ROW($1:$26)&lt;=LEN($D166&amp;"")),--ISERROR(FIND(MID($D166&amp;"",ROW($1:$26),1),"ABCDEFGHIJKLMNOPQRSTUVWXYZabcdefghijklmnopqrstuvwxyz .,")))&gt;0)),"Last Name, ","")&amp;IF(OR(LEN($E166)&gt;1,AND($E166&lt;&gt;"",SUMPRODUCT(--(ROW($1:$1)&lt;=LEN($E166&amp;"")),--ISERROR(FIND(MID($E166&amp;"",ROW($1:$1),1),"ABCDEFGHIJKLMNOPQRSTUVWXYZabcdefghijklmnopqrstuvwxyz .,")))&gt;0)),"Middle Initial, ","")&amp;IF(OR($F166="",LEN($F166)&gt;75),"Address, ","")&amp;IF(OR($H166="",LEN($H166)&gt;30),"City, ","")&amp;IF(AND($K166="US",OR($I166="",LEN($I166)&lt;&gt;2)),"State, ","")&amp;IF($J166="","ZIP, ","")&amp;IF(OR($K166="",AND($K166&lt;&gt;"US",$K166&lt;&gt;"CA")),"Country, ","")&amp;IF(OR($L166="",AND($L166&lt;&gt;"",OR(NOT(ISNUMBER($L166)),$L166&lt;=DATE(1900,1,1),$L166&gt;TODAY()))),"Birthdate, ","")&amp;IF(AND($N166&lt;&gt;"",NOT(IFERROR(AND(ISNUMBER(SEARCH("@",$N166)),ISNUMBER(SEARCH(".",$N166,SEARCH("@",$N166)+2))),FALSE))),"Email, ","")&amp;IF(OR(AND($B166&lt;&gt;"",$O166=""),AND($O166&lt;&gt;"",$O166&lt;&gt;"Spouse or Common Law Spouse",$O166&lt;&gt;"Domestic Partner",$O166&lt;&gt;"Child",$O166&lt;&gt;"Other",$O166&lt;&gt;"Estate",$O166&lt;&gt;"Unknown")),"Dependent Relationship, ","")&amp;IF($AA166&lt;&gt;"","Household, ","")&amp;IF(OR($P166="",AND($P166&lt;&gt;"",OR(NOT(ISNUMBER($P166)),$P166&lt;=DATE(1900,1,1)))),"Eligibility Date, ","")&amp;IF(OR(AND($R166="Terminated",$Q166=""),AND($Q166&lt;&gt;"",OR(NOT(ISNUMBER($Q166)),$Q166&lt;=DATE(1900,1,1))),AND(ISNUMBER($P166),ISNUMBER($Q166),$Q166&lt;$P166)),"Termination Date, ","")&amp;IF(OR($R166="",AND($R166&lt;&gt;"Active",$R166&lt;&gt;"Terminated"),AND('START HERE'!$C$8="Terminations Only",$R166&lt;&gt;"Terminated")),"Status, ","")&amp;IF($S166="","Plan Name, ","")&amp;IF($T166="","Coverage Level, ","")&amp;IF(AND($U166&lt;&gt;"",OR(NOT(ISNUMBER($U166)),$U166&lt;0)),"Funding, ","")&amp;IF(AND($A166&lt;&gt;"",$S166&lt;&gt;"",COUNTIFS($A$2:$A$501,$A166,$B$2:$B$501,$B166,$S$2:$S$501,$S166)&gt;1),"Duplicate Row, ",""))</f>
        <v/>
      </c>
      <c r="AF166">
        <f>IF(COUNTA($A166:$U166)=0,"",$Y166&amp;$Z166&amp;$AA166&amp;$AB166&amp;$AC166)</f>
        <v/>
      </c>
      <c r="AG166">
        <f>IF($N166="","",LOWER(TRIM($N166)))</f>
        <v/>
      </c>
      <c r="AH166">
        <f>IF($A166="","",COUNTIFS($A$2:$A$501,$A166,$AI$2:$AI$501,1))</f>
        <v/>
      </c>
      <c r="AI166">
        <f>IF(COUNTA($A166:$U166)=0,"",--($AF166&lt;&gt;""))</f>
        <v/>
      </c>
      <c r="AJ166">
        <f>IF(COUNTA($A166:$U166)=0,"",--($AD166&lt;&gt;""))</f>
        <v/>
      </c>
    </row>
    <row r="167" ht="20" customHeight="1">
      <c r="A167" s="80" t="n"/>
      <c r="B167" s="80" t="n"/>
      <c r="C167" s="81" t="n"/>
      <c r="D167" s="81" t="n"/>
      <c r="E167" s="80" t="n"/>
      <c r="F167" s="81" t="n"/>
      <c r="G167" s="81" t="n"/>
      <c r="H167" s="81" t="n"/>
      <c r="I167" s="80" t="n"/>
      <c r="J167" s="80" t="n"/>
      <c r="K167" s="80" t="n"/>
      <c r="L167" s="82" t="n"/>
      <c r="M167" s="80" t="n"/>
      <c r="N167" s="80" t="n"/>
      <c r="O167" s="80" t="n"/>
      <c r="P167" s="82" t="n"/>
      <c r="Q167" s="82" t="n"/>
      <c r="R167" s="80" t="n"/>
      <c r="S167" s="80" t="n"/>
      <c r="T167" s="80" t="n"/>
      <c r="U167" s="83" t="n"/>
      <c r="V167">
        <f>IF($A167="","",IF($A167=$A166,$V166,IF($V166="",0,1-$V166)))</f>
        <v/>
      </c>
      <c r="W167">
        <f>IF($B167&lt;&gt;"",$B167,$A167)</f>
        <v/>
      </c>
      <c r="X167">
        <f>IF(COUNTA($A167:$U167)=0,"",IF(OR($B167&lt;&gt;"",$O167&lt;&gt;""),"Dependent","Employee"))</f>
        <v/>
      </c>
      <c r="Y167">
        <f>IF(COUNTA($A167:$U167)=0,"",IF($A167="","Employee SSN is required; ","")&amp;IF($C167="","First Name is required; ","")&amp;IF(LEN($C167&amp;"")&gt;19,"First Name exceeds 19 characters; ","")&amp;IF(AND($C167&lt;&gt;"",SUMPRODUCT(--(ROW($1:$19)&lt;=LEN($C167&amp;"")),--ISERROR(FIND(MID($C167&amp;"",ROW($1:$19),1),"ABCDEFGHIJKLMNOPQRSTUVWXYZabcdefghijklmnopqrstuvwxyz .,")))&gt;0),"First Name contains unsupported or encoded characters; use plain A-Z letters only; ","")&amp;IF($D167="","Last Name is required; ","")&amp;IF(LEN($D167&amp;"")&gt;26,"Last Name exceeds 26 characters; ","")&amp;IF(AND($D167&lt;&gt;"",SUMPRODUCT(--(ROW($1:$26)&lt;=LEN($D167&amp;"")),--ISERROR(FIND(MID($D167&amp;"",ROW($1:$26),1),"ABCDEFGHIJKLMNOPQRSTUVWXYZabcdefghijklmnopqrstuvwxyz .,")))&gt;0),"Last Name contains unsupported or encoded characters; use plain A-Z letters only; ","")&amp;IF(LEN($E167&amp;"")&gt;1,"Middle Initial may contain only one character; ","")&amp;IF(AND($E167&lt;&gt;"",SUMPRODUCT(--(ROW($1:$1)&lt;=LEN($E167&amp;"")),--ISERROR(FIND(MID($E167&amp;"",ROW($1:$1),1),"ABCDEFGHIJKLMNOPQRSTUVWXYZabcdefghijklmnopqrstuvwxyz .,")))&gt;0),"Middle Initial must be a plain A-Z letter; ","")&amp;IF($F167="","Address is required; ","")&amp;IF(LEN($F167&amp;"")&gt;75,"Address exceeds 75 characters; ","")&amp;IF(LEN($G167&amp;"")&gt;75,"Address 2 exceeds 75 characters; ","")&amp;IF($H167="","City is required; ","")&amp;IF(LEN($H167&amp;"")&gt;30,"City exceeds 30 characters; ","")&amp;IF($K167="","Country is required; ","")&amp;IF(AND($K167&lt;&gt;"",$K167&lt;&gt;"US",$K167&lt;&gt;"CA"),"Country must be US or CA; ","")&amp;IF(AND($K167="US",OR($I167="",LEN($I167&amp;"")&lt;&gt;2)),"Use a 2-letter state code; ","")&amp;IF($J167="","ZIP or postal code is required; ","")&amp;IF(AND($K167="US",$J167&lt;&gt;"",NOT(IFERROR(OR(AND(LEN($J167&amp;"")=5,ISNUMBER(--($J167&amp;""))),AND(LEN($J167&amp;"")=9,ISNUMBER(--($J167&amp;""))),AND(LEN($J167&amp;"")=10,MID($J167&amp;"",6,1)="-",ISNUMBER(--SUBSTITUTE($J167&amp;"","-","")))),FALSE))),"US ZIP must be 5 or 9 digits, with an optional ZIP+4 hyphen; ","")&amp;IF(AND($N167&lt;&gt;"",NOT(IFERROR(AND(ISNUMBER(SEARCH("@",$N167)),ISNUMBER(SEARCH(".",$N167,SEARCH("@",$N167)+2))),FALSE))),"Email format appears invalid; ","")&amp;IF(AND($O167&lt;&gt;"",$B167=""),"Dependent SSN is required for every dependent; ","")&amp;IF(AND($B167&lt;&gt;"",$O167=""),"Dependent Relationship is required when Dependent SSN is entered; ","")&amp;IF(AND($O167&lt;&gt;"",$O167&lt;&gt;"Spouse or Common Law Spouse",$O167&lt;&gt;"Domestic Partner",$O167&lt;&gt;"Child",$O167&lt;&gt;"Other",$O167&lt;&gt;"Estate",$O167&lt;&gt;"Unknown"),"Dependent Relationship must use one of the approved options; ",""))</f>
        <v/>
      </c>
      <c r="Z167">
        <f>IF(COUNTA($A167:$U167)=0,"",IF(AND($A167&lt;&gt;"",NOT(IFERROR(AND(LEN($A167&amp;"")=9,ISNUMBER(--($A167&amp;""))),FALSE))),"Employee SSN must contain exactly 9 digits; ","")&amp;IF(AND($A167&lt;&gt;"",OR($A167="123456789",$A167="987654321",$A167="012345678",$A167=REPT(LEFT($A167&amp;"",1),9))),"Employee SSN appears to be a placeholder; ","")&amp;IF(AND($B167&lt;&gt;"",NOT(IFERROR(AND(LEN($B167&amp;"")=9,ISNUMBER(--($B167&amp;""))),FALSE))),"Dependent SSN must contain exactly 9 digits; ","")&amp;IF(AND($B167&lt;&gt;"",OR($B167="123456789",$B167="987654321",$B167="012345678",$B167=REPT(LEFT($B167&amp;"",1),9))),"Dependent SSN appears to be a placeholder; ","")&amp;IF(AND($A167&lt;&gt;"",$B167&lt;&gt;"",$A167&amp;""=$B167&amp;""),"Dependent SSN cannot match Employee SSN; ","")&amp;IF(AND($W167&lt;&gt;"",OR(COUNTIFS($W$2:$W$501,$W167,$C$2:$C$501,"&lt;&gt;"&amp;$C167)&gt;0,COUNTIFS($W$2:$W$501,$W167,$D$2:$D$501,"&lt;&gt;"&amp;$D167)&gt;0,COUNTIFS($W$2:$W$501,$W167,$L$2:$L$501,"&lt;&gt;"&amp;$L167)&gt;0)),"The same SSN is associated with a different name or birthdate; ",""))</f>
        <v/>
      </c>
      <c r="AA167">
        <f>IF(COUNTA($A167:$U167)=0,"",IF(AND($A167&lt;&gt;"",$S167&lt;&gt;"",COUNTIFS($A$2:$A$501,$A167,$S$2:$S$501,$S167,$B$2:$B$501,"",$O$2:$O$501,"")=0),"Add an employee row for this household and plan; ","")&amp;IF(AND($X167="Dependent",COUNTIFS($A$2:$A167,$A167,$S$2:$S167,$S167,$B$2:$B167,"",$O$2:$O167,"")=0),"Place the employee row before dependent rows for this plan; ","")&amp;IF(AND($X167="Dependent",COUNTIFS($A$2:$A$501,$A167,$S$2:$S$501,$S167,$B$2:$B$501,"",$O$2:$O$501,"")&gt;0,IFERROR(OR($P167&lt;&gt;LOOKUP(2,1/(($A$2:$A$501=$A167)*($S$2:$S$501=$S167)*($B$2:$B$501="")*($O$2:$O$501="")),$P$2:$P$501),$Q167&lt;&gt;LOOKUP(2,1/(($A$2:$A$501=$A167)*($S$2:$S$501=$S167)*($B$2:$B$501="")*($O$2:$O$501="")),$Q$2:$Q$501),$R167&lt;&gt;LOOKUP(2,1/(($A$2:$A$501=$A167)*($S$2:$S$501=$S167)*($B$2:$B$501="")*($O$2:$O$501="")),$R$2:$R$501),$T167&lt;&gt;LOOKUP(2,1/(($A$2:$A$501=$A167)*($S$2:$S$501=$S167)*($B$2:$B$501="")*($O$2:$O$501="")),$T$2:$T$501),$U167&lt;&gt;LOOKUP(2,1/(($A$2:$A$501=$A167)*($S$2:$S$501=$S167)*($B$2:$B$501="")*($O$2:$O$501="")),$U$2:$U$501)),FALSE)),"Dependent row does not match the employee row for eligibility, status, coverage level, or funding; ",""))</f>
        <v/>
      </c>
      <c r="AB167">
        <f>IF(COUNTA($A167:$U167)=0,"",IF($L167="","Birthdate is required; ","")&amp;IF(AND($L167&lt;&gt;"",OR(NOT(ISNUMBER($L167)),$L167&lt;=DATE(1900,1,1),$L167&gt;TODAY())),"Birthdate must be an exact valid past date; ","")&amp;IF($P167="","Eligibility Date is required; ","")&amp;IF(AND($P167&lt;&gt;"",OR(NOT(ISNUMBER($P167)),$P167&lt;=DATE(1900,1,1))),"Eligibility Date must be a valid date; ","")&amp;IF(AND($R167="Terminated",$Q167=""),"Termination Date is required when Status is Terminated; ","")&amp;IF(AND($Q167&lt;&gt;"",OR(NOT(ISNUMBER($Q167)),$Q167&lt;=DATE(1900,1,1))),"Termination Date must be a valid date; ","")&amp;IF(AND(ISNUMBER($P167),ISNUMBER($Q167),$Q167&lt;$P167),"Termination Date cannot be before Eligibility Date; ","")&amp;IF($R167="","Status is required; ","")&amp;IF(AND($R167&lt;&gt;"",$R167&lt;&gt;"Active",$R167&lt;&gt;"Terminated"),"Status must be Active or Terminated; ","")&amp;IF(AND('START HERE'!$C$8="Terminations Only",$R167&lt;&gt;"Terminated"),"Terminations Only files must contain terminated records; ",""))</f>
        <v/>
      </c>
      <c r="AC167">
        <f>IF(COUNTA($A167:$U167)=0,"",IF($S167="","Plan Name is required; ","")&amp;IF($T167="","Benefit Coverage Level is required; ","")&amp;IF(AND($U167&lt;&gt;"",OR(NOT(ISNUMBER($U167)),$U167&lt;0)),"Plan Funding Amount must be a nonnegative number; ","")&amp;IF(AND($A167&lt;&gt;"",$S167&lt;&gt;"",COUNTIFS($A$2:$A$501,$A167,$B$2:$B$501,$B167,$S$2:$S$501,$S167)&gt;1),"Duplicate participant and plan row; ",""))</f>
        <v/>
      </c>
      <c r="AD167">
        <f>IF(COUNTA($A167:$U167)=0,"",IF(AND($X167="Employee",$M167="",$N167=""),"No employee phone or email provided; ","")&amp;IF(AND($R167="Active",$Q167&lt;&gt;""),"Active record includes a Termination Date; confirm this is intentional; ","")&amp;IF(AND($B167&lt;&gt;"",$B167&amp;""&lt;&gt;$A167&amp;"",COUNTIF($A$2:$A$501,$B167)&gt;0),"Dependent SSN also appears as an Employee SSN elsewhere; confirm dual-employee coverage is intentional; ","")&amp;IF(AND($B167&lt;&gt;"",COUNTIF($B$2:$B$501,$B167)&gt;COUNTIFS($A$2:$A$501,$A167,$B$2:$B$501,$B167)),"Dependent SSN appears under more than one employee; confirm duplicate family coverage is intentional; ","")&amp;IF(AND(ROW()&gt;2,$A167&lt;&gt;"",$A167&lt;&gt;$A166,COUNTIF($A$2:$A166,$A167)&gt;0),"This household appears in more than one section of the census; keep the family together; ","")&amp;IF(OR(AND($C167&lt;&gt;"",LEN($C167&amp;"")&lt;&gt;LEN(TRIM($C167&amp;""))),AND($D167&lt;&gt;"",LEN($D167&amp;"")&lt;&gt;LEN(TRIM($D167&amp;""))),AND($E167&lt;&gt;"",LEN($E167&amp;"")&lt;&gt;LEN(TRIM($E167&amp;""))),AND($F167&lt;&gt;"",LEN($F167&amp;"")&lt;&gt;LEN(TRIM($F167&amp;""))),AND($G167&lt;&gt;"",LEN($G167&amp;"")&lt;&gt;LEN(TRIM($G167&amp;""))),AND($H167&lt;&gt;"",LEN($H167&amp;"")&lt;&gt;LEN(TRIM($H167&amp;""))),AND($I167&lt;&gt;"",LEN($I167&amp;"")&lt;&gt;LEN(TRIM($I167&amp;""))),AND($J167&lt;&gt;"",LEN($J167&amp;"")&lt;&gt;LEN(TRIM($J167&amp;""))),AND($K167&lt;&gt;"",LEN($K167&amp;"")&lt;&gt;LEN(TRIM($K167&amp;""))),AND($M167&lt;&gt;"",LEN($M167&amp;"")&lt;&gt;LEN(TRIM($M167&amp;""))),AND($N167&lt;&gt;"",LEN($N167&amp;"")&lt;&gt;LEN(TRIM($N167&amp;""))),AND($O167&lt;&gt;"",LEN($O167&amp;"")&lt;&gt;LEN(TRIM($O167&amp;""))),AND($R167&lt;&gt;"",LEN($R167&amp;"")&lt;&gt;LEN(TRIM($R167&amp;""))),AND($S167&lt;&gt;"",LEN($S167&amp;"")&lt;&gt;LEN(TRIM($S167&amp;""))),AND($T167&lt;&gt;"",LEN($T167&amp;"")&lt;&gt;LEN(TRIM($T167&amp;"")))),"Remove leading or trailing spaces from text fields; ","")&amp;IF(OR(AND(LEN($C167)&gt;1,OR(EXACT($C167,UPPER($C167)),EXACT($C167,LOWER($C167)))),AND(LEN($D167)&gt;1,OR(EXACT($D167,UPPER($D167)),EXACT($D167,LOWER($D167)))),AND(LEN($H167)&gt;1,OR(EXACT($H167,UPPER($H167)),EXACT($H167,LOWER($H167))))),"Review capitalization in First Name, Last Name, or City; ","")&amp;IF(AND($N167&lt;&gt;"",NOT(EXACT($N167,LOWER($N167)))),"Email will be standardized to lowercase in the clean output; ","")&amp;IF(AND(OR('START HERE'!$C$8="Initial Enrollment",'START HERE'!$C$8="Open Enrollment"),$R167="Terminated"),"A terminated row is included in an initial or open enrollment file; confirm this is intentional; ",""))</f>
        <v/>
      </c>
      <c r="AE167">
        <f>IF(COUNTA($A167:$U167)=0,"",IF(OR($A167="",AND($A167&lt;&gt;"",NOT(IFERROR(AND(LEN($A167&amp;"")=9,ISNUMBER(--($A167&amp;""))),FALSE))),AND($A167&lt;&gt;"",OR($A167="123456789",$A167="987654321",$A167="012345678",$A167=REPT(LEFT($A167&amp;"",1),9)))),"Employee SSN, ","")&amp;IF(OR(AND($O167&lt;&gt;"",$B167=""),AND($B167&lt;&gt;"",OR(NOT(IFERROR(AND(LEN($B167&amp;"")=9,ISNUMBER(--($B167&amp;""))),FALSE)),$B167=$A167,$B167="123456789",$B167="987654321",$B167="012345678",$B167=REPT(LEFT($B167&amp;"",1),9)))),"Dependent SSN, ","")&amp;IF(OR($C167="",LEN($C167)&gt;19,AND($C167&lt;&gt;"",SUMPRODUCT(--(ROW($1:$19)&lt;=LEN($C167&amp;"")),--ISERROR(FIND(MID($C167&amp;"",ROW($1:$19),1),"ABCDEFGHIJKLMNOPQRSTUVWXYZabcdefghijklmnopqrstuvwxyz .,")))&gt;0)),"First Name, ","")&amp;IF(OR($D167="",LEN($D167)&gt;26,AND($D167&lt;&gt;"",SUMPRODUCT(--(ROW($1:$26)&lt;=LEN($D167&amp;"")),--ISERROR(FIND(MID($D167&amp;"",ROW($1:$26),1),"ABCDEFGHIJKLMNOPQRSTUVWXYZabcdefghijklmnopqrstuvwxyz .,")))&gt;0)),"Last Name, ","")&amp;IF(OR(LEN($E167)&gt;1,AND($E167&lt;&gt;"",SUMPRODUCT(--(ROW($1:$1)&lt;=LEN($E167&amp;"")),--ISERROR(FIND(MID($E167&amp;"",ROW($1:$1),1),"ABCDEFGHIJKLMNOPQRSTUVWXYZabcdefghijklmnopqrstuvwxyz .,")))&gt;0)),"Middle Initial, ","")&amp;IF(OR($F167="",LEN($F167)&gt;75),"Address, ","")&amp;IF(OR($H167="",LEN($H167)&gt;30),"City, ","")&amp;IF(AND($K167="US",OR($I167="",LEN($I167)&lt;&gt;2)),"State, ","")&amp;IF($J167="","ZIP, ","")&amp;IF(OR($K167="",AND($K167&lt;&gt;"US",$K167&lt;&gt;"CA")),"Country, ","")&amp;IF(OR($L167="",AND($L167&lt;&gt;"",OR(NOT(ISNUMBER($L167)),$L167&lt;=DATE(1900,1,1),$L167&gt;TODAY()))),"Birthdate, ","")&amp;IF(AND($N167&lt;&gt;"",NOT(IFERROR(AND(ISNUMBER(SEARCH("@",$N167)),ISNUMBER(SEARCH(".",$N167,SEARCH("@",$N167)+2))),FALSE))),"Email, ","")&amp;IF(OR(AND($B167&lt;&gt;"",$O167=""),AND($O167&lt;&gt;"",$O167&lt;&gt;"Spouse or Common Law Spouse",$O167&lt;&gt;"Domestic Partner",$O167&lt;&gt;"Child",$O167&lt;&gt;"Other",$O167&lt;&gt;"Estate",$O167&lt;&gt;"Unknown")),"Dependent Relationship, ","")&amp;IF($AA167&lt;&gt;"","Household, ","")&amp;IF(OR($P167="",AND($P167&lt;&gt;"",OR(NOT(ISNUMBER($P167)),$P167&lt;=DATE(1900,1,1)))),"Eligibility Date, ","")&amp;IF(OR(AND($R167="Terminated",$Q167=""),AND($Q167&lt;&gt;"",OR(NOT(ISNUMBER($Q167)),$Q167&lt;=DATE(1900,1,1))),AND(ISNUMBER($P167),ISNUMBER($Q167),$Q167&lt;$P167)),"Termination Date, ","")&amp;IF(OR($R167="",AND($R167&lt;&gt;"Active",$R167&lt;&gt;"Terminated"),AND('START HERE'!$C$8="Terminations Only",$R167&lt;&gt;"Terminated")),"Status, ","")&amp;IF($S167="","Plan Name, ","")&amp;IF($T167="","Coverage Level, ","")&amp;IF(AND($U167&lt;&gt;"",OR(NOT(ISNUMBER($U167)),$U167&lt;0)),"Funding, ","")&amp;IF(AND($A167&lt;&gt;"",$S167&lt;&gt;"",COUNTIFS($A$2:$A$501,$A167,$B$2:$B$501,$B167,$S$2:$S$501,$S167)&gt;1),"Duplicate Row, ",""))</f>
        <v/>
      </c>
      <c r="AF167">
        <f>IF(COUNTA($A167:$U167)=0,"",$Y167&amp;$Z167&amp;$AA167&amp;$AB167&amp;$AC167)</f>
        <v/>
      </c>
      <c r="AG167">
        <f>IF($N167="","",LOWER(TRIM($N167)))</f>
        <v/>
      </c>
      <c r="AH167">
        <f>IF($A167="","",COUNTIFS($A$2:$A$501,$A167,$AI$2:$AI$501,1))</f>
        <v/>
      </c>
      <c r="AI167">
        <f>IF(COUNTA($A167:$U167)=0,"",--($AF167&lt;&gt;""))</f>
        <v/>
      </c>
      <c r="AJ167">
        <f>IF(COUNTA($A167:$U167)=0,"",--($AD167&lt;&gt;""))</f>
        <v/>
      </c>
    </row>
    <row r="168" ht="20" customHeight="1">
      <c r="A168" s="80" t="n"/>
      <c r="B168" s="80" t="n"/>
      <c r="C168" s="81" t="n"/>
      <c r="D168" s="81" t="n"/>
      <c r="E168" s="80" t="n"/>
      <c r="F168" s="81" t="n"/>
      <c r="G168" s="81" t="n"/>
      <c r="H168" s="81" t="n"/>
      <c r="I168" s="80" t="n"/>
      <c r="J168" s="80" t="n"/>
      <c r="K168" s="80" t="n"/>
      <c r="L168" s="82" t="n"/>
      <c r="M168" s="80" t="n"/>
      <c r="N168" s="80" t="n"/>
      <c r="O168" s="80" t="n"/>
      <c r="P168" s="82" t="n"/>
      <c r="Q168" s="82" t="n"/>
      <c r="R168" s="80" t="n"/>
      <c r="S168" s="80" t="n"/>
      <c r="T168" s="80" t="n"/>
      <c r="U168" s="83" t="n"/>
      <c r="V168">
        <f>IF($A168="","",IF($A168=$A167,$V167,IF($V167="",0,1-$V167)))</f>
        <v/>
      </c>
      <c r="W168">
        <f>IF($B168&lt;&gt;"",$B168,$A168)</f>
        <v/>
      </c>
      <c r="X168">
        <f>IF(COUNTA($A168:$U168)=0,"",IF(OR($B168&lt;&gt;"",$O168&lt;&gt;""),"Dependent","Employee"))</f>
        <v/>
      </c>
      <c r="Y168">
        <f>IF(COUNTA($A168:$U168)=0,"",IF($A168="","Employee SSN is required; ","")&amp;IF($C168="","First Name is required; ","")&amp;IF(LEN($C168&amp;"")&gt;19,"First Name exceeds 19 characters; ","")&amp;IF(AND($C168&lt;&gt;"",SUMPRODUCT(--(ROW($1:$19)&lt;=LEN($C168&amp;"")),--ISERROR(FIND(MID($C168&amp;"",ROW($1:$19),1),"ABCDEFGHIJKLMNOPQRSTUVWXYZabcdefghijklmnopqrstuvwxyz .,")))&gt;0),"First Name contains unsupported or encoded characters; use plain A-Z letters only; ","")&amp;IF($D168="","Last Name is required; ","")&amp;IF(LEN($D168&amp;"")&gt;26,"Last Name exceeds 26 characters; ","")&amp;IF(AND($D168&lt;&gt;"",SUMPRODUCT(--(ROW($1:$26)&lt;=LEN($D168&amp;"")),--ISERROR(FIND(MID($D168&amp;"",ROW($1:$26),1),"ABCDEFGHIJKLMNOPQRSTUVWXYZabcdefghijklmnopqrstuvwxyz .,")))&gt;0),"Last Name contains unsupported or encoded characters; use plain A-Z letters only; ","")&amp;IF(LEN($E168&amp;"")&gt;1,"Middle Initial may contain only one character; ","")&amp;IF(AND($E168&lt;&gt;"",SUMPRODUCT(--(ROW($1:$1)&lt;=LEN($E168&amp;"")),--ISERROR(FIND(MID($E168&amp;"",ROW($1:$1),1),"ABCDEFGHIJKLMNOPQRSTUVWXYZabcdefghijklmnopqrstuvwxyz .,")))&gt;0),"Middle Initial must be a plain A-Z letter; ","")&amp;IF($F168="","Address is required; ","")&amp;IF(LEN($F168&amp;"")&gt;75,"Address exceeds 75 characters; ","")&amp;IF(LEN($G168&amp;"")&gt;75,"Address 2 exceeds 75 characters; ","")&amp;IF($H168="","City is required; ","")&amp;IF(LEN($H168&amp;"")&gt;30,"City exceeds 30 characters; ","")&amp;IF($K168="","Country is required; ","")&amp;IF(AND($K168&lt;&gt;"",$K168&lt;&gt;"US",$K168&lt;&gt;"CA"),"Country must be US or CA; ","")&amp;IF(AND($K168="US",OR($I168="",LEN($I168&amp;"")&lt;&gt;2)),"Use a 2-letter state code; ","")&amp;IF($J168="","ZIP or postal code is required; ","")&amp;IF(AND($K168="US",$J168&lt;&gt;"",NOT(IFERROR(OR(AND(LEN($J168&amp;"")=5,ISNUMBER(--($J168&amp;""))),AND(LEN($J168&amp;"")=9,ISNUMBER(--($J168&amp;""))),AND(LEN($J168&amp;"")=10,MID($J168&amp;"",6,1)="-",ISNUMBER(--SUBSTITUTE($J168&amp;"","-","")))),FALSE))),"US ZIP must be 5 or 9 digits, with an optional ZIP+4 hyphen; ","")&amp;IF(AND($N168&lt;&gt;"",NOT(IFERROR(AND(ISNUMBER(SEARCH("@",$N168)),ISNUMBER(SEARCH(".",$N168,SEARCH("@",$N168)+2))),FALSE))),"Email format appears invalid; ","")&amp;IF(AND($O168&lt;&gt;"",$B168=""),"Dependent SSN is required for every dependent; ","")&amp;IF(AND($B168&lt;&gt;"",$O168=""),"Dependent Relationship is required when Dependent SSN is entered; ","")&amp;IF(AND($O168&lt;&gt;"",$O168&lt;&gt;"Spouse or Common Law Spouse",$O168&lt;&gt;"Domestic Partner",$O168&lt;&gt;"Child",$O168&lt;&gt;"Other",$O168&lt;&gt;"Estate",$O168&lt;&gt;"Unknown"),"Dependent Relationship must use one of the approved options; ",""))</f>
        <v/>
      </c>
      <c r="Z168">
        <f>IF(COUNTA($A168:$U168)=0,"",IF(AND($A168&lt;&gt;"",NOT(IFERROR(AND(LEN($A168&amp;"")=9,ISNUMBER(--($A168&amp;""))),FALSE))),"Employee SSN must contain exactly 9 digits; ","")&amp;IF(AND($A168&lt;&gt;"",OR($A168="123456789",$A168="987654321",$A168="012345678",$A168=REPT(LEFT($A168&amp;"",1),9))),"Employee SSN appears to be a placeholder; ","")&amp;IF(AND($B168&lt;&gt;"",NOT(IFERROR(AND(LEN($B168&amp;"")=9,ISNUMBER(--($B168&amp;""))),FALSE))),"Dependent SSN must contain exactly 9 digits; ","")&amp;IF(AND($B168&lt;&gt;"",OR($B168="123456789",$B168="987654321",$B168="012345678",$B168=REPT(LEFT($B168&amp;"",1),9))),"Dependent SSN appears to be a placeholder; ","")&amp;IF(AND($A168&lt;&gt;"",$B168&lt;&gt;"",$A168&amp;""=$B168&amp;""),"Dependent SSN cannot match Employee SSN; ","")&amp;IF(AND($W168&lt;&gt;"",OR(COUNTIFS($W$2:$W$501,$W168,$C$2:$C$501,"&lt;&gt;"&amp;$C168)&gt;0,COUNTIFS($W$2:$W$501,$W168,$D$2:$D$501,"&lt;&gt;"&amp;$D168)&gt;0,COUNTIFS($W$2:$W$501,$W168,$L$2:$L$501,"&lt;&gt;"&amp;$L168)&gt;0)),"The same SSN is associated with a different name or birthdate; ",""))</f>
        <v/>
      </c>
      <c r="AA168">
        <f>IF(COUNTA($A168:$U168)=0,"",IF(AND($A168&lt;&gt;"",$S168&lt;&gt;"",COUNTIFS($A$2:$A$501,$A168,$S$2:$S$501,$S168,$B$2:$B$501,"",$O$2:$O$501,"")=0),"Add an employee row for this household and plan; ","")&amp;IF(AND($X168="Dependent",COUNTIFS($A$2:$A168,$A168,$S$2:$S168,$S168,$B$2:$B168,"",$O$2:$O168,"")=0),"Place the employee row before dependent rows for this plan; ","")&amp;IF(AND($X168="Dependent",COUNTIFS($A$2:$A$501,$A168,$S$2:$S$501,$S168,$B$2:$B$501,"",$O$2:$O$501,"")&gt;0,IFERROR(OR($P168&lt;&gt;LOOKUP(2,1/(($A$2:$A$501=$A168)*($S$2:$S$501=$S168)*($B$2:$B$501="")*($O$2:$O$501="")),$P$2:$P$501),$Q168&lt;&gt;LOOKUP(2,1/(($A$2:$A$501=$A168)*($S$2:$S$501=$S168)*($B$2:$B$501="")*($O$2:$O$501="")),$Q$2:$Q$501),$R168&lt;&gt;LOOKUP(2,1/(($A$2:$A$501=$A168)*($S$2:$S$501=$S168)*($B$2:$B$501="")*($O$2:$O$501="")),$R$2:$R$501),$T168&lt;&gt;LOOKUP(2,1/(($A$2:$A$501=$A168)*($S$2:$S$501=$S168)*($B$2:$B$501="")*($O$2:$O$501="")),$T$2:$T$501),$U168&lt;&gt;LOOKUP(2,1/(($A$2:$A$501=$A168)*($S$2:$S$501=$S168)*($B$2:$B$501="")*($O$2:$O$501="")),$U$2:$U$501)),FALSE)),"Dependent row does not match the employee row for eligibility, status, coverage level, or funding; ",""))</f>
        <v/>
      </c>
      <c r="AB168">
        <f>IF(COUNTA($A168:$U168)=0,"",IF($L168="","Birthdate is required; ","")&amp;IF(AND($L168&lt;&gt;"",OR(NOT(ISNUMBER($L168)),$L168&lt;=DATE(1900,1,1),$L168&gt;TODAY())),"Birthdate must be an exact valid past date; ","")&amp;IF($P168="","Eligibility Date is required; ","")&amp;IF(AND($P168&lt;&gt;"",OR(NOT(ISNUMBER($P168)),$P168&lt;=DATE(1900,1,1))),"Eligibility Date must be a valid date; ","")&amp;IF(AND($R168="Terminated",$Q168=""),"Termination Date is required when Status is Terminated; ","")&amp;IF(AND($Q168&lt;&gt;"",OR(NOT(ISNUMBER($Q168)),$Q168&lt;=DATE(1900,1,1))),"Termination Date must be a valid date; ","")&amp;IF(AND(ISNUMBER($P168),ISNUMBER($Q168),$Q168&lt;$P168),"Termination Date cannot be before Eligibility Date; ","")&amp;IF($R168="","Status is required; ","")&amp;IF(AND($R168&lt;&gt;"",$R168&lt;&gt;"Active",$R168&lt;&gt;"Terminated"),"Status must be Active or Terminated; ","")&amp;IF(AND('START HERE'!$C$8="Terminations Only",$R168&lt;&gt;"Terminated"),"Terminations Only files must contain terminated records; ",""))</f>
        <v/>
      </c>
      <c r="AC168">
        <f>IF(COUNTA($A168:$U168)=0,"",IF($S168="","Plan Name is required; ","")&amp;IF($T168="","Benefit Coverage Level is required; ","")&amp;IF(AND($U168&lt;&gt;"",OR(NOT(ISNUMBER($U168)),$U168&lt;0)),"Plan Funding Amount must be a nonnegative number; ","")&amp;IF(AND($A168&lt;&gt;"",$S168&lt;&gt;"",COUNTIFS($A$2:$A$501,$A168,$B$2:$B$501,$B168,$S$2:$S$501,$S168)&gt;1),"Duplicate participant and plan row; ",""))</f>
        <v/>
      </c>
      <c r="AD168">
        <f>IF(COUNTA($A168:$U168)=0,"",IF(AND($X168="Employee",$M168="",$N168=""),"No employee phone or email provided; ","")&amp;IF(AND($R168="Active",$Q168&lt;&gt;""),"Active record includes a Termination Date; confirm this is intentional; ","")&amp;IF(AND($B168&lt;&gt;"",$B168&amp;""&lt;&gt;$A168&amp;"",COUNTIF($A$2:$A$501,$B168)&gt;0),"Dependent SSN also appears as an Employee SSN elsewhere; confirm dual-employee coverage is intentional; ","")&amp;IF(AND($B168&lt;&gt;"",COUNTIF($B$2:$B$501,$B168)&gt;COUNTIFS($A$2:$A$501,$A168,$B$2:$B$501,$B168)),"Dependent SSN appears under more than one employee; confirm duplicate family coverage is intentional; ","")&amp;IF(AND(ROW()&gt;2,$A168&lt;&gt;"",$A168&lt;&gt;$A167,COUNTIF($A$2:$A167,$A168)&gt;0),"This household appears in more than one section of the census; keep the family together; ","")&amp;IF(OR(AND($C168&lt;&gt;"",LEN($C168&amp;"")&lt;&gt;LEN(TRIM($C168&amp;""))),AND($D168&lt;&gt;"",LEN($D168&amp;"")&lt;&gt;LEN(TRIM($D168&amp;""))),AND($E168&lt;&gt;"",LEN($E168&amp;"")&lt;&gt;LEN(TRIM($E168&amp;""))),AND($F168&lt;&gt;"",LEN($F168&amp;"")&lt;&gt;LEN(TRIM($F168&amp;""))),AND($G168&lt;&gt;"",LEN($G168&amp;"")&lt;&gt;LEN(TRIM($G168&amp;""))),AND($H168&lt;&gt;"",LEN($H168&amp;"")&lt;&gt;LEN(TRIM($H168&amp;""))),AND($I168&lt;&gt;"",LEN($I168&amp;"")&lt;&gt;LEN(TRIM($I168&amp;""))),AND($J168&lt;&gt;"",LEN($J168&amp;"")&lt;&gt;LEN(TRIM($J168&amp;""))),AND($K168&lt;&gt;"",LEN($K168&amp;"")&lt;&gt;LEN(TRIM($K168&amp;""))),AND($M168&lt;&gt;"",LEN($M168&amp;"")&lt;&gt;LEN(TRIM($M168&amp;""))),AND($N168&lt;&gt;"",LEN($N168&amp;"")&lt;&gt;LEN(TRIM($N168&amp;""))),AND($O168&lt;&gt;"",LEN($O168&amp;"")&lt;&gt;LEN(TRIM($O168&amp;""))),AND($R168&lt;&gt;"",LEN($R168&amp;"")&lt;&gt;LEN(TRIM($R168&amp;""))),AND($S168&lt;&gt;"",LEN($S168&amp;"")&lt;&gt;LEN(TRIM($S168&amp;""))),AND($T168&lt;&gt;"",LEN($T168&amp;"")&lt;&gt;LEN(TRIM($T168&amp;"")))),"Remove leading or trailing spaces from text fields; ","")&amp;IF(OR(AND(LEN($C168)&gt;1,OR(EXACT($C168,UPPER($C168)),EXACT($C168,LOWER($C168)))),AND(LEN($D168)&gt;1,OR(EXACT($D168,UPPER($D168)),EXACT($D168,LOWER($D168)))),AND(LEN($H168)&gt;1,OR(EXACT($H168,UPPER($H168)),EXACT($H168,LOWER($H168))))),"Review capitalization in First Name, Last Name, or City; ","")&amp;IF(AND($N168&lt;&gt;"",NOT(EXACT($N168,LOWER($N168)))),"Email will be standardized to lowercase in the clean output; ","")&amp;IF(AND(OR('START HERE'!$C$8="Initial Enrollment",'START HERE'!$C$8="Open Enrollment"),$R168="Terminated"),"A terminated row is included in an initial or open enrollment file; confirm this is intentional; ",""))</f>
        <v/>
      </c>
      <c r="AE168">
        <f>IF(COUNTA($A168:$U168)=0,"",IF(OR($A168="",AND($A168&lt;&gt;"",NOT(IFERROR(AND(LEN($A168&amp;"")=9,ISNUMBER(--($A168&amp;""))),FALSE))),AND($A168&lt;&gt;"",OR($A168="123456789",$A168="987654321",$A168="012345678",$A168=REPT(LEFT($A168&amp;"",1),9)))),"Employee SSN, ","")&amp;IF(OR(AND($O168&lt;&gt;"",$B168=""),AND($B168&lt;&gt;"",OR(NOT(IFERROR(AND(LEN($B168&amp;"")=9,ISNUMBER(--($B168&amp;""))),FALSE)),$B168=$A168,$B168="123456789",$B168="987654321",$B168="012345678",$B168=REPT(LEFT($B168&amp;"",1),9)))),"Dependent SSN, ","")&amp;IF(OR($C168="",LEN($C168)&gt;19,AND($C168&lt;&gt;"",SUMPRODUCT(--(ROW($1:$19)&lt;=LEN($C168&amp;"")),--ISERROR(FIND(MID($C168&amp;"",ROW($1:$19),1),"ABCDEFGHIJKLMNOPQRSTUVWXYZabcdefghijklmnopqrstuvwxyz .,")))&gt;0)),"First Name, ","")&amp;IF(OR($D168="",LEN($D168)&gt;26,AND($D168&lt;&gt;"",SUMPRODUCT(--(ROW($1:$26)&lt;=LEN($D168&amp;"")),--ISERROR(FIND(MID($D168&amp;"",ROW($1:$26),1),"ABCDEFGHIJKLMNOPQRSTUVWXYZabcdefghijklmnopqrstuvwxyz .,")))&gt;0)),"Last Name, ","")&amp;IF(OR(LEN($E168)&gt;1,AND($E168&lt;&gt;"",SUMPRODUCT(--(ROW($1:$1)&lt;=LEN($E168&amp;"")),--ISERROR(FIND(MID($E168&amp;"",ROW($1:$1),1),"ABCDEFGHIJKLMNOPQRSTUVWXYZabcdefghijklmnopqrstuvwxyz .,")))&gt;0)),"Middle Initial, ","")&amp;IF(OR($F168="",LEN($F168)&gt;75),"Address, ","")&amp;IF(OR($H168="",LEN($H168)&gt;30),"City, ","")&amp;IF(AND($K168="US",OR($I168="",LEN($I168)&lt;&gt;2)),"State, ","")&amp;IF($J168="","ZIP, ","")&amp;IF(OR($K168="",AND($K168&lt;&gt;"US",$K168&lt;&gt;"CA")),"Country, ","")&amp;IF(OR($L168="",AND($L168&lt;&gt;"",OR(NOT(ISNUMBER($L168)),$L168&lt;=DATE(1900,1,1),$L168&gt;TODAY()))),"Birthdate, ","")&amp;IF(AND($N168&lt;&gt;"",NOT(IFERROR(AND(ISNUMBER(SEARCH("@",$N168)),ISNUMBER(SEARCH(".",$N168,SEARCH("@",$N168)+2))),FALSE))),"Email, ","")&amp;IF(OR(AND($B168&lt;&gt;"",$O168=""),AND($O168&lt;&gt;"",$O168&lt;&gt;"Spouse or Common Law Spouse",$O168&lt;&gt;"Domestic Partner",$O168&lt;&gt;"Child",$O168&lt;&gt;"Other",$O168&lt;&gt;"Estate",$O168&lt;&gt;"Unknown")),"Dependent Relationship, ","")&amp;IF($AA168&lt;&gt;"","Household, ","")&amp;IF(OR($P168="",AND($P168&lt;&gt;"",OR(NOT(ISNUMBER($P168)),$P168&lt;=DATE(1900,1,1)))),"Eligibility Date, ","")&amp;IF(OR(AND($R168="Terminated",$Q168=""),AND($Q168&lt;&gt;"",OR(NOT(ISNUMBER($Q168)),$Q168&lt;=DATE(1900,1,1))),AND(ISNUMBER($P168),ISNUMBER($Q168),$Q168&lt;$P168)),"Termination Date, ","")&amp;IF(OR($R168="",AND($R168&lt;&gt;"Active",$R168&lt;&gt;"Terminated"),AND('START HERE'!$C$8="Terminations Only",$R168&lt;&gt;"Terminated")),"Status, ","")&amp;IF($S168="","Plan Name, ","")&amp;IF($T168="","Coverage Level, ","")&amp;IF(AND($U168&lt;&gt;"",OR(NOT(ISNUMBER($U168)),$U168&lt;0)),"Funding, ","")&amp;IF(AND($A168&lt;&gt;"",$S168&lt;&gt;"",COUNTIFS($A$2:$A$501,$A168,$B$2:$B$501,$B168,$S$2:$S$501,$S168)&gt;1),"Duplicate Row, ",""))</f>
        <v/>
      </c>
      <c r="AF168">
        <f>IF(COUNTA($A168:$U168)=0,"",$Y168&amp;$Z168&amp;$AA168&amp;$AB168&amp;$AC168)</f>
        <v/>
      </c>
      <c r="AG168">
        <f>IF($N168="","",LOWER(TRIM($N168)))</f>
        <v/>
      </c>
      <c r="AH168">
        <f>IF($A168="","",COUNTIFS($A$2:$A$501,$A168,$AI$2:$AI$501,1))</f>
        <v/>
      </c>
      <c r="AI168">
        <f>IF(COUNTA($A168:$U168)=0,"",--($AF168&lt;&gt;""))</f>
        <v/>
      </c>
      <c r="AJ168">
        <f>IF(COUNTA($A168:$U168)=0,"",--($AD168&lt;&gt;""))</f>
        <v/>
      </c>
    </row>
    <row r="169" ht="20" customHeight="1">
      <c r="A169" s="80" t="n"/>
      <c r="B169" s="80" t="n"/>
      <c r="C169" s="81" t="n"/>
      <c r="D169" s="81" t="n"/>
      <c r="E169" s="80" t="n"/>
      <c r="F169" s="81" t="n"/>
      <c r="G169" s="81" t="n"/>
      <c r="H169" s="81" t="n"/>
      <c r="I169" s="80" t="n"/>
      <c r="J169" s="80" t="n"/>
      <c r="K169" s="80" t="n"/>
      <c r="L169" s="82" t="n"/>
      <c r="M169" s="80" t="n"/>
      <c r="N169" s="80" t="n"/>
      <c r="O169" s="80" t="n"/>
      <c r="P169" s="82" t="n"/>
      <c r="Q169" s="82" t="n"/>
      <c r="R169" s="80" t="n"/>
      <c r="S169" s="80" t="n"/>
      <c r="T169" s="80" t="n"/>
      <c r="U169" s="83" t="n"/>
      <c r="V169">
        <f>IF($A169="","",IF($A169=$A168,$V168,IF($V168="",0,1-$V168)))</f>
        <v/>
      </c>
      <c r="W169">
        <f>IF($B169&lt;&gt;"",$B169,$A169)</f>
        <v/>
      </c>
      <c r="X169">
        <f>IF(COUNTA($A169:$U169)=0,"",IF(OR($B169&lt;&gt;"",$O169&lt;&gt;""),"Dependent","Employee"))</f>
        <v/>
      </c>
      <c r="Y169">
        <f>IF(COUNTA($A169:$U169)=0,"",IF($A169="","Employee SSN is required; ","")&amp;IF($C169="","First Name is required; ","")&amp;IF(LEN($C169&amp;"")&gt;19,"First Name exceeds 19 characters; ","")&amp;IF(AND($C169&lt;&gt;"",SUMPRODUCT(--(ROW($1:$19)&lt;=LEN($C169&amp;"")),--ISERROR(FIND(MID($C169&amp;"",ROW($1:$19),1),"ABCDEFGHIJKLMNOPQRSTUVWXYZabcdefghijklmnopqrstuvwxyz .,")))&gt;0),"First Name contains unsupported or encoded characters; use plain A-Z letters only; ","")&amp;IF($D169="","Last Name is required; ","")&amp;IF(LEN($D169&amp;"")&gt;26,"Last Name exceeds 26 characters; ","")&amp;IF(AND($D169&lt;&gt;"",SUMPRODUCT(--(ROW($1:$26)&lt;=LEN($D169&amp;"")),--ISERROR(FIND(MID($D169&amp;"",ROW($1:$26),1),"ABCDEFGHIJKLMNOPQRSTUVWXYZabcdefghijklmnopqrstuvwxyz .,")))&gt;0),"Last Name contains unsupported or encoded characters; use plain A-Z letters only; ","")&amp;IF(LEN($E169&amp;"")&gt;1,"Middle Initial may contain only one character; ","")&amp;IF(AND($E169&lt;&gt;"",SUMPRODUCT(--(ROW($1:$1)&lt;=LEN($E169&amp;"")),--ISERROR(FIND(MID($E169&amp;"",ROW($1:$1),1),"ABCDEFGHIJKLMNOPQRSTUVWXYZabcdefghijklmnopqrstuvwxyz .,")))&gt;0),"Middle Initial must be a plain A-Z letter; ","")&amp;IF($F169="","Address is required; ","")&amp;IF(LEN($F169&amp;"")&gt;75,"Address exceeds 75 characters; ","")&amp;IF(LEN($G169&amp;"")&gt;75,"Address 2 exceeds 75 characters; ","")&amp;IF($H169="","City is required; ","")&amp;IF(LEN($H169&amp;"")&gt;30,"City exceeds 30 characters; ","")&amp;IF($K169="","Country is required; ","")&amp;IF(AND($K169&lt;&gt;"",$K169&lt;&gt;"US",$K169&lt;&gt;"CA"),"Country must be US or CA; ","")&amp;IF(AND($K169="US",OR($I169="",LEN($I169&amp;"")&lt;&gt;2)),"Use a 2-letter state code; ","")&amp;IF($J169="","ZIP or postal code is required; ","")&amp;IF(AND($K169="US",$J169&lt;&gt;"",NOT(IFERROR(OR(AND(LEN($J169&amp;"")=5,ISNUMBER(--($J169&amp;""))),AND(LEN($J169&amp;"")=9,ISNUMBER(--($J169&amp;""))),AND(LEN($J169&amp;"")=10,MID($J169&amp;"",6,1)="-",ISNUMBER(--SUBSTITUTE($J169&amp;"","-","")))),FALSE))),"US ZIP must be 5 or 9 digits, with an optional ZIP+4 hyphen; ","")&amp;IF(AND($N169&lt;&gt;"",NOT(IFERROR(AND(ISNUMBER(SEARCH("@",$N169)),ISNUMBER(SEARCH(".",$N169,SEARCH("@",$N169)+2))),FALSE))),"Email format appears invalid; ","")&amp;IF(AND($O169&lt;&gt;"",$B169=""),"Dependent SSN is required for every dependent; ","")&amp;IF(AND($B169&lt;&gt;"",$O169=""),"Dependent Relationship is required when Dependent SSN is entered; ","")&amp;IF(AND($O169&lt;&gt;"",$O169&lt;&gt;"Spouse or Common Law Spouse",$O169&lt;&gt;"Domestic Partner",$O169&lt;&gt;"Child",$O169&lt;&gt;"Other",$O169&lt;&gt;"Estate",$O169&lt;&gt;"Unknown"),"Dependent Relationship must use one of the approved options; ",""))</f>
        <v/>
      </c>
      <c r="Z169">
        <f>IF(COUNTA($A169:$U169)=0,"",IF(AND($A169&lt;&gt;"",NOT(IFERROR(AND(LEN($A169&amp;"")=9,ISNUMBER(--($A169&amp;""))),FALSE))),"Employee SSN must contain exactly 9 digits; ","")&amp;IF(AND($A169&lt;&gt;"",OR($A169="123456789",$A169="987654321",$A169="012345678",$A169=REPT(LEFT($A169&amp;"",1),9))),"Employee SSN appears to be a placeholder; ","")&amp;IF(AND($B169&lt;&gt;"",NOT(IFERROR(AND(LEN($B169&amp;"")=9,ISNUMBER(--($B169&amp;""))),FALSE))),"Dependent SSN must contain exactly 9 digits; ","")&amp;IF(AND($B169&lt;&gt;"",OR($B169="123456789",$B169="987654321",$B169="012345678",$B169=REPT(LEFT($B169&amp;"",1),9))),"Dependent SSN appears to be a placeholder; ","")&amp;IF(AND($A169&lt;&gt;"",$B169&lt;&gt;"",$A169&amp;""=$B169&amp;""),"Dependent SSN cannot match Employee SSN; ","")&amp;IF(AND($W169&lt;&gt;"",OR(COUNTIFS($W$2:$W$501,$W169,$C$2:$C$501,"&lt;&gt;"&amp;$C169)&gt;0,COUNTIFS($W$2:$W$501,$W169,$D$2:$D$501,"&lt;&gt;"&amp;$D169)&gt;0,COUNTIFS($W$2:$W$501,$W169,$L$2:$L$501,"&lt;&gt;"&amp;$L169)&gt;0)),"The same SSN is associated with a different name or birthdate; ",""))</f>
        <v/>
      </c>
      <c r="AA169">
        <f>IF(COUNTA($A169:$U169)=0,"",IF(AND($A169&lt;&gt;"",$S169&lt;&gt;"",COUNTIFS($A$2:$A$501,$A169,$S$2:$S$501,$S169,$B$2:$B$501,"",$O$2:$O$501,"")=0),"Add an employee row for this household and plan; ","")&amp;IF(AND($X169="Dependent",COUNTIFS($A$2:$A169,$A169,$S$2:$S169,$S169,$B$2:$B169,"",$O$2:$O169,"")=0),"Place the employee row before dependent rows for this plan; ","")&amp;IF(AND($X169="Dependent",COUNTIFS($A$2:$A$501,$A169,$S$2:$S$501,$S169,$B$2:$B$501,"",$O$2:$O$501,"")&gt;0,IFERROR(OR($P169&lt;&gt;LOOKUP(2,1/(($A$2:$A$501=$A169)*($S$2:$S$501=$S169)*($B$2:$B$501="")*($O$2:$O$501="")),$P$2:$P$501),$Q169&lt;&gt;LOOKUP(2,1/(($A$2:$A$501=$A169)*($S$2:$S$501=$S169)*($B$2:$B$501="")*($O$2:$O$501="")),$Q$2:$Q$501),$R169&lt;&gt;LOOKUP(2,1/(($A$2:$A$501=$A169)*($S$2:$S$501=$S169)*($B$2:$B$501="")*($O$2:$O$501="")),$R$2:$R$501),$T169&lt;&gt;LOOKUP(2,1/(($A$2:$A$501=$A169)*($S$2:$S$501=$S169)*($B$2:$B$501="")*($O$2:$O$501="")),$T$2:$T$501),$U169&lt;&gt;LOOKUP(2,1/(($A$2:$A$501=$A169)*($S$2:$S$501=$S169)*($B$2:$B$501="")*($O$2:$O$501="")),$U$2:$U$501)),FALSE)),"Dependent row does not match the employee row for eligibility, status, coverage level, or funding; ",""))</f>
        <v/>
      </c>
      <c r="AB169">
        <f>IF(COUNTA($A169:$U169)=0,"",IF($L169="","Birthdate is required; ","")&amp;IF(AND($L169&lt;&gt;"",OR(NOT(ISNUMBER($L169)),$L169&lt;=DATE(1900,1,1),$L169&gt;TODAY())),"Birthdate must be an exact valid past date; ","")&amp;IF($P169="","Eligibility Date is required; ","")&amp;IF(AND($P169&lt;&gt;"",OR(NOT(ISNUMBER($P169)),$P169&lt;=DATE(1900,1,1))),"Eligibility Date must be a valid date; ","")&amp;IF(AND($R169="Terminated",$Q169=""),"Termination Date is required when Status is Terminated; ","")&amp;IF(AND($Q169&lt;&gt;"",OR(NOT(ISNUMBER($Q169)),$Q169&lt;=DATE(1900,1,1))),"Termination Date must be a valid date; ","")&amp;IF(AND(ISNUMBER($P169),ISNUMBER($Q169),$Q169&lt;$P169),"Termination Date cannot be before Eligibility Date; ","")&amp;IF($R169="","Status is required; ","")&amp;IF(AND($R169&lt;&gt;"",$R169&lt;&gt;"Active",$R169&lt;&gt;"Terminated"),"Status must be Active or Terminated; ","")&amp;IF(AND('START HERE'!$C$8="Terminations Only",$R169&lt;&gt;"Terminated"),"Terminations Only files must contain terminated records; ",""))</f>
        <v/>
      </c>
      <c r="AC169">
        <f>IF(COUNTA($A169:$U169)=0,"",IF($S169="","Plan Name is required; ","")&amp;IF($T169="","Benefit Coverage Level is required; ","")&amp;IF(AND($U169&lt;&gt;"",OR(NOT(ISNUMBER($U169)),$U169&lt;0)),"Plan Funding Amount must be a nonnegative number; ","")&amp;IF(AND($A169&lt;&gt;"",$S169&lt;&gt;"",COUNTIFS($A$2:$A$501,$A169,$B$2:$B$501,$B169,$S$2:$S$501,$S169)&gt;1),"Duplicate participant and plan row; ",""))</f>
        <v/>
      </c>
      <c r="AD169">
        <f>IF(COUNTA($A169:$U169)=0,"",IF(AND($X169="Employee",$M169="",$N169=""),"No employee phone or email provided; ","")&amp;IF(AND($R169="Active",$Q169&lt;&gt;""),"Active record includes a Termination Date; confirm this is intentional; ","")&amp;IF(AND($B169&lt;&gt;"",$B169&amp;""&lt;&gt;$A169&amp;"",COUNTIF($A$2:$A$501,$B169)&gt;0),"Dependent SSN also appears as an Employee SSN elsewhere; confirm dual-employee coverage is intentional; ","")&amp;IF(AND($B169&lt;&gt;"",COUNTIF($B$2:$B$501,$B169)&gt;COUNTIFS($A$2:$A$501,$A169,$B$2:$B$501,$B169)),"Dependent SSN appears under more than one employee; confirm duplicate family coverage is intentional; ","")&amp;IF(AND(ROW()&gt;2,$A169&lt;&gt;"",$A169&lt;&gt;$A168,COUNTIF($A$2:$A168,$A169)&gt;0),"This household appears in more than one section of the census; keep the family together; ","")&amp;IF(OR(AND($C169&lt;&gt;"",LEN($C169&amp;"")&lt;&gt;LEN(TRIM($C169&amp;""))),AND($D169&lt;&gt;"",LEN($D169&amp;"")&lt;&gt;LEN(TRIM($D169&amp;""))),AND($E169&lt;&gt;"",LEN($E169&amp;"")&lt;&gt;LEN(TRIM($E169&amp;""))),AND($F169&lt;&gt;"",LEN($F169&amp;"")&lt;&gt;LEN(TRIM($F169&amp;""))),AND($G169&lt;&gt;"",LEN($G169&amp;"")&lt;&gt;LEN(TRIM($G169&amp;""))),AND($H169&lt;&gt;"",LEN($H169&amp;"")&lt;&gt;LEN(TRIM($H169&amp;""))),AND($I169&lt;&gt;"",LEN($I169&amp;"")&lt;&gt;LEN(TRIM($I169&amp;""))),AND($J169&lt;&gt;"",LEN($J169&amp;"")&lt;&gt;LEN(TRIM($J169&amp;""))),AND($K169&lt;&gt;"",LEN($K169&amp;"")&lt;&gt;LEN(TRIM($K169&amp;""))),AND($M169&lt;&gt;"",LEN($M169&amp;"")&lt;&gt;LEN(TRIM($M169&amp;""))),AND($N169&lt;&gt;"",LEN($N169&amp;"")&lt;&gt;LEN(TRIM($N169&amp;""))),AND($O169&lt;&gt;"",LEN($O169&amp;"")&lt;&gt;LEN(TRIM($O169&amp;""))),AND($R169&lt;&gt;"",LEN($R169&amp;"")&lt;&gt;LEN(TRIM($R169&amp;""))),AND($S169&lt;&gt;"",LEN($S169&amp;"")&lt;&gt;LEN(TRIM($S169&amp;""))),AND($T169&lt;&gt;"",LEN($T169&amp;"")&lt;&gt;LEN(TRIM($T169&amp;"")))),"Remove leading or trailing spaces from text fields; ","")&amp;IF(OR(AND(LEN($C169)&gt;1,OR(EXACT($C169,UPPER($C169)),EXACT($C169,LOWER($C169)))),AND(LEN($D169)&gt;1,OR(EXACT($D169,UPPER($D169)),EXACT($D169,LOWER($D169)))),AND(LEN($H169)&gt;1,OR(EXACT($H169,UPPER($H169)),EXACT($H169,LOWER($H169))))),"Review capitalization in First Name, Last Name, or City; ","")&amp;IF(AND($N169&lt;&gt;"",NOT(EXACT($N169,LOWER($N169)))),"Email will be standardized to lowercase in the clean output; ","")&amp;IF(AND(OR('START HERE'!$C$8="Initial Enrollment",'START HERE'!$C$8="Open Enrollment"),$R169="Terminated"),"A terminated row is included in an initial or open enrollment file; confirm this is intentional; ",""))</f>
        <v/>
      </c>
      <c r="AE169">
        <f>IF(COUNTA($A169:$U169)=0,"",IF(OR($A169="",AND($A169&lt;&gt;"",NOT(IFERROR(AND(LEN($A169&amp;"")=9,ISNUMBER(--($A169&amp;""))),FALSE))),AND($A169&lt;&gt;"",OR($A169="123456789",$A169="987654321",$A169="012345678",$A169=REPT(LEFT($A169&amp;"",1),9)))),"Employee SSN, ","")&amp;IF(OR(AND($O169&lt;&gt;"",$B169=""),AND($B169&lt;&gt;"",OR(NOT(IFERROR(AND(LEN($B169&amp;"")=9,ISNUMBER(--($B169&amp;""))),FALSE)),$B169=$A169,$B169="123456789",$B169="987654321",$B169="012345678",$B169=REPT(LEFT($B169&amp;"",1),9)))),"Dependent SSN, ","")&amp;IF(OR($C169="",LEN($C169)&gt;19,AND($C169&lt;&gt;"",SUMPRODUCT(--(ROW($1:$19)&lt;=LEN($C169&amp;"")),--ISERROR(FIND(MID($C169&amp;"",ROW($1:$19),1),"ABCDEFGHIJKLMNOPQRSTUVWXYZabcdefghijklmnopqrstuvwxyz .,")))&gt;0)),"First Name, ","")&amp;IF(OR($D169="",LEN($D169)&gt;26,AND($D169&lt;&gt;"",SUMPRODUCT(--(ROW($1:$26)&lt;=LEN($D169&amp;"")),--ISERROR(FIND(MID($D169&amp;"",ROW($1:$26),1),"ABCDEFGHIJKLMNOPQRSTUVWXYZabcdefghijklmnopqrstuvwxyz .,")))&gt;0)),"Last Name, ","")&amp;IF(OR(LEN($E169)&gt;1,AND($E169&lt;&gt;"",SUMPRODUCT(--(ROW($1:$1)&lt;=LEN($E169&amp;"")),--ISERROR(FIND(MID($E169&amp;"",ROW($1:$1),1),"ABCDEFGHIJKLMNOPQRSTUVWXYZabcdefghijklmnopqrstuvwxyz .,")))&gt;0)),"Middle Initial, ","")&amp;IF(OR($F169="",LEN($F169)&gt;75),"Address, ","")&amp;IF(OR($H169="",LEN($H169)&gt;30),"City, ","")&amp;IF(AND($K169="US",OR($I169="",LEN($I169)&lt;&gt;2)),"State, ","")&amp;IF($J169="","ZIP, ","")&amp;IF(OR($K169="",AND($K169&lt;&gt;"US",$K169&lt;&gt;"CA")),"Country, ","")&amp;IF(OR($L169="",AND($L169&lt;&gt;"",OR(NOT(ISNUMBER($L169)),$L169&lt;=DATE(1900,1,1),$L169&gt;TODAY()))),"Birthdate, ","")&amp;IF(AND($N169&lt;&gt;"",NOT(IFERROR(AND(ISNUMBER(SEARCH("@",$N169)),ISNUMBER(SEARCH(".",$N169,SEARCH("@",$N169)+2))),FALSE))),"Email, ","")&amp;IF(OR(AND($B169&lt;&gt;"",$O169=""),AND($O169&lt;&gt;"",$O169&lt;&gt;"Spouse or Common Law Spouse",$O169&lt;&gt;"Domestic Partner",$O169&lt;&gt;"Child",$O169&lt;&gt;"Other",$O169&lt;&gt;"Estate",$O169&lt;&gt;"Unknown")),"Dependent Relationship, ","")&amp;IF($AA169&lt;&gt;"","Household, ","")&amp;IF(OR($P169="",AND($P169&lt;&gt;"",OR(NOT(ISNUMBER($P169)),$P169&lt;=DATE(1900,1,1)))),"Eligibility Date, ","")&amp;IF(OR(AND($R169="Terminated",$Q169=""),AND($Q169&lt;&gt;"",OR(NOT(ISNUMBER($Q169)),$Q169&lt;=DATE(1900,1,1))),AND(ISNUMBER($P169),ISNUMBER($Q169),$Q169&lt;$P169)),"Termination Date, ","")&amp;IF(OR($R169="",AND($R169&lt;&gt;"Active",$R169&lt;&gt;"Terminated"),AND('START HERE'!$C$8="Terminations Only",$R169&lt;&gt;"Terminated")),"Status, ","")&amp;IF($S169="","Plan Name, ","")&amp;IF($T169="","Coverage Level, ","")&amp;IF(AND($U169&lt;&gt;"",OR(NOT(ISNUMBER($U169)),$U169&lt;0)),"Funding, ","")&amp;IF(AND($A169&lt;&gt;"",$S169&lt;&gt;"",COUNTIFS($A$2:$A$501,$A169,$B$2:$B$501,$B169,$S$2:$S$501,$S169)&gt;1),"Duplicate Row, ",""))</f>
        <v/>
      </c>
      <c r="AF169">
        <f>IF(COUNTA($A169:$U169)=0,"",$Y169&amp;$Z169&amp;$AA169&amp;$AB169&amp;$AC169)</f>
        <v/>
      </c>
      <c r="AG169">
        <f>IF($N169="","",LOWER(TRIM($N169)))</f>
        <v/>
      </c>
      <c r="AH169">
        <f>IF($A169="","",COUNTIFS($A$2:$A$501,$A169,$AI$2:$AI$501,1))</f>
        <v/>
      </c>
      <c r="AI169">
        <f>IF(COUNTA($A169:$U169)=0,"",--($AF169&lt;&gt;""))</f>
        <v/>
      </c>
      <c r="AJ169">
        <f>IF(COUNTA($A169:$U169)=0,"",--($AD169&lt;&gt;""))</f>
        <v/>
      </c>
    </row>
    <row r="170" ht="20" customHeight="1">
      <c r="A170" s="80" t="n"/>
      <c r="B170" s="80" t="n"/>
      <c r="C170" s="81" t="n"/>
      <c r="D170" s="81" t="n"/>
      <c r="E170" s="80" t="n"/>
      <c r="F170" s="81" t="n"/>
      <c r="G170" s="81" t="n"/>
      <c r="H170" s="81" t="n"/>
      <c r="I170" s="80" t="n"/>
      <c r="J170" s="80" t="n"/>
      <c r="K170" s="80" t="n"/>
      <c r="L170" s="82" t="n"/>
      <c r="M170" s="80" t="n"/>
      <c r="N170" s="80" t="n"/>
      <c r="O170" s="80" t="n"/>
      <c r="P170" s="82" t="n"/>
      <c r="Q170" s="82" t="n"/>
      <c r="R170" s="80" t="n"/>
      <c r="S170" s="80" t="n"/>
      <c r="T170" s="80" t="n"/>
      <c r="U170" s="83" t="n"/>
      <c r="V170">
        <f>IF($A170="","",IF($A170=$A169,$V169,IF($V169="",0,1-$V169)))</f>
        <v/>
      </c>
      <c r="W170">
        <f>IF($B170&lt;&gt;"",$B170,$A170)</f>
        <v/>
      </c>
      <c r="X170">
        <f>IF(COUNTA($A170:$U170)=0,"",IF(OR($B170&lt;&gt;"",$O170&lt;&gt;""),"Dependent","Employee"))</f>
        <v/>
      </c>
      <c r="Y170">
        <f>IF(COUNTA($A170:$U170)=0,"",IF($A170="","Employee SSN is required; ","")&amp;IF($C170="","First Name is required; ","")&amp;IF(LEN($C170&amp;"")&gt;19,"First Name exceeds 19 characters; ","")&amp;IF(AND($C170&lt;&gt;"",SUMPRODUCT(--(ROW($1:$19)&lt;=LEN($C170&amp;"")),--ISERROR(FIND(MID($C170&amp;"",ROW($1:$19),1),"ABCDEFGHIJKLMNOPQRSTUVWXYZabcdefghijklmnopqrstuvwxyz .,")))&gt;0),"First Name contains unsupported or encoded characters; use plain A-Z letters only; ","")&amp;IF($D170="","Last Name is required; ","")&amp;IF(LEN($D170&amp;"")&gt;26,"Last Name exceeds 26 characters; ","")&amp;IF(AND($D170&lt;&gt;"",SUMPRODUCT(--(ROW($1:$26)&lt;=LEN($D170&amp;"")),--ISERROR(FIND(MID($D170&amp;"",ROW($1:$26),1),"ABCDEFGHIJKLMNOPQRSTUVWXYZabcdefghijklmnopqrstuvwxyz .,")))&gt;0),"Last Name contains unsupported or encoded characters; use plain A-Z letters only; ","")&amp;IF(LEN($E170&amp;"")&gt;1,"Middle Initial may contain only one character; ","")&amp;IF(AND($E170&lt;&gt;"",SUMPRODUCT(--(ROW($1:$1)&lt;=LEN($E170&amp;"")),--ISERROR(FIND(MID($E170&amp;"",ROW($1:$1),1),"ABCDEFGHIJKLMNOPQRSTUVWXYZabcdefghijklmnopqrstuvwxyz .,")))&gt;0),"Middle Initial must be a plain A-Z letter; ","")&amp;IF($F170="","Address is required; ","")&amp;IF(LEN($F170&amp;"")&gt;75,"Address exceeds 75 characters; ","")&amp;IF(LEN($G170&amp;"")&gt;75,"Address 2 exceeds 75 characters; ","")&amp;IF($H170="","City is required; ","")&amp;IF(LEN($H170&amp;"")&gt;30,"City exceeds 30 characters; ","")&amp;IF($K170="","Country is required; ","")&amp;IF(AND($K170&lt;&gt;"",$K170&lt;&gt;"US",$K170&lt;&gt;"CA"),"Country must be US or CA; ","")&amp;IF(AND($K170="US",OR($I170="",LEN($I170&amp;"")&lt;&gt;2)),"Use a 2-letter state code; ","")&amp;IF($J170="","ZIP or postal code is required; ","")&amp;IF(AND($K170="US",$J170&lt;&gt;"",NOT(IFERROR(OR(AND(LEN($J170&amp;"")=5,ISNUMBER(--($J170&amp;""))),AND(LEN($J170&amp;"")=9,ISNUMBER(--($J170&amp;""))),AND(LEN($J170&amp;"")=10,MID($J170&amp;"",6,1)="-",ISNUMBER(--SUBSTITUTE($J170&amp;"","-","")))),FALSE))),"US ZIP must be 5 or 9 digits, with an optional ZIP+4 hyphen; ","")&amp;IF(AND($N170&lt;&gt;"",NOT(IFERROR(AND(ISNUMBER(SEARCH("@",$N170)),ISNUMBER(SEARCH(".",$N170,SEARCH("@",$N170)+2))),FALSE))),"Email format appears invalid; ","")&amp;IF(AND($O170&lt;&gt;"",$B170=""),"Dependent SSN is required for every dependent; ","")&amp;IF(AND($B170&lt;&gt;"",$O170=""),"Dependent Relationship is required when Dependent SSN is entered; ","")&amp;IF(AND($O170&lt;&gt;"",$O170&lt;&gt;"Spouse or Common Law Spouse",$O170&lt;&gt;"Domestic Partner",$O170&lt;&gt;"Child",$O170&lt;&gt;"Other",$O170&lt;&gt;"Estate",$O170&lt;&gt;"Unknown"),"Dependent Relationship must use one of the approved options; ",""))</f>
        <v/>
      </c>
      <c r="Z170">
        <f>IF(COUNTA($A170:$U170)=0,"",IF(AND($A170&lt;&gt;"",NOT(IFERROR(AND(LEN($A170&amp;"")=9,ISNUMBER(--($A170&amp;""))),FALSE))),"Employee SSN must contain exactly 9 digits; ","")&amp;IF(AND($A170&lt;&gt;"",OR($A170="123456789",$A170="987654321",$A170="012345678",$A170=REPT(LEFT($A170&amp;"",1),9))),"Employee SSN appears to be a placeholder; ","")&amp;IF(AND($B170&lt;&gt;"",NOT(IFERROR(AND(LEN($B170&amp;"")=9,ISNUMBER(--($B170&amp;""))),FALSE))),"Dependent SSN must contain exactly 9 digits; ","")&amp;IF(AND($B170&lt;&gt;"",OR($B170="123456789",$B170="987654321",$B170="012345678",$B170=REPT(LEFT($B170&amp;"",1),9))),"Dependent SSN appears to be a placeholder; ","")&amp;IF(AND($A170&lt;&gt;"",$B170&lt;&gt;"",$A170&amp;""=$B170&amp;""),"Dependent SSN cannot match Employee SSN; ","")&amp;IF(AND($W170&lt;&gt;"",OR(COUNTIFS($W$2:$W$501,$W170,$C$2:$C$501,"&lt;&gt;"&amp;$C170)&gt;0,COUNTIFS($W$2:$W$501,$W170,$D$2:$D$501,"&lt;&gt;"&amp;$D170)&gt;0,COUNTIFS($W$2:$W$501,$W170,$L$2:$L$501,"&lt;&gt;"&amp;$L170)&gt;0)),"The same SSN is associated with a different name or birthdate; ",""))</f>
        <v/>
      </c>
      <c r="AA170">
        <f>IF(COUNTA($A170:$U170)=0,"",IF(AND($A170&lt;&gt;"",$S170&lt;&gt;"",COUNTIFS($A$2:$A$501,$A170,$S$2:$S$501,$S170,$B$2:$B$501,"",$O$2:$O$501,"")=0),"Add an employee row for this household and plan; ","")&amp;IF(AND($X170="Dependent",COUNTIFS($A$2:$A170,$A170,$S$2:$S170,$S170,$B$2:$B170,"",$O$2:$O170,"")=0),"Place the employee row before dependent rows for this plan; ","")&amp;IF(AND($X170="Dependent",COUNTIFS($A$2:$A$501,$A170,$S$2:$S$501,$S170,$B$2:$B$501,"",$O$2:$O$501,"")&gt;0,IFERROR(OR($P170&lt;&gt;LOOKUP(2,1/(($A$2:$A$501=$A170)*($S$2:$S$501=$S170)*($B$2:$B$501="")*($O$2:$O$501="")),$P$2:$P$501),$Q170&lt;&gt;LOOKUP(2,1/(($A$2:$A$501=$A170)*($S$2:$S$501=$S170)*($B$2:$B$501="")*($O$2:$O$501="")),$Q$2:$Q$501),$R170&lt;&gt;LOOKUP(2,1/(($A$2:$A$501=$A170)*($S$2:$S$501=$S170)*($B$2:$B$501="")*($O$2:$O$501="")),$R$2:$R$501),$T170&lt;&gt;LOOKUP(2,1/(($A$2:$A$501=$A170)*($S$2:$S$501=$S170)*($B$2:$B$501="")*($O$2:$O$501="")),$T$2:$T$501),$U170&lt;&gt;LOOKUP(2,1/(($A$2:$A$501=$A170)*($S$2:$S$501=$S170)*($B$2:$B$501="")*($O$2:$O$501="")),$U$2:$U$501)),FALSE)),"Dependent row does not match the employee row for eligibility, status, coverage level, or funding; ",""))</f>
        <v/>
      </c>
      <c r="AB170">
        <f>IF(COUNTA($A170:$U170)=0,"",IF($L170="","Birthdate is required; ","")&amp;IF(AND($L170&lt;&gt;"",OR(NOT(ISNUMBER($L170)),$L170&lt;=DATE(1900,1,1),$L170&gt;TODAY())),"Birthdate must be an exact valid past date; ","")&amp;IF($P170="","Eligibility Date is required; ","")&amp;IF(AND($P170&lt;&gt;"",OR(NOT(ISNUMBER($P170)),$P170&lt;=DATE(1900,1,1))),"Eligibility Date must be a valid date; ","")&amp;IF(AND($R170="Terminated",$Q170=""),"Termination Date is required when Status is Terminated; ","")&amp;IF(AND($Q170&lt;&gt;"",OR(NOT(ISNUMBER($Q170)),$Q170&lt;=DATE(1900,1,1))),"Termination Date must be a valid date; ","")&amp;IF(AND(ISNUMBER($P170),ISNUMBER($Q170),$Q170&lt;$P170),"Termination Date cannot be before Eligibility Date; ","")&amp;IF($R170="","Status is required; ","")&amp;IF(AND($R170&lt;&gt;"",$R170&lt;&gt;"Active",$R170&lt;&gt;"Terminated"),"Status must be Active or Terminated; ","")&amp;IF(AND('START HERE'!$C$8="Terminations Only",$R170&lt;&gt;"Terminated"),"Terminations Only files must contain terminated records; ",""))</f>
        <v/>
      </c>
      <c r="AC170">
        <f>IF(COUNTA($A170:$U170)=0,"",IF($S170="","Plan Name is required; ","")&amp;IF($T170="","Benefit Coverage Level is required; ","")&amp;IF(AND($U170&lt;&gt;"",OR(NOT(ISNUMBER($U170)),$U170&lt;0)),"Plan Funding Amount must be a nonnegative number; ","")&amp;IF(AND($A170&lt;&gt;"",$S170&lt;&gt;"",COUNTIFS($A$2:$A$501,$A170,$B$2:$B$501,$B170,$S$2:$S$501,$S170)&gt;1),"Duplicate participant and plan row; ",""))</f>
        <v/>
      </c>
      <c r="AD170">
        <f>IF(COUNTA($A170:$U170)=0,"",IF(AND($X170="Employee",$M170="",$N170=""),"No employee phone or email provided; ","")&amp;IF(AND($R170="Active",$Q170&lt;&gt;""),"Active record includes a Termination Date; confirm this is intentional; ","")&amp;IF(AND($B170&lt;&gt;"",$B170&amp;""&lt;&gt;$A170&amp;"",COUNTIF($A$2:$A$501,$B170)&gt;0),"Dependent SSN also appears as an Employee SSN elsewhere; confirm dual-employee coverage is intentional; ","")&amp;IF(AND($B170&lt;&gt;"",COUNTIF($B$2:$B$501,$B170)&gt;COUNTIFS($A$2:$A$501,$A170,$B$2:$B$501,$B170)),"Dependent SSN appears under more than one employee; confirm duplicate family coverage is intentional; ","")&amp;IF(AND(ROW()&gt;2,$A170&lt;&gt;"",$A170&lt;&gt;$A169,COUNTIF($A$2:$A169,$A170)&gt;0),"This household appears in more than one section of the census; keep the family together; ","")&amp;IF(OR(AND($C170&lt;&gt;"",LEN($C170&amp;"")&lt;&gt;LEN(TRIM($C170&amp;""))),AND($D170&lt;&gt;"",LEN($D170&amp;"")&lt;&gt;LEN(TRIM($D170&amp;""))),AND($E170&lt;&gt;"",LEN($E170&amp;"")&lt;&gt;LEN(TRIM($E170&amp;""))),AND($F170&lt;&gt;"",LEN($F170&amp;"")&lt;&gt;LEN(TRIM($F170&amp;""))),AND($G170&lt;&gt;"",LEN($G170&amp;"")&lt;&gt;LEN(TRIM($G170&amp;""))),AND($H170&lt;&gt;"",LEN($H170&amp;"")&lt;&gt;LEN(TRIM($H170&amp;""))),AND($I170&lt;&gt;"",LEN($I170&amp;"")&lt;&gt;LEN(TRIM($I170&amp;""))),AND($J170&lt;&gt;"",LEN($J170&amp;"")&lt;&gt;LEN(TRIM($J170&amp;""))),AND($K170&lt;&gt;"",LEN($K170&amp;"")&lt;&gt;LEN(TRIM($K170&amp;""))),AND($M170&lt;&gt;"",LEN($M170&amp;"")&lt;&gt;LEN(TRIM($M170&amp;""))),AND($N170&lt;&gt;"",LEN($N170&amp;"")&lt;&gt;LEN(TRIM($N170&amp;""))),AND($O170&lt;&gt;"",LEN($O170&amp;"")&lt;&gt;LEN(TRIM($O170&amp;""))),AND($R170&lt;&gt;"",LEN($R170&amp;"")&lt;&gt;LEN(TRIM($R170&amp;""))),AND($S170&lt;&gt;"",LEN($S170&amp;"")&lt;&gt;LEN(TRIM($S170&amp;""))),AND($T170&lt;&gt;"",LEN($T170&amp;"")&lt;&gt;LEN(TRIM($T170&amp;"")))),"Remove leading or trailing spaces from text fields; ","")&amp;IF(OR(AND(LEN($C170)&gt;1,OR(EXACT($C170,UPPER($C170)),EXACT($C170,LOWER($C170)))),AND(LEN($D170)&gt;1,OR(EXACT($D170,UPPER($D170)),EXACT($D170,LOWER($D170)))),AND(LEN($H170)&gt;1,OR(EXACT($H170,UPPER($H170)),EXACT($H170,LOWER($H170))))),"Review capitalization in First Name, Last Name, or City; ","")&amp;IF(AND($N170&lt;&gt;"",NOT(EXACT($N170,LOWER($N170)))),"Email will be standardized to lowercase in the clean output; ","")&amp;IF(AND(OR('START HERE'!$C$8="Initial Enrollment",'START HERE'!$C$8="Open Enrollment"),$R170="Terminated"),"A terminated row is included in an initial or open enrollment file; confirm this is intentional; ",""))</f>
        <v/>
      </c>
      <c r="AE170">
        <f>IF(COUNTA($A170:$U170)=0,"",IF(OR($A170="",AND($A170&lt;&gt;"",NOT(IFERROR(AND(LEN($A170&amp;"")=9,ISNUMBER(--($A170&amp;""))),FALSE))),AND($A170&lt;&gt;"",OR($A170="123456789",$A170="987654321",$A170="012345678",$A170=REPT(LEFT($A170&amp;"",1),9)))),"Employee SSN, ","")&amp;IF(OR(AND($O170&lt;&gt;"",$B170=""),AND($B170&lt;&gt;"",OR(NOT(IFERROR(AND(LEN($B170&amp;"")=9,ISNUMBER(--($B170&amp;""))),FALSE)),$B170=$A170,$B170="123456789",$B170="987654321",$B170="012345678",$B170=REPT(LEFT($B170&amp;"",1),9)))),"Dependent SSN, ","")&amp;IF(OR($C170="",LEN($C170)&gt;19,AND($C170&lt;&gt;"",SUMPRODUCT(--(ROW($1:$19)&lt;=LEN($C170&amp;"")),--ISERROR(FIND(MID($C170&amp;"",ROW($1:$19),1),"ABCDEFGHIJKLMNOPQRSTUVWXYZabcdefghijklmnopqrstuvwxyz .,")))&gt;0)),"First Name, ","")&amp;IF(OR($D170="",LEN($D170)&gt;26,AND($D170&lt;&gt;"",SUMPRODUCT(--(ROW($1:$26)&lt;=LEN($D170&amp;"")),--ISERROR(FIND(MID($D170&amp;"",ROW($1:$26),1),"ABCDEFGHIJKLMNOPQRSTUVWXYZabcdefghijklmnopqrstuvwxyz .,")))&gt;0)),"Last Name, ","")&amp;IF(OR(LEN($E170)&gt;1,AND($E170&lt;&gt;"",SUMPRODUCT(--(ROW($1:$1)&lt;=LEN($E170&amp;"")),--ISERROR(FIND(MID($E170&amp;"",ROW($1:$1),1),"ABCDEFGHIJKLMNOPQRSTUVWXYZabcdefghijklmnopqrstuvwxyz .,")))&gt;0)),"Middle Initial, ","")&amp;IF(OR($F170="",LEN($F170)&gt;75),"Address, ","")&amp;IF(OR($H170="",LEN($H170)&gt;30),"City, ","")&amp;IF(AND($K170="US",OR($I170="",LEN($I170)&lt;&gt;2)),"State, ","")&amp;IF($J170="","ZIP, ","")&amp;IF(OR($K170="",AND($K170&lt;&gt;"US",$K170&lt;&gt;"CA")),"Country, ","")&amp;IF(OR($L170="",AND($L170&lt;&gt;"",OR(NOT(ISNUMBER($L170)),$L170&lt;=DATE(1900,1,1),$L170&gt;TODAY()))),"Birthdate, ","")&amp;IF(AND($N170&lt;&gt;"",NOT(IFERROR(AND(ISNUMBER(SEARCH("@",$N170)),ISNUMBER(SEARCH(".",$N170,SEARCH("@",$N170)+2))),FALSE))),"Email, ","")&amp;IF(OR(AND($B170&lt;&gt;"",$O170=""),AND($O170&lt;&gt;"",$O170&lt;&gt;"Spouse or Common Law Spouse",$O170&lt;&gt;"Domestic Partner",$O170&lt;&gt;"Child",$O170&lt;&gt;"Other",$O170&lt;&gt;"Estate",$O170&lt;&gt;"Unknown")),"Dependent Relationship, ","")&amp;IF($AA170&lt;&gt;"","Household, ","")&amp;IF(OR($P170="",AND($P170&lt;&gt;"",OR(NOT(ISNUMBER($P170)),$P170&lt;=DATE(1900,1,1)))),"Eligibility Date, ","")&amp;IF(OR(AND($R170="Terminated",$Q170=""),AND($Q170&lt;&gt;"",OR(NOT(ISNUMBER($Q170)),$Q170&lt;=DATE(1900,1,1))),AND(ISNUMBER($P170),ISNUMBER($Q170),$Q170&lt;$P170)),"Termination Date, ","")&amp;IF(OR($R170="",AND($R170&lt;&gt;"Active",$R170&lt;&gt;"Terminated"),AND('START HERE'!$C$8="Terminations Only",$R170&lt;&gt;"Terminated")),"Status, ","")&amp;IF($S170="","Plan Name, ","")&amp;IF($T170="","Coverage Level, ","")&amp;IF(AND($U170&lt;&gt;"",OR(NOT(ISNUMBER($U170)),$U170&lt;0)),"Funding, ","")&amp;IF(AND($A170&lt;&gt;"",$S170&lt;&gt;"",COUNTIFS($A$2:$A$501,$A170,$B$2:$B$501,$B170,$S$2:$S$501,$S170)&gt;1),"Duplicate Row, ",""))</f>
        <v/>
      </c>
      <c r="AF170">
        <f>IF(COUNTA($A170:$U170)=0,"",$Y170&amp;$Z170&amp;$AA170&amp;$AB170&amp;$AC170)</f>
        <v/>
      </c>
      <c r="AG170">
        <f>IF($N170="","",LOWER(TRIM($N170)))</f>
        <v/>
      </c>
      <c r="AH170">
        <f>IF($A170="","",COUNTIFS($A$2:$A$501,$A170,$AI$2:$AI$501,1))</f>
        <v/>
      </c>
      <c r="AI170">
        <f>IF(COUNTA($A170:$U170)=0,"",--($AF170&lt;&gt;""))</f>
        <v/>
      </c>
      <c r="AJ170">
        <f>IF(COUNTA($A170:$U170)=0,"",--($AD170&lt;&gt;""))</f>
        <v/>
      </c>
    </row>
    <row r="171" ht="20" customHeight="1">
      <c r="A171" s="80" t="n"/>
      <c r="B171" s="80" t="n"/>
      <c r="C171" s="81" t="n"/>
      <c r="D171" s="81" t="n"/>
      <c r="E171" s="80" t="n"/>
      <c r="F171" s="81" t="n"/>
      <c r="G171" s="81" t="n"/>
      <c r="H171" s="81" t="n"/>
      <c r="I171" s="80" t="n"/>
      <c r="J171" s="80" t="n"/>
      <c r="K171" s="80" t="n"/>
      <c r="L171" s="82" t="n"/>
      <c r="M171" s="80" t="n"/>
      <c r="N171" s="80" t="n"/>
      <c r="O171" s="80" t="n"/>
      <c r="P171" s="82" t="n"/>
      <c r="Q171" s="82" t="n"/>
      <c r="R171" s="80" t="n"/>
      <c r="S171" s="80" t="n"/>
      <c r="T171" s="80" t="n"/>
      <c r="U171" s="83" t="n"/>
      <c r="V171">
        <f>IF($A171="","",IF($A171=$A170,$V170,IF($V170="",0,1-$V170)))</f>
        <v/>
      </c>
      <c r="W171">
        <f>IF($B171&lt;&gt;"",$B171,$A171)</f>
        <v/>
      </c>
      <c r="X171">
        <f>IF(COUNTA($A171:$U171)=0,"",IF(OR($B171&lt;&gt;"",$O171&lt;&gt;""),"Dependent","Employee"))</f>
        <v/>
      </c>
      <c r="Y171">
        <f>IF(COUNTA($A171:$U171)=0,"",IF($A171="","Employee SSN is required; ","")&amp;IF($C171="","First Name is required; ","")&amp;IF(LEN($C171&amp;"")&gt;19,"First Name exceeds 19 characters; ","")&amp;IF(AND($C171&lt;&gt;"",SUMPRODUCT(--(ROW($1:$19)&lt;=LEN($C171&amp;"")),--ISERROR(FIND(MID($C171&amp;"",ROW($1:$19),1),"ABCDEFGHIJKLMNOPQRSTUVWXYZabcdefghijklmnopqrstuvwxyz .,")))&gt;0),"First Name contains unsupported or encoded characters; use plain A-Z letters only; ","")&amp;IF($D171="","Last Name is required; ","")&amp;IF(LEN($D171&amp;"")&gt;26,"Last Name exceeds 26 characters; ","")&amp;IF(AND($D171&lt;&gt;"",SUMPRODUCT(--(ROW($1:$26)&lt;=LEN($D171&amp;"")),--ISERROR(FIND(MID($D171&amp;"",ROW($1:$26),1),"ABCDEFGHIJKLMNOPQRSTUVWXYZabcdefghijklmnopqrstuvwxyz .,")))&gt;0),"Last Name contains unsupported or encoded characters; use plain A-Z letters only; ","")&amp;IF(LEN($E171&amp;"")&gt;1,"Middle Initial may contain only one character; ","")&amp;IF(AND($E171&lt;&gt;"",SUMPRODUCT(--(ROW($1:$1)&lt;=LEN($E171&amp;"")),--ISERROR(FIND(MID($E171&amp;"",ROW($1:$1),1),"ABCDEFGHIJKLMNOPQRSTUVWXYZabcdefghijklmnopqrstuvwxyz .,")))&gt;0),"Middle Initial must be a plain A-Z letter; ","")&amp;IF($F171="","Address is required; ","")&amp;IF(LEN($F171&amp;"")&gt;75,"Address exceeds 75 characters; ","")&amp;IF(LEN($G171&amp;"")&gt;75,"Address 2 exceeds 75 characters; ","")&amp;IF($H171="","City is required; ","")&amp;IF(LEN($H171&amp;"")&gt;30,"City exceeds 30 characters; ","")&amp;IF($K171="","Country is required; ","")&amp;IF(AND($K171&lt;&gt;"",$K171&lt;&gt;"US",$K171&lt;&gt;"CA"),"Country must be US or CA; ","")&amp;IF(AND($K171="US",OR($I171="",LEN($I171&amp;"")&lt;&gt;2)),"Use a 2-letter state code; ","")&amp;IF($J171="","ZIP or postal code is required; ","")&amp;IF(AND($K171="US",$J171&lt;&gt;"",NOT(IFERROR(OR(AND(LEN($J171&amp;"")=5,ISNUMBER(--($J171&amp;""))),AND(LEN($J171&amp;"")=9,ISNUMBER(--($J171&amp;""))),AND(LEN($J171&amp;"")=10,MID($J171&amp;"",6,1)="-",ISNUMBER(--SUBSTITUTE($J171&amp;"","-","")))),FALSE))),"US ZIP must be 5 or 9 digits, with an optional ZIP+4 hyphen; ","")&amp;IF(AND($N171&lt;&gt;"",NOT(IFERROR(AND(ISNUMBER(SEARCH("@",$N171)),ISNUMBER(SEARCH(".",$N171,SEARCH("@",$N171)+2))),FALSE))),"Email format appears invalid; ","")&amp;IF(AND($O171&lt;&gt;"",$B171=""),"Dependent SSN is required for every dependent; ","")&amp;IF(AND($B171&lt;&gt;"",$O171=""),"Dependent Relationship is required when Dependent SSN is entered; ","")&amp;IF(AND($O171&lt;&gt;"",$O171&lt;&gt;"Spouse or Common Law Spouse",$O171&lt;&gt;"Domestic Partner",$O171&lt;&gt;"Child",$O171&lt;&gt;"Other",$O171&lt;&gt;"Estate",$O171&lt;&gt;"Unknown"),"Dependent Relationship must use one of the approved options; ",""))</f>
        <v/>
      </c>
      <c r="Z171">
        <f>IF(COUNTA($A171:$U171)=0,"",IF(AND($A171&lt;&gt;"",NOT(IFERROR(AND(LEN($A171&amp;"")=9,ISNUMBER(--($A171&amp;""))),FALSE))),"Employee SSN must contain exactly 9 digits; ","")&amp;IF(AND($A171&lt;&gt;"",OR($A171="123456789",$A171="987654321",$A171="012345678",$A171=REPT(LEFT($A171&amp;"",1),9))),"Employee SSN appears to be a placeholder; ","")&amp;IF(AND($B171&lt;&gt;"",NOT(IFERROR(AND(LEN($B171&amp;"")=9,ISNUMBER(--($B171&amp;""))),FALSE))),"Dependent SSN must contain exactly 9 digits; ","")&amp;IF(AND($B171&lt;&gt;"",OR($B171="123456789",$B171="987654321",$B171="012345678",$B171=REPT(LEFT($B171&amp;"",1),9))),"Dependent SSN appears to be a placeholder; ","")&amp;IF(AND($A171&lt;&gt;"",$B171&lt;&gt;"",$A171&amp;""=$B171&amp;""),"Dependent SSN cannot match Employee SSN; ","")&amp;IF(AND($W171&lt;&gt;"",OR(COUNTIFS($W$2:$W$501,$W171,$C$2:$C$501,"&lt;&gt;"&amp;$C171)&gt;0,COUNTIFS($W$2:$W$501,$W171,$D$2:$D$501,"&lt;&gt;"&amp;$D171)&gt;0,COUNTIFS($W$2:$W$501,$W171,$L$2:$L$501,"&lt;&gt;"&amp;$L171)&gt;0)),"The same SSN is associated with a different name or birthdate; ",""))</f>
        <v/>
      </c>
      <c r="AA171">
        <f>IF(COUNTA($A171:$U171)=0,"",IF(AND($A171&lt;&gt;"",$S171&lt;&gt;"",COUNTIFS($A$2:$A$501,$A171,$S$2:$S$501,$S171,$B$2:$B$501,"",$O$2:$O$501,"")=0),"Add an employee row for this household and plan; ","")&amp;IF(AND($X171="Dependent",COUNTIFS($A$2:$A171,$A171,$S$2:$S171,$S171,$B$2:$B171,"",$O$2:$O171,"")=0),"Place the employee row before dependent rows for this plan; ","")&amp;IF(AND($X171="Dependent",COUNTIFS($A$2:$A$501,$A171,$S$2:$S$501,$S171,$B$2:$B$501,"",$O$2:$O$501,"")&gt;0,IFERROR(OR($P171&lt;&gt;LOOKUP(2,1/(($A$2:$A$501=$A171)*($S$2:$S$501=$S171)*($B$2:$B$501="")*($O$2:$O$501="")),$P$2:$P$501),$Q171&lt;&gt;LOOKUP(2,1/(($A$2:$A$501=$A171)*($S$2:$S$501=$S171)*($B$2:$B$501="")*($O$2:$O$501="")),$Q$2:$Q$501),$R171&lt;&gt;LOOKUP(2,1/(($A$2:$A$501=$A171)*($S$2:$S$501=$S171)*($B$2:$B$501="")*($O$2:$O$501="")),$R$2:$R$501),$T171&lt;&gt;LOOKUP(2,1/(($A$2:$A$501=$A171)*($S$2:$S$501=$S171)*($B$2:$B$501="")*($O$2:$O$501="")),$T$2:$T$501),$U171&lt;&gt;LOOKUP(2,1/(($A$2:$A$501=$A171)*($S$2:$S$501=$S171)*($B$2:$B$501="")*($O$2:$O$501="")),$U$2:$U$501)),FALSE)),"Dependent row does not match the employee row for eligibility, status, coverage level, or funding; ",""))</f>
        <v/>
      </c>
      <c r="AB171">
        <f>IF(COUNTA($A171:$U171)=0,"",IF($L171="","Birthdate is required; ","")&amp;IF(AND($L171&lt;&gt;"",OR(NOT(ISNUMBER($L171)),$L171&lt;=DATE(1900,1,1),$L171&gt;TODAY())),"Birthdate must be an exact valid past date; ","")&amp;IF($P171="","Eligibility Date is required; ","")&amp;IF(AND($P171&lt;&gt;"",OR(NOT(ISNUMBER($P171)),$P171&lt;=DATE(1900,1,1))),"Eligibility Date must be a valid date; ","")&amp;IF(AND($R171="Terminated",$Q171=""),"Termination Date is required when Status is Terminated; ","")&amp;IF(AND($Q171&lt;&gt;"",OR(NOT(ISNUMBER($Q171)),$Q171&lt;=DATE(1900,1,1))),"Termination Date must be a valid date; ","")&amp;IF(AND(ISNUMBER($P171),ISNUMBER($Q171),$Q171&lt;$P171),"Termination Date cannot be before Eligibility Date; ","")&amp;IF($R171="","Status is required; ","")&amp;IF(AND($R171&lt;&gt;"",$R171&lt;&gt;"Active",$R171&lt;&gt;"Terminated"),"Status must be Active or Terminated; ","")&amp;IF(AND('START HERE'!$C$8="Terminations Only",$R171&lt;&gt;"Terminated"),"Terminations Only files must contain terminated records; ",""))</f>
        <v/>
      </c>
      <c r="AC171">
        <f>IF(COUNTA($A171:$U171)=0,"",IF($S171="","Plan Name is required; ","")&amp;IF($T171="","Benefit Coverage Level is required; ","")&amp;IF(AND($U171&lt;&gt;"",OR(NOT(ISNUMBER($U171)),$U171&lt;0)),"Plan Funding Amount must be a nonnegative number; ","")&amp;IF(AND($A171&lt;&gt;"",$S171&lt;&gt;"",COUNTIFS($A$2:$A$501,$A171,$B$2:$B$501,$B171,$S$2:$S$501,$S171)&gt;1),"Duplicate participant and plan row; ",""))</f>
        <v/>
      </c>
      <c r="AD171">
        <f>IF(COUNTA($A171:$U171)=0,"",IF(AND($X171="Employee",$M171="",$N171=""),"No employee phone or email provided; ","")&amp;IF(AND($R171="Active",$Q171&lt;&gt;""),"Active record includes a Termination Date; confirm this is intentional; ","")&amp;IF(AND($B171&lt;&gt;"",$B171&amp;""&lt;&gt;$A171&amp;"",COUNTIF($A$2:$A$501,$B171)&gt;0),"Dependent SSN also appears as an Employee SSN elsewhere; confirm dual-employee coverage is intentional; ","")&amp;IF(AND($B171&lt;&gt;"",COUNTIF($B$2:$B$501,$B171)&gt;COUNTIFS($A$2:$A$501,$A171,$B$2:$B$501,$B171)),"Dependent SSN appears under more than one employee; confirm duplicate family coverage is intentional; ","")&amp;IF(AND(ROW()&gt;2,$A171&lt;&gt;"",$A171&lt;&gt;$A170,COUNTIF($A$2:$A170,$A171)&gt;0),"This household appears in more than one section of the census; keep the family together; ","")&amp;IF(OR(AND($C171&lt;&gt;"",LEN($C171&amp;"")&lt;&gt;LEN(TRIM($C171&amp;""))),AND($D171&lt;&gt;"",LEN($D171&amp;"")&lt;&gt;LEN(TRIM($D171&amp;""))),AND($E171&lt;&gt;"",LEN($E171&amp;"")&lt;&gt;LEN(TRIM($E171&amp;""))),AND($F171&lt;&gt;"",LEN($F171&amp;"")&lt;&gt;LEN(TRIM($F171&amp;""))),AND($G171&lt;&gt;"",LEN($G171&amp;"")&lt;&gt;LEN(TRIM($G171&amp;""))),AND($H171&lt;&gt;"",LEN($H171&amp;"")&lt;&gt;LEN(TRIM($H171&amp;""))),AND($I171&lt;&gt;"",LEN($I171&amp;"")&lt;&gt;LEN(TRIM($I171&amp;""))),AND($J171&lt;&gt;"",LEN($J171&amp;"")&lt;&gt;LEN(TRIM($J171&amp;""))),AND($K171&lt;&gt;"",LEN($K171&amp;"")&lt;&gt;LEN(TRIM($K171&amp;""))),AND($M171&lt;&gt;"",LEN($M171&amp;"")&lt;&gt;LEN(TRIM($M171&amp;""))),AND($N171&lt;&gt;"",LEN($N171&amp;"")&lt;&gt;LEN(TRIM($N171&amp;""))),AND($O171&lt;&gt;"",LEN($O171&amp;"")&lt;&gt;LEN(TRIM($O171&amp;""))),AND($R171&lt;&gt;"",LEN($R171&amp;"")&lt;&gt;LEN(TRIM($R171&amp;""))),AND($S171&lt;&gt;"",LEN($S171&amp;"")&lt;&gt;LEN(TRIM($S171&amp;""))),AND($T171&lt;&gt;"",LEN($T171&amp;"")&lt;&gt;LEN(TRIM($T171&amp;"")))),"Remove leading or trailing spaces from text fields; ","")&amp;IF(OR(AND(LEN($C171)&gt;1,OR(EXACT($C171,UPPER($C171)),EXACT($C171,LOWER($C171)))),AND(LEN($D171)&gt;1,OR(EXACT($D171,UPPER($D171)),EXACT($D171,LOWER($D171)))),AND(LEN($H171)&gt;1,OR(EXACT($H171,UPPER($H171)),EXACT($H171,LOWER($H171))))),"Review capitalization in First Name, Last Name, or City; ","")&amp;IF(AND($N171&lt;&gt;"",NOT(EXACT($N171,LOWER($N171)))),"Email will be standardized to lowercase in the clean output; ","")&amp;IF(AND(OR('START HERE'!$C$8="Initial Enrollment",'START HERE'!$C$8="Open Enrollment"),$R171="Terminated"),"A terminated row is included in an initial or open enrollment file; confirm this is intentional; ",""))</f>
        <v/>
      </c>
      <c r="AE171">
        <f>IF(COUNTA($A171:$U171)=0,"",IF(OR($A171="",AND($A171&lt;&gt;"",NOT(IFERROR(AND(LEN($A171&amp;"")=9,ISNUMBER(--($A171&amp;""))),FALSE))),AND($A171&lt;&gt;"",OR($A171="123456789",$A171="987654321",$A171="012345678",$A171=REPT(LEFT($A171&amp;"",1),9)))),"Employee SSN, ","")&amp;IF(OR(AND($O171&lt;&gt;"",$B171=""),AND($B171&lt;&gt;"",OR(NOT(IFERROR(AND(LEN($B171&amp;"")=9,ISNUMBER(--($B171&amp;""))),FALSE)),$B171=$A171,$B171="123456789",$B171="987654321",$B171="012345678",$B171=REPT(LEFT($B171&amp;"",1),9)))),"Dependent SSN, ","")&amp;IF(OR($C171="",LEN($C171)&gt;19,AND($C171&lt;&gt;"",SUMPRODUCT(--(ROW($1:$19)&lt;=LEN($C171&amp;"")),--ISERROR(FIND(MID($C171&amp;"",ROW($1:$19),1),"ABCDEFGHIJKLMNOPQRSTUVWXYZabcdefghijklmnopqrstuvwxyz .,")))&gt;0)),"First Name, ","")&amp;IF(OR($D171="",LEN($D171)&gt;26,AND($D171&lt;&gt;"",SUMPRODUCT(--(ROW($1:$26)&lt;=LEN($D171&amp;"")),--ISERROR(FIND(MID($D171&amp;"",ROW($1:$26),1),"ABCDEFGHIJKLMNOPQRSTUVWXYZabcdefghijklmnopqrstuvwxyz .,")))&gt;0)),"Last Name, ","")&amp;IF(OR(LEN($E171)&gt;1,AND($E171&lt;&gt;"",SUMPRODUCT(--(ROW($1:$1)&lt;=LEN($E171&amp;"")),--ISERROR(FIND(MID($E171&amp;"",ROW($1:$1),1),"ABCDEFGHIJKLMNOPQRSTUVWXYZabcdefghijklmnopqrstuvwxyz .,")))&gt;0)),"Middle Initial, ","")&amp;IF(OR($F171="",LEN($F171)&gt;75),"Address, ","")&amp;IF(OR($H171="",LEN($H171)&gt;30),"City, ","")&amp;IF(AND($K171="US",OR($I171="",LEN($I171)&lt;&gt;2)),"State, ","")&amp;IF($J171="","ZIP, ","")&amp;IF(OR($K171="",AND($K171&lt;&gt;"US",$K171&lt;&gt;"CA")),"Country, ","")&amp;IF(OR($L171="",AND($L171&lt;&gt;"",OR(NOT(ISNUMBER($L171)),$L171&lt;=DATE(1900,1,1),$L171&gt;TODAY()))),"Birthdate, ","")&amp;IF(AND($N171&lt;&gt;"",NOT(IFERROR(AND(ISNUMBER(SEARCH("@",$N171)),ISNUMBER(SEARCH(".",$N171,SEARCH("@",$N171)+2))),FALSE))),"Email, ","")&amp;IF(OR(AND($B171&lt;&gt;"",$O171=""),AND($O171&lt;&gt;"",$O171&lt;&gt;"Spouse or Common Law Spouse",$O171&lt;&gt;"Domestic Partner",$O171&lt;&gt;"Child",$O171&lt;&gt;"Other",$O171&lt;&gt;"Estate",$O171&lt;&gt;"Unknown")),"Dependent Relationship, ","")&amp;IF($AA171&lt;&gt;"","Household, ","")&amp;IF(OR($P171="",AND($P171&lt;&gt;"",OR(NOT(ISNUMBER($P171)),$P171&lt;=DATE(1900,1,1)))),"Eligibility Date, ","")&amp;IF(OR(AND($R171="Terminated",$Q171=""),AND($Q171&lt;&gt;"",OR(NOT(ISNUMBER($Q171)),$Q171&lt;=DATE(1900,1,1))),AND(ISNUMBER($P171),ISNUMBER($Q171),$Q171&lt;$P171)),"Termination Date, ","")&amp;IF(OR($R171="",AND($R171&lt;&gt;"Active",$R171&lt;&gt;"Terminated"),AND('START HERE'!$C$8="Terminations Only",$R171&lt;&gt;"Terminated")),"Status, ","")&amp;IF($S171="","Plan Name, ","")&amp;IF($T171="","Coverage Level, ","")&amp;IF(AND($U171&lt;&gt;"",OR(NOT(ISNUMBER($U171)),$U171&lt;0)),"Funding, ","")&amp;IF(AND($A171&lt;&gt;"",$S171&lt;&gt;"",COUNTIFS($A$2:$A$501,$A171,$B$2:$B$501,$B171,$S$2:$S$501,$S171)&gt;1),"Duplicate Row, ",""))</f>
        <v/>
      </c>
      <c r="AF171">
        <f>IF(COUNTA($A171:$U171)=0,"",$Y171&amp;$Z171&amp;$AA171&amp;$AB171&amp;$AC171)</f>
        <v/>
      </c>
      <c r="AG171">
        <f>IF($N171="","",LOWER(TRIM($N171)))</f>
        <v/>
      </c>
      <c r="AH171">
        <f>IF($A171="","",COUNTIFS($A$2:$A$501,$A171,$AI$2:$AI$501,1))</f>
        <v/>
      </c>
      <c r="AI171">
        <f>IF(COUNTA($A171:$U171)=0,"",--($AF171&lt;&gt;""))</f>
        <v/>
      </c>
      <c r="AJ171">
        <f>IF(COUNTA($A171:$U171)=0,"",--($AD171&lt;&gt;""))</f>
        <v/>
      </c>
    </row>
    <row r="172" ht="20" customHeight="1">
      <c r="A172" s="80" t="n"/>
      <c r="B172" s="80" t="n"/>
      <c r="C172" s="81" t="n"/>
      <c r="D172" s="81" t="n"/>
      <c r="E172" s="80" t="n"/>
      <c r="F172" s="81" t="n"/>
      <c r="G172" s="81" t="n"/>
      <c r="H172" s="81" t="n"/>
      <c r="I172" s="80" t="n"/>
      <c r="J172" s="80" t="n"/>
      <c r="K172" s="80" t="n"/>
      <c r="L172" s="82" t="n"/>
      <c r="M172" s="80" t="n"/>
      <c r="N172" s="80" t="n"/>
      <c r="O172" s="80" t="n"/>
      <c r="P172" s="82" t="n"/>
      <c r="Q172" s="82" t="n"/>
      <c r="R172" s="80" t="n"/>
      <c r="S172" s="80" t="n"/>
      <c r="T172" s="80" t="n"/>
      <c r="U172" s="83" t="n"/>
      <c r="V172">
        <f>IF($A172="","",IF($A172=$A171,$V171,IF($V171="",0,1-$V171)))</f>
        <v/>
      </c>
      <c r="W172">
        <f>IF($B172&lt;&gt;"",$B172,$A172)</f>
        <v/>
      </c>
      <c r="X172">
        <f>IF(COUNTA($A172:$U172)=0,"",IF(OR($B172&lt;&gt;"",$O172&lt;&gt;""),"Dependent","Employee"))</f>
        <v/>
      </c>
      <c r="Y172">
        <f>IF(COUNTA($A172:$U172)=0,"",IF($A172="","Employee SSN is required; ","")&amp;IF($C172="","First Name is required; ","")&amp;IF(LEN($C172&amp;"")&gt;19,"First Name exceeds 19 characters; ","")&amp;IF(AND($C172&lt;&gt;"",SUMPRODUCT(--(ROW($1:$19)&lt;=LEN($C172&amp;"")),--ISERROR(FIND(MID($C172&amp;"",ROW($1:$19),1),"ABCDEFGHIJKLMNOPQRSTUVWXYZabcdefghijklmnopqrstuvwxyz .,")))&gt;0),"First Name contains unsupported or encoded characters; use plain A-Z letters only; ","")&amp;IF($D172="","Last Name is required; ","")&amp;IF(LEN($D172&amp;"")&gt;26,"Last Name exceeds 26 characters; ","")&amp;IF(AND($D172&lt;&gt;"",SUMPRODUCT(--(ROW($1:$26)&lt;=LEN($D172&amp;"")),--ISERROR(FIND(MID($D172&amp;"",ROW($1:$26),1),"ABCDEFGHIJKLMNOPQRSTUVWXYZabcdefghijklmnopqrstuvwxyz .,")))&gt;0),"Last Name contains unsupported or encoded characters; use plain A-Z letters only; ","")&amp;IF(LEN($E172&amp;"")&gt;1,"Middle Initial may contain only one character; ","")&amp;IF(AND($E172&lt;&gt;"",SUMPRODUCT(--(ROW($1:$1)&lt;=LEN($E172&amp;"")),--ISERROR(FIND(MID($E172&amp;"",ROW($1:$1),1),"ABCDEFGHIJKLMNOPQRSTUVWXYZabcdefghijklmnopqrstuvwxyz .,")))&gt;0),"Middle Initial must be a plain A-Z letter; ","")&amp;IF($F172="","Address is required; ","")&amp;IF(LEN($F172&amp;"")&gt;75,"Address exceeds 75 characters; ","")&amp;IF(LEN($G172&amp;"")&gt;75,"Address 2 exceeds 75 characters; ","")&amp;IF($H172="","City is required; ","")&amp;IF(LEN($H172&amp;"")&gt;30,"City exceeds 30 characters; ","")&amp;IF($K172="","Country is required; ","")&amp;IF(AND($K172&lt;&gt;"",$K172&lt;&gt;"US",$K172&lt;&gt;"CA"),"Country must be US or CA; ","")&amp;IF(AND($K172="US",OR($I172="",LEN($I172&amp;"")&lt;&gt;2)),"Use a 2-letter state code; ","")&amp;IF($J172="","ZIP or postal code is required; ","")&amp;IF(AND($K172="US",$J172&lt;&gt;"",NOT(IFERROR(OR(AND(LEN($J172&amp;"")=5,ISNUMBER(--($J172&amp;""))),AND(LEN($J172&amp;"")=9,ISNUMBER(--($J172&amp;""))),AND(LEN($J172&amp;"")=10,MID($J172&amp;"",6,1)="-",ISNUMBER(--SUBSTITUTE($J172&amp;"","-","")))),FALSE))),"US ZIP must be 5 or 9 digits, with an optional ZIP+4 hyphen; ","")&amp;IF(AND($N172&lt;&gt;"",NOT(IFERROR(AND(ISNUMBER(SEARCH("@",$N172)),ISNUMBER(SEARCH(".",$N172,SEARCH("@",$N172)+2))),FALSE))),"Email format appears invalid; ","")&amp;IF(AND($O172&lt;&gt;"",$B172=""),"Dependent SSN is required for every dependent; ","")&amp;IF(AND($B172&lt;&gt;"",$O172=""),"Dependent Relationship is required when Dependent SSN is entered; ","")&amp;IF(AND($O172&lt;&gt;"",$O172&lt;&gt;"Spouse or Common Law Spouse",$O172&lt;&gt;"Domestic Partner",$O172&lt;&gt;"Child",$O172&lt;&gt;"Other",$O172&lt;&gt;"Estate",$O172&lt;&gt;"Unknown"),"Dependent Relationship must use one of the approved options; ",""))</f>
        <v/>
      </c>
      <c r="Z172">
        <f>IF(COUNTA($A172:$U172)=0,"",IF(AND($A172&lt;&gt;"",NOT(IFERROR(AND(LEN($A172&amp;"")=9,ISNUMBER(--($A172&amp;""))),FALSE))),"Employee SSN must contain exactly 9 digits; ","")&amp;IF(AND($A172&lt;&gt;"",OR($A172="123456789",$A172="987654321",$A172="012345678",$A172=REPT(LEFT($A172&amp;"",1),9))),"Employee SSN appears to be a placeholder; ","")&amp;IF(AND($B172&lt;&gt;"",NOT(IFERROR(AND(LEN($B172&amp;"")=9,ISNUMBER(--($B172&amp;""))),FALSE))),"Dependent SSN must contain exactly 9 digits; ","")&amp;IF(AND($B172&lt;&gt;"",OR($B172="123456789",$B172="987654321",$B172="012345678",$B172=REPT(LEFT($B172&amp;"",1),9))),"Dependent SSN appears to be a placeholder; ","")&amp;IF(AND($A172&lt;&gt;"",$B172&lt;&gt;"",$A172&amp;""=$B172&amp;""),"Dependent SSN cannot match Employee SSN; ","")&amp;IF(AND($W172&lt;&gt;"",OR(COUNTIFS($W$2:$W$501,$W172,$C$2:$C$501,"&lt;&gt;"&amp;$C172)&gt;0,COUNTIFS($W$2:$W$501,$W172,$D$2:$D$501,"&lt;&gt;"&amp;$D172)&gt;0,COUNTIFS($W$2:$W$501,$W172,$L$2:$L$501,"&lt;&gt;"&amp;$L172)&gt;0)),"The same SSN is associated with a different name or birthdate; ",""))</f>
        <v/>
      </c>
      <c r="AA172">
        <f>IF(COUNTA($A172:$U172)=0,"",IF(AND($A172&lt;&gt;"",$S172&lt;&gt;"",COUNTIFS($A$2:$A$501,$A172,$S$2:$S$501,$S172,$B$2:$B$501,"",$O$2:$O$501,"")=0),"Add an employee row for this household and plan; ","")&amp;IF(AND($X172="Dependent",COUNTIFS($A$2:$A172,$A172,$S$2:$S172,$S172,$B$2:$B172,"",$O$2:$O172,"")=0),"Place the employee row before dependent rows for this plan; ","")&amp;IF(AND($X172="Dependent",COUNTIFS($A$2:$A$501,$A172,$S$2:$S$501,$S172,$B$2:$B$501,"",$O$2:$O$501,"")&gt;0,IFERROR(OR($P172&lt;&gt;LOOKUP(2,1/(($A$2:$A$501=$A172)*($S$2:$S$501=$S172)*($B$2:$B$501="")*($O$2:$O$501="")),$P$2:$P$501),$Q172&lt;&gt;LOOKUP(2,1/(($A$2:$A$501=$A172)*($S$2:$S$501=$S172)*($B$2:$B$501="")*($O$2:$O$501="")),$Q$2:$Q$501),$R172&lt;&gt;LOOKUP(2,1/(($A$2:$A$501=$A172)*($S$2:$S$501=$S172)*($B$2:$B$501="")*($O$2:$O$501="")),$R$2:$R$501),$T172&lt;&gt;LOOKUP(2,1/(($A$2:$A$501=$A172)*($S$2:$S$501=$S172)*($B$2:$B$501="")*($O$2:$O$501="")),$T$2:$T$501),$U172&lt;&gt;LOOKUP(2,1/(($A$2:$A$501=$A172)*($S$2:$S$501=$S172)*($B$2:$B$501="")*($O$2:$O$501="")),$U$2:$U$501)),FALSE)),"Dependent row does not match the employee row for eligibility, status, coverage level, or funding; ",""))</f>
        <v/>
      </c>
      <c r="AB172">
        <f>IF(COUNTA($A172:$U172)=0,"",IF($L172="","Birthdate is required; ","")&amp;IF(AND($L172&lt;&gt;"",OR(NOT(ISNUMBER($L172)),$L172&lt;=DATE(1900,1,1),$L172&gt;TODAY())),"Birthdate must be an exact valid past date; ","")&amp;IF($P172="","Eligibility Date is required; ","")&amp;IF(AND($P172&lt;&gt;"",OR(NOT(ISNUMBER($P172)),$P172&lt;=DATE(1900,1,1))),"Eligibility Date must be a valid date; ","")&amp;IF(AND($R172="Terminated",$Q172=""),"Termination Date is required when Status is Terminated; ","")&amp;IF(AND($Q172&lt;&gt;"",OR(NOT(ISNUMBER($Q172)),$Q172&lt;=DATE(1900,1,1))),"Termination Date must be a valid date; ","")&amp;IF(AND(ISNUMBER($P172),ISNUMBER($Q172),$Q172&lt;$P172),"Termination Date cannot be before Eligibility Date; ","")&amp;IF($R172="","Status is required; ","")&amp;IF(AND($R172&lt;&gt;"",$R172&lt;&gt;"Active",$R172&lt;&gt;"Terminated"),"Status must be Active or Terminated; ","")&amp;IF(AND('START HERE'!$C$8="Terminations Only",$R172&lt;&gt;"Terminated"),"Terminations Only files must contain terminated records; ",""))</f>
        <v/>
      </c>
      <c r="AC172">
        <f>IF(COUNTA($A172:$U172)=0,"",IF($S172="","Plan Name is required; ","")&amp;IF($T172="","Benefit Coverage Level is required; ","")&amp;IF(AND($U172&lt;&gt;"",OR(NOT(ISNUMBER($U172)),$U172&lt;0)),"Plan Funding Amount must be a nonnegative number; ","")&amp;IF(AND($A172&lt;&gt;"",$S172&lt;&gt;"",COUNTIFS($A$2:$A$501,$A172,$B$2:$B$501,$B172,$S$2:$S$501,$S172)&gt;1),"Duplicate participant and plan row; ",""))</f>
        <v/>
      </c>
      <c r="AD172">
        <f>IF(COUNTA($A172:$U172)=0,"",IF(AND($X172="Employee",$M172="",$N172=""),"No employee phone or email provided; ","")&amp;IF(AND($R172="Active",$Q172&lt;&gt;""),"Active record includes a Termination Date; confirm this is intentional; ","")&amp;IF(AND($B172&lt;&gt;"",$B172&amp;""&lt;&gt;$A172&amp;"",COUNTIF($A$2:$A$501,$B172)&gt;0),"Dependent SSN also appears as an Employee SSN elsewhere; confirm dual-employee coverage is intentional; ","")&amp;IF(AND($B172&lt;&gt;"",COUNTIF($B$2:$B$501,$B172)&gt;COUNTIFS($A$2:$A$501,$A172,$B$2:$B$501,$B172)),"Dependent SSN appears under more than one employee; confirm duplicate family coverage is intentional; ","")&amp;IF(AND(ROW()&gt;2,$A172&lt;&gt;"",$A172&lt;&gt;$A171,COUNTIF($A$2:$A171,$A172)&gt;0),"This household appears in more than one section of the census; keep the family together; ","")&amp;IF(OR(AND($C172&lt;&gt;"",LEN($C172&amp;"")&lt;&gt;LEN(TRIM($C172&amp;""))),AND($D172&lt;&gt;"",LEN($D172&amp;"")&lt;&gt;LEN(TRIM($D172&amp;""))),AND($E172&lt;&gt;"",LEN($E172&amp;"")&lt;&gt;LEN(TRIM($E172&amp;""))),AND($F172&lt;&gt;"",LEN($F172&amp;"")&lt;&gt;LEN(TRIM($F172&amp;""))),AND($G172&lt;&gt;"",LEN($G172&amp;"")&lt;&gt;LEN(TRIM($G172&amp;""))),AND($H172&lt;&gt;"",LEN($H172&amp;"")&lt;&gt;LEN(TRIM($H172&amp;""))),AND($I172&lt;&gt;"",LEN($I172&amp;"")&lt;&gt;LEN(TRIM($I172&amp;""))),AND($J172&lt;&gt;"",LEN($J172&amp;"")&lt;&gt;LEN(TRIM($J172&amp;""))),AND($K172&lt;&gt;"",LEN($K172&amp;"")&lt;&gt;LEN(TRIM($K172&amp;""))),AND($M172&lt;&gt;"",LEN($M172&amp;"")&lt;&gt;LEN(TRIM($M172&amp;""))),AND($N172&lt;&gt;"",LEN($N172&amp;"")&lt;&gt;LEN(TRIM($N172&amp;""))),AND($O172&lt;&gt;"",LEN($O172&amp;"")&lt;&gt;LEN(TRIM($O172&amp;""))),AND($R172&lt;&gt;"",LEN($R172&amp;"")&lt;&gt;LEN(TRIM($R172&amp;""))),AND($S172&lt;&gt;"",LEN($S172&amp;"")&lt;&gt;LEN(TRIM($S172&amp;""))),AND($T172&lt;&gt;"",LEN($T172&amp;"")&lt;&gt;LEN(TRIM($T172&amp;"")))),"Remove leading or trailing spaces from text fields; ","")&amp;IF(OR(AND(LEN($C172)&gt;1,OR(EXACT($C172,UPPER($C172)),EXACT($C172,LOWER($C172)))),AND(LEN($D172)&gt;1,OR(EXACT($D172,UPPER($D172)),EXACT($D172,LOWER($D172)))),AND(LEN($H172)&gt;1,OR(EXACT($H172,UPPER($H172)),EXACT($H172,LOWER($H172))))),"Review capitalization in First Name, Last Name, or City; ","")&amp;IF(AND($N172&lt;&gt;"",NOT(EXACT($N172,LOWER($N172)))),"Email will be standardized to lowercase in the clean output; ","")&amp;IF(AND(OR('START HERE'!$C$8="Initial Enrollment",'START HERE'!$C$8="Open Enrollment"),$R172="Terminated"),"A terminated row is included in an initial or open enrollment file; confirm this is intentional; ",""))</f>
        <v/>
      </c>
      <c r="AE172">
        <f>IF(COUNTA($A172:$U172)=0,"",IF(OR($A172="",AND($A172&lt;&gt;"",NOT(IFERROR(AND(LEN($A172&amp;"")=9,ISNUMBER(--($A172&amp;""))),FALSE))),AND($A172&lt;&gt;"",OR($A172="123456789",$A172="987654321",$A172="012345678",$A172=REPT(LEFT($A172&amp;"",1),9)))),"Employee SSN, ","")&amp;IF(OR(AND($O172&lt;&gt;"",$B172=""),AND($B172&lt;&gt;"",OR(NOT(IFERROR(AND(LEN($B172&amp;"")=9,ISNUMBER(--($B172&amp;""))),FALSE)),$B172=$A172,$B172="123456789",$B172="987654321",$B172="012345678",$B172=REPT(LEFT($B172&amp;"",1),9)))),"Dependent SSN, ","")&amp;IF(OR($C172="",LEN($C172)&gt;19,AND($C172&lt;&gt;"",SUMPRODUCT(--(ROW($1:$19)&lt;=LEN($C172&amp;"")),--ISERROR(FIND(MID($C172&amp;"",ROW($1:$19),1),"ABCDEFGHIJKLMNOPQRSTUVWXYZabcdefghijklmnopqrstuvwxyz .,")))&gt;0)),"First Name, ","")&amp;IF(OR($D172="",LEN($D172)&gt;26,AND($D172&lt;&gt;"",SUMPRODUCT(--(ROW($1:$26)&lt;=LEN($D172&amp;"")),--ISERROR(FIND(MID($D172&amp;"",ROW($1:$26),1),"ABCDEFGHIJKLMNOPQRSTUVWXYZabcdefghijklmnopqrstuvwxyz .,")))&gt;0)),"Last Name, ","")&amp;IF(OR(LEN($E172)&gt;1,AND($E172&lt;&gt;"",SUMPRODUCT(--(ROW($1:$1)&lt;=LEN($E172&amp;"")),--ISERROR(FIND(MID($E172&amp;"",ROW($1:$1),1),"ABCDEFGHIJKLMNOPQRSTUVWXYZabcdefghijklmnopqrstuvwxyz .,")))&gt;0)),"Middle Initial, ","")&amp;IF(OR($F172="",LEN($F172)&gt;75),"Address, ","")&amp;IF(OR($H172="",LEN($H172)&gt;30),"City, ","")&amp;IF(AND($K172="US",OR($I172="",LEN($I172)&lt;&gt;2)),"State, ","")&amp;IF($J172="","ZIP, ","")&amp;IF(OR($K172="",AND($K172&lt;&gt;"US",$K172&lt;&gt;"CA")),"Country, ","")&amp;IF(OR($L172="",AND($L172&lt;&gt;"",OR(NOT(ISNUMBER($L172)),$L172&lt;=DATE(1900,1,1),$L172&gt;TODAY()))),"Birthdate, ","")&amp;IF(AND($N172&lt;&gt;"",NOT(IFERROR(AND(ISNUMBER(SEARCH("@",$N172)),ISNUMBER(SEARCH(".",$N172,SEARCH("@",$N172)+2))),FALSE))),"Email, ","")&amp;IF(OR(AND($B172&lt;&gt;"",$O172=""),AND($O172&lt;&gt;"",$O172&lt;&gt;"Spouse or Common Law Spouse",$O172&lt;&gt;"Domestic Partner",$O172&lt;&gt;"Child",$O172&lt;&gt;"Other",$O172&lt;&gt;"Estate",$O172&lt;&gt;"Unknown")),"Dependent Relationship, ","")&amp;IF($AA172&lt;&gt;"","Household, ","")&amp;IF(OR($P172="",AND($P172&lt;&gt;"",OR(NOT(ISNUMBER($P172)),$P172&lt;=DATE(1900,1,1)))),"Eligibility Date, ","")&amp;IF(OR(AND($R172="Terminated",$Q172=""),AND($Q172&lt;&gt;"",OR(NOT(ISNUMBER($Q172)),$Q172&lt;=DATE(1900,1,1))),AND(ISNUMBER($P172),ISNUMBER($Q172),$Q172&lt;$P172)),"Termination Date, ","")&amp;IF(OR($R172="",AND($R172&lt;&gt;"Active",$R172&lt;&gt;"Terminated"),AND('START HERE'!$C$8="Terminations Only",$R172&lt;&gt;"Terminated")),"Status, ","")&amp;IF($S172="","Plan Name, ","")&amp;IF($T172="","Coverage Level, ","")&amp;IF(AND($U172&lt;&gt;"",OR(NOT(ISNUMBER($U172)),$U172&lt;0)),"Funding, ","")&amp;IF(AND($A172&lt;&gt;"",$S172&lt;&gt;"",COUNTIFS($A$2:$A$501,$A172,$B$2:$B$501,$B172,$S$2:$S$501,$S172)&gt;1),"Duplicate Row, ",""))</f>
        <v/>
      </c>
      <c r="AF172">
        <f>IF(COUNTA($A172:$U172)=0,"",$Y172&amp;$Z172&amp;$AA172&amp;$AB172&amp;$AC172)</f>
        <v/>
      </c>
      <c r="AG172">
        <f>IF($N172="","",LOWER(TRIM($N172)))</f>
        <v/>
      </c>
      <c r="AH172">
        <f>IF($A172="","",COUNTIFS($A$2:$A$501,$A172,$AI$2:$AI$501,1))</f>
        <v/>
      </c>
      <c r="AI172">
        <f>IF(COUNTA($A172:$U172)=0,"",--($AF172&lt;&gt;""))</f>
        <v/>
      </c>
      <c r="AJ172">
        <f>IF(COUNTA($A172:$U172)=0,"",--($AD172&lt;&gt;""))</f>
        <v/>
      </c>
    </row>
    <row r="173" ht="20" customHeight="1">
      <c r="A173" s="80" t="n"/>
      <c r="B173" s="80" t="n"/>
      <c r="C173" s="81" t="n"/>
      <c r="D173" s="81" t="n"/>
      <c r="E173" s="80" t="n"/>
      <c r="F173" s="81" t="n"/>
      <c r="G173" s="81" t="n"/>
      <c r="H173" s="81" t="n"/>
      <c r="I173" s="80" t="n"/>
      <c r="J173" s="80" t="n"/>
      <c r="K173" s="80" t="n"/>
      <c r="L173" s="82" t="n"/>
      <c r="M173" s="80" t="n"/>
      <c r="N173" s="80" t="n"/>
      <c r="O173" s="80" t="n"/>
      <c r="P173" s="82" t="n"/>
      <c r="Q173" s="82" t="n"/>
      <c r="R173" s="80" t="n"/>
      <c r="S173" s="80" t="n"/>
      <c r="T173" s="80" t="n"/>
      <c r="U173" s="83" t="n"/>
      <c r="V173">
        <f>IF($A173="","",IF($A173=$A172,$V172,IF($V172="",0,1-$V172)))</f>
        <v/>
      </c>
      <c r="W173">
        <f>IF($B173&lt;&gt;"",$B173,$A173)</f>
        <v/>
      </c>
      <c r="X173">
        <f>IF(COUNTA($A173:$U173)=0,"",IF(OR($B173&lt;&gt;"",$O173&lt;&gt;""),"Dependent","Employee"))</f>
        <v/>
      </c>
      <c r="Y173">
        <f>IF(COUNTA($A173:$U173)=0,"",IF($A173="","Employee SSN is required; ","")&amp;IF($C173="","First Name is required; ","")&amp;IF(LEN($C173&amp;"")&gt;19,"First Name exceeds 19 characters; ","")&amp;IF(AND($C173&lt;&gt;"",SUMPRODUCT(--(ROW($1:$19)&lt;=LEN($C173&amp;"")),--ISERROR(FIND(MID($C173&amp;"",ROW($1:$19),1),"ABCDEFGHIJKLMNOPQRSTUVWXYZabcdefghijklmnopqrstuvwxyz .,")))&gt;0),"First Name contains unsupported or encoded characters; use plain A-Z letters only; ","")&amp;IF($D173="","Last Name is required; ","")&amp;IF(LEN($D173&amp;"")&gt;26,"Last Name exceeds 26 characters; ","")&amp;IF(AND($D173&lt;&gt;"",SUMPRODUCT(--(ROW($1:$26)&lt;=LEN($D173&amp;"")),--ISERROR(FIND(MID($D173&amp;"",ROW($1:$26),1),"ABCDEFGHIJKLMNOPQRSTUVWXYZabcdefghijklmnopqrstuvwxyz .,")))&gt;0),"Last Name contains unsupported or encoded characters; use plain A-Z letters only; ","")&amp;IF(LEN($E173&amp;"")&gt;1,"Middle Initial may contain only one character; ","")&amp;IF(AND($E173&lt;&gt;"",SUMPRODUCT(--(ROW($1:$1)&lt;=LEN($E173&amp;"")),--ISERROR(FIND(MID($E173&amp;"",ROW($1:$1),1),"ABCDEFGHIJKLMNOPQRSTUVWXYZabcdefghijklmnopqrstuvwxyz .,")))&gt;0),"Middle Initial must be a plain A-Z letter; ","")&amp;IF($F173="","Address is required; ","")&amp;IF(LEN($F173&amp;"")&gt;75,"Address exceeds 75 characters; ","")&amp;IF(LEN($G173&amp;"")&gt;75,"Address 2 exceeds 75 characters; ","")&amp;IF($H173="","City is required; ","")&amp;IF(LEN($H173&amp;"")&gt;30,"City exceeds 30 characters; ","")&amp;IF($K173="","Country is required; ","")&amp;IF(AND($K173&lt;&gt;"",$K173&lt;&gt;"US",$K173&lt;&gt;"CA"),"Country must be US or CA; ","")&amp;IF(AND($K173="US",OR($I173="",LEN($I173&amp;"")&lt;&gt;2)),"Use a 2-letter state code; ","")&amp;IF($J173="","ZIP or postal code is required; ","")&amp;IF(AND($K173="US",$J173&lt;&gt;"",NOT(IFERROR(OR(AND(LEN($J173&amp;"")=5,ISNUMBER(--($J173&amp;""))),AND(LEN($J173&amp;"")=9,ISNUMBER(--($J173&amp;""))),AND(LEN($J173&amp;"")=10,MID($J173&amp;"",6,1)="-",ISNUMBER(--SUBSTITUTE($J173&amp;"","-","")))),FALSE))),"US ZIP must be 5 or 9 digits, with an optional ZIP+4 hyphen; ","")&amp;IF(AND($N173&lt;&gt;"",NOT(IFERROR(AND(ISNUMBER(SEARCH("@",$N173)),ISNUMBER(SEARCH(".",$N173,SEARCH("@",$N173)+2))),FALSE))),"Email format appears invalid; ","")&amp;IF(AND($O173&lt;&gt;"",$B173=""),"Dependent SSN is required for every dependent; ","")&amp;IF(AND($B173&lt;&gt;"",$O173=""),"Dependent Relationship is required when Dependent SSN is entered; ","")&amp;IF(AND($O173&lt;&gt;"",$O173&lt;&gt;"Spouse or Common Law Spouse",$O173&lt;&gt;"Domestic Partner",$O173&lt;&gt;"Child",$O173&lt;&gt;"Other",$O173&lt;&gt;"Estate",$O173&lt;&gt;"Unknown"),"Dependent Relationship must use one of the approved options; ",""))</f>
        <v/>
      </c>
      <c r="Z173">
        <f>IF(COUNTA($A173:$U173)=0,"",IF(AND($A173&lt;&gt;"",NOT(IFERROR(AND(LEN($A173&amp;"")=9,ISNUMBER(--($A173&amp;""))),FALSE))),"Employee SSN must contain exactly 9 digits; ","")&amp;IF(AND($A173&lt;&gt;"",OR($A173="123456789",$A173="987654321",$A173="012345678",$A173=REPT(LEFT($A173&amp;"",1),9))),"Employee SSN appears to be a placeholder; ","")&amp;IF(AND($B173&lt;&gt;"",NOT(IFERROR(AND(LEN($B173&amp;"")=9,ISNUMBER(--($B173&amp;""))),FALSE))),"Dependent SSN must contain exactly 9 digits; ","")&amp;IF(AND($B173&lt;&gt;"",OR($B173="123456789",$B173="987654321",$B173="012345678",$B173=REPT(LEFT($B173&amp;"",1),9))),"Dependent SSN appears to be a placeholder; ","")&amp;IF(AND($A173&lt;&gt;"",$B173&lt;&gt;"",$A173&amp;""=$B173&amp;""),"Dependent SSN cannot match Employee SSN; ","")&amp;IF(AND($W173&lt;&gt;"",OR(COUNTIFS($W$2:$W$501,$W173,$C$2:$C$501,"&lt;&gt;"&amp;$C173)&gt;0,COUNTIFS($W$2:$W$501,$W173,$D$2:$D$501,"&lt;&gt;"&amp;$D173)&gt;0,COUNTIFS($W$2:$W$501,$W173,$L$2:$L$501,"&lt;&gt;"&amp;$L173)&gt;0)),"The same SSN is associated with a different name or birthdate; ",""))</f>
        <v/>
      </c>
      <c r="AA173">
        <f>IF(COUNTA($A173:$U173)=0,"",IF(AND($A173&lt;&gt;"",$S173&lt;&gt;"",COUNTIFS($A$2:$A$501,$A173,$S$2:$S$501,$S173,$B$2:$B$501,"",$O$2:$O$501,"")=0),"Add an employee row for this household and plan; ","")&amp;IF(AND($X173="Dependent",COUNTIFS($A$2:$A173,$A173,$S$2:$S173,$S173,$B$2:$B173,"",$O$2:$O173,"")=0),"Place the employee row before dependent rows for this plan; ","")&amp;IF(AND($X173="Dependent",COUNTIFS($A$2:$A$501,$A173,$S$2:$S$501,$S173,$B$2:$B$501,"",$O$2:$O$501,"")&gt;0,IFERROR(OR($P173&lt;&gt;LOOKUP(2,1/(($A$2:$A$501=$A173)*($S$2:$S$501=$S173)*($B$2:$B$501="")*($O$2:$O$501="")),$P$2:$P$501),$Q173&lt;&gt;LOOKUP(2,1/(($A$2:$A$501=$A173)*($S$2:$S$501=$S173)*($B$2:$B$501="")*($O$2:$O$501="")),$Q$2:$Q$501),$R173&lt;&gt;LOOKUP(2,1/(($A$2:$A$501=$A173)*($S$2:$S$501=$S173)*($B$2:$B$501="")*($O$2:$O$501="")),$R$2:$R$501),$T173&lt;&gt;LOOKUP(2,1/(($A$2:$A$501=$A173)*($S$2:$S$501=$S173)*($B$2:$B$501="")*($O$2:$O$501="")),$T$2:$T$501),$U173&lt;&gt;LOOKUP(2,1/(($A$2:$A$501=$A173)*($S$2:$S$501=$S173)*($B$2:$B$501="")*($O$2:$O$501="")),$U$2:$U$501)),FALSE)),"Dependent row does not match the employee row for eligibility, status, coverage level, or funding; ",""))</f>
        <v/>
      </c>
      <c r="AB173">
        <f>IF(COUNTA($A173:$U173)=0,"",IF($L173="","Birthdate is required; ","")&amp;IF(AND($L173&lt;&gt;"",OR(NOT(ISNUMBER($L173)),$L173&lt;=DATE(1900,1,1),$L173&gt;TODAY())),"Birthdate must be an exact valid past date; ","")&amp;IF($P173="","Eligibility Date is required; ","")&amp;IF(AND($P173&lt;&gt;"",OR(NOT(ISNUMBER($P173)),$P173&lt;=DATE(1900,1,1))),"Eligibility Date must be a valid date; ","")&amp;IF(AND($R173="Terminated",$Q173=""),"Termination Date is required when Status is Terminated; ","")&amp;IF(AND($Q173&lt;&gt;"",OR(NOT(ISNUMBER($Q173)),$Q173&lt;=DATE(1900,1,1))),"Termination Date must be a valid date; ","")&amp;IF(AND(ISNUMBER($P173),ISNUMBER($Q173),$Q173&lt;$P173),"Termination Date cannot be before Eligibility Date; ","")&amp;IF($R173="","Status is required; ","")&amp;IF(AND($R173&lt;&gt;"",$R173&lt;&gt;"Active",$R173&lt;&gt;"Terminated"),"Status must be Active or Terminated; ","")&amp;IF(AND('START HERE'!$C$8="Terminations Only",$R173&lt;&gt;"Terminated"),"Terminations Only files must contain terminated records; ",""))</f>
        <v/>
      </c>
      <c r="AC173">
        <f>IF(COUNTA($A173:$U173)=0,"",IF($S173="","Plan Name is required; ","")&amp;IF($T173="","Benefit Coverage Level is required; ","")&amp;IF(AND($U173&lt;&gt;"",OR(NOT(ISNUMBER($U173)),$U173&lt;0)),"Plan Funding Amount must be a nonnegative number; ","")&amp;IF(AND($A173&lt;&gt;"",$S173&lt;&gt;"",COUNTIFS($A$2:$A$501,$A173,$B$2:$B$501,$B173,$S$2:$S$501,$S173)&gt;1),"Duplicate participant and plan row; ",""))</f>
        <v/>
      </c>
      <c r="AD173">
        <f>IF(COUNTA($A173:$U173)=0,"",IF(AND($X173="Employee",$M173="",$N173=""),"No employee phone or email provided; ","")&amp;IF(AND($R173="Active",$Q173&lt;&gt;""),"Active record includes a Termination Date; confirm this is intentional; ","")&amp;IF(AND($B173&lt;&gt;"",$B173&amp;""&lt;&gt;$A173&amp;"",COUNTIF($A$2:$A$501,$B173)&gt;0),"Dependent SSN also appears as an Employee SSN elsewhere; confirm dual-employee coverage is intentional; ","")&amp;IF(AND($B173&lt;&gt;"",COUNTIF($B$2:$B$501,$B173)&gt;COUNTIFS($A$2:$A$501,$A173,$B$2:$B$501,$B173)),"Dependent SSN appears under more than one employee; confirm duplicate family coverage is intentional; ","")&amp;IF(AND(ROW()&gt;2,$A173&lt;&gt;"",$A173&lt;&gt;$A172,COUNTIF($A$2:$A172,$A173)&gt;0),"This household appears in more than one section of the census; keep the family together; ","")&amp;IF(OR(AND($C173&lt;&gt;"",LEN($C173&amp;"")&lt;&gt;LEN(TRIM($C173&amp;""))),AND($D173&lt;&gt;"",LEN($D173&amp;"")&lt;&gt;LEN(TRIM($D173&amp;""))),AND($E173&lt;&gt;"",LEN($E173&amp;"")&lt;&gt;LEN(TRIM($E173&amp;""))),AND($F173&lt;&gt;"",LEN($F173&amp;"")&lt;&gt;LEN(TRIM($F173&amp;""))),AND($G173&lt;&gt;"",LEN($G173&amp;"")&lt;&gt;LEN(TRIM($G173&amp;""))),AND($H173&lt;&gt;"",LEN($H173&amp;"")&lt;&gt;LEN(TRIM($H173&amp;""))),AND($I173&lt;&gt;"",LEN($I173&amp;"")&lt;&gt;LEN(TRIM($I173&amp;""))),AND($J173&lt;&gt;"",LEN($J173&amp;"")&lt;&gt;LEN(TRIM($J173&amp;""))),AND($K173&lt;&gt;"",LEN($K173&amp;"")&lt;&gt;LEN(TRIM($K173&amp;""))),AND($M173&lt;&gt;"",LEN($M173&amp;"")&lt;&gt;LEN(TRIM($M173&amp;""))),AND($N173&lt;&gt;"",LEN($N173&amp;"")&lt;&gt;LEN(TRIM($N173&amp;""))),AND($O173&lt;&gt;"",LEN($O173&amp;"")&lt;&gt;LEN(TRIM($O173&amp;""))),AND($R173&lt;&gt;"",LEN($R173&amp;"")&lt;&gt;LEN(TRIM($R173&amp;""))),AND($S173&lt;&gt;"",LEN($S173&amp;"")&lt;&gt;LEN(TRIM($S173&amp;""))),AND($T173&lt;&gt;"",LEN($T173&amp;"")&lt;&gt;LEN(TRIM($T173&amp;"")))),"Remove leading or trailing spaces from text fields; ","")&amp;IF(OR(AND(LEN($C173)&gt;1,OR(EXACT($C173,UPPER($C173)),EXACT($C173,LOWER($C173)))),AND(LEN($D173)&gt;1,OR(EXACT($D173,UPPER($D173)),EXACT($D173,LOWER($D173)))),AND(LEN($H173)&gt;1,OR(EXACT($H173,UPPER($H173)),EXACT($H173,LOWER($H173))))),"Review capitalization in First Name, Last Name, or City; ","")&amp;IF(AND($N173&lt;&gt;"",NOT(EXACT($N173,LOWER($N173)))),"Email will be standardized to lowercase in the clean output; ","")&amp;IF(AND(OR('START HERE'!$C$8="Initial Enrollment",'START HERE'!$C$8="Open Enrollment"),$R173="Terminated"),"A terminated row is included in an initial or open enrollment file; confirm this is intentional; ",""))</f>
        <v/>
      </c>
      <c r="AE173">
        <f>IF(COUNTA($A173:$U173)=0,"",IF(OR($A173="",AND($A173&lt;&gt;"",NOT(IFERROR(AND(LEN($A173&amp;"")=9,ISNUMBER(--($A173&amp;""))),FALSE))),AND($A173&lt;&gt;"",OR($A173="123456789",$A173="987654321",$A173="012345678",$A173=REPT(LEFT($A173&amp;"",1),9)))),"Employee SSN, ","")&amp;IF(OR(AND($O173&lt;&gt;"",$B173=""),AND($B173&lt;&gt;"",OR(NOT(IFERROR(AND(LEN($B173&amp;"")=9,ISNUMBER(--($B173&amp;""))),FALSE)),$B173=$A173,$B173="123456789",$B173="987654321",$B173="012345678",$B173=REPT(LEFT($B173&amp;"",1),9)))),"Dependent SSN, ","")&amp;IF(OR($C173="",LEN($C173)&gt;19,AND($C173&lt;&gt;"",SUMPRODUCT(--(ROW($1:$19)&lt;=LEN($C173&amp;"")),--ISERROR(FIND(MID($C173&amp;"",ROW($1:$19),1),"ABCDEFGHIJKLMNOPQRSTUVWXYZabcdefghijklmnopqrstuvwxyz .,")))&gt;0)),"First Name, ","")&amp;IF(OR($D173="",LEN($D173)&gt;26,AND($D173&lt;&gt;"",SUMPRODUCT(--(ROW($1:$26)&lt;=LEN($D173&amp;"")),--ISERROR(FIND(MID($D173&amp;"",ROW($1:$26),1),"ABCDEFGHIJKLMNOPQRSTUVWXYZabcdefghijklmnopqrstuvwxyz .,")))&gt;0)),"Last Name, ","")&amp;IF(OR(LEN($E173)&gt;1,AND($E173&lt;&gt;"",SUMPRODUCT(--(ROW($1:$1)&lt;=LEN($E173&amp;"")),--ISERROR(FIND(MID($E173&amp;"",ROW($1:$1),1),"ABCDEFGHIJKLMNOPQRSTUVWXYZabcdefghijklmnopqrstuvwxyz .,")))&gt;0)),"Middle Initial, ","")&amp;IF(OR($F173="",LEN($F173)&gt;75),"Address, ","")&amp;IF(OR($H173="",LEN($H173)&gt;30),"City, ","")&amp;IF(AND($K173="US",OR($I173="",LEN($I173)&lt;&gt;2)),"State, ","")&amp;IF($J173="","ZIP, ","")&amp;IF(OR($K173="",AND($K173&lt;&gt;"US",$K173&lt;&gt;"CA")),"Country, ","")&amp;IF(OR($L173="",AND($L173&lt;&gt;"",OR(NOT(ISNUMBER($L173)),$L173&lt;=DATE(1900,1,1),$L173&gt;TODAY()))),"Birthdate, ","")&amp;IF(AND($N173&lt;&gt;"",NOT(IFERROR(AND(ISNUMBER(SEARCH("@",$N173)),ISNUMBER(SEARCH(".",$N173,SEARCH("@",$N173)+2))),FALSE))),"Email, ","")&amp;IF(OR(AND($B173&lt;&gt;"",$O173=""),AND($O173&lt;&gt;"",$O173&lt;&gt;"Spouse or Common Law Spouse",$O173&lt;&gt;"Domestic Partner",$O173&lt;&gt;"Child",$O173&lt;&gt;"Other",$O173&lt;&gt;"Estate",$O173&lt;&gt;"Unknown")),"Dependent Relationship, ","")&amp;IF($AA173&lt;&gt;"","Household, ","")&amp;IF(OR($P173="",AND($P173&lt;&gt;"",OR(NOT(ISNUMBER($P173)),$P173&lt;=DATE(1900,1,1)))),"Eligibility Date, ","")&amp;IF(OR(AND($R173="Terminated",$Q173=""),AND($Q173&lt;&gt;"",OR(NOT(ISNUMBER($Q173)),$Q173&lt;=DATE(1900,1,1))),AND(ISNUMBER($P173),ISNUMBER($Q173),$Q173&lt;$P173)),"Termination Date, ","")&amp;IF(OR($R173="",AND($R173&lt;&gt;"Active",$R173&lt;&gt;"Terminated"),AND('START HERE'!$C$8="Terminations Only",$R173&lt;&gt;"Terminated")),"Status, ","")&amp;IF($S173="","Plan Name, ","")&amp;IF($T173="","Coverage Level, ","")&amp;IF(AND($U173&lt;&gt;"",OR(NOT(ISNUMBER($U173)),$U173&lt;0)),"Funding, ","")&amp;IF(AND($A173&lt;&gt;"",$S173&lt;&gt;"",COUNTIFS($A$2:$A$501,$A173,$B$2:$B$501,$B173,$S$2:$S$501,$S173)&gt;1),"Duplicate Row, ",""))</f>
        <v/>
      </c>
      <c r="AF173">
        <f>IF(COUNTA($A173:$U173)=0,"",$Y173&amp;$Z173&amp;$AA173&amp;$AB173&amp;$AC173)</f>
        <v/>
      </c>
      <c r="AG173">
        <f>IF($N173="","",LOWER(TRIM($N173)))</f>
        <v/>
      </c>
      <c r="AH173">
        <f>IF($A173="","",COUNTIFS($A$2:$A$501,$A173,$AI$2:$AI$501,1))</f>
        <v/>
      </c>
      <c r="AI173">
        <f>IF(COUNTA($A173:$U173)=0,"",--($AF173&lt;&gt;""))</f>
        <v/>
      </c>
      <c r="AJ173">
        <f>IF(COUNTA($A173:$U173)=0,"",--($AD173&lt;&gt;""))</f>
        <v/>
      </c>
    </row>
    <row r="174" ht="20" customHeight="1">
      <c r="A174" s="80" t="n"/>
      <c r="B174" s="80" t="n"/>
      <c r="C174" s="81" t="n"/>
      <c r="D174" s="81" t="n"/>
      <c r="E174" s="80" t="n"/>
      <c r="F174" s="81" t="n"/>
      <c r="G174" s="81" t="n"/>
      <c r="H174" s="81" t="n"/>
      <c r="I174" s="80" t="n"/>
      <c r="J174" s="80" t="n"/>
      <c r="K174" s="80" t="n"/>
      <c r="L174" s="82" t="n"/>
      <c r="M174" s="80" t="n"/>
      <c r="N174" s="80" t="n"/>
      <c r="O174" s="80" t="n"/>
      <c r="P174" s="82" t="n"/>
      <c r="Q174" s="82" t="n"/>
      <c r="R174" s="80" t="n"/>
      <c r="S174" s="80" t="n"/>
      <c r="T174" s="80" t="n"/>
      <c r="U174" s="83" t="n"/>
      <c r="V174">
        <f>IF($A174="","",IF($A174=$A173,$V173,IF($V173="",0,1-$V173)))</f>
        <v/>
      </c>
      <c r="W174">
        <f>IF($B174&lt;&gt;"",$B174,$A174)</f>
        <v/>
      </c>
      <c r="X174">
        <f>IF(COUNTA($A174:$U174)=0,"",IF(OR($B174&lt;&gt;"",$O174&lt;&gt;""),"Dependent","Employee"))</f>
        <v/>
      </c>
      <c r="Y174">
        <f>IF(COUNTA($A174:$U174)=0,"",IF($A174="","Employee SSN is required; ","")&amp;IF($C174="","First Name is required; ","")&amp;IF(LEN($C174&amp;"")&gt;19,"First Name exceeds 19 characters; ","")&amp;IF(AND($C174&lt;&gt;"",SUMPRODUCT(--(ROW($1:$19)&lt;=LEN($C174&amp;"")),--ISERROR(FIND(MID($C174&amp;"",ROW($1:$19),1),"ABCDEFGHIJKLMNOPQRSTUVWXYZabcdefghijklmnopqrstuvwxyz .,")))&gt;0),"First Name contains unsupported or encoded characters; use plain A-Z letters only; ","")&amp;IF($D174="","Last Name is required; ","")&amp;IF(LEN($D174&amp;"")&gt;26,"Last Name exceeds 26 characters; ","")&amp;IF(AND($D174&lt;&gt;"",SUMPRODUCT(--(ROW($1:$26)&lt;=LEN($D174&amp;"")),--ISERROR(FIND(MID($D174&amp;"",ROW($1:$26),1),"ABCDEFGHIJKLMNOPQRSTUVWXYZabcdefghijklmnopqrstuvwxyz .,")))&gt;0),"Last Name contains unsupported or encoded characters; use plain A-Z letters only; ","")&amp;IF(LEN($E174&amp;"")&gt;1,"Middle Initial may contain only one character; ","")&amp;IF(AND($E174&lt;&gt;"",SUMPRODUCT(--(ROW($1:$1)&lt;=LEN($E174&amp;"")),--ISERROR(FIND(MID($E174&amp;"",ROW($1:$1),1),"ABCDEFGHIJKLMNOPQRSTUVWXYZabcdefghijklmnopqrstuvwxyz .,")))&gt;0),"Middle Initial must be a plain A-Z letter; ","")&amp;IF($F174="","Address is required; ","")&amp;IF(LEN($F174&amp;"")&gt;75,"Address exceeds 75 characters; ","")&amp;IF(LEN($G174&amp;"")&gt;75,"Address 2 exceeds 75 characters; ","")&amp;IF($H174="","City is required; ","")&amp;IF(LEN($H174&amp;"")&gt;30,"City exceeds 30 characters; ","")&amp;IF($K174="","Country is required; ","")&amp;IF(AND($K174&lt;&gt;"",$K174&lt;&gt;"US",$K174&lt;&gt;"CA"),"Country must be US or CA; ","")&amp;IF(AND($K174="US",OR($I174="",LEN($I174&amp;"")&lt;&gt;2)),"Use a 2-letter state code; ","")&amp;IF($J174="","ZIP or postal code is required; ","")&amp;IF(AND($K174="US",$J174&lt;&gt;"",NOT(IFERROR(OR(AND(LEN($J174&amp;"")=5,ISNUMBER(--($J174&amp;""))),AND(LEN($J174&amp;"")=9,ISNUMBER(--($J174&amp;""))),AND(LEN($J174&amp;"")=10,MID($J174&amp;"",6,1)="-",ISNUMBER(--SUBSTITUTE($J174&amp;"","-","")))),FALSE))),"US ZIP must be 5 or 9 digits, with an optional ZIP+4 hyphen; ","")&amp;IF(AND($N174&lt;&gt;"",NOT(IFERROR(AND(ISNUMBER(SEARCH("@",$N174)),ISNUMBER(SEARCH(".",$N174,SEARCH("@",$N174)+2))),FALSE))),"Email format appears invalid; ","")&amp;IF(AND($O174&lt;&gt;"",$B174=""),"Dependent SSN is required for every dependent; ","")&amp;IF(AND($B174&lt;&gt;"",$O174=""),"Dependent Relationship is required when Dependent SSN is entered; ","")&amp;IF(AND($O174&lt;&gt;"",$O174&lt;&gt;"Spouse or Common Law Spouse",$O174&lt;&gt;"Domestic Partner",$O174&lt;&gt;"Child",$O174&lt;&gt;"Other",$O174&lt;&gt;"Estate",$O174&lt;&gt;"Unknown"),"Dependent Relationship must use one of the approved options; ",""))</f>
        <v/>
      </c>
      <c r="Z174">
        <f>IF(COUNTA($A174:$U174)=0,"",IF(AND($A174&lt;&gt;"",NOT(IFERROR(AND(LEN($A174&amp;"")=9,ISNUMBER(--($A174&amp;""))),FALSE))),"Employee SSN must contain exactly 9 digits; ","")&amp;IF(AND($A174&lt;&gt;"",OR($A174="123456789",$A174="987654321",$A174="012345678",$A174=REPT(LEFT($A174&amp;"",1),9))),"Employee SSN appears to be a placeholder; ","")&amp;IF(AND($B174&lt;&gt;"",NOT(IFERROR(AND(LEN($B174&amp;"")=9,ISNUMBER(--($B174&amp;""))),FALSE))),"Dependent SSN must contain exactly 9 digits; ","")&amp;IF(AND($B174&lt;&gt;"",OR($B174="123456789",$B174="987654321",$B174="012345678",$B174=REPT(LEFT($B174&amp;"",1),9))),"Dependent SSN appears to be a placeholder; ","")&amp;IF(AND($A174&lt;&gt;"",$B174&lt;&gt;"",$A174&amp;""=$B174&amp;""),"Dependent SSN cannot match Employee SSN; ","")&amp;IF(AND($W174&lt;&gt;"",OR(COUNTIFS($W$2:$W$501,$W174,$C$2:$C$501,"&lt;&gt;"&amp;$C174)&gt;0,COUNTIFS($W$2:$W$501,$W174,$D$2:$D$501,"&lt;&gt;"&amp;$D174)&gt;0,COUNTIFS($W$2:$W$501,$W174,$L$2:$L$501,"&lt;&gt;"&amp;$L174)&gt;0)),"The same SSN is associated with a different name or birthdate; ",""))</f>
        <v/>
      </c>
      <c r="AA174">
        <f>IF(COUNTA($A174:$U174)=0,"",IF(AND($A174&lt;&gt;"",$S174&lt;&gt;"",COUNTIFS($A$2:$A$501,$A174,$S$2:$S$501,$S174,$B$2:$B$501,"",$O$2:$O$501,"")=0),"Add an employee row for this household and plan; ","")&amp;IF(AND($X174="Dependent",COUNTIFS($A$2:$A174,$A174,$S$2:$S174,$S174,$B$2:$B174,"",$O$2:$O174,"")=0),"Place the employee row before dependent rows for this plan; ","")&amp;IF(AND($X174="Dependent",COUNTIFS($A$2:$A$501,$A174,$S$2:$S$501,$S174,$B$2:$B$501,"",$O$2:$O$501,"")&gt;0,IFERROR(OR($P174&lt;&gt;LOOKUP(2,1/(($A$2:$A$501=$A174)*($S$2:$S$501=$S174)*($B$2:$B$501="")*($O$2:$O$501="")),$P$2:$P$501),$Q174&lt;&gt;LOOKUP(2,1/(($A$2:$A$501=$A174)*($S$2:$S$501=$S174)*($B$2:$B$501="")*($O$2:$O$501="")),$Q$2:$Q$501),$R174&lt;&gt;LOOKUP(2,1/(($A$2:$A$501=$A174)*($S$2:$S$501=$S174)*($B$2:$B$501="")*($O$2:$O$501="")),$R$2:$R$501),$T174&lt;&gt;LOOKUP(2,1/(($A$2:$A$501=$A174)*($S$2:$S$501=$S174)*($B$2:$B$501="")*($O$2:$O$501="")),$T$2:$T$501),$U174&lt;&gt;LOOKUP(2,1/(($A$2:$A$501=$A174)*($S$2:$S$501=$S174)*($B$2:$B$501="")*($O$2:$O$501="")),$U$2:$U$501)),FALSE)),"Dependent row does not match the employee row for eligibility, status, coverage level, or funding; ",""))</f>
        <v/>
      </c>
      <c r="AB174">
        <f>IF(COUNTA($A174:$U174)=0,"",IF($L174="","Birthdate is required; ","")&amp;IF(AND($L174&lt;&gt;"",OR(NOT(ISNUMBER($L174)),$L174&lt;=DATE(1900,1,1),$L174&gt;TODAY())),"Birthdate must be an exact valid past date; ","")&amp;IF($P174="","Eligibility Date is required; ","")&amp;IF(AND($P174&lt;&gt;"",OR(NOT(ISNUMBER($P174)),$P174&lt;=DATE(1900,1,1))),"Eligibility Date must be a valid date; ","")&amp;IF(AND($R174="Terminated",$Q174=""),"Termination Date is required when Status is Terminated; ","")&amp;IF(AND($Q174&lt;&gt;"",OR(NOT(ISNUMBER($Q174)),$Q174&lt;=DATE(1900,1,1))),"Termination Date must be a valid date; ","")&amp;IF(AND(ISNUMBER($P174),ISNUMBER($Q174),$Q174&lt;$P174),"Termination Date cannot be before Eligibility Date; ","")&amp;IF($R174="","Status is required; ","")&amp;IF(AND($R174&lt;&gt;"",$R174&lt;&gt;"Active",$R174&lt;&gt;"Terminated"),"Status must be Active or Terminated; ","")&amp;IF(AND('START HERE'!$C$8="Terminations Only",$R174&lt;&gt;"Terminated"),"Terminations Only files must contain terminated records; ",""))</f>
        <v/>
      </c>
      <c r="AC174">
        <f>IF(COUNTA($A174:$U174)=0,"",IF($S174="","Plan Name is required; ","")&amp;IF($T174="","Benefit Coverage Level is required; ","")&amp;IF(AND($U174&lt;&gt;"",OR(NOT(ISNUMBER($U174)),$U174&lt;0)),"Plan Funding Amount must be a nonnegative number; ","")&amp;IF(AND($A174&lt;&gt;"",$S174&lt;&gt;"",COUNTIFS($A$2:$A$501,$A174,$B$2:$B$501,$B174,$S$2:$S$501,$S174)&gt;1),"Duplicate participant and plan row; ",""))</f>
        <v/>
      </c>
      <c r="AD174">
        <f>IF(COUNTA($A174:$U174)=0,"",IF(AND($X174="Employee",$M174="",$N174=""),"No employee phone or email provided; ","")&amp;IF(AND($R174="Active",$Q174&lt;&gt;""),"Active record includes a Termination Date; confirm this is intentional; ","")&amp;IF(AND($B174&lt;&gt;"",$B174&amp;""&lt;&gt;$A174&amp;"",COUNTIF($A$2:$A$501,$B174)&gt;0),"Dependent SSN also appears as an Employee SSN elsewhere; confirm dual-employee coverage is intentional; ","")&amp;IF(AND($B174&lt;&gt;"",COUNTIF($B$2:$B$501,$B174)&gt;COUNTIFS($A$2:$A$501,$A174,$B$2:$B$501,$B174)),"Dependent SSN appears under more than one employee; confirm duplicate family coverage is intentional; ","")&amp;IF(AND(ROW()&gt;2,$A174&lt;&gt;"",$A174&lt;&gt;$A173,COUNTIF($A$2:$A173,$A174)&gt;0),"This household appears in more than one section of the census; keep the family together; ","")&amp;IF(OR(AND($C174&lt;&gt;"",LEN($C174&amp;"")&lt;&gt;LEN(TRIM($C174&amp;""))),AND($D174&lt;&gt;"",LEN($D174&amp;"")&lt;&gt;LEN(TRIM($D174&amp;""))),AND($E174&lt;&gt;"",LEN($E174&amp;"")&lt;&gt;LEN(TRIM($E174&amp;""))),AND($F174&lt;&gt;"",LEN($F174&amp;"")&lt;&gt;LEN(TRIM($F174&amp;""))),AND($G174&lt;&gt;"",LEN($G174&amp;"")&lt;&gt;LEN(TRIM($G174&amp;""))),AND($H174&lt;&gt;"",LEN($H174&amp;"")&lt;&gt;LEN(TRIM($H174&amp;""))),AND($I174&lt;&gt;"",LEN($I174&amp;"")&lt;&gt;LEN(TRIM($I174&amp;""))),AND($J174&lt;&gt;"",LEN($J174&amp;"")&lt;&gt;LEN(TRIM($J174&amp;""))),AND($K174&lt;&gt;"",LEN($K174&amp;"")&lt;&gt;LEN(TRIM($K174&amp;""))),AND($M174&lt;&gt;"",LEN($M174&amp;"")&lt;&gt;LEN(TRIM($M174&amp;""))),AND($N174&lt;&gt;"",LEN($N174&amp;"")&lt;&gt;LEN(TRIM($N174&amp;""))),AND($O174&lt;&gt;"",LEN($O174&amp;"")&lt;&gt;LEN(TRIM($O174&amp;""))),AND($R174&lt;&gt;"",LEN($R174&amp;"")&lt;&gt;LEN(TRIM($R174&amp;""))),AND($S174&lt;&gt;"",LEN($S174&amp;"")&lt;&gt;LEN(TRIM($S174&amp;""))),AND($T174&lt;&gt;"",LEN($T174&amp;"")&lt;&gt;LEN(TRIM($T174&amp;"")))),"Remove leading or trailing spaces from text fields; ","")&amp;IF(OR(AND(LEN($C174)&gt;1,OR(EXACT($C174,UPPER($C174)),EXACT($C174,LOWER($C174)))),AND(LEN($D174)&gt;1,OR(EXACT($D174,UPPER($D174)),EXACT($D174,LOWER($D174)))),AND(LEN($H174)&gt;1,OR(EXACT($H174,UPPER($H174)),EXACT($H174,LOWER($H174))))),"Review capitalization in First Name, Last Name, or City; ","")&amp;IF(AND($N174&lt;&gt;"",NOT(EXACT($N174,LOWER($N174)))),"Email will be standardized to lowercase in the clean output; ","")&amp;IF(AND(OR('START HERE'!$C$8="Initial Enrollment",'START HERE'!$C$8="Open Enrollment"),$R174="Terminated"),"A terminated row is included in an initial or open enrollment file; confirm this is intentional; ",""))</f>
        <v/>
      </c>
      <c r="AE174">
        <f>IF(COUNTA($A174:$U174)=0,"",IF(OR($A174="",AND($A174&lt;&gt;"",NOT(IFERROR(AND(LEN($A174&amp;"")=9,ISNUMBER(--($A174&amp;""))),FALSE))),AND($A174&lt;&gt;"",OR($A174="123456789",$A174="987654321",$A174="012345678",$A174=REPT(LEFT($A174&amp;"",1),9)))),"Employee SSN, ","")&amp;IF(OR(AND($O174&lt;&gt;"",$B174=""),AND($B174&lt;&gt;"",OR(NOT(IFERROR(AND(LEN($B174&amp;"")=9,ISNUMBER(--($B174&amp;""))),FALSE)),$B174=$A174,$B174="123456789",$B174="987654321",$B174="012345678",$B174=REPT(LEFT($B174&amp;"",1),9)))),"Dependent SSN, ","")&amp;IF(OR($C174="",LEN($C174)&gt;19,AND($C174&lt;&gt;"",SUMPRODUCT(--(ROW($1:$19)&lt;=LEN($C174&amp;"")),--ISERROR(FIND(MID($C174&amp;"",ROW($1:$19),1),"ABCDEFGHIJKLMNOPQRSTUVWXYZabcdefghijklmnopqrstuvwxyz .,")))&gt;0)),"First Name, ","")&amp;IF(OR($D174="",LEN($D174)&gt;26,AND($D174&lt;&gt;"",SUMPRODUCT(--(ROW($1:$26)&lt;=LEN($D174&amp;"")),--ISERROR(FIND(MID($D174&amp;"",ROW($1:$26),1),"ABCDEFGHIJKLMNOPQRSTUVWXYZabcdefghijklmnopqrstuvwxyz .,")))&gt;0)),"Last Name, ","")&amp;IF(OR(LEN($E174)&gt;1,AND($E174&lt;&gt;"",SUMPRODUCT(--(ROW($1:$1)&lt;=LEN($E174&amp;"")),--ISERROR(FIND(MID($E174&amp;"",ROW($1:$1),1),"ABCDEFGHIJKLMNOPQRSTUVWXYZabcdefghijklmnopqrstuvwxyz .,")))&gt;0)),"Middle Initial, ","")&amp;IF(OR($F174="",LEN($F174)&gt;75),"Address, ","")&amp;IF(OR($H174="",LEN($H174)&gt;30),"City, ","")&amp;IF(AND($K174="US",OR($I174="",LEN($I174)&lt;&gt;2)),"State, ","")&amp;IF($J174="","ZIP, ","")&amp;IF(OR($K174="",AND($K174&lt;&gt;"US",$K174&lt;&gt;"CA")),"Country, ","")&amp;IF(OR($L174="",AND($L174&lt;&gt;"",OR(NOT(ISNUMBER($L174)),$L174&lt;=DATE(1900,1,1),$L174&gt;TODAY()))),"Birthdate, ","")&amp;IF(AND($N174&lt;&gt;"",NOT(IFERROR(AND(ISNUMBER(SEARCH("@",$N174)),ISNUMBER(SEARCH(".",$N174,SEARCH("@",$N174)+2))),FALSE))),"Email, ","")&amp;IF(OR(AND($B174&lt;&gt;"",$O174=""),AND($O174&lt;&gt;"",$O174&lt;&gt;"Spouse or Common Law Spouse",$O174&lt;&gt;"Domestic Partner",$O174&lt;&gt;"Child",$O174&lt;&gt;"Other",$O174&lt;&gt;"Estate",$O174&lt;&gt;"Unknown")),"Dependent Relationship, ","")&amp;IF($AA174&lt;&gt;"","Household, ","")&amp;IF(OR($P174="",AND($P174&lt;&gt;"",OR(NOT(ISNUMBER($P174)),$P174&lt;=DATE(1900,1,1)))),"Eligibility Date, ","")&amp;IF(OR(AND($R174="Terminated",$Q174=""),AND($Q174&lt;&gt;"",OR(NOT(ISNUMBER($Q174)),$Q174&lt;=DATE(1900,1,1))),AND(ISNUMBER($P174),ISNUMBER($Q174),$Q174&lt;$P174)),"Termination Date, ","")&amp;IF(OR($R174="",AND($R174&lt;&gt;"Active",$R174&lt;&gt;"Terminated"),AND('START HERE'!$C$8="Terminations Only",$R174&lt;&gt;"Terminated")),"Status, ","")&amp;IF($S174="","Plan Name, ","")&amp;IF($T174="","Coverage Level, ","")&amp;IF(AND($U174&lt;&gt;"",OR(NOT(ISNUMBER($U174)),$U174&lt;0)),"Funding, ","")&amp;IF(AND($A174&lt;&gt;"",$S174&lt;&gt;"",COUNTIFS($A$2:$A$501,$A174,$B$2:$B$501,$B174,$S$2:$S$501,$S174)&gt;1),"Duplicate Row, ",""))</f>
        <v/>
      </c>
      <c r="AF174">
        <f>IF(COUNTA($A174:$U174)=0,"",$Y174&amp;$Z174&amp;$AA174&amp;$AB174&amp;$AC174)</f>
        <v/>
      </c>
      <c r="AG174">
        <f>IF($N174="","",LOWER(TRIM($N174)))</f>
        <v/>
      </c>
      <c r="AH174">
        <f>IF($A174="","",COUNTIFS($A$2:$A$501,$A174,$AI$2:$AI$501,1))</f>
        <v/>
      </c>
      <c r="AI174">
        <f>IF(COUNTA($A174:$U174)=0,"",--($AF174&lt;&gt;""))</f>
        <v/>
      </c>
      <c r="AJ174">
        <f>IF(COUNTA($A174:$U174)=0,"",--($AD174&lt;&gt;""))</f>
        <v/>
      </c>
    </row>
    <row r="175" ht="20" customHeight="1">
      <c r="A175" s="80" t="n"/>
      <c r="B175" s="80" t="n"/>
      <c r="C175" s="81" t="n"/>
      <c r="D175" s="81" t="n"/>
      <c r="E175" s="80" t="n"/>
      <c r="F175" s="81" t="n"/>
      <c r="G175" s="81" t="n"/>
      <c r="H175" s="81" t="n"/>
      <c r="I175" s="80" t="n"/>
      <c r="J175" s="80" t="n"/>
      <c r="K175" s="80" t="n"/>
      <c r="L175" s="82" t="n"/>
      <c r="M175" s="80" t="n"/>
      <c r="N175" s="80" t="n"/>
      <c r="O175" s="80" t="n"/>
      <c r="P175" s="82" t="n"/>
      <c r="Q175" s="82" t="n"/>
      <c r="R175" s="80" t="n"/>
      <c r="S175" s="80" t="n"/>
      <c r="T175" s="80" t="n"/>
      <c r="U175" s="83" t="n"/>
      <c r="V175">
        <f>IF($A175="","",IF($A175=$A174,$V174,IF($V174="",0,1-$V174)))</f>
        <v/>
      </c>
      <c r="W175">
        <f>IF($B175&lt;&gt;"",$B175,$A175)</f>
        <v/>
      </c>
      <c r="X175">
        <f>IF(COUNTA($A175:$U175)=0,"",IF(OR($B175&lt;&gt;"",$O175&lt;&gt;""),"Dependent","Employee"))</f>
        <v/>
      </c>
      <c r="Y175">
        <f>IF(COUNTA($A175:$U175)=0,"",IF($A175="","Employee SSN is required; ","")&amp;IF($C175="","First Name is required; ","")&amp;IF(LEN($C175&amp;"")&gt;19,"First Name exceeds 19 characters; ","")&amp;IF(AND($C175&lt;&gt;"",SUMPRODUCT(--(ROW($1:$19)&lt;=LEN($C175&amp;"")),--ISERROR(FIND(MID($C175&amp;"",ROW($1:$19),1),"ABCDEFGHIJKLMNOPQRSTUVWXYZabcdefghijklmnopqrstuvwxyz .,")))&gt;0),"First Name contains unsupported or encoded characters; use plain A-Z letters only; ","")&amp;IF($D175="","Last Name is required; ","")&amp;IF(LEN($D175&amp;"")&gt;26,"Last Name exceeds 26 characters; ","")&amp;IF(AND($D175&lt;&gt;"",SUMPRODUCT(--(ROW($1:$26)&lt;=LEN($D175&amp;"")),--ISERROR(FIND(MID($D175&amp;"",ROW($1:$26),1),"ABCDEFGHIJKLMNOPQRSTUVWXYZabcdefghijklmnopqrstuvwxyz .,")))&gt;0),"Last Name contains unsupported or encoded characters; use plain A-Z letters only; ","")&amp;IF(LEN($E175&amp;"")&gt;1,"Middle Initial may contain only one character; ","")&amp;IF(AND($E175&lt;&gt;"",SUMPRODUCT(--(ROW($1:$1)&lt;=LEN($E175&amp;"")),--ISERROR(FIND(MID($E175&amp;"",ROW($1:$1),1),"ABCDEFGHIJKLMNOPQRSTUVWXYZabcdefghijklmnopqrstuvwxyz .,")))&gt;0),"Middle Initial must be a plain A-Z letter; ","")&amp;IF($F175="","Address is required; ","")&amp;IF(LEN($F175&amp;"")&gt;75,"Address exceeds 75 characters; ","")&amp;IF(LEN($G175&amp;"")&gt;75,"Address 2 exceeds 75 characters; ","")&amp;IF($H175="","City is required; ","")&amp;IF(LEN($H175&amp;"")&gt;30,"City exceeds 30 characters; ","")&amp;IF($K175="","Country is required; ","")&amp;IF(AND($K175&lt;&gt;"",$K175&lt;&gt;"US",$K175&lt;&gt;"CA"),"Country must be US or CA; ","")&amp;IF(AND($K175="US",OR($I175="",LEN($I175&amp;"")&lt;&gt;2)),"Use a 2-letter state code; ","")&amp;IF($J175="","ZIP or postal code is required; ","")&amp;IF(AND($K175="US",$J175&lt;&gt;"",NOT(IFERROR(OR(AND(LEN($J175&amp;"")=5,ISNUMBER(--($J175&amp;""))),AND(LEN($J175&amp;"")=9,ISNUMBER(--($J175&amp;""))),AND(LEN($J175&amp;"")=10,MID($J175&amp;"",6,1)="-",ISNUMBER(--SUBSTITUTE($J175&amp;"","-","")))),FALSE))),"US ZIP must be 5 or 9 digits, with an optional ZIP+4 hyphen; ","")&amp;IF(AND($N175&lt;&gt;"",NOT(IFERROR(AND(ISNUMBER(SEARCH("@",$N175)),ISNUMBER(SEARCH(".",$N175,SEARCH("@",$N175)+2))),FALSE))),"Email format appears invalid; ","")&amp;IF(AND($O175&lt;&gt;"",$B175=""),"Dependent SSN is required for every dependent; ","")&amp;IF(AND($B175&lt;&gt;"",$O175=""),"Dependent Relationship is required when Dependent SSN is entered; ","")&amp;IF(AND($O175&lt;&gt;"",$O175&lt;&gt;"Spouse or Common Law Spouse",$O175&lt;&gt;"Domestic Partner",$O175&lt;&gt;"Child",$O175&lt;&gt;"Other",$O175&lt;&gt;"Estate",$O175&lt;&gt;"Unknown"),"Dependent Relationship must use one of the approved options; ",""))</f>
        <v/>
      </c>
      <c r="Z175">
        <f>IF(COUNTA($A175:$U175)=0,"",IF(AND($A175&lt;&gt;"",NOT(IFERROR(AND(LEN($A175&amp;"")=9,ISNUMBER(--($A175&amp;""))),FALSE))),"Employee SSN must contain exactly 9 digits; ","")&amp;IF(AND($A175&lt;&gt;"",OR($A175="123456789",$A175="987654321",$A175="012345678",$A175=REPT(LEFT($A175&amp;"",1),9))),"Employee SSN appears to be a placeholder; ","")&amp;IF(AND($B175&lt;&gt;"",NOT(IFERROR(AND(LEN($B175&amp;"")=9,ISNUMBER(--($B175&amp;""))),FALSE))),"Dependent SSN must contain exactly 9 digits; ","")&amp;IF(AND($B175&lt;&gt;"",OR($B175="123456789",$B175="987654321",$B175="012345678",$B175=REPT(LEFT($B175&amp;"",1),9))),"Dependent SSN appears to be a placeholder; ","")&amp;IF(AND($A175&lt;&gt;"",$B175&lt;&gt;"",$A175&amp;""=$B175&amp;""),"Dependent SSN cannot match Employee SSN; ","")&amp;IF(AND($W175&lt;&gt;"",OR(COUNTIFS($W$2:$W$501,$W175,$C$2:$C$501,"&lt;&gt;"&amp;$C175)&gt;0,COUNTIFS($W$2:$W$501,$W175,$D$2:$D$501,"&lt;&gt;"&amp;$D175)&gt;0,COUNTIFS($W$2:$W$501,$W175,$L$2:$L$501,"&lt;&gt;"&amp;$L175)&gt;0)),"The same SSN is associated with a different name or birthdate; ",""))</f>
        <v/>
      </c>
      <c r="AA175">
        <f>IF(COUNTA($A175:$U175)=0,"",IF(AND($A175&lt;&gt;"",$S175&lt;&gt;"",COUNTIFS($A$2:$A$501,$A175,$S$2:$S$501,$S175,$B$2:$B$501,"",$O$2:$O$501,"")=0),"Add an employee row for this household and plan; ","")&amp;IF(AND($X175="Dependent",COUNTIFS($A$2:$A175,$A175,$S$2:$S175,$S175,$B$2:$B175,"",$O$2:$O175,"")=0),"Place the employee row before dependent rows for this plan; ","")&amp;IF(AND($X175="Dependent",COUNTIFS($A$2:$A$501,$A175,$S$2:$S$501,$S175,$B$2:$B$501,"",$O$2:$O$501,"")&gt;0,IFERROR(OR($P175&lt;&gt;LOOKUP(2,1/(($A$2:$A$501=$A175)*($S$2:$S$501=$S175)*($B$2:$B$501="")*($O$2:$O$501="")),$P$2:$P$501),$Q175&lt;&gt;LOOKUP(2,1/(($A$2:$A$501=$A175)*($S$2:$S$501=$S175)*($B$2:$B$501="")*($O$2:$O$501="")),$Q$2:$Q$501),$R175&lt;&gt;LOOKUP(2,1/(($A$2:$A$501=$A175)*($S$2:$S$501=$S175)*($B$2:$B$501="")*($O$2:$O$501="")),$R$2:$R$501),$T175&lt;&gt;LOOKUP(2,1/(($A$2:$A$501=$A175)*($S$2:$S$501=$S175)*($B$2:$B$501="")*($O$2:$O$501="")),$T$2:$T$501),$U175&lt;&gt;LOOKUP(2,1/(($A$2:$A$501=$A175)*($S$2:$S$501=$S175)*($B$2:$B$501="")*($O$2:$O$501="")),$U$2:$U$501)),FALSE)),"Dependent row does not match the employee row for eligibility, status, coverage level, or funding; ",""))</f>
        <v/>
      </c>
      <c r="AB175">
        <f>IF(COUNTA($A175:$U175)=0,"",IF($L175="","Birthdate is required; ","")&amp;IF(AND($L175&lt;&gt;"",OR(NOT(ISNUMBER($L175)),$L175&lt;=DATE(1900,1,1),$L175&gt;TODAY())),"Birthdate must be an exact valid past date; ","")&amp;IF($P175="","Eligibility Date is required; ","")&amp;IF(AND($P175&lt;&gt;"",OR(NOT(ISNUMBER($P175)),$P175&lt;=DATE(1900,1,1))),"Eligibility Date must be a valid date; ","")&amp;IF(AND($R175="Terminated",$Q175=""),"Termination Date is required when Status is Terminated; ","")&amp;IF(AND($Q175&lt;&gt;"",OR(NOT(ISNUMBER($Q175)),$Q175&lt;=DATE(1900,1,1))),"Termination Date must be a valid date; ","")&amp;IF(AND(ISNUMBER($P175),ISNUMBER($Q175),$Q175&lt;$P175),"Termination Date cannot be before Eligibility Date; ","")&amp;IF($R175="","Status is required; ","")&amp;IF(AND($R175&lt;&gt;"",$R175&lt;&gt;"Active",$R175&lt;&gt;"Terminated"),"Status must be Active or Terminated; ","")&amp;IF(AND('START HERE'!$C$8="Terminations Only",$R175&lt;&gt;"Terminated"),"Terminations Only files must contain terminated records; ",""))</f>
        <v/>
      </c>
      <c r="AC175">
        <f>IF(COUNTA($A175:$U175)=0,"",IF($S175="","Plan Name is required; ","")&amp;IF($T175="","Benefit Coverage Level is required; ","")&amp;IF(AND($U175&lt;&gt;"",OR(NOT(ISNUMBER($U175)),$U175&lt;0)),"Plan Funding Amount must be a nonnegative number; ","")&amp;IF(AND($A175&lt;&gt;"",$S175&lt;&gt;"",COUNTIFS($A$2:$A$501,$A175,$B$2:$B$501,$B175,$S$2:$S$501,$S175)&gt;1),"Duplicate participant and plan row; ",""))</f>
        <v/>
      </c>
      <c r="AD175">
        <f>IF(COUNTA($A175:$U175)=0,"",IF(AND($X175="Employee",$M175="",$N175=""),"No employee phone or email provided; ","")&amp;IF(AND($R175="Active",$Q175&lt;&gt;""),"Active record includes a Termination Date; confirm this is intentional; ","")&amp;IF(AND($B175&lt;&gt;"",$B175&amp;""&lt;&gt;$A175&amp;"",COUNTIF($A$2:$A$501,$B175)&gt;0),"Dependent SSN also appears as an Employee SSN elsewhere; confirm dual-employee coverage is intentional; ","")&amp;IF(AND($B175&lt;&gt;"",COUNTIF($B$2:$B$501,$B175)&gt;COUNTIFS($A$2:$A$501,$A175,$B$2:$B$501,$B175)),"Dependent SSN appears under more than one employee; confirm duplicate family coverage is intentional; ","")&amp;IF(AND(ROW()&gt;2,$A175&lt;&gt;"",$A175&lt;&gt;$A174,COUNTIF($A$2:$A174,$A175)&gt;0),"This household appears in more than one section of the census; keep the family together; ","")&amp;IF(OR(AND($C175&lt;&gt;"",LEN($C175&amp;"")&lt;&gt;LEN(TRIM($C175&amp;""))),AND($D175&lt;&gt;"",LEN($D175&amp;"")&lt;&gt;LEN(TRIM($D175&amp;""))),AND($E175&lt;&gt;"",LEN($E175&amp;"")&lt;&gt;LEN(TRIM($E175&amp;""))),AND($F175&lt;&gt;"",LEN($F175&amp;"")&lt;&gt;LEN(TRIM($F175&amp;""))),AND($G175&lt;&gt;"",LEN($G175&amp;"")&lt;&gt;LEN(TRIM($G175&amp;""))),AND($H175&lt;&gt;"",LEN($H175&amp;"")&lt;&gt;LEN(TRIM($H175&amp;""))),AND($I175&lt;&gt;"",LEN($I175&amp;"")&lt;&gt;LEN(TRIM($I175&amp;""))),AND($J175&lt;&gt;"",LEN($J175&amp;"")&lt;&gt;LEN(TRIM($J175&amp;""))),AND($K175&lt;&gt;"",LEN($K175&amp;"")&lt;&gt;LEN(TRIM($K175&amp;""))),AND($M175&lt;&gt;"",LEN($M175&amp;"")&lt;&gt;LEN(TRIM($M175&amp;""))),AND($N175&lt;&gt;"",LEN($N175&amp;"")&lt;&gt;LEN(TRIM($N175&amp;""))),AND($O175&lt;&gt;"",LEN($O175&amp;"")&lt;&gt;LEN(TRIM($O175&amp;""))),AND($R175&lt;&gt;"",LEN($R175&amp;"")&lt;&gt;LEN(TRIM($R175&amp;""))),AND($S175&lt;&gt;"",LEN($S175&amp;"")&lt;&gt;LEN(TRIM($S175&amp;""))),AND($T175&lt;&gt;"",LEN($T175&amp;"")&lt;&gt;LEN(TRIM($T175&amp;"")))),"Remove leading or trailing spaces from text fields; ","")&amp;IF(OR(AND(LEN($C175)&gt;1,OR(EXACT($C175,UPPER($C175)),EXACT($C175,LOWER($C175)))),AND(LEN($D175)&gt;1,OR(EXACT($D175,UPPER($D175)),EXACT($D175,LOWER($D175)))),AND(LEN($H175)&gt;1,OR(EXACT($H175,UPPER($H175)),EXACT($H175,LOWER($H175))))),"Review capitalization in First Name, Last Name, or City; ","")&amp;IF(AND($N175&lt;&gt;"",NOT(EXACT($N175,LOWER($N175)))),"Email will be standardized to lowercase in the clean output; ","")&amp;IF(AND(OR('START HERE'!$C$8="Initial Enrollment",'START HERE'!$C$8="Open Enrollment"),$R175="Terminated"),"A terminated row is included in an initial or open enrollment file; confirm this is intentional; ",""))</f>
        <v/>
      </c>
      <c r="AE175">
        <f>IF(COUNTA($A175:$U175)=0,"",IF(OR($A175="",AND($A175&lt;&gt;"",NOT(IFERROR(AND(LEN($A175&amp;"")=9,ISNUMBER(--($A175&amp;""))),FALSE))),AND($A175&lt;&gt;"",OR($A175="123456789",$A175="987654321",$A175="012345678",$A175=REPT(LEFT($A175&amp;"",1),9)))),"Employee SSN, ","")&amp;IF(OR(AND($O175&lt;&gt;"",$B175=""),AND($B175&lt;&gt;"",OR(NOT(IFERROR(AND(LEN($B175&amp;"")=9,ISNUMBER(--($B175&amp;""))),FALSE)),$B175=$A175,$B175="123456789",$B175="987654321",$B175="012345678",$B175=REPT(LEFT($B175&amp;"",1),9)))),"Dependent SSN, ","")&amp;IF(OR($C175="",LEN($C175)&gt;19,AND($C175&lt;&gt;"",SUMPRODUCT(--(ROW($1:$19)&lt;=LEN($C175&amp;"")),--ISERROR(FIND(MID($C175&amp;"",ROW($1:$19),1),"ABCDEFGHIJKLMNOPQRSTUVWXYZabcdefghijklmnopqrstuvwxyz .,")))&gt;0)),"First Name, ","")&amp;IF(OR($D175="",LEN($D175)&gt;26,AND($D175&lt;&gt;"",SUMPRODUCT(--(ROW($1:$26)&lt;=LEN($D175&amp;"")),--ISERROR(FIND(MID($D175&amp;"",ROW($1:$26),1),"ABCDEFGHIJKLMNOPQRSTUVWXYZabcdefghijklmnopqrstuvwxyz .,")))&gt;0)),"Last Name, ","")&amp;IF(OR(LEN($E175)&gt;1,AND($E175&lt;&gt;"",SUMPRODUCT(--(ROW($1:$1)&lt;=LEN($E175&amp;"")),--ISERROR(FIND(MID($E175&amp;"",ROW($1:$1),1),"ABCDEFGHIJKLMNOPQRSTUVWXYZabcdefghijklmnopqrstuvwxyz .,")))&gt;0)),"Middle Initial, ","")&amp;IF(OR($F175="",LEN($F175)&gt;75),"Address, ","")&amp;IF(OR($H175="",LEN($H175)&gt;30),"City, ","")&amp;IF(AND($K175="US",OR($I175="",LEN($I175)&lt;&gt;2)),"State, ","")&amp;IF($J175="","ZIP, ","")&amp;IF(OR($K175="",AND($K175&lt;&gt;"US",$K175&lt;&gt;"CA")),"Country, ","")&amp;IF(OR($L175="",AND($L175&lt;&gt;"",OR(NOT(ISNUMBER($L175)),$L175&lt;=DATE(1900,1,1),$L175&gt;TODAY()))),"Birthdate, ","")&amp;IF(AND($N175&lt;&gt;"",NOT(IFERROR(AND(ISNUMBER(SEARCH("@",$N175)),ISNUMBER(SEARCH(".",$N175,SEARCH("@",$N175)+2))),FALSE))),"Email, ","")&amp;IF(OR(AND($B175&lt;&gt;"",$O175=""),AND($O175&lt;&gt;"",$O175&lt;&gt;"Spouse or Common Law Spouse",$O175&lt;&gt;"Domestic Partner",$O175&lt;&gt;"Child",$O175&lt;&gt;"Other",$O175&lt;&gt;"Estate",$O175&lt;&gt;"Unknown")),"Dependent Relationship, ","")&amp;IF($AA175&lt;&gt;"","Household, ","")&amp;IF(OR($P175="",AND($P175&lt;&gt;"",OR(NOT(ISNUMBER($P175)),$P175&lt;=DATE(1900,1,1)))),"Eligibility Date, ","")&amp;IF(OR(AND($R175="Terminated",$Q175=""),AND($Q175&lt;&gt;"",OR(NOT(ISNUMBER($Q175)),$Q175&lt;=DATE(1900,1,1))),AND(ISNUMBER($P175),ISNUMBER($Q175),$Q175&lt;$P175)),"Termination Date, ","")&amp;IF(OR($R175="",AND($R175&lt;&gt;"Active",$R175&lt;&gt;"Terminated"),AND('START HERE'!$C$8="Terminations Only",$R175&lt;&gt;"Terminated")),"Status, ","")&amp;IF($S175="","Plan Name, ","")&amp;IF($T175="","Coverage Level, ","")&amp;IF(AND($U175&lt;&gt;"",OR(NOT(ISNUMBER($U175)),$U175&lt;0)),"Funding, ","")&amp;IF(AND($A175&lt;&gt;"",$S175&lt;&gt;"",COUNTIFS($A$2:$A$501,$A175,$B$2:$B$501,$B175,$S$2:$S$501,$S175)&gt;1),"Duplicate Row, ",""))</f>
        <v/>
      </c>
      <c r="AF175">
        <f>IF(COUNTA($A175:$U175)=0,"",$Y175&amp;$Z175&amp;$AA175&amp;$AB175&amp;$AC175)</f>
        <v/>
      </c>
      <c r="AG175">
        <f>IF($N175="","",LOWER(TRIM($N175)))</f>
        <v/>
      </c>
      <c r="AH175">
        <f>IF($A175="","",COUNTIFS($A$2:$A$501,$A175,$AI$2:$AI$501,1))</f>
        <v/>
      </c>
      <c r="AI175">
        <f>IF(COUNTA($A175:$U175)=0,"",--($AF175&lt;&gt;""))</f>
        <v/>
      </c>
      <c r="AJ175">
        <f>IF(COUNTA($A175:$U175)=0,"",--($AD175&lt;&gt;""))</f>
        <v/>
      </c>
    </row>
    <row r="176" ht="20" customHeight="1">
      <c r="A176" s="80" t="n"/>
      <c r="B176" s="80" t="n"/>
      <c r="C176" s="81" t="n"/>
      <c r="D176" s="81" t="n"/>
      <c r="E176" s="80" t="n"/>
      <c r="F176" s="81" t="n"/>
      <c r="G176" s="81" t="n"/>
      <c r="H176" s="81" t="n"/>
      <c r="I176" s="80" t="n"/>
      <c r="J176" s="80" t="n"/>
      <c r="K176" s="80" t="n"/>
      <c r="L176" s="82" t="n"/>
      <c r="M176" s="80" t="n"/>
      <c r="N176" s="80" t="n"/>
      <c r="O176" s="80" t="n"/>
      <c r="P176" s="82" t="n"/>
      <c r="Q176" s="82" t="n"/>
      <c r="R176" s="80" t="n"/>
      <c r="S176" s="80" t="n"/>
      <c r="T176" s="80" t="n"/>
      <c r="U176" s="83" t="n"/>
      <c r="V176">
        <f>IF($A176="","",IF($A176=$A175,$V175,IF($V175="",0,1-$V175)))</f>
        <v/>
      </c>
      <c r="W176">
        <f>IF($B176&lt;&gt;"",$B176,$A176)</f>
        <v/>
      </c>
      <c r="X176">
        <f>IF(COUNTA($A176:$U176)=0,"",IF(OR($B176&lt;&gt;"",$O176&lt;&gt;""),"Dependent","Employee"))</f>
        <v/>
      </c>
      <c r="Y176">
        <f>IF(COUNTA($A176:$U176)=0,"",IF($A176="","Employee SSN is required; ","")&amp;IF($C176="","First Name is required; ","")&amp;IF(LEN($C176&amp;"")&gt;19,"First Name exceeds 19 characters; ","")&amp;IF(AND($C176&lt;&gt;"",SUMPRODUCT(--(ROW($1:$19)&lt;=LEN($C176&amp;"")),--ISERROR(FIND(MID($C176&amp;"",ROW($1:$19),1),"ABCDEFGHIJKLMNOPQRSTUVWXYZabcdefghijklmnopqrstuvwxyz .,")))&gt;0),"First Name contains unsupported or encoded characters; use plain A-Z letters only; ","")&amp;IF($D176="","Last Name is required; ","")&amp;IF(LEN($D176&amp;"")&gt;26,"Last Name exceeds 26 characters; ","")&amp;IF(AND($D176&lt;&gt;"",SUMPRODUCT(--(ROW($1:$26)&lt;=LEN($D176&amp;"")),--ISERROR(FIND(MID($D176&amp;"",ROW($1:$26),1),"ABCDEFGHIJKLMNOPQRSTUVWXYZabcdefghijklmnopqrstuvwxyz .,")))&gt;0),"Last Name contains unsupported or encoded characters; use plain A-Z letters only; ","")&amp;IF(LEN($E176&amp;"")&gt;1,"Middle Initial may contain only one character; ","")&amp;IF(AND($E176&lt;&gt;"",SUMPRODUCT(--(ROW($1:$1)&lt;=LEN($E176&amp;"")),--ISERROR(FIND(MID($E176&amp;"",ROW($1:$1),1),"ABCDEFGHIJKLMNOPQRSTUVWXYZabcdefghijklmnopqrstuvwxyz .,")))&gt;0),"Middle Initial must be a plain A-Z letter; ","")&amp;IF($F176="","Address is required; ","")&amp;IF(LEN($F176&amp;"")&gt;75,"Address exceeds 75 characters; ","")&amp;IF(LEN($G176&amp;"")&gt;75,"Address 2 exceeds 75 characters; ","")&amp;IF($H176="","City is required; ","")&amp;IF(LEN($H176&amp;"")&gt;30,"City exceeds 30 characters; ","")&amp;IF($K176="","Country is required; ","")&amp;IF(AND($K176&lt;&gt;"",$K176&lt;&gt;"US",$K176&lt;&gt;"CA"),"Country must be US or CA; ","")&amp;IF(AND($K176="US",OR($I176="",LEN($I176&amp;"")&lt;&gt;2)),"Use a 2-letter state code; ","")&amp;IF($J176="","ZIP or postal code is required; ","")&amp;IF(AND($K176="US",$J176&lt;&gt;"",NOT(IFERROR(OR(AND(LEN($J176&amp;"")=5,ISNUMBER(--($J176&amp;""))),AND(LEN($J176&amp;"")=9,ISNUMBER(--($J176&amp;""))),AND(LEN($J176&amp;"")=10,MID($J176&amp;"",6,1)="-",ISNUMBER(--SUBSTITUTE($J176&amp;"","-","")))),FALSE))),"US ZIP must be 5 or 9 digits, with an optional ZIP+4 hyphen; ","")&amp;IF(AND($N176&lt;&gt;"",NOT(IFERROR(AND(ISNUMBER(SEARCH("@",$N176)),ISNUMBER(SEARCH(".",$N176,SEARCH("@",$N176)+2))),FALSE))),"Email format appears invalid; ","")&amp;IF(AND($O176&lt;&gt;"",$B176=""),"Dependent SSN is required for every dependent; ","")&amp;IF(AND($B176&lt;&gt;"",$O176=""),"Dependent Relationship is required when Dependent SSN is entered; ","")&amp;IF(AND($O176&lt;&gt;"",$O176&lt;&gt;"Spouse or Common Law Spouse",$O176&lt;&gt;"Domestic Partner",$O176&lt;&gt;"Child",$O176&lt;&gt;"Other",$O176&lt;&gt;"Estate",$O176&lt;&gt;"Unknown"),"Dependent Relationship must use one of the approved options; ",""))</f>
        <v/>
      </c>
      <c r="Z176">
        <f>IF(COUNTA($A176:$U176)=0,"",IF(AND($A176&lt;&gt;"",NOT(IFERROR(AND(LEN($A176&amp;"")=9,ISNUMBER(--($A176&amp;""))),FALSE))),"Employee SSN must contain exactly 9 digits; ","")&amp;IF(AND($A176&lt;&gt;"",OR($A176="123456789",$A176="987654321",$A176="012345678",$A176=REPT(LEFT($A176&amp;"",1),9))),"Employee SSN appears to be a placeholder; ","")&amp;IF(AND($B176&lt;&gt;"",NOT(IFERROR(AND(LEN($B176&amp;"")=9,ISNUMBER(--($B176&amp;""))),FALSE))),"Dependent SSN must contain exactly 9 digits; ","")&amp;IF(AND($B176&lt;&gt;"",OR($B176="123456789",$B176="987654321",$B176="012345678",$B176=REPT(LEFT($B176&amp;"",1),9))),"Dependent SSN appears to be a placeholder; ","")&amp;IF(AND($A176&lt;&gt;"",$B176&lt;&gt;"",$A176&amp;""=$B176&amp;""),"Dependent SSN cannot match Employee SSN; ","")&amp;IF(AND($W176&lt;&gt;"",OR(COUNTIFS($W$2:$W$501,$W176,$C$2:$C$501,"&lt;&gt;"&amp;$C176)&gt;0,COUNTIFS($W$2:$W$501,$W176,$D$2:$D$501,"&lt;&gt;"&amp;$D176)&gt;0,COUNTIFS($W$2:$W$501,$W176,$L$2:$L$501,"&lt;&gt;"&amp;$L176)&gt;0)),"The same SSN is associated with a different name or birthdate; ",""))</f>
        <v/>
      </c>
      <c r="AA176">
        <f>IF(COUNTA($A176:$U176)=0,"",IF(AND($A176&lt;&gt;"",$S176&lt;&gt;"",COUNTIFS($A$2:$A$501,$A176,$S$2:$S$501,$S176,$B$2:$B$501,"",$O$2:$O$501,"")=0),"Add an employee row for this household and plan; ","")&amp;IF(AND($X176="Dependent",COUNTIFS($A$2:$A176,$A176,$S$2:$S176,$S176,$B$2:$B176,"",$O$2:$O176,"")=0),"Place the employee row before dependent rows for this plan; ","")&amp;IF(AND($X176="Dependent",COUNTIFS($A$2:$A$501,$A176,$S$2:$S$501,$S176,$B$2:$B$501,"",$O$2:$O$501,"")&gt;0,IFERROR(OR($P176&lt;&gt;LOOKUP(2,1/(($A$2:$A$501=$A176)*($S$2:$S$501=$S176)*($B$2:$B$501="")*($O$2:$O$501="")),$P$2:$P$501),$Q176&lt;&gt;LOOKUP(2,1/(($A$2:$A$501=$A176)*($S$2:$S$501=$S176)*($B$2:$B$501="")*($O$2:$O$501="")),$Q$2:$Q$501),$R176&lt;&gt;LOOKUP(2,1/(($A$2:$A$501=$A176)*($S$2:$S$501=$S176)*($B$2:$B$501="")*($O$2:$O$501="")),$R$2:$R$501),$T176&lt;&gt;LOOKUP(2,1/(($A$2:$A$501=$A176)*($S$2:$S$501=$S176)*($B$2:$B$501="")*($O$2:$O$501="")),$T$2:$T$501),$U176&lt;&gt;LOOKUP(2,1/(($A$2:$A$501=$A176)*($S$2:$S$501=$S176)*($B$2:$B$501="")*($O$2:$O$501="")),$U$2:$U$501)),FALSE)),"Dependent row does not match the employee row for eligibility, status, coverage level, or funding; ",""))</f>
        <v/>
      </c>
      <c r="AB176">
        <f>IF(COUNTA($A176:$U176)=0,"",IF($L176="","Birthdate is required; ","")&amp;IF(AND($L176&lt;&gt;"",OR(NOT(ISNUMBER($L176)),$L176&lt;=DATE(1900,1,1),$L176&gt;TODAY())),"Birthdate must be an exact valid past date; ","")&amp;IF($P176="","Eligibility Date is required; ","")&amp;IF(AND($P176&lt;&gt;"",OR(NOT(ISNUMBER($P176)),$P176&lt;=DATE(1900,1,1))),"Eligibility Date must be a valid date; ","")&amp;IF(AND($R176="Terminated",$Q176=""),"Termination Date is required when Status is Terminated; ","")&amp;IF(AND($Q176&lt;&gt;"",OR(NOT(ISNUMBER($Q176)),$Q176&lt;=DATE(1900,1,1))),"Termination Date must be a valid date; ","")&amp;IF(AND(ISNUMBER($P176),ISNUMBER($Q176),$Q176&lt;$P176),"Termination Date cannot be before Eligibility Date; ","")&amp;IF($R176="","Status is required; ","")&amp;IF(AND($R176&lt;&gt;"",$R176&lt;&gt;"Active",$R176&lt;&gt;"Terminated"),"Status must be Active or Terminated; ","")&amp;IF(AND('START HERE'!$C$8="Terminations Only",$R176&lt;&gt;"Terminated"),"Terminations Only files must contain terminated records; ",""))</f>
        <v/>
      </c>
      <c r="AC176">
        <f>IF(COUNTA($A176:$U176)=0,"",IF($S176="","Plan Name is required; ","")&amp;IF($T176="","Benefit Coverage Level is required; ","")&amp;IF(AND($U176&lt;&gt;"",OR(NOT(ISNUMBER($U176)),$U176&lt;0)),"Plan Funding Amount must be a nonnegative number; ","")&amp;IF(AND($A176&lt;&gt;"",$S176&lt;&gt;"",COUNTIFS($A$2:$A$501,$A176,$B$2:$B$501,$B176,$S$2:$S$501,$S176)&gt;1),"Duplicate participant and plan row; ",""))</f>
        <v/>
      </c>
      <c r="AD176">
        <f>IF(COUNTA($A176:$U176)=0,"",IF(AND($X176="Employee",$M176="",$N176=""),"No employee phone or email provided; ","")&amp;IF(AND($R176="Active",$Q176&lt;&gt;""),"Active record includes a Termination Date; confirm this is intentional; ","")&amp;IF(AND($B176&lt;&gt;"",$B176&amp;""&lt;&gt;$A176&amp;"",COUNTIF($A$2:$A$501,$B176)&gt;0),"Dependent SSN also appears as an Employee SSN elsewhere; confirm dual-employee coverage is intentional; ","")&amp;IF(AND($B176&lt;&gt;"",COUNTIF($B$2:$B$501,$B176)&gt;COUNTIFS($A$2:$A$501,$A176,$B$2:$B$501,$B176)),"Dependent SSN appears under more than one employee; confirm duplicate family coverage is intentional; ","")&amp;IF(AND(ROW()&gt;2,$A176&lt;&gt;"",$A176&lt;&gt;$A175,COUNTIF($A$2:$A175,$A176)&gt;0),"This household appears in more than one section of the census; keep the family together; ","")&amp;IF(OR(AND($C176&lt;&gt;"",LEN($C176&amp;"")&lt;&gt;LEN(TRIM($C176&amp;""))),AND($D176&lt;&gt;"",LEN($D176&amp;"")&lt;&gt;LEN(TRIM($D176&amp;""))),AND($E176&lt;&gt;"",LEN($E176&amp;"")&lt;&gt;LEN(TRIM($E176&amp;""))),AND($F176&lt;&gt;"",LEN($F176&amp;"")&lt;&gt;LEN(TRIM($F176&amp;""))),AND($G176&lt;&gt;"",LEN($G176&amp;"")&lt;&gt;LEN(TRIM($G176&amp;""))),AND($H176&lt;&gt;"",LEN($H176&amp;"")&lt;&gt;LEN(TRIM($H176&amp;""))),AND($I176&lt;&gt;"",LEN($I176&amp;"")&lt;&gt;LEN(TRIM($I176&amp;""))),AND($J176&lt;&gt;"",LEN($J176&amp;"")&lt;&gt;LEN(TRIM($J176&amp;""))),AND($K176&lt;&gt;"",LEN($K176&amp;"")&lt;&gt;LEN(TRIM($K176&amp;""))),AND($M176&lt;&gt;"",LEN($M176&amp;"")&lt;&gt;LEN(TRIM($M176&amp;""))),AND($N176&lt;&gt;"",LEN($N176&amp;"")&lt;&gt;LEN(TRIM($N176&amp;""))),AND($O176&lt;&gt;"",LEN($O176&amp;"")&lt;&gt;LEN(TRIM($O176&amp;""))),AND($R176&lt;&gt;"",LEN($R176&amp;"")&lt;&gt;LEN(TRIM($R176&amp;""))),AND($S176&lt;&gt;"",LEN($S176&amp;"")&lt;&gt;LEN(TRIM($S176&amp;""))),AND($T176&lt;&gt;"",LEN($T176&amp;"")&lt;&gt;LEN(TRIM($T176&amp;"")))),"Remove leading or trailing spaces from text fields; ","")&amp;IF(OR(AND(LEN($C176)&gt;1,OR(EXACT($C176,UPPER($C176)),EXACT($C176,LOWER($C176)))),AND(LEN($D176)&gt;1,OR(EXACT($D176,UPPER($D176)),EXACT($D176,LOWER($D176)))),AND(LEN($H176)&gt;1,OR(EXACT($H176,UPPER($H176)),EXACT($H176,LOWER($H176))))),"Review capitalization in First Name, Last Name, or City; ","")&amp;IF(AND($N176&lt;&gt;"",NOT(EXACT($N176,LOWER($N176)))),"Email will be standardized to lowercase in the clean output; ","")&amp;IF(AND(OR('START HERE'!$C$8="Initial Enrollment",'START HERE'!$C$8="Open Enrollment"),$R176="Terminated"),"A terminated row is included in an initial or open enrollment file; confirm this is intentional; ",""))</f>
        <v/>
      </c>
      <c r="AE176">
        <f>IF(COUNTA($A176:$U176)=0,"",IF(OR($A176="",AND($A176&lt;&gt;"",NOT(IFERROR(AND(LEN($A176&amp;"")=9,ISNUMBER(--($A176&amp;""))),FALSE))),AND($A176&lt;&gt;"",OR($A176="123456789",$A176="987654321",$A176="012345678",$A176=REPT(LEFT($A176&amp;"",1),9)))),"Employee SSN, ","")&amp;IF(OR(AND($O176&lt;&gt;"",$B176=""),AND($B176&lt;&gt;"",OR(NOT(IFERROR(AND(LEN($B176&amp;"")=9,ISNUMBER(--($B176&amp;""))),FALSE)),$B176=$A176,$B176="123456789",$B176="987654321",$B176="012345678",$B176=REPT(LEFT($B176&amp;"",1),9)))),"Dependent SSN, ","")&amp;IF(OR($C176="",LEN($C176)&gt;19,AND($C176&lt;&gt;"",SUMPRODUCT(--(ROW($1:$19)&lt;=LEN($C176&amp;"")),--ISERROR(FIND(MID($C176&amp;"",ROW($1:$19),1),"ABCDEFGHIJKLMNOPQRSTUVWXYZabcdefghijklmnopqrstuvwxyz .,")))&gt;0)),"First Name, ","")&amp;IF(OR($D176="",LEN($D176)&gt;26,AND($D176&lt;&gt;"",SUMPRODUCT(--(ROW($1:$26)&lt;=LEN($D176&amp;"")),--ISERROR(FIND(MID($D176&amp;"",ROW($1:$26),1),"ABCDEFGHIJKLMNOPQRSTUVWXYZabcdefghijklmnopqrstuvwxyz .,")))&gt;0)),"Last Name, ","")&amp;IF(OR(LEN($E176)&gt;1,AND($E176&lt;&gt;"",SUMPRODUCT(--(ROW($1:$1)&lt;=LEN($E176&amp;"")),--ISERROR(FIND(MID($E176&amp;"",ROW($1:$1),1),"ABCDEFGHIJKLMNOPQRSTUVWXYZabcdefghijklmnopqrstuvwxyz .,")))&gt;0)),"Middle Initial, ","")&amp;IF(OR($F176="",LEN($F176)&gt;75),"Address, ","")&amp;IF(OR($H176="",LEN($H176)&gt;30),"City, ","")&amp;IF(AND($K176="US",OR($I176="",LEN($I176)&lt;&gt;2)),"State, ","")&amp;IF($J176="","ZIP, ","")&amp;IF(OR($K176="",AND($K176&lt;&gt;"US",$K176&lt;&gt;"CA")),"Country, ","")&amp;IF(OR($L176="",AND($L176&lt;&gt;"",OR(NOT(ISNUMBER($L176)),$L176&lt;=DATE(1900,1,1),$L176&gt;TODAY()))),"Birthdate, ","")&amp;IF(AND($N176&lt;&gt;"",NOT(IFERROR(AND(ISNUMBER(SEARCH("@",$N176)),ISNUMBER(SEARCH(".",$N176,SEARCH("@",$N176)+2))),FALSE))),"Email, ","")&amp;IF(OR(AND($B176&lt;&gt;"",$O176=""),AND($O176&lt;&gt;"",$O176&lt;&gt;"Spouse or Common Law Spouse",$O176&lt;&gt;"Domestic Partner",$O176&lt;&gt;"Child",$O176&lt;&gt;"Other",$O176&lt;&gt;"Estate",$O176&lt;&gt;"Unknown")),"Dependent Relationship, ","")&amp;IF($AA176&lt;&gt;"","Household, ","")&amp;IF(OR($P176="",AND($P176&lt;&gt;"",OR(NOT(ISNUMBER($P176)),$P176&lt;=DATE(1900,1,1)))),"Eligibility Date, ","")&amp;IF(OR(AND($R176="Terminated",$Q176=""),AND($Q176&lt;&gt;"",OR(NOT(ISNUMBER($Q176)),$Q176&lt;=DATE(1900,1,1))),AND(ISNUMBER($P176),ISNUMBER($Q176),$Q176&lt;$P176)),"Termination Date, ","")&amp;IF(OR($R176="",AND($R176&lt;&gt;"Active",$R176&lt;&gt;"Terminated"),AND('START HERE'!$C$8="Terminations Only",$R176&lt;&gt;"Terminated")),"Status, ","")&amp;IF($S176="","Plan Name, ","")&amp;IF($T176="","Coverage Level, ","")&amp;IF(AND($U176&lt;&gt;"",OR(NOT(ISNUMBER($U176)),$U176&lt;0)),"Funding, ","")&amp;IF(AND($A176&lt;&gt;"",$S176&lt;&gt;"",COUNTIFS($A$2:$A$501,$A176,$B$2:$B$501,$B176,$S$2:$S$501,$S176)&gt;1),"Duplicate Row, ",""))</f>
        <v/>
      </c>
      <c r="AF176">
        <f>IF(COUNTA($A176:$U176)=0,"",$Y176&amp;$Z176&amp;$AA176&amp;$AB176&amp;$AC176)</f>
        <v/>
      </c>
      <c r="AG176">
        <f>IF($N176="","",LOWER(TRIM($N176)))</f>
        <v/>
      </c>
      <c r="AH176">
        <f>IF($A176="","",COUNTIFS($A$2:$A$501,$A176,$AI$2:$AI$501,1))</f>
        <v/>
      </c>
      <c r="AI176">
        <f>IF(COUNTA($A176:$U176)=0,"",--($AF176&lt;&gt;""))</f>
        <v/>
      </c>
      <c r="AJ176">
        <f>IF(COUNTA($A176:$U176)=0,"",--($AD176&lt;&gt;""))</f>
        <v/>
      </c>
    </row>
    <row r="177" ht="20" customHeight="1">
      <c r="A177" s="80" t="n"/>
      <c r="B177" s="80" t="n"/>
      <c r="C177" s="81" t="n"/>
      <c r="D177" s="81" t="n"/>
      <c r="E177" s="80" t="n"/>
      <c r="F177" s="81" t="n"/>
      <c r="G177" s="81" t="n"/>
      <c r="H177" s="81" t="n"/>
      <c r="I177" s="80" t="n"/>
      <c r="J177" s="80" t="n"/>
      <c r="K177" s="80" t="n"/>
      <c r="L177" s="82" t="n"/>
      <c r="M177" s="80" t="n"/>
      <c r="N177" s="80" t="n"/>
      <c r="O177" s="80" t="n"/>
      <c r="P177" s="82" t="n"/>
      <c r="Q177" s="82" t="n"/>
      <c r="R177" s="80" t="n"/>
      <c r="S177" s="80" t="n"/>
      <c r="T177" s="80" t="n"/>
      <c r="U177" s="83" t="n"/>
      <c r="V177">
        <f>IF($A177="","",IF($A177=$A176,$V176,IF($V176="",0,1-$V176)))</f>
        <v/>
      </c>
      <c r="W177">
        <f>IF($B177&lt;&gt;"",$B177,$A177)</f>
        <v/>
      </c>
      <c r="X177">
        <f>IF(COUNTA($A177:$U177)=0,"",IF(OR($B177&lt;&gt;"",$O177&lt;&gt;""),"Dependent","Employee"))</f>
        <v/>
      </c>
      <c r="Y177">
        <f>IF(COUNTA($A177:$U177)=0,"",IF($A177="","Employee SSN is required; ","")&amp;IF($C177="","First Name is required; ","")&amp;IF(LEN($C177&amp;"")&gt;19,"First Name exceeds 19 characters; ","")&amp;IF(AND($C177&lt;&gt;"",SUMPRODUCT(--(ROW($1:$19)&lt;=LEN($C177&amp;"")),--ISERROR(FIND(MID($C177&amp;"",ROW($1:$19),1),"ABCDEFGHIJKLMNOPQRSTUVWXYZabcdefghijklmnopqrstuvwxyz .,")))&gt;0),"First Name contains unsupported or encoded characters; use plain A-Z letters only; ","")&amp;IF($D177="","Last Name is required; ","")&amp;IF(LEN($D177&amp;"")&gt;26,"Last Name exceeds 26 characters; ","")&amp;IF(AND($D177&lt;&gt;"",SUMPRODUCT(--(ROW($1:$26)&lt;=LEN($D177&amp;"")),--ISERROR(FIND(MID($D177&amp;"",ROW($1:$26),1),"ABCDEFGHIJKLMNOPQRSTUVWXYZabcdefghijklmnopqrstuvwxyz .,")))&gt;0),"Last Name contains unsupported or encoded characters; use plain A-Z letters only; ","")&amp;IF(LEN($E177&amp;"")&gt;1,"Middle Initial may contain only one character; ","")&amp;IF(AND($E177&lt;&gt;"",SUMPRODUCT(--(ROW($1:$1)&lt;=LEN($E177&amp;"")),--ISERROR(FIND(MID($E177&amp;"",ROW($1:$1),1),"ABCDEFGHIJKLMNOPQRSTUVWXYZabcdefghijklmnopqrstuvwxyz .,")))&gt;0),"Middle Initial must be a plain A-Z letter; ","")&amp;IF($F177="","Address is required; ","")&amp;IF(LEN($F177&amp;"")&gt;75,"Address exceeds 75 characters; ","")&amp;IF(LEN($G177&amp;"")&gt;75,"Address 2 exceeds 75 characters; ","")&amp;IF($H177="","City is required; ","")&amp;IF(LEN($H177&amp;"")&gt;30,"City exceeds 30 characters; ","")&amp;IF($K177="","Country is required; ","")&amp;IF(AND($K177&lt;&gt;"",$K177&lt;&gt;"US",$K177&lt;&gt;"CA"),"Country must be US or CA; ","")&amp;IF(AND($K177="US",OR($I177="",LEN($I177&amp;"")&lt;&gt;2)),"Use a 2-letter state code; ","")&amp;IF($J177="","ZIP or postal code is required; ","")&amp;IF(AND($K177="US",$J177&lt;&gt;"",NOT(IFERROR(OR(AND(LEN($J177&amp;"")=5,ISNUMBER(--($J177&amp;""))),AND(LEN($J177&amp;"")=9,ISNUMBER(--($J177&amp;""))),AND(LEN($J177&amp;"")=10,MID($J177&amp;"",6,1)="-",ISNUMBER(--SUBSTITUTE($J177&amp;"","-","")))),FALSE))),"US ZIP must be 5 or 9 digits, with an optional ZIP+4 hyphen; ","")&amp;IF(AND($N177&lt;&gt;"",NOT(IFERROR(AND(ISNUMBER(SEARCH("@",$N177)),ISNUMBER(SEARCH(".",$N177,SEARCH("@",$N177)+2))),FALSE))),"Email format appears invalid; ","")&amp;IF(AND($O177&lt;&gt;"",$B177=""),"Dependent SSN is required for every dependent; ","")&amp;IF(AND($B177&lt;&gt;"",$O177=""),"Dependent Relationship is required when Dependent SSN is entered; ","")&amp;IF(AND($O177&lt;&gt;"",$O177&lt;&gt;"Spouse or Common Law Spouse",$O177&lt;&gt;"Domestic Partner",$O177&lt;&gt;"Child",$O177&lt;&gt;"Other",$O177&lt;&gt;"Estate",$O177&lt;&gt;"Unknown"),"Dependent Relationship must use one of the approved options; ",""))</f>
        <v/>
      </c>
      <c r="Z177">
        <f>IF(COUNTA($A177:$U177)=0,"",IF(AND($A177&lt;&gt;"",NOT(IFERROR(AND(LEN($A177&amp;"")=9,ISNUMBER(--($A177&amp;""))),FALSE))),"Employee SSN must contain exactly 9 digits; ","")&amp;IF(AND($A177&lt;&gt;"",OR($A177="123456789",$A177="987654321",$A177="012345678",$A177=REPT(LEFT($A177&amp;"",1),9))),"Employee SSN appears to be a placeholder; ","")&amp;IF(AND($B177&lt;&gt;"",NOT(IFERROR(AND(LEN($B177&amp;"")=9,ISNUMBER(--($B177&amp;""))),FALSE))),"Dependent SSN must contain exactly 9 digits; ","")&amp;IF(AND($B177&lt;&gt;"",OR($B177="123456789",$B177="987654321",$B177="012345678",$B177=REPT(LEFT($B177&amp;"",1),9))),"Dependent SSN appears to be a placeholder; ","")&amp;IF(AND($A177&lt;&gt;"",$B177&lt;&gt;"",$A177&amp;""=$B177&amp;""),"Dependent SSN cannot match Employee SSN; ","")&amp;IF(AND($W177&lt;&gt;"",OR(COUNTIFS($W$2:$W$501,$W177,$C$2:$C$501,"&lt;&gt;"&amp;$C177)&gt;0,COUNTIFS($W$2:$W$501,$W177,$D$2:$D$501,"&lt;&gt;"&amp;$D177)&gt;0,COUNTIFS($W$2:$W$501,$W177,$L$2:$L$501,"&lt;&gt;"&amp;$L177)&gt;0)),"The same SSN is associated with a different name or birthdate; ",""))</f>
        <v/>
      </c>
      <c r="AA177">
        <f>IF(COUNTA($A177:$U177)=0,"",IF(AND($A177&lt;&gt;"",$S177&lt;&gt;"",COUNTIFS($A$2:$A$501,$A177,$S$2:$S$501,$S177,$B$2:$B$501,"",$O$2:$O$501,"")=0),"Add an employee row for this household and plan; ","")&amp;IF(AND($X177="Dependent",COUNTIFS($A$2:$A177,$A177,$S$2:$S177,$S177,$B$2:$B177,"",$O$2:$O177,"")=0),"Place the employee row before dependent rows for this plan; ","")&amp;IF(AND($X177="Dependent",COUNTIFS($A$2:$A$501,$A177,$S$2:$S$501,$S177,$B$2:$B$501,"",$O$2:$O$501,"")&gt;0,IFERROR(OR($P177&lt;&gt;LOOKUP(2,1/(($A$2:$A$501=$A177)*($S$2:$S$501=$S177)*($B$2:$B$501="")*($O$2:$O$501="")),$P$2:$P$501),$Q177&lt;&gt;LOOKUP(2,1/(($A$2:$A$501=$A177)*($S$2:$S$501=$S177)*($B$2:$B$501="")*($O$2:$O$501="")),$Q$2:$Q$501),$R177&lt;&gt;LOOKUP(2,1/(($A$2:$A$501=$A177)*($S$2:$S$501=$S177)*($B$2:$B$501="")*($O$2:$O$501="")),$R$2:$R$501),$T177&lt;&gt;LOOKUP(2,1/(($A$2:$A$501=$A177)*($S$2:$S$501=$S177)*($B$2:$B$501="")*($O$2:$O$501="")),$T$2:$T$501),$U177&lt;&gt;LOOKUP(2,1/(($A$2:$A$501=$A177)*($S$2:$S$501=$S177)*($B$2:$B$501="")*($O$2:$O$501="")),$U$2:$U$501)),FALSE)),"Dependent row does not match the employee row for eligibility, status, coverage level, or funding; ",""))</f>
        <v/>
      </c>
      <c r="AB177">
        <f>IF(COUNTA($A177:$U177)=0,"",IF($L177="","Birthdate is required; ","")&amp;IF(AND($L177&lt;&gt;"",OR(NOT(ISNUMBER($L177)),$L177&lt;=DATE(1900,1,1),$L177&gt;TODAY())),"Birthdate must be an exact valid past date; ","")&amp;IF($P177="","Eligibility Date is required; ","")&amp;IF(AND($P177&lt;&gt;"",OR(NOT(ISNUMBER($P177)),$P177&lt;=DATE(1900,1,1))),"Eligibility Date must be a valid date; ","")&amp;IF(AND($R177="Terminated",$Q177=""),"Termination Date is required when Status is Terminated; ","")&amp;IF(AND($Q177&lt;&gt;"",OR(NOT(ISNUMBER($Q177)),$Q177&lt;=DATE(1900,1,1))),"Termination Date must be a valid date; ","")&amp;IF(AND(ISNUMBER($P177),ISNUMBER($Q177),$Q177&lt;$P177),"Termination Date cannot be before Eligibility Date; ","")&amp;IF($R177="","Status is required; ","")&amp;IF(AND($R177&lt;&gt;"",$R177&lt;&gt;"Active",$R177&lt;&gt;"Terminated"),"Status must be Active or Terminated; ","")&amp;IF(AND('START HERE'!$C$8="Terminations Only",$R177&lt;&gt;"Terminated"),"Terminations Only files must contain terminated records; ",""))</f>
        <v/>
      </c>
      <c r="AC177">
        <f>IF(COUNTA($A177:$U177)=0,"",IF($S177="","Plan Name is required; ","")&amp;IF($T177="","Benefit Coverage Level is required; ","")&amp;IF(AND($U177&lt;&gt;"",OR(NOT(ISNUMBER($U177)),$U177&lt;0)),"Plan Funding Amount must be a nonnegative number; ","")&amp;IF(AND($A177&lt;&gt;"",$S177&lt;&gt;"",COUNTIFS($A$2:$A$501,$A177,$B$2:$B$501,$B177,$S$2:$S$501,$S177)&gt;1),"Duplicate participant and plan row; ",""))</f>
        <v/>
      </c>
      <c r="AD177">
        <f>IF(COUNTA($A177:$U177)=0,"",IF(AND($X177="Employee",$M177="",$N177=""),"No employee phone or email provided; ","")&amp;IF(AND($R177="Active",$Q177&lt;&gt;""),"Active record includes a Termination Date; confirm this is intentional; ","")&amp;IF(AND($B177&lt;&gt;"",$B177&amp;""&lt;&gt;$A177&amp;"",COUNTIF($A$2:$A$501,$B177)&gt;0),"Dependent SSN also appears as an Employee SSN elsewhere; confirm dual-employee coverage is intentional; ","")&amp;IF(AND($B177&lt;&gt;"",COUNTIF($B$2:$B$501,$B177)&gt;COUNTIFS($A$2:$A$501,$A177,$B$2:$B$501,$B177)),"Dependent SSN appears under more than one employee; confirm duplicate family coverage is intentional; ","")&amp;IF(AND(ROW()&gt;2,$A177&lt;&gt;"",$A177&lt;&gt;$A176,COUNTIF($A$2:$A176,$A177)&gt;0),"This household appears in more than one section of the census; keep the family together; ","")&amp;IF(OR(AND($C177&lt;&gt;"",LEN($C177&amp;"")&lt;&gt;LEN(TRIM($C177&amp;""))),AND($D177&lt;&gt;"",LEN($D177&amp;"")&lt;&gt;LEN(TRIM($D177&amp;""))),AND($E177&lt;&gt;"",LEN($E177&amp;"")&lt;&gt;LEN(TRIM($E177&amp;""))),AND($F177&lt;&gt;"",LEN($F177&amp;"")&lt;&gt;LEN(TRIM($F177&amp;""))),AND($G177&lt;&gt;"",LEN($G177&amp;"")&lt;&gt;LEN(TRIM($G177&amp;""))),AND($H177&lt;&gt;"",LEN($H177&amp;"")&lt;&gt;LEN(TRIM($H177&amp;""))),AND($I177&lt;&gt;"",LEN($I177&amp;"")&lt;&gt;LEN(TRIM($I177&amp;""))),AND($J177&lt;&gt;"",LEN($J177&amp;"")&lt;&gt;LEN(TRIM($J177&amp;""))),AND($K177&lt;&gt;"",LEN($K177&amp;"")&lt;&gt;LEN(TRIM($K177&amp;""))),AND($M177&lt;&gt;"",LEN($M177&amp;"")&lt;&gt;LEN(TRIM($M177&amp;""))),AND($N177&lt;&gt;"",LEN($N177&amp;"")&lt;&gt;LEN(TRIM($N177&amp;""))),AND($O177&lt;&gt;"",LEN($O177&amp;"")&lt;&gt;LEN(TRIM($O177&amp;""))),AND($R177&lt;&gt;"",LEN($R177&amp;"")&lt;&gt;LEN(TRIM($R177&amp;""))),AND($S177&lt;&gt;"",LEN($S177&amp;"")&lt;&gt;LEN(TRIM($S177&amp;""))),AND($T177&lt;&gt;"",LEN($T177&amp;"")&lt;&gt;LEN(TRIM($T177&amp;"")))),"Remove leading or trailing spaces from text fields; ","")&amp;IF(OR(AND(LEN($C177)&gt;1,OR(EXACT($C177,UPPER($C177)),EXACT($C177,LOWER($C177)))),AND(LEN($D177)&gt;1,OR(EXACT($D177,UPPER($D177)),EXACT($D177,LOWER($D177)))),AND(LEN($H177)&gt;1,OR(EXACT($H177,UPPER($H177)),EXACT($H177,LOWER($H177))))),"Review capitalization in First Name, Last Name, or City; ","")&amp;IF(AND($N177&lt;&gt;"",NOT(EXACT($N177,LOWER($N177)))),"Email will be standardized to lowercase in the clean output; ","")&amp;IF(AND(OR('START HERE'!$C$8="Initial Enrollment",'START HERE'!$C$8="Open Enrollment"),$R177="Terminated"),"A terminated row is included in an initial or open enrollment file; confirm this is intentional; ",""))</f>
        <v/>
      </c>
      <c r="AE177">
        <f>IF(COUNTA($A177:$U177)=0,"",IF(OR($A177="",AND($A177&lt;&gt;"",NOT(IFERROR(AND(LEN($A177&amp;"")=9,ISNUMBER(--($A177&amp;""))),FALSE))),AND($A177&lt;&gt;"",OR($A177="123456789",$A177="987654321",$A177="012345678",$A177=REPT(LEFT($A177&amp;"",1),9)))),"Employee SSN, ","")&amp;IF(OR(AND($O177&lt;&gt;"",$B177=""),AND($B177&lt;&gt;"",OR(NOT(IFERROR(AND(LEN($B177&amp;"")=9,ISNUMBER(--($B177&amp;""))),FALSE)),$B177=$A177,$B177="123456789",$B177="987654321",$B177="012345678",$B177=REPT(LEFT($B177&amp;"",1),9)))),"Dependent SSN, ","")&amp;IF(OR($C177="",LEN($C177)&gt;19,AND($C177&lt;&gt;"",SUMPRODUCT(--(ROW($1:$19)&lt;=LEN($C177&amp;"")),--ISERROR(FIND(MID($C177&amp;"",ROW($1:$19),1),"ABCDEFGHIJKLMNOPQRSTUVWXYZabcdefghijklmnopqrstuvwxyz .,")))&gt;0)),"First Name, ","")&amp;IF(OR($D177="",LEN($D177)&gt;26,AND($D177&lt;&gt;"",SUMPRODUCT(--(ROW($1:$26)&lt;=LEN($D177&amp;"")),--ISERROR(FIND(MID($D177&amp;"",ROW($1:$26),1),"ABCDEFGHIJKLMNOPQRSTUVWXYZabcdefghijklmnopqrstuvwxyz .,")))&gt;0)),"Last Name, ","")&amp;IF(OR(LEN($E177)&gt;1,AND($E177&lt;&gt;"",SUMPRODUCT(--(ROW($1:$1)&lt;=LEN($E177&amp;"")),--ISERROR(FIND(MID($E177&amp;"",ROW($1:$1),1),"ABCDEFGHIJKLMNOPQRSTUVWXYZabcdefghijklmnopqrstuvwxyz .,")))&gt;0)),"Middle Initial, ","")&amp;IF(OR($F177="",LEN($F177)&gt;75),"Address, ","")&amp;IF(OR($H177="",LEN($H177)&gt;30),"City, ","")&amp;IF(AND($K177="US",OR($I177="",LEN($I177)&lt;&gt;2)),"State, ","")&amp;IF($J177="","ZIP, ","")&amp;IF(OR($K177="",AND($K177&lt;&gt;"US",$K177&lt;&gt;"CA")),"Country, ","")&amp;IF(OR($L177="",AND($L177&lt;&gt;"",OR(NOT(ISNUMBER($L177)),$L177&lt;=DATE(1900,1,1),$L177&gt;TODAY()))),"Birthdate, ","")&amp;IF(AND($N177&lt;&gt;"",NOT(IFERROR(AND(ISNUMBER(SEARCH("@",$N177)),ISNUMBER(SEARCH(".",$N177,SEARCH("@",$N177)+2))),FALSE))),"Email, ","")&amp;IF(OR(AND($B177&lt;&gt;"",$O177=""),AND($O177&lt;&gt;"",$O177&lt;&gt;"Spouse or Common Law Spouse",$O177&lt;&gt;"Domestic Partner",$O177&lt;&gt;"Child",$O177&lt;&gt;"Other",$O177&lt;&gt;"Estate",$O177&lt;&gt;"Unknown")),"Dependent Relationship, ","")&amp;IF($AA177&lt;&gt;"","Household, ","")&amp;IF(OR($P177="",AND($P177&lt;&gt;"",OR(NOT(ISNUMBER($P177)),$P177&lt;=DATE(1900,1,1)))),"Eligibility Date, ","")&amp;IF(OR(AND($R177="Terminated",$Q177=""),AND($Q177&lt;&gt;"",OR(NOT(ISNUMBER($Q177)),$Q177&lt;=DATE(1900,1,1))),AND(ISNUMBER($P177),ISNUMBER($Q177),$Q177&lt;$P177)),"Termination Date, ","")&amp;IF(OR($R177="",AND($R177&lt;&gt;"Active",$R177&lt;&gt;"Terminated"),AND('START HERE'!$C$8="Terminations Only",$R177&lt;&gt;"Terminated")),"Status, ","")&amp;IF($S177="","Plan Name, ","")&amp;IF($T177="","Coverage Level, ","")&amp;IF(AND($U177&lt;&gt;"",OR(NOT(ISNUMBER($U177)),$U177&lt;0)),"Funding, ","")&amp;IF(AND($A177&lt;&gt;"",$S177&lt;&gt;"",COUNTIFS($A$2:$A$501,$A177,$B$2:$B$501,$B177,$S$2:$S$501,$S177)&gt;1),"Duplicate Row, ",""))</f>
        <v/>
      </c>
      <c r="AF177">
        <f>IF(COUNTA($A177:$U177)=0,"",$Y177&amp;$Z177&amp;$AA177&amp;$AB177&amp;$AC177)</f>
        <v/>
      </c>
      <c r="AG177">
        <f>IF($N177="","",LOWER(TRIM($N177)))</f>
        <v/>
      </c>
      <c r="AH177">
        <f>IF($A177="","",COUNTIFS($A$2:$A$501,$A177,$AI$2:$AI$501,1))</f>
        <v/>
      </c>
      <c r="AI177">
        <f>IF(COUNTA($A177:$U177)=0,"",--($AF177&lt;&gt;""))</f>
        <v/>
      </c>
      <c r="AJ177">
        <f>IF(COUNTA($A177:$U177)=0,"",--($AD177&lt;&gt;""))</f>
        <v/>
      </c>
    </row>
    <row r="178" ht="20" customHeight="1">
      <c r="A178" s="80" t="n"/>
      <c r="B178" s="80" t="n"/>
      <c r="C178" s="81" t="n"/>
      <c r="D178" s="81" t="n"/>
      <c r="E178" s="80" t="n"/>
      <c r="F178" s="81" t="n"/>
      <c r="G178" s="81" t="n"/>
      <c r="H178" s="81" t="n"/>
      <c r="I178" s="80" t="n"/>
      <c r="J178" s="80" t="n"/>
      <c r="K178" s="80" t="n"/>
      <c r="L178" s="82" t="n"/>
      <c r="M178" s="80" t="n"/>
      <c r="N178" s="80" t="n"/>
      <c r="O178" s="80" t="n"/>
      <c r="P178" s="82" t="n"/>
      <c r="Q178" s="82" t="n"/>
      <c r="R178" s="80" t="n"/>
      <c r="S178" s="80" t="n"/>
      <c r="T178" s="80" t="n"/>
      <c r="U178" s="83" t="n"/>
      <c r="V178">
        <f>IF($A178="","",IF($A178=$A177,$V177,IF($V177="",0,1-$V177)))</f>
        <v/>
      </c>
      <c r="W178">
        <f>IF($B178&lt;&gt;"",$B178,$A178)</f>
        <v/>
      </c>
      <c r="X178">
        <f>IF(COUNTA($A178:$U178)=0,"",IF(OR($B178&lt;&gt;"",$O178&lt;&gt;""),"Dependent","Employee"))</f>
        <v/>
      </c>
      <c r="Y178">
        <f>IF(COUNTA($A178:$U178)=0,"",IF($A178="","Employee SSN is required; ","")&amp;IF($C178="","First Name is required; ","")&amp;IF(LEN($C178&amp;"")&gt;19,"First Name exceeds 19 characters; ","")&amp;IF(AND($C178&lt;&gt;"",SUMPRODUCT(--(ROW($1:$19)&lt;=LEN($C178&amp;"")),--ISERROR(FIND(MID($C178&amp;"",ROW($1:$19),1),"ABCDEFGHIJKLMNOPQRSTUVWXYZabcdefghijklmnopqrstuvwxyz .,")))&gt;0),"First Name contains unsupported or encoded characters; use plain A-Z letters only; ","")&amp;IF($D178="","Last Name is required; ","")&amp;IF(LEN($D178&amp;"")&gt;26,"Last Name exceeds 26 characters; ","")&amp;IF(AND($D178&lt;&gt;"",SUMPRODUCT(--(ROW($1:$26)&lt;=LEN($D178&amp;"")),--ISERROR(FIND(MID($D178&amp;"",ROW($1:$26),1),"ABCDEFGHIJKLMNOPQRSTUVWXYZabcdefghijklmnopqrstuvwxyz .,")))&gt;0),"Last Name contains unsupported or encoded characters; use plain A-Z letters only; ","")&amp;IF(LEN($E178&amp;"")&gt;1,"Middle Initial may contain only one character; ","")&amp;IF(AND($E178&lt;&gt;"",SUMPRODUCT(--(ROW($1:$1)&lt;=LEN($E178&amp;"")),--ISERROR(FIND(MID($E178&amp;"",ROW($1:$1),1),"ABCDEFGHIJKLMNOPQRSTUVWXYZabcdefghijklmnopqrstuvwxyz .,")))&gt;0),"Middle Initial must be a plain A-Z letter; ","")&amp;IF($F178="","Address is required; ","")&amp;IF(LEN($F178&amp;"")&gt;75,"Address exceeds 75 characters; ","")&amp;IF(LEN($G178&amp;"")&gt;75,"Address 2 exceeds 75 characters; ","")&amp;IF($H178="","City is required; ","")&amp;IF(LEN($H178&amp;"")&gt;30,"City exceeds 30 characters; ","")&amp;IF($K178="","Country is required; ","")&amp;IF(AND($K178&lt;&gt;"",$K178&lt;&gt;"US",$K178&lt;&gt;"CA"),"Country must be US or CA; ","")&amp;IF(AND($K178="US",OR($I178="",LEN($I178&amp;"")&lt;&gt;2)),"Use a 2-letter state code; ","")&amp;IF($J178="","ZIP or postal code is required; ","")&amp;IF(AND($K178="US",$J178&lt;&gt;"",NOT(IFERROR(OR(AND(LEN($J178&amp;"")=5,ISNUMBER(--($J178&amp;""))),AND(LEN($J178&amp;"")=9,ISNUMBER(--($J178&amp;""))),AND(LEN($J178&amp;"")=10,MID($J178&amp;"",6,1)="-",ISNUMBER(--SUBSTITUTE($J178&amp;"","-","")))),FALSE))),"US ZIP must be 5 or 9 digits, with an optional ZIP+4 hyphen; ","")&amp;IF(AND($N178&lt;&gt;"",NOT(IFERROR(AND(ISNUMBER(SEARCH("@",$N178)),ISNUMBER(SEARCH(".",$N178,SEARCH("@",$N178)+2))),FALSE))),"Email format appears invalid; ","")&amp;IF(AND($O178&lt;&gt;"",$B178=""),"Dependent SSN is required for every dependent; ","")&amp;IF(AND($B178&lt;&gt;"",$O178=""),"Dependent Relationship is required when Dependent SSN is entered; ","")&amp;IF(AND($O178&lt;&gt;"",$O178&lt;&gt;"Spouse or Common Law Spouse",$O178&lt;&gt;"Domestic Partner",$O178&lt;&gt;"Child",$O178&lt;&gt;"Other",$O178&lt;&gt;"Estate",$O178&lt;&gt;"Unknown"),"Dependent Relationship must use one of the approved options; ",""))</f>
        <v/>
      </c>
      <c r="Z178">
        <f>IF(COUNTA($A178:$U178)=0,"",IF(AND($A178&lt;&gt;"",NOT(IFERROR(AND(LEN($A178&amp;"")=9,ISNUMBER(--($A178&amp;""))),FALSE))),"Employee SSN must contain exactly 9 digits; ","")&amp;IF(AND($A178&lt;&gt;"",OR($A178="123456789",$A178="987654321",$A178="012345678",$A178=REPT(LEFT($A178&amp;"",1),9))),"Employee SSN appears to be a placeholder; ","")&amp;IF(AND($B178&lt;&gt;"",NOT(IFERROR(AND(LEN($B178&amp;"")=9,ISNUMBER(--($B178&amp;""))),FALSE))),"Dependent SSN must contain exactly 9 digits; ","")&amp;IF(AND($B178&lt;&gt;"",OR($B178="123456789",$B178="987654321",$B178="012345678",$B178=REPT(LEFT($B178&amp;"",1),9))),"Dependent SSN appears to be a placeholder; ","")&amp;IF(AND($A178&lt;&gt;"",$B178&lt;&gt;"",$A178&amp;""=$B178&amp;""),"Dependent SSN cannot match Employee SSN; ","")&amp;IF(AND($W178&lt;&gt;"",OR(COUNTIFS($W$2:$W$501,$W178,$C$2:$C$501,"&lt;&gt;"&amp;$C178)&gt;0,COUNTIFS($W$2:$W$501,$W178,$D$2:$D$501,"&lt;&gt;"&amp;$D178)&gt;0,COUNTIFS($W$2:$W$501,$W178,$L$2:$L$501,"&lt;&gt;"&amp;$L178)&gt;0)),"The same SSN is associated with a different name or birthdate; ",""))</f>
        <v/>
      </c>
      <c r="AA178">
        <f>IF(COUNTA($A178:$U178)=0,"",IF(AND($A178&lt;&gt;"",$S178&lt;&gt;"",COUNTIFS($A$2:$A$501,$A178,$S$2:$S$501,$S178,$B$2:$B$501,"",$O$2:$O$501,"")=0),"Add an employee row for this household and plan; ","")&amp;IF(AND($X178="Dependent",COUNTIFS($A$2:$A178,$A178,$S$2:$S178,$S178,$B$2:$B178,"",$O$2:$O178,"")=0),"Place the employee row before dependent rows for this plan; ","")&amp;IF(AND($X178="Dependent",COUNTIFS($A$2:$A$501,$A178,$S$2:$S$501,$S178,$B$2:$B$501,"",$O$2:$O$501,"")&gt;0,IFERROR(OR($P178&lt;&gt;LOOKUP(2,1/(($A$2:$A$501=$A178)*($S$2:$S$501=$S178)*($B$2:$B$501="")*($O$2:$O$501="")),$P$2:$P$501),$Q178&lt;&gt;LOOKUP(2,1/(($A$2:$A$501=$A178)*($S$2:$S$501=$S178)*($B$2:$B$501="")*($O$2:$O$501="")),$Q$2:$Q$501),$R178&lt;&gt;LOOKUP(2,1/(($A$2:$A$501=$A178)*($S$2:$S$501=$S178)*($B$2:$B$501="")*($O$2:$O$501="")),$R$2:$R$501),$T178&lt;&gt;LOOKUP(2,1/(($A$2:$A$501=$A178)*($S$2:$S$501=$S178)*($B$2:$B$501="")*($O$2:$O$501="")),$T$2:$T$501),$U178&lt;&gt;LOOKUP(2,1/(($A$2:$A$501=$A178)*($S$2:$S$501=$S178)*($B$2:$B$501="")*($O$2:$O$501="")),$U$2:$U$501)),FALSE)),"Dependent row does not match the employee row for eligibility, status, coverage level, or funding; ",""))</f>
        <v/>
      </c>
      <c r="AB178">
        <f>IF(COUNTA($A178:$U178)=0,"",IF($L178="","Birthdate is required; ","")&amp;IF(AND($L178&lt;&gt;"",OR(NOT(ISNUMBER($L178)),$L178&lt;=DATE(1900,1,1),$L178&gt;TODAY())),"Birthdate must be an exact valid past date; ","")&amp;IF($P178="","Eligibility Date is required; ","")&amp;IF(AND($P178&lt;&gt;"",OR(NOT(ISNUMBER($P178)),$P178&lt;=DATE(1900,1,1))),"Eligibility Date must be a valid date; ","")&amp;IF(AND($R178="Terminated",$Q178=""),"Termination Date is required when Status is Terminated; ","")&amp;IF(AND($Q178&lt;&gt;"",OR(NOT(ISNUMBER($Q178)),$Q178&lt;=DATE(1900,1,1))),"Termination Date must be a valid date; ","")&amp;IF(AND(ISNUMBER($P178),ISNUMBER($Q178),$Q178&lt;$P178),"Termination Date cannot be before Eligibility Date; ","")&amp;IF($R178="","Status is required; ","")&amp;IF(AND($R178&lt;&gt;"",$R178&lt;&gt;"Active",$R178&lt;&gt;"Terminated"),"Status must be Active or Terminated; ","")&amp;IF(AND('START HERE'!$C$8="Terminations Only",$R178&lt;&gt;"Terminated"),"Terminations Only files must contain terminated records; ",""))</f>
        <v/>
      </c>
      <c r="AC178">
        <f>IF(COUNTA($A178:$U178)=0,"",IF($S178="","Plan Name is required; ","")&amp;IF($T178="","Benefit Coverage Level is required; ","")&amp;IF(AND($U178&lt;&gt;"",OR(NOT(ISNUMBER($U178)),$U178&lt;0)),"Plan Funding Amount must be a nonnegative number; ","")&amp;IF(AND($A178&lt;&gt;"",$S178&lt;&gt;"",COUNTIFS($A$2:$A$501,$A178,$B$2:$B$501,$B178,$S$2:$S$501,$S178)&gt;1),"Duplicate participant and plan row; ",""))</f>
        <v/>
      </c>
      <c r="AD178">
        <f>IF(COUNTA($A178:$U178)=0,"",IF(AND($X178="Employee",$M178="",$N178=""),"No employee phone or email provided; ","")&amp;IF(AND($R178="Active",$Q178&lt;&gt;""),"Active record includes a Termination Date; confirm this is intentional; ","")&amp;IF(AND($B178&lt;&gt;"",$B178&amp;""&lt;&gt;$A178&amp;"",COUNTIF($A$2:$A$501,$B178)&gt;0),"Dependent SSN also appears as an Employee SSN elsewhere; confirm dual-employee coverage is intentional; ","")&amp;IF(AND($B178&lt;&gt;"",COUNTIF($B$2:$B$501,$B178)&gt;COUNTIFS($A$2:$A$501,$A178,$B$2:$B$501,$B178)),"Dependent SSN appears under more than one employee; confirm duplicate family coverage is intentional; ","")&amp;IF(AND(ROW()&gt;2,$A178&lt;&gt;"",$A178&lt;&gt;$A177,COUNTIF($A$2:$A177,$A178)&gt;0),"This household appears in more than one section of the census; keep the family together; ","")&amp;IF(OR(AND($C178&lt;&gt;"",LEN($C178&amp;"")&lt;&gt;LEN(TRIM($C178&amp;""))),AND($D178&lt;&gt;"",LEN($D178&amp;"")&lt;&gt;LEN(TRIM($D178&amp;""))),AND($E178&lt;&gt;"",LEN($E178&amp;"")&lt;&gt;LEN(TRIM($E178&amp;""))),AND($F178&lt;&gt;"",LEN($F178&amp;"")&lt;&gt;LEN(TRIM($F178&amp;""))),AND($G178&lt;&gt;"",LEN($G178&amp;"")&lt;&gt;LEN(TRIM($G178&amp;""))),AND($H178&lt;&gt;"",LEN($H178&amp;"")&lt;&gt;LEN(TRIM($H178&amp;""))),AND($I178&lt;&gt;"",LEN($I178&amp;"")&lt;&gt;LEN(TRIM($I178&amp;""))),AND($J178&lt;&gt;"",LEN($J178&amp;"")&lt;&gt;LEN(TRIM($J178&amp;""))),AND($K178&lt;&gt;"",LEN($K178&amp;"")&lt;&gt;LEN(TRIM($K178&amp;""))),AND($M178&lt;&gt;"",LEN($M178&amp;"")&lt;&gt;LEN(TRIM($M178&amp;""))),AND($N178&lt;&gt;"",LEN($N178&amp;"")&lt;&gt;LEN(TRIM($N178&amp;""))),AND($O178&lt;&gt;"",LEN($O178&amp;"")&lt;&gt;LEN(TRIM($O178&amp;""))),AND($R178&lt;&gt;"",LEN($R178&amp;"")&lt;&gt;LEN(TRIM($R178&amp;""))),AND($S178&lt;&gt;"",LEN($S178&amp;"")&lt;&gt;LEN(TRIM($S178&amp;""))),AND($T178&lt;&gt;"",LEN($T178&amp;"")&lt;&gt;LEN(TRIM($T178&amp;"")))),"Remove leading or trailing spaces from text fields; ","")&amp;IF(OR(AND(LEN($C178)&gt;1,OR(EXACT($C178,UPPER($C178)),EXACT($C178,LOWER($C178)))),AND(LEN($D178)&gt;1,OR(EXACT($D178,UPPER($D178)),EXACT($D178,LOWER($D178)))),AND(LEN($H178)&gt;1,OR(EXACT($H178,UPPER($H178)),EXACT($H178,LOWER($H178))))),"Review capitalization in First Name, Last Name, or City; ","")&amp;IF(AND($N178&lt;&gt;"",NOT(EXACT($N178,LOWER($N178)))),"Email will be standardized to lowercase in the clean output; ","")&amp;IF(AND(OR('START HERE'!$C$8="Initial Enrollment",'START HERE'!$C$8="Open Enrollment"),$R178="Terminated"),"A terminated row is included in an initial or open enrollment file; confirm this is intentional; ",""))</f>
        <v/>
      </c>
      <c r="AE178">
        <f>IF(COUNTA($A178:$U178)=0,"",IF(OR($A178="",AND($A178&lt;&gt;"",NOT(IFERROR(AND(LEN($A178&amp;"")=9,ISNUMBER(--($A178&amp;""))),FALSE))),AND($A178&lt;&gt;"",OR($A178="123456789",$A178="987654321",$A178="012345678",$A178=REPT(LEFT($A178&amp;"",1),9)))),"Employee SSN, ","")&amp;IF(OR(AND($O178&lt;&gt;"",$B178=""),AND($B178&lt;&gt;"",OR(NOT(IFERROR(AND(LEN($B178&amp;"")=9,ISNUMBER(--($B178&amp;""))),FALSE)),$B178=$A178,$B178="123456789",$B178="987654321",$B178="012345678",$B178=REPT(LEFT($B178&amp;"",1),9)))),"Dependent SSN, ","")&amp;IF(OR($C178="",LEN($C178)&gt;19,AND($C178&lt;&gt;"",SUMPRODUCT(--(ROW($1:$19)&lt;=LEN($C178&amp;"")),--ISERROR(FIND(MID($C178&amp;"",ROW($1:$19),1),"ABCDEFGHIJKLMNOPQRSTUVWXYZabcdefghijklmnopqrstuvwxyz .,")))&gt;0)),"First Name, ","")&amp;IF(OR($D178="",LEN($D178)&gt;26,AND($D178&lt;&gt;"",SUMPRODUCT(--(ROW($1:$26)&lt;=LEN($D178&amp;"")),--ISERROR(FIND(MID($D178&amp;"",ROW($1:$26),1),"ABCDEFGHIJKLMNOPQRSTUVWXYZabcdefghijklmnopqrstuvwxyz .,")))&gt;0)),"Last Name, ","")&amp;IF(OR(LEN($E178)&gt;1,AND($E178&lt;&gt;"",SUMPRODUCT(--(ROW($1:$1)&lt;=LEN($E178&amp;"")),--ISERROR(FIND(MID($E178&amp;"",ROW($1:$1),1),"ABCDEFGHIJKLMNOPQRSTUVWXYZabcdefghijklmnopqrstuvwxyz .,")))&gt;0)),"Middle Initial, ","")&amp;IF(OR($F178="",LEN($F178)&gt;75),"Address, ","")&amp;IF(OR($H178="",LEN($H178)&gt;30),"City, ","")&amp;IF(AND($K178="US",OR($I178="",LEN($I178)&lt;&gt;2)),"State, ","")&amp;IF($J178="","ZIP, ","")&amp;IF(OR($K178="",AND($K178&lt;&gt;"US",$K178&lt;&gt;"CA")),"Country, ","")&amp;IF(OR($L178="",AND($L178&lt;&gt;"",OR(NOT(ISNUMBER($L178)),$L178&lt;=DATE(1900,1,1),$L178&gt;TODAY()))),"Birthdate, ","")&amp;IF(AND($N178&lt;&gt;"",NOT(IFERROR(AND(ISNUMBER(SEARCH("@",$N178)),ISNUMBER(SEARCH(".",$N178,SEARCH("@",$N178)+2))),FALSE))),"Email, ","")&amp;IF(OR(AND($B178&lt;&gt;"",$O178=""),AND($O178&lt;&gt;"",$O178&lt;&gt;"Spouse or Common Law Spouse",$O178&lt;&gt;"Domestic Partner",$O178&lt;&gt;"Child",$O178&lt;&gt;"Other",$O178&lt;&gt;"Estate",$O178&lt;&gt;"Unknown")),"Dependent Relationship, ","")&amp;IF($AA178&lt;&gt;"","Household, ","")&amp;IF(OR($P178="",AND($P178&lt;&gt;"",OR(NOT(ISNUMBER($P178)),$P178&lt;=DATE(1900,1,1)))),"Eligibility Date, ","")&amp;IF(OR(AND($R178="Terminated",$Q178=""),AND($Q178&lt;&gt;"",OR(NOT(ISNUMBER($Q178)),$Q178&lt;=DATE(1900,1,1))),AND(ISNUMBER($P178),ISNUMBER($Q178),$Q178&lt;$P178)),"Termination Date, ","")&amp;IF(OR($R178="",AND($R178&lt;&gt;"Active",$R178&lt;&gt;"Terminated"),AND('START HERE'!$C$8="Terminations Only",$R178&lt;&gt;"Terminated")),"Status, ","")&amp;IF($S178="","Plan Name, ","")&amp;IF($T178="","Coverage Level, ","")&amp;IF(AND($U178&lt;&gt;"",OR(NOT(ISNUMBER($U178)),$U178&lt;0)),"Funding, ","")&amp;IF(AND($A178&lt;&gt;"",$S178&lt;&gt;"",COUNTIFS($A$2:$A$501,$A178,$B$2:$B$501,$B178,$S$2:$S$501,$S178)&gt;1),"Duplicate Row, ",""))</f>
        <v/>
      </c>
      <c r="AF178">
        <f>IF(COUNTA($A178:$U178)=0,"",$Y178&amp;$Z178&amp;$AA178&amp;$AB178&amp;$AC178)</f>
        <v/>
      </c>
      <c r="AG178">
        <f>IF($N178="","",LOWER(TRIM($N178)))</f>
        <v/>
      </c>
      <c r="AH178">
        <f>IF($A178="","",COUNTIFS($A$2:$A$501,$A178,$AI$2:$AI$501,1))</f>
        <v/>
      </c>
      <c r="AI178">
        <f>IF(COUNTA($A178:$U178)=0,"",--($AF178&lt;&gt;""))</f>
        <v/>
      </c>
      <c r="AJ178">
        <f>IF(COUNTA($A178:$U178)=0,"",--($AD178&lt;&gt;""))</f>
        <v/>
      </c>
    </row>
    <row r="179" ht="20" customHeight="1">
      <c r="A179" s="80" t="n"/>
      <c r="B179" s="80" t="n"/>
      <c r="C179" s="81" t="n"/>
      <c r="D179" s="81" t="n"/>
      <c r="E179" s="80" t="n"/>
      <c r="F179" s="81" t="n"/>
      <c r="G179" s="81" t="n"/>
      <c r="H179" s="81" t="n"/>
      <c r="I179" s="80" t="n"/>
      <c r="J179" s="80" t="n"/>
      <c r="K179" s="80" t="n"/>
      <c r="L179" s="82" t="n"/>
      <c r="M179" s="80" t="n"/>
      <c r="N179" s="80" t="n"/>
      <c r="O179" s="80" t="n"/>
      <c r="P179" s="82" t="n"/>
      <c r="Q179" s="82" t="n"/>
      <c r="R179" s="80" t="n"/>
      <c r="S179" s="80" t="n"/>
      <c r="T179" s="80" t="n"/>
      <c r="U179" s="83" t="n"/>
      <c r="V179">
        <f>IF($A179="","",IF($A179=$A178,$V178,IF($V178="",0,1-$V178)))</f>
        <v/>
      </c>
      <c r="W179">
        <f>IF($B179&lt;&gt;"",$B179,$A179)</f>
        <v/>
      </c>
      <c r="X179">
        <f>IF(COUNTA($A179:$U179)=0,"",IF(OR($B179&lt;&gt;"",$O179&lt;&gt;""),"Dependent","Employee"))</f>
        <v/>
      </c>
      <c r="Y179">
        <f>IF(COUNTA($A179:$U179)=0,"",IF($A179="","Employee SSN is required; ","")&amp;IF($C179="","First Name is required; ","")&amp;IF(LEN($C179&amp;"")&gt;19,"First Name exceeds 19 characters; ","")&amp;IF(AND($C179&lt;&gt;"",SUMPRODUCT(--(ROW($1:$19)&lt;=LEN($C179&amp;"")),--ISERROR(FIND(MID($C179&amp;"",ROW($1:$19),1),"ABCDEFGHIJKLMNOPQRSTUVWXYZabcdefghijklmnopqrstuvwxyz .,")))&gt;0),"First Name contains unsupported or encoded characters; use plain A-Z letters only; ","")&amp;IF($D179="","Last Name is required; ","")&amp;IF(LEN($D179&amp;"")&gt;26,"Last Name exceeds 26 characters; ","")&amp;IF(AND($D179&lt;&gt;"",SUMPRODUCT(--(ROW($1:$26)&lt;=LEN($D179&amp;"")),--ISERROR(FIND(MID($D179&amp;"",ROW($1:$26),1),"ABCDEFGHIJKLMNOPQRSTUVWXYZabcdefghijklmnopqrstuvwxyz .,")))&gt;0),"Last Name contains unsupported or encoded characters; use plain A-Z letters only; ","")&amp;IF(LEN($E179&amp;"")&gt;1,"Middle Initial may contain only one character; ","")&amp;IF(AND($E179&lt;&gt;"",SUMPRODUCT(--(ROW($1:$1)&lt;=LEN($E179&amp;"")),--ISERROR(FIND(MID($E179&amp;"",ROW($1:$1),1),"ABCDEFGHIJKLMNOPQRSTUVWXYZabcdefghijklmnopqrstuvwxyz .,")))&gt;0),"Middle Initial must be a plain A-Z letter; ","")&amp;IF($F179="","Address is required; ","")&amp;IF(LEN($F179&amp;"")&gt;75,"Address exceeds 75 characters; ","")&amp;IF(LEN($G179&amp;"")&gt;75,"Address 2 exceeds 75 characters; ","")&amp;IF($H179="","City is required; ","")&amp;IF(LEN($H179&amp;"")&gt;30,"City exceeds 30 characters; ","")&amp;IF($K179="","Country is required; ","")&amp;IF(AND($K179&lt;&gt;"",$K179&lt;&gt;"US",$K179&lt;&gt;"CA"),"Country must be US or CA; ","")&amp;IF(AND($K179="US",OR($I179="",LEN($I179&amp;"")&lt;&gt;2)),"Use a 2-letter state code; ","")&amp;IF($J179="","ZIP or postal code is required; ","")&amp;IF(AND($K179="US",$J179&lt;&gt;"",NOT(IFERROR(OR(AND(LEN($J179&amp;"")=5,ISNUMBER(--($J179&amp;""))),AND(LEN($J179&amp;"")=9,ISNUMBER(--($J179&amp;""))),AND(LEN($J179&amp;"")=10,MID($J179&amp;"",6,1)="-",ISNUMBER(--SUBSTITUTE($J179&amp;"","-","")))),FALSE))),"US ZIP must be 5 or 9 digits, with an optional ZIP+4 hyphen; ","")&amp;IF(AND($N179&lt;&gt;"",NOT(IFERROR(AND(ISNUMBER(SEARCH("@",$N179)),ISNUMBER(SEARCH(".",$N179,SEARCH("@",$N179)+2))),FALSE))),"Email format appears invalid; ","")&amp;IF(AND($O179&lt;&gt;"",$B179=""),"Dependent SSN is required for every dependent; ","")&amp;IF(AND($B179&lt;&gt;"",$O179=""),"Dependent Relationship is required when Dependent SSN is entered; ","")&amp;IF(AND($O179&lt;&gt;"",$O179&lt;&gt;"Spouse or Common Law Spouse",$O179&lt;&gt;"Domestic Partner",$O179&lt;&gt;"Child",$O179&lt;&gt;"Other",$O179&lt;&gt;"Estate",$O179&lt;&gt;"Unknown"),"Dependent Relationship must use one of the approved options; ",""))</f>
        <v/>
      </c>
      <c r="Z179">
        <f>IF(COUNTA($A179:$U179)=0,"",IF(AND($A179&lt;&gt;"",NOT(IFERROR(AND(LEN($A179&amp;"")=9,ISNUMBER(--($A179&amp;""))),FALSE))),"Employee SSN must contain exactly 9 digits; ","")&amp;IF(AND($A179&lt;&gt;"",OR($A179="123456789",$A179="987654321",$A179="012345678",$A179=REPT(LEFT($A179&amp;"",1),9))),"Employee SSN appears to be a placeholder; ","")&amp;IF(AND($B179&lt;&gt;"",NOT(IFERROR(AND(LEN($B179&amp;"")=9,ISNUMBER(--($B179&amp;""))),FALSE))),"Dependent SSN must contain exactly 9 digits; ","")&amp;IF(AND($B179&lt;&gt;"",OR($B179="123456789",$B179="987654321",$B179="012345678",$B179=REPT(LEFT($B179&amp;"",1),9))),"Dependent SSN appears to be a placeholder; ","")&amp;IF(AND($A179&lt;&gt;"",$B179&lt;&gt;"",$A179&amp;""=$B179&amp;""),"Dependent SSN cannot match Employee SSN; ","")&amp;IF(AND($W179&lt;&gt;"",OR(COUNTIFS($W$2:$W$501,$W179,$C$2:$C$501,"&lt;&gt;"&amp;$C179)&gt;0,COUNTIFS($W$2:$W$501,$W179,$D$2:$D$501,"&lt;&gt;"&amp;$D179)&gt;0,COUNTIFS($W$2:$W$501,$W179,$L$2:$L$501,"&lt;&gt;"&amp;$L179)&gt;0)),"The same SSN is associated with a different name or birthdate; ",""))</f>
        <v/>
      </c>
      <c r="AA179">
        <f>IF(COUNTA($A179:$U179)=0,"",IF(AND($A179&lt;&gt;"",$S179&lt;&gt;"",COUNTIFS($A$2:$A$501,$A179,$S$2:$S$501,$S179,$B$2:$B$501,"",$O$2:$O$501,"")=0),"Add an employee row for this household and plan; ","")&amp;IF(AND($X179="Dependent",COUNTIFS($A$2:$A179,$A179,$S$2:$S179,$S179,$B$2:$B179,"",$O$2:$O179,"")=0),"Place the employee row before dependent rows for this plan; ","")&amp;IF(AND($X179="Dependent",COUNTIFS($A$2:$A$501,$A179,$S$2:$S$501,$S179,$B$2:$B$501,"",$O$2:$O$501,"")&gt;0,IFERROR(OR($P179&lt;&gt;LOOKUP(2,1/(($A$2:$A$501=$A179)*($S$2:$S$501=$S179)*($B$2:$B$501="")*($O$2:$O$501="")),$P$2:$P$501),$Q179&lt;&gt;LOOKUP(2,1/(($A$2:$A$501=$A179)*($S$2:$S$501=$S179)*($B$2:$B$501="")*($O$2:$O$501="")),$Q$2:$Q$501),$R179&lt;&gt;LOOKUP(2,1/(($A$2:$A$501=$A179)*($S$2:$S$501=$S179)*($B$2:$B$501="")*($O$2:$O$501="")),$R$2:$R$501),$T179&lt;&gt;LOOKUP(2,1/(($A$2:$A$501=$A179)*($S$2:$S$501=$S179)*($B$2:$B$501="")*($O$2:$O$501="")),$T$2:$T$501),$U179&lt;&gt;LOOKUP(2,1/(($A$2:$A$501=$A179)*($S$2:$S$501=$S179)*($B$2:$B$501="")*($O$2:$O$501="")),$U$2:$U$501)),FALSE)),"Dependent row does not match the employee row for eligibility, status, coverage level, or funding; ",""))</f>
        <v/>
      </c>
      <c r="AB179">
        <f>IF(COUNTA($A179:$U179)=0,"",IF($L179="","Birthdate is required; ","")&amp;IF(AND($L179&lt;&gt;"",OR(NOT(ISNUMBER($L179)),$L179&lt;=DATE(1900,1,1),$L179&gt;TODAY())),"Birthdate must be an exact valid past date; ","")&amp;IF($P179="","Eligibility Date is required; ","")&amp;IF(AND($P179&lt;&gt;"",OR(NOT(ISNUMBER($P179)),$P179&lt;=DATE(1900,1,1))),"Eligibility Date must be a valid date; ","")&amp;IF(AND($R179="Terminated",$Q179=""),"Termination Date is required when Status is Terminated; ","")&amp;IF(AND($Q179&lt;&gt;"",OR(NOT(ISNUMBER($Q179)),$Q179&lt;=DATE(1900,1,1))),"Termination Date must be a valid date; ","")&amp;IF(AND(ISNUMBER($P179),ISNUMBER($Q179),$Q179&lt;$P179),"Termination Date cannot be before Eligibility Date; ","")&amp;IF($R179="","Status is required; ","")&amp;IF(AND($R179&lt;&gt;"",$R179&lt;&gt;"Active",$R179&lt;&gt;"Terminated"),"Status must be Active or Terminated; ","")&amp;IF(AND('START HERE'!$C$8="Terminations Only",$R179&lt;&gt;"Terminated"),"Terminations Only files must contain terminated records; ",""))</f>
        <v/>
      </c>
      <c r="AC179">
        <f>IF(COUNTA($A179:$U179)=0,"",IF($S179="","Plan Name is required; ","")&amp;IF($T179="","Benefit Coverage Level is required; ","")&amp;IF(AND($U179&lt;&gt;"",OR(NOT(ISNUMBER($U179)),$U179&lt;0)),"Plan Funding Amount must be a nonnegative number; ","")&amp;IF(AND($A179&lt;&gt;"",$S179&lt;&gt;"",COUNTIFS($A$2:$A$501,$A179,$B$2:$B$501,$B179,$S$2:$S$501,$S179)&gt;1),"Duplicate participant and plan row; ",""))</f>
        <v/>
      </c>
      <c r="AD179">
        <f>IF(COUNTA($A179:$U179)=0,"",IF(AND($X179="Employee",$M179="",$N179=""),"No employee phone or email provided; ","")&amp;IF(AND($R179="Active",$Q179&lt;&gt;""),"Active record includes a Termination Date; confirm this is intentional; ","")&amp;IF(AND($B179&lt;&gt;"",$B179&amp;""&lt;&gt;$A179&amp;"",COUNTIF($A$2:$A$501,$B179)&gt;0),"Dependent SSN also appears as an Employee SSN elsewhere; confirm dual-employee coverage is intentional; ","")&amp;IF(AND($B179&lt;&gt;"",COUNTIF($B$2:$B$501,$B179)&gt;COUNTIFS($A$2:$A$501,$A179,$B$2:$B$501,$B179)),"Dependent SSN appears under more than one employee; confirm duplicate family coverage is intentional; ","")&amp;IF(AND(ROW()&gt;2,$A179&lt;&gt;"",$A179&lt;&gt;$A178,COUNTIF($A$2:$A178,$A179)&gt;0),"This household appears in more than one section of the census; keep the family together; ","")&amp;IF(OR(AND($C179&lt;&gt;"",LEN($C179&amp;"")&lt;&gt;LEN(TRIM($C179&amp;""))),AND($D179&lt;&gt;"",LEN($D179&amp;"")&lt;&gt;LEN(TRIM($D179&amp;""))),AND($E179&lt;&gt;"",LEN($E179&amp;"")&lt;&gt;LEN(TRIM($E179&amp;""))),AND($F179&lt;&gt;"",LEN($F179&amp;"")&lt;&gt;LEN(TRIM($F179&amp;""))),AND($G179&lt;&gt;"",LEN($G179&amp;"")&lt;&gt;LEN(TRIM($G179&amp;""))),AND($H179&lt;&gt;"",LEN($H179&amp;"")&lt;&gt;LEN(TRIM($H179&amp;""))),AND($I179&lt;&gt;"",LEN($I179&amp;"")&lt;&gt;LEN(TRIM($I179&amp;""))),AND($J179&lt;&gt;"",LEN($J179&amp;"")&lt;&gt;LEN(TRIM($J179&amp;""))),AND($K179&lt;&gt;"",LEN($K179&amp;"")&lt;&gt;LEN(TRIM($K179&amp;""))),AND($M179&lt;&gt;"",LEN($M179&amp;"")&lt;&gt;LEN(TRIM($M179&amp;""))),AND($N179&lt;&gt;"",LEN($N179&amp;"")&lt;&gt;LEN(TRIM($N179&amp;""))),AND($O179&lt;&gt;"",LEN($O179&amp;"")&lt;&gt;LEN(TRIM($O179&amp;""))),AND($R179&lt;&gt;"",LEN($R179&amp;"")&lt;&gt;LEN(TRIM($R179&amp;""))),AND($S179&lt;&gt;"",LEN($S179&amp;"")&lt;&gt;LEN(TRIM($S179&amp;""))),AND($T179&lt;&gt;"",LEN($T179&amp;"")&lt;&gt;LEN(TRIM($T179&amp;"")))),"Remove leading or trailing spaces from text fields; ","")&amp;IF(OR(AND(LEN($C179)&gt;1,OR(EXACT($C179,UPPER($C179)),EXACT($C179,LOWER($C179)))),AND(LEN($D179)&gt;1,OR(EXACT($D179,UPPER($D179)),EXACT($D179,LOWER($D179)))),AND(LEN($H179)&gt;1,OR(EXACT($H179,UPPER($H179)),EXACT($H179,LOWER($H179))))),"Review capitalization in First Name, Last Name, or City; ","")&amp;IF(AND($N179&lt;&gt;"",NOT(EXACT($N179,LOWER($N179)))),"Email will be standardized to lowercase in the clean output; ","")&amp;IF(AND(OR('START HERE'!$C$8="Initial Enrollment",'START HERE'!$C$8="Open Enrollment"),$R179="Terminated"),"A terminated row is included in an initial or open enrollment file; confirm this is intentional; ",""))</f>
        <v/>
      </c>
      <c r="AE179">
        <f>IF(COUNTA($A179:$U179)=0,"",IF(OR($A179="",AND($A179&lt;&gt;"",NOT(IFERROR(AND(LEN($A179&amp;"")=9,ISNUMBER(--($A179&amp;""))),FALSE))),AND($A179&lt;&gt;"",OR($A179="123456789",$A179="987654321",$A179="012345678",$A179=REPT(LEFT($A179&amp;"",1),9)))),"Employee SSN, ","")&amp;IF(OR(AND($O179&lt;&gt;"",$B179=""),AND($B179&lt;&gt;"",OR(NOT(IFERROR(AND(LEN($B179&amp;"")=9,ISNUMBER(--($B179&amp;""))),FALSE)),$B179=$A179,$B179="123456789",$B179="987654321",$B179="012345678",$B179=REPT(LEFT($B179&amp;"",1),9)))),"Dependent SSN, ","")&amp;IF(OR($C179="",LEN($C179)&gt;19,AND($C179&lt;&gt;"",SUMPRODUCT(--(ROW($1:$19)&lt;=LEN($C179&amp;"")),--ISERROR(FIND(MID($C179&amp;"",ROW($1:$19),1),"ABCDEFGHIJKLMNOPQRSTUVWXYZabcdefghijklmnopqrstuvwxyz .,")))&gt;0)),"First Name, ","")&amp;IF(OR($D179="",LEN($D179)&gt;26,AND($D179&lt;&gt;"",SUMPRODUCT(--(ROW($1:$26)&lt;=LEN($D179&amp;"")),--ISERROR(FIND(MID($D179&amp;"",ROW($1:$26),1),"ABCDEFGHIJKLMNOPQRSTUVWXYZabcdefghijklmnopqrstuvwxyz .,")))&gt;0)),"Last Name, ","")&amp;IF(OR(LEN($E179)&gt;1,AND($E179&lt;&gt;"",SUMPRODUCT(--(ROW($1:$1)&lt;=LEN($E179&amp;"")),--ISERROR(FIND(MID($E179&amp;"",ROW($1:$1),1),"ABCDEFGHIJKLMNOPQRSTUVWXYZabcdefghijklmnopqrstuvwxyz .,")))&gt;0)),"Middle Initial, ","")&amp;IF(OR($F179="",LEN($F179)&gt;75),"Address, ","")&amp;IF(OR($H179="",LEN($H179)&gt;30),"City, ","")&amp;IF(AND($K179="US",OR($I179="",LEN($I179)&lt;&gt;2)),"State, ","")&amp;IF($J179="","ZIP, ","")&amp;IF(OR($K179="",AND($K179&lt;&gt;"US",$K179&lt;&gt;"CA")),"Country, ","")&amp;IF(OR($L179="",AND($L179&lt;&gt;"",OR(NOT(ISNUMBER($L179)),$L179&lt;=DATE(1900,1,1),$L179&gt;TODAY()))),"Birthdate, ","")&amp;IF(AND($N179&lt;&gt;"",NOT(IFERROR(AND(ISNUMBER(SEARCH("@",$N179)),ISNUMBER(SEARCH(".",$N179,SEARCH("@",$N179)+2))),FALSE))),"Email, ","")&amp;IF(OR(AND($B179&lt;&gt;"",$O179=""),AND($O179&lt;&gt;"",$O179&lt;&gt;"Spouse or Common Law Spouse",$O179&lt;&gt;"Domestic Partner",$O179&lt;&gt;"Child",$O179&lt;&gt;"Other",$O179&lt;&gt;"Estate",$O179&lt;&gt;"Unknown")),"Dependent Relationship, ","")&amp;IF($AA179&lt;&gt;"","Household, ","")&amp;IF(OR($P179="",AND($P179&lt;&gt;"",OR(NOT(ISNUMBER($P179)),$P179&lt;=DATE(1900,1,1)))),"Eligibility Date, ","")&amp;IF(OR(AND($R179="Terminated",$Q179=""),AND($Q179&lt;&gt;"",OR(NOT(ISNUMBER($Q179)),$Q179&lt;=DATE(1900,1,1))),AND(ISNUMBER($P179),ISNUMBER($Q179),$Q179&lt;$P179)),"Termination Date, ","")&amp;IF(OR($R179="",AND($R179&lt;&gt;"Active",$R179&lt;&gt;"Terminated"),AND('START HERE'!$C$8="Terminations Only",$R179&lt;&gt;"Terminated")),"Status, ","")&amp;IF($S179="","Plan Name, ","")&amp;IF($T179="","Coverage Level, ","")&amp;IF(AND($U179&lt;&gt;"",OR(NOT(ISNUMBER($U179)),$U179&lt;0)),"Funding, ","")&amp;IF(AND($A179&lt;&gt;"",$S179&lt;&gt;"",COUNTIFS($A$2:$A$501,$A179,$B$2:$B$501,$B179,$S$2:$S$501,$S179)&gt;1),"Duplicate Row, ",""))</f>
        <v/>
      </c>
      <c r="AF179">
        <f>IF(COUNTA($A179:$U179)=0,"",$Y179&amp;$Z179&amp;$AA179&amp;$AB179&amp;$AC179)</f>
        <v/>
      </c>
      <c r="AG179">
        <f>IF($N179="","",LOWER(TRIM($N179)))</f>
        <v/>
      </c>
      <c r="AH179">
        <f>IF($A179="","",COUNTIFS($A$2:$A$501,$A179,$AI$2:$AI$501,1))</f>
        <v/>
      </c>
      <c r="AI179">
        <f>IF(COUNTA($A179:$U179)=0,"",--($AF179&lt;&gt;""))</f>
        <v/>
      </c>
      <c r="AJ179">
        <f>IF(COUNTA($A179:$U179)=0,"",--($AD179&lt;&gt;""))</f>
        <v/>
      </c>
    </row>
    <row r="180" ht="20" customHeight="1">
      <c r="A180" s="80" t="n"/>
      <c r="B180" s="80" t="n"/>
      <c r="C180" s="81" t="n"/>
      <c r="D180" s="81" t="n"/>
      <c r="E180" s="80" t="n"/>
      <c r="F180" s="81" t="n"/>
      <c r="G180" s="81" t="n"/>
      <c r="H180" s="81" t="n"/>
      <c r="I180" s="80" t="n"/>
      <c r="J180" s="80" t="n"/>
      <c r="K180" s="80" t="n"/>
      <c r="L180" s="82" t="n"/>
      <c r="M180" s="80" t="n"/>
      <c r="N180" s="80" t="n"/>
      <c r="O180" s="80" t="n"/>
      <c r="P180" s="82" t="n"/>
      <c r="Q180" s="82" t="n"/>
      <c r="R180" s="80" t="n"/>
      <c r="S180" s="80" t="n"/>
      <c r="T180" s="80" t="n"/>
      <c r="U180" s="83" t="n"/>
      <c r="V180">
        <f>IF($A180="","",IF($A180=$A179,$V179,IF($V179="",0,1-$V179)))</f>
        <v/>
      </c>
      <c r="W180">
        <f>IF($B180&lt;&gt;"",$B180,$A180)</f>
        <v/>
      </c>
      <c r="X180">
        <f>IF(COUNTA($A180:$U180)=0,"",IF(OR($B180&lt;&gt;"",$O180&lt;&gt;""),"Dependent","Employee"))</f>
        <v/>
      </c>
      <c r="Y180">
        <f>IF(COUNTA($A180:$U180)=0,"",IF($A180="","Employee SSN is required; ","")&amp;IF($C180="","First Name is required; ","")&amp;IF(LEN($C180&amp;"")&gt;19,"First Name exceeds 19 characters; ","")&amp;IF(AND($C180&lt;&gt;"",SUMPRODUCT(--(ROW($1:$19)&lt;=LEN($C180&amp;"")),--ISERROR(FIND(MID($C180&amp;"",ROW($1:$19),1),"ABCDEFGHIJKLMNOPQRSTUVWXYZabcdefghijklmnopqrstuvwxyz .,")))&gt;0),"First Name contains unsupported or encoded characters; use plain A-Z letters only; ","")&amp;IF($D180="","Last Name is required; ","")&amp;IF(LEN($D180&amp;"")&gt;26,"Last Name exceeds 26 characters; ","")&amp;IF(AND($D180&lt;&gt;"",SUMPRODUCT(--(ROW($1:$26)&lt;=LEN($D180&amp;"")),--ISERROR(FIND(MID($D180&amp;"",ROW($1:$26),1),"ABCDEFGHIJKLMNOPQRSTUVWXYZabcdefghijklmnopqrstuvwxyz .,")))&gt;0),"Last Name contains unsupported or encoded characters; use plain A-Z letters only; ","")&amp;IF(LEN($E180&amp;"")&gt;1,"Middle Initial may contain only one character; ","")&amp;IF(AND($E180&lt;&gt;"",SUMPRODUCT(--(ROW($1:$1)&lt;=LEN($E180&amp;"")),--ISERROR(FIND(MID($E180&amp;"",ROW($1:$1),1),"ABCDEFGHIJKLMNOPQRSTUVWXYZabcdefghijklmnopqrstuvwxyz .,")))&gt;0),"Middle Initial must be a plain A-Z letter; ","")&amp;IF($F180="","Address is required; ","")&amp;IF(LEN($F180&amp;"")&gt;75,"Address exceeds 75 characters; ","")&amp;IF(LEN($G180&amp;"")&gt;75,"Address 2 exceeds 75 characters; ","")&amp;IF($H180="","City is required; ","")&amp;IF(LEN($H180&amp;"")&gt;30,"City exceeds 30 characters; ","")&amp;IF($K180="","Country is required; ","")&amp;IF(AND($K180&lt;&gt;"",$K180&lt;&gt;"US",$K180&lt;&gt;"CA"),"Country must be US or CA; ","")&amp;IF(AND($K180="US",OR($I180="",LEN($I180&amp;"")&lt;&gt;2)),"Use a 2-letter state code; ","")&amp;IF($J180="","ZIP or postal code is required; ","")&amp;IF(AND($K180="US",$J180&lt;&gt;"",NOT(IFERROR(OR(AND(LEN($J180&amp;"")=5,ISNUMBER(--($J180&amp;""))),AND(LEN($J180&amp;"")=9,ISNUMBER(--($J180&amp;""))),AND(LEN($J180&amp;"")=10,MID($J180&amp;"",6,1)="-",ISNUMBER(--SUBSTITUTE($J180&amp;"","-","")))),FALSE))),"US ZIP must be 5 or 9 digits, with an optional ZIP+4 hyphen; ","")&amp;IF(AND($N180&lt;&gt;"",NOT(IFERROR(AND(ISNUMBER(SEARCH("@",$N180)),ISNUMBER(SEARCH(".",$N180,SEARCH("@",$N180)+2))),FALSE))),"Email format appears invalid; ","")&amp;IF(AND($O180&lt;&gt;"",$B180=""),"Dependent SSN is required for every dependent; ","")&amp;IF(AND($B180&lt;&gt;"",$O180=""),"Dependent Relationship is required when Dependent SSN is entered; ","")&amp;IF(AND($O180&lt;&gt;"",$O180&lt;&gt;"Spouse or Common Law Spouse",$O180&lt;&gt;"Domestic Partner",$O180&lt;&gt;"Child",$O180&lt;&gt;"Other",$O180&lt;&gt;"Estate",$O180&lt;&gt;"Unknown"),"Dependent Relationship must use one of the approved options; ",""))</f>
        <v/>
      </c>
      <c r="Z180">
        <f>IF(COUNTA($A180:$U180)=0,"",IF(AND($A180&lt;&gt;"",NOT(IFERROR(AND(LEN($A180&amp;"")=9,ISNUMBER(--($A180&amp;""))),FALSE))),"Employee SSN must contain exactly 9 digits; ","")&amp;IF(AND($A180&lt;&gt;"",OR($A180="123456789",$A180="987654321",$A180="012345678",$A180=REPT(LEFT($A180&amp;"",1),9))),"Employee SSN appears to be a placeholder; ","")&amp;IF(AND($B180&lt;&gt;"",NOT(IFERROR(AND(LEN($B180&amp;"")=9,ISNUMBER(--($B180&amp;""))),FALSE))),"Dependent SSN must contain exactly 9 digits; ","")&amp;IF(AND($B180&lt;&gt;"",OR($B180="123456789",$B180="987654321",$B180="012345678",$B180=REPT(LEFT($B180&amp;"",1),9))),"Dependent SSN appears to be a placeholder; ","")&amp;IF(AND($A180&lt;&gt;"",$B180&lt;&gt;"",$A180&amp;""=$B180&amp;""),"Dependent SSN cannot match Employee SSN; ","")&amp;IF(AND($W180&lt;&gt;"",OR(COUNTIFS($W$2:$W$501,$W180,$C$2:$C$501,"&lt;&gt;"&amp;$C180)&gt;0,COUNTIFS($W$2:$W$501,$W180,$D$2:$D$501,"&lt;&gt;"&amp;$D180)&gt;0,COUNTIFS($W$2:$W$501,$W180,$L$2:$L$501,"&lt;&gt;"&amp;$L180)&gt;0)),"The same SSN is associated with a different name or birthdate; ",""))</f>
        <v/>
      </c>
      <c r="AA180">
        <f>IF(COUNTA($A180:$U180)=0,"",IF(AND($A180&lt;&gt;"",$S180&lt;&gt;"",COUNTIFS($A$2:$A$501,$A180,$S$2:$S$501,$S180,$B$2:$B$501,"",$O$2:$O$501,"")=0),"Add an employee row for this household and plan; ","")&amp;IF(AND($X180="Dependent",COUNTIFS($A$2:$A180,$A180,$S$2:$S180,$S180,$B$2:$B180,"",$O$2:$O180,"")=0),"Place the employee row before dependent rows for this plan; ","")&amp;IF(AND($X180="Dependent",COUNTIFS($A$2:$A$501,$A180,$S$2:$S$501,$S180,$B$2:$B$501,"",$O$2:$O$501,"")&gt;0,IFERROR(OR($P180&lt;&gt;LOOKUP(2,1/(($A$2:$A$501=$A180)*($S$2:$S$501=$S180)*($B$2:$B$501="")*($O$2:$O$501="")),$P$2:$P$501),$Q180&lt;&gt;LOOKUP(2,1/(($A$2:$A$501=$A180)*($S$2:$S$501=$S180)*($B$2:$B$501="")*($O$2:$O$501="")),$Q$2:$Q$501),$R180&lt;&gt;LOOKUP(2,1/(($A$2:$A$501=$A180)*($S$2:$S$501=$S180)*($B$2:$B$501="")*($O$2:$O$501="")),$R$2:$R$501),$T180&lt;&gt;LOOKUP(2,1/(($A$2:$A$501=$A180)*($S$2:$S$501=$S180)*($B$2:$B$501="")*($O$2:$O$501="")),$T$2:$T$501),$U180&lt;&gt;LOOKUP(2,1/(($A$2:$A$501=$A180)*($S$2:$S$501=$S180)*($B$2:$B$501="")*($O$2:$O$501="")),$U$2:$U$501)),FALSE)),"Dependent row does not match the employee row for eligibility, status, coverage level, or funding; ",""))</f>
        <v/>
      </c>
      <c r="AB180">
        <f>IF(COUNTA($A180:$U180)=0,"",IF($L180="","Birthdate is required; ","")&amp;IF(AND($L180&lt;&gt;"",OR(NOT(ISNUMBER($L180)),$L180&lt;=DATE(1900,1,1),$L180&gt;TODAY())),"Birthdate must be an exact valid past date; ","")&amp;IF($P180="","Eligibility Date is required; ","")&amp;IF(AND($P180&lt;&gt;"",OR(NOT(ISNUMBER($P180)),$P180&lt;=DATE(1900,1,1))),"Eligibility Date must be a valid date; ","")&amp;IF(AND($R180="Terminated",$Q180=""),"Termination Date is required when Status is Terminated; ","")&amp;IF(AND($Q180&lt;&gt;"",OR(NOT(ISNUMBER($Q180)),$Q180&lt;=DATE(1900,1,1))),"Termination Date must be a valid date; ","")&amp;IF(AND(ISNUMBER($P180),ISNUMBER($Q180),$Q180&lt;$P180),"Termination Date cannot be before Eligibility Date; ","")&amp;IF($R180="","Status is required; ","")&amp;IF(AND($R180&lt;&gt;"",$R180&lt;&gt;"Active",$R180&lt;&gt;"Terminated"),"Status must be Active or Terminated; ","")&amp;IF(AND('START HERE'!$C$8="Terminations Only",$R180&lt;&gt;"Terminated"),"Terminations Only files must contain terminated records; ",""))</f>
        <v/>
      </c>
      <c r="AC180">
        <f>IF(COUNTA($A180:$U180)=0,"",IF($S180="","Plan Name is required; ","")&amp;IF($T180="","Benefit Coverage Level is required; ","")&amp;IF(AND($U180&lt;&gt;"",OR(NOT(ISNUMBER($U180)),$U180&lt;0)),"Plan Funding Amount must be a nonnegative number; ","")&amp;IF(AND($A180&lt;&gt;"",$S180&lt;&gt;"",COUNTIFS($A$2:$A$501,$A180,$B$2:$B$501,$B180,$S$2:$S$501,$S180)&gt;1),"Duplicate participant and plan row; ",""))</f>
        <v/>
      </c>
      <c r="AD180">
        <f>IF(COUNTA($A180:$U180)=0,"",IF(AND($X180="Employee",$M180="",$N180=""),"No employee phone or email provided; ","")&amp;IF(AND($R180="Active",$Q180&lt;&gt;""),"Active record includes a Termination Date; confirm this is intentional; ","")&amp;IF(AND($B180&lt;&gt;"",$B180&amp;""&lt;&gt;$A180&amp;"",COUNTIF($A$2:$A$501,$B180)&gt;0),"Dependent SSN also appears as an Employee SSN elsewhere; confirm dual-employee coverage is intentional; ","")&amp;IF(AND($B180&lt;&gt;"",COUNTIF($B$2:$B$501,$B180)&gt;COUNTIFS($A$2:$A$501,$A180,$B$2:$B$501,$B180)),"Dependent SSN appears under more than one employee; confirm duplicate family coverage is intentional; ","")&amp;IF(AND(ROW()&gt;2,$A180&lt;&gt;"",$A180&lt;&gt;$A179,COUNTIF($A$2:$A179,$A180)&gt;0),"This household appears in more than one section of the census; keep the family together; ","")&amp;IF(OR(AND($C180&lt;&gt;"",LEN($C180&amp;"")&lt;&gt;LEN(TRIM($C180&amp;""))),AND($D180&lt;&gt;"",LEN($D180&amp;"")&lt;&gt;LEN(TRIM($D180&amp;""))),AND($E180&lt;&gt;"",LEN($E180&amp;"")&lt;&gt;LEN(TRIM($E180&amp;""))),AND($F180&lt;&gt;"",LEN($F180&amp;"")&lt;&gt;LEN(TRIM($F180&amp;""))),AND($G180&lt;&gt;"",LEN($G180&amp;"")&lt;&gt;LEN(TRIM($G180&amp;""))),AND($H180&lt;&gt;"",LEN($H180&amp;"")&lt;&gt;LEN(TRIM($H180&amp;""))),AND($I180&lt;&gt;"",LEN($I180&amp;"")&lt;&gt;LEN(TRIM($I180&amp;""))),AND($J180&lt;&gt;"",LEN($J180&amp;"")&lt;&gt;LEN(TRIM($J180&amp;""))),AND($K180&lt;&gt;"",LEN($K180&amp;"")&lt;&gt;LEN(TRIM($K180&amp;""))),AND($M180&lt;&gt;"",LEN($M180&amp;"")&lt;&gt;LEN(TRIM($M180&amp;""))),AND($N180&lt;&gt;"",LEN($N180&amp;"")&lt;&gt;LEN(TRIM($N180&amp;""))),AND($O180&lt;&gt;"",LEN($O180&amp;"")&lt;&gt;LEN(TRIM($O180&amp;""))),AND($R180&lt;&gt;"",LEN($R180&amp;"")&lt;&gt;LEN(TRIM($R180&amp;""))),AND($S180&lt;&gt;"",LEN($S180&amp;"")&lt;&gt;LEN(TRIM($S180&amp;""))),AND($T180&lt;&gt;"",LEN($T180&amp;"")&lt;&gt;LEN(TRIM($T180&amp;"")))),"Remove leading or trailing spaces from text fields; ","")&amp;IF(OR(AND(LEN($C180)&gt;1,OR(EXACT($C180,UPPER($C180)),EXACT($C180,LOWER($C180)))),AND(LEN($D180)&gt;1,OR(EXACT($D180,UPPER($D180)),EXACT($D180,LOWER($D180)))),AND(LEN($H180)&gt;1,OR(EXACT($H180,UPPER($H180)),EXACT($H180,LOWER($H180))))),"Review capitalization in First Name, Last Name, or City; ","")&amp;IF(AND($N180&lt;&gt;"",NOT(EXACT($N180,LOWER($N180)))),"Email will be standardized to lowercase in the clean output; ","")&amp;IF(AND(OR('START HERE'!$C$8="Initial Enrollment",'START HERE'!$C$8="Open Enrollment"),$R180="Terminated"),"A terminated row is included in an initial or open enrollment file; confirm this is intentional; ",""))</f>
        <v/>
      </c>
      <c r="AE180">
        <f>IF(COUNTA($A180:$U180)=0,"",IF(OR($A180="",AND($A180&lt;&gt;"",NOT(IFERROR(AND(LEN($A180&amp;"")=9,ISNUMBER(--($A180&amp;""))),FALSE))),AND($A180&lt;&gt;"",OR($A180="123456789",$A180="987654321",$A180="012345678",$A180=REPT(LEFT($A180&amp;"",1),9)))),"Employee SSN, ","")&amp;IF(OR(AND($O180&lt;&gt;"",$B180=""),AND($B180&lt;&gt;"",OR(NOT(IFERROR(AND(LEN($B180&amp;"")=9,ISNUMBER(--($B180&amp;""))),FALSE)),$B180=$A180,$B180="123456789",$B180="987654321",$B180="012345678",$B180=REPT(LEFT($B180&amp;"",1),9)))),"Dependent SSN, ","")&amp;IF(OR($C180="",LEN($C180)&gt;19,AND($C180&lt;&gt;"",SUMPRODUCT(--(ROW($1:$19)&lt;=LEN($C180&amp;"")),--ISERROR(FIND(MID($C180&amp;"",ROW($1:$19),1),"ABCDEFGHIJKLMNOPQRSTUVWXYZabcdefghijklmnopqrstuvwxyz .,")))&gt;0)),"First Name, ","")&amp;IF(OR($D180="",LEN($D180)&gt;26,AND($D180&lt;&gt;"",SUMPRODUCT(--(ROW($1:$26)&lt;=LEN($D180&amp;"")),--ISERROR(FIND(MID($D180&amp;"",ROW($1:$26),1),"ABCDEFGHIJKLMNOPQRSTUVWXYZabcdefghijklmnopqrstuvwxyz .,")))&gt;0)),"Last Name, ","")&amp;IF(OR(LEN($E180)&gt;1,AND($E180&lt;&gt;"",SUMPRODUCT(--(ROW($1:$1)&lt;=LEN($E180&amp;"")),--ISERROR(FIND(MID($E180&amp;"",ROW($1:$1),1),"ABCDEFGHIJKLMNOPQRSTUVWXYZabcdefghijklmnopqrstuvwxyz .,")))&gt;0)),"Middle Initial, ","")&amp;IF(OR($F180="",LEN($F180)&gt;75),"Address, ","")&amp;IF(OR($H180="",LEN($H180)&gt;30),"City, ","")&amp;IF(AND($K180="US",OR($I180="",LEN($I180)&lt;&gt;2)),"State, ","")&amp;IF($J180="","ZIP, ","")&amp;IF(OR($K180="",AND($K180&lt;&gt;"US",$K180&lt;&gt;"CA")),"Country, ","")&amp;IF(OR($L180="",AND($L180&lt;&gt;"",OR(NOT(ISNUMBER($L180)),$L180&lt;=DATE(1900,1,1),$L180&gt;TODAY()))),"Birthdate, ","")&amp;IF(AND($N180&lt;&gt;"",NOT(IFERROR(AND(ISNUMBER(SEARCH("@",$N180)),ISNUMBER(SEARCH(".",$N180,SEARCH("@",$N180)+2))),FALSE))),"Email, ","")&amp;IF(OR(AND($B180&lt;&gt;"",$O180=""),AND($O180&lt;&gt;"",$O180&lt;&gt;"Spouse or Common Law Spouse",$O180&lt;&gt;"Domestic Partner",$O180&lt;&gt;"Child",$O180&lt;&gt;"Other",$O180&lt;&gt;"Estate",$O180&lt;&gt;"Unknown")),"Dependent Relationship, ","")&amp;IF($AA180&lt;&gt;"","Household, ","")&amp;IF(OR($P180="",AND($P180&lt;&gt;"",OR(NOT(ISNUMBER($P180)),$P180&lt;=DATE(1900,1,1)))),"Eligibility Date, ","")&amp;IF(OR(AND($R180="Terminated",$Q180=""),AND($Q180&lt;&gt;"",OR(NOT(ISNUMBER($Q180)),$Q180&lt;=DATE(1900,1,1))),AND(ISNUMBER($P180),ISNUMBER($Q180),$Q180&lt;$P180)),"Termination Date, ","")&amp;IF(OR($R180="",AND($R180&lt;&gt;"Active",$R180&lt;&gt;"Terminated"),AND('START HERE'!$C$8="Terminations Only",$R180&lt;&gt;"Terminated")),"Status, ","")&amp;IF($S180="","Plan Name, ","")&amp;IF($T180="","Coverage Level, ","")&amp;IF(AND($U180&lt;&gt;"",OR(NOT(ISNUMBER($U180)),$U180&lt;0)),"Funding, ","")&amp;IF(AND($A180&lt;&gt;"",$S180&lt;&gt;"",COUNTIFS($A$2:$A$501,$A180,$B$2:$B$501,$B180,$S$2:$S$501,$S180)&gt;1),"Duplicate Row, ",""))</f>
        <v/>
      </c>
      <c r="AF180">
        <f>IF(COUNTA($A180:$U180)=0,"",$Y180&amp;$Z180&amp;$AA180&amp;$AB180&amp;$AC180)</f>
        <v/>
      </c>
      <c r="AG180">
        <f>IF($N180="","",LOWER(TRIM($N180)))</f>
        <v/>
      </c>
      <c r="AH180">
        <f>IF($A180="","",COUNTIFS($A$2:$A$501,$A180,$AI$2:$AI$501,1))</f>
        <v/>
      </c>
      <c r="AI180">
        <f>IF(COUNTA($A180:$U180)=0,"",--($AF180&lt;&gt;""))</f>
        <v/>
      </c>
      <c r="AJ180">
        <f>IF(COUNTA($A180:$U180)=0,"",--($AD180&lt;&gt;""))</f>
        <v/>
      </c>
    </row>
    <row r="181" ht="20" customHeight="1">
      <c r="A181" s="80" t="n"/>
      <c r="B181" s="80" t="n"/>
      <c r="C181" s="81" t="n"/>
      <c r="D181" s="81" t="n"/>
      <c r="E181" s="80" t="n"/>
      <c r="F181" s="81" t="n"/>
      <c r="G181" s="81" t="n"/>
      <c r="H181" s="81" t="n"/>
      <c r="I181" s="80" t="n"/>
      <c r="J181" s="80" t="n"/>
      <c r="K181" s="80" t="n"/>
      <c r="L181" s="82" t="n"/>
      <c r="M181" s="80" t="n"/>
      <c r="N181" s="80" t="n"/>
      <c r="O181" s="80" t="n"/>
      <c r="P181" s="82" t="n"/>
      <c r="Q181" s="82" t="n"/>
      <c r="R181" s="80" t="n"/>
      <c r="S181" s="80" t="n"/>
      <c r="T181" s="80" t="n"/>
      <c r="U181" s="83" t="n"/>
      <c r="V181">
        <f>IF($A181="","",IF($A181=$A180,$V180,IF($V180="",0,1-$V180)))</f>
        <v/>
      </c>
      <c r="W181">
        <f>IF($B181&lt;&gt;"",$B181,$A181)</f>
        <v/>
      </c>
      <c r="X181">
        <f>IF(COUNTA($A181:$U181)=0,"",IF(OR($B181&lt;&gt;"",$O181&lt;&gt;""),"Dependent","Employee"))</f>
        <v/>
      </c>
      <c r="Y181">
        <f>IF(COUNTA($A181:$U181)=0,"",IF($A181="","Employee SSN is required; ","")&amp;IF($C181="","First Name is required; ","")&amp;IF(LEN($C181&amp;"")&gt;19,"First Name exceeds 19 characters; ","")&amp;IF(AND($C181&lt;&gt;"",SUMPRODUCT(--(ROW($1:$19)&lt;=LEN($C181&amp;"")),--ISERROR(FIND(MID($C181&amp;"",ROW($1:$19),1),"ABCDEFGHIJKLMNOPQRSTUVWXYZabcdefghijklmnopqrstuvwxyz .,")))&gt;0),"First Name contains unsupported or encoded characters; use plain A-Z letters only; ","")&amp;IF($D181="","Last Name is required; ","")&amp;IF(LEN($D181&amp;"")&gt;26,"Last Name exceeds 26 characters; ","")&amp;IF(AND($D181&lt;&gt;"",SUMPRODUCT(--(ROW($1:$26)&lt;=LEN($D181&amp;"")),--ISERROR(FIND(MID($D181&amp;"",ROW($1:$26),1),"ABCDEFGHIJKLMNOPQRSTUVWXYZabcdefghijklmnopqrstuvwxyz .,")))&gt;0),"Last Name contains unsupported or encoded characters; use plain A-Z letters only; ","")&amp;IF(LEN($E181&amp;"")&gt;1,"Middle Initial may contain only one character; ","")&amp;IF(AND($E181&lt;&gt;"",SUMPRODUCT(--(ROW($1:$1)&lt;=LEN($E181&amp;"")),--ISERROR(FIND(MID($E181&amp;"",ROW($1:$1),1),"ABCDEFGHIJKLMNOPQRSTUVWXYZabcdefghijklmnopqrstuvwxyz .,")))&gt;0),"Middle Initial must be a plain A-Z letter; ","")&amp;IF($F181="","Address is required; ","")&amp;IF(LEN($F181&amp;"")&gt;75,"Address exceeds 75 characters; ","")&amp;IF(LEN($G181&amp;"")&gt;75,"Address 2 exceeds 75 characters; ","")&amp;IF($H181="","City is required; ","")&amp;IF(LEN($H181&amp;"")&gt;30,"City exceeds 30 characters; ","")&amp;IF($K181="","Country is required; ","")&amp;IF(AND($K181&lt;&gt;"",$K181&lt;&gt;"US",$K181&lt;&gt;"CA"),"Country must be US or CA; ","")&amp;IF(AND($K181="US",OR($I181="",LEN($I181&amp;"")&lt;&gt;2)),"Use a 2-letter state code; ","")&amp;IF($J181="","ZIP or postal code is required; ","")&amp;IF(AND($K181="US",$J181&lt;&gt;"",NOT(IFERROR(OR(AND(LEN($J181&amp;"")=5,ISNUMBER(--($J181&amp;""))),AND(LEN($J181&amp;"")=9,ISNUMBER(--($J181&amp;""))),AND(LEN($J181&amp;"")=10,MID($J181&amp;"",6,1)="-",ISNUMBER(--SUBSTITUTE($J181&amp;"","-","")))),FALSE))),"US ZIP must be 5 or 9 digits, with an optional ZIP+4 hyphen; ","")&amp;IF(AND($N181&lt;&gt;"",NOT(IFERROR(AND(ISNUMBER(SEARCH("@",$N181)),ISNUMBER(SEARCH(".",$N181,SEARCH("@",$N181)+2))),FALSE))),"Email format appears invalid; ","")&amp;IF(AND($O181&lt;&gt;"",$B181=""),"Dependent SSN is required for every dependent; ","")&amp;IF(AND($B181&lt;&gt;"",$O181=""),"Dependent Relationship is required when Dependent SSN is entered; ","")&amp;IF(AND($O181&lt;&gt;"",$O181&lt;&gt;"Spouse or Common Law Spouse",$O181&lt;&gt;"Domestic Partner",$O181&lt;&gt;"Child",$O181&lt;&gt;"Other",$O181&lt;&gt;"Estate",$O181&lt;&gt;"Unknown"),"Dependent Relationship must use one of the approved options; ",""))</f>
        <v/>
      </c>
      <c r="Z181">
        <f>IF(COUNTA($A181:$U181)=0,"",IF(AND($A181&lt;&gt;"",NOT(IFERROR(AND(LEN($A181&amp;"")=9,ISNUMBER(--($A181&amp;""))),FALSE))),"Employee SSN must contain exactly 9 digits; ","")&amp;IF(AND($A181&lt;&gt;"",OR($A181="123456789",$A181="987654321",$A181="012345678",$A181=REPT(LEFT($A181&amp;"",1),9))),"Employee SSN appears to be a placeholder; ","")&amp;IF(AND($B181&lt;&gt;"",NOT(IFERROR(AND(LEN($B181&amp;"")=9,ISNUMBER(--($B181&amp;""))),FALSE))),"Dependent SSN must contain exactly 9 digits; ","")&amp;IF(AND($B181&lt;&gt;"",OR($B181="123456789",$B181="987654321",$B181="012345678",$B181=REPT(LEFT($B181&amp;"",1),9))),"Dependent SSN appears to be a placeholder; ","")&amp;IF(AND($A181&lt;&gt;"",$B181&lt;&gt;"",$A181&amp;""=$B181&amp;""),"Dependent SSN cannot match Employee SSN; ","")&amp;IF(AND($W181&lt;&gt;"",OR(COUNTIFS($W$2:$W$501,$W181,$C$2:$C$501,"&lt;&gt;"&amp;$C181)&gt;0,COUNTIFS($W$2:$W$501,$W181,$D$2:$D$501,"&lt;&gt;"&amp;$D181)&gt;0,COUNTIFS($W$2:$W$501,$W181,$L$2:$L$501,"&lt;&gt;"&amp;$L181)&gt;0)),"The same SSN is associated with a different name or birthdate; ",""))</f>
        <v/>
      </c>
      <c r="AA181">
        <f>IF(COUNTA($A181:$U181)=0,"",IF(AND($A181&lt;&gt;"",$S181&lt;&gt;"",COUNTIFS($A$2:$A$501,$A181,$S$2:$S$501,$S181,$B$2:$B$501,"",$O$2:$O$501,"")=0),"Add an employee row for this household and plan; ","")&amp;IF(AND($X181="Dependent",COUNTIFS($A$2:$A181,$A181,$S$2:$S181,$S181,$B$2:$B181,"",$O$2:$O181,"")=0),"Place the employee row before dependent rows for this plan; ","")&amp;IF(AND($X181="Dependent",COUNTIFS($A$2:$A$501,$A181,$S$2:$S$501,$S181,$B$2:$B$501,"",$O$2:$O$501,"")&gt;0,IFERROR(OR($P181&lt;&gt;LOOKUP(2,1/(($A$2:$A$501=$A181)*($S$2:$S$501=$S181)*($B$2:$B$501="")*($O$2:$O$501="")),$P$2:$P$501),$Q181&lt;&gt;LOOKUP(2,1/(($A$2:$A$501=$A181)*($S$2:$S$501=$S181)*($B$2:$B$501="")*($O$2:$O$501="")),$Q$2:$Q$501),$R181&lt;&gt;LOOKUP(2,1/(($A$2:$A$501=$A181)*($S$2:$S$501=$S181)*($B$2:$B$501="")*($O$2:$O$501="")),$R$2:$R$501),$T181&lt;&gt;LOOKUP(2,1/(($A$2:$A$501=$A181)*($S$2:$S$501=$S181)*($B$2:$B$501="")*($O$2:$O$501="")),$T$2:$T$501),$U181&lt;&gt;LOOKUP(2,1/(($A$2:$A$501=$A181)*($S$2:$S$501=$S181)*($B$2:$B$501="")*($O$2:$O$501="")),$U$2:$U$501)),FALSE)),"Dependent row does not match the employee row for eligibility, status, coverage level, or funding; ",""))</f>
        <v/>
      </c>
      <c r="AB181">
        <f>IF(COUNTA($A181:$U181)=0,"",IF($L181="","Birthdate is required; ","")&amp;IF(AND($L181&lt;&gt;"",OR(NOT(ISNUMBER($L181)),$L181&lt;=DATE(1900,1,1),$L181&gt;TODAY())),"Birthdate must be an exact valid past date; ","")&amp;IF($P181="","Eligibility Date is required; ","")&amp;IF(AND($P181&lt;&gt;"",OR(NOT(ISNUMBER($P181)),$P181&lt;=DATE(1900,1,1))),"Eligibility Date must be a valid date; ","")&amp;IF(AND($R181="Terminated",$Q181=""),"Termination Date is required when Status is Terminated; ","")&amp;IF(AND($Q181&lt;&gt;"",OR(NOT(ISNUMBER($Q181)),$Q181&lt;=DATE(1900,1,1))),"Termination Date must be a valid date; ","")&amp;IF(AND(ISNUMBER($P181),ISNUMBER($Q181),$Q181&lt;$P181),"Termination Date cannot be before Eligibility Date; ","")&amp;IF($R181="","Status is required; ","")&amp;IF(AND($R181&lt;&gt;"",$R181&lt;&gt;"Active",$R181&lt;&gt;"Terminated"),"Status must be Active or Terminated; ","")&amp;IF(AND('START HERE'!$C$8="Terminations Only",$R181&lt;&gt;"Terminated"),"Terminations Only files must contain terminated records; ",""))</f>
        <v/>
      </c>
      <c r="AC181">
        <f>IF(COUNTA($A181:$U181)=0,"",IF($S181="","Plan Name is required; ","")&amp;IF($T181="","Benefit Coverage Level is required; ","")&amp;IF(AND($U181&lt;&gt;"",OR(NOT(ISNUMBER($U181)),$U181&lt;0)),"Plan Funding Amount must be a nonnegative number; ","")&amp;IF(AND($A181&lt;&gt;"",$S181&lt;&gt;"",COUNTIFS($A$2:$A$501,$A181,$B$2:$B$501,$B181,$S$2:$S$501,$S181)&gt;1),"Duplicate participant and plan row; ",""))</f>
        <v/>
      </c>
      <c r="AD181">
        <f>IF(COUNTA($A181:$U181)=0,"",IF(AND($X181="Employee",$M181="",$N181=""),"No employee phone or email provided; ","")&amp;IF(AND($R181="Active",$Q181&lt;&gt;""),"Active record includes a Termination Date; confirm this is intentional; ","")&amp;IF(AND($B181&lt;&gt;"",$B181&amp;""&lt;&gt;$A181&amp;"",COUNTIF($A$2:$A$501,$B181)&gt;0),"Dependent SSN also appears as an Employee SSN elsewhere; confirm dual-employee coverage is intentional; ","")&amp;IF(AND($B181&lt;&gt;"",COUNTIF($B$2:$B$501,$B181)&gt;COUNTIFS($A$2:$A$501,$A181,$B$2:$B$501,$B181)),"Dependent SSN appears under more than one employee; confirm duplicate family coverage is intentional; ","")&amp;IF(AND(ROW()&gt;2,$A181&lt;&gt;"",$A181&lt;&gt;$A180,COUNTIF($A$2:$A180,$A181)&gt;0),"This household appears in more than one section of the census; keep the family together; ","")&amp;IF(OR(AND($C181&lt;&gt;"",LEN($C181&amp;"")&lt;&gt;LEN(TRIM($C181&amp;""))),AND($D181&lt;&gt;"",LEN($D181&amp;"")&lt;&gt;LEN(TRIM($D181&amp;""))),AND($E181&lt;&gt;"",LEN($E181&amp;"")&lt;&gt;LEN(TRIM($E181&amp;""))),AND($F181&lt;&gt;"",LEN($F181&amp;"")&lt;&gt;LEN(TRIM($F181&amp;""))),AND($G181&lt;&gt;"",LEN($G181&amp;"")&lt;&gt;LEN(TRIM($G181&amp;""))),AND($H181&lt;&gt;"",LEN($H181&amp;"")&lt;&gt;LEN(TRIM($H181&amp;""))),AND($I181&lt;&gt;"",LEN($I181&amp;"")&lt;&gt;LEN(TRIM($I181&amp;""))),AND($J181&lt;&gt;"",LEN($J181&amp;"")&lt;&gt;LEN(TRIM($J181&amp;""))),AND($K181&lt;&gt;"",LEN($K181&amp;"")&lt;&gt;LEN(TRIM($K181&amp;""))),AND($M181&lt;&gt;"",LEN($M181&amp;"")&lt;&gt;LEN(TRIM($M181&amp;""))),AND($N181&lt;&gt;"",LEN($N181&amp;"")&lt;&gt;LEN(TRIM($N181&amp;""))),AND($O181&lt;&gt;"",LEN($O181&amp;"")&lt;&gt;LEN(TRIM($O181&amp;""))),AND($R181&lt;&gt;"",LEN($R181&amp;"")&lt;&gt;LEN(TRIM($R181&amp;""))),AND($S181&lt;&gt;"",LEN($S181&amp;"")&lt;&gt;LEN(TRIM($S181&amp;""))),AND($T181&lt;&gt;"",LEN($T181&amp;"")&lt;&gt;LEN(TRIM($T181&amp;"")))),"Remove leading or trailing spaces from text fields; ","")&amp;IF(OR(AND(LEN($C181)&gt;1,OR(EXACT($C181,UPPER($C181)),EXACT($C181,LOWER($C181)))),AND(LEN($D181)&gt;1,OR(EXACT($D181,UPPER($D181)),EXACT($D181,LOWER($D181)))),AND(LEN($H181)&gt;1,OR(EXACT($H181,UPPER($H181)),EXACT($H181,LOWER($H181))))),"Review capitalization in First Name, Last Name, or City; ","")&amp;IF(AND($N181&lt;&gt;"",NOT(EXACT($N181,LOWER($N181)))),"Email will be standardized to lowercase in the clean output; ","")&amp;IF(AND(OR('START HERE'!$C$8="Initial Enrollment",'START HERE'!$C$8="Open Enrollment"),$R181="Terminated"),"A terminated row is included in an initial or open enrollment file; confirm this is intentional; ",""))</f>
        <v/>
      </c>
      <c r="AE181">
        <f>IF(COUNTA($A181:$U181)=0,"",IF(OR($A181="",AND($A181&lt;&gt;"",NOT(IFERROR(AND(LEN($A181&amp;"")=9,ISNUMBER(--($A181&amp;""))),FALSE))),AND($A181&lt;&gt;"",OR($A181="123456789",$A181="987654321",$A181="012345678",$A181=REPT(LEFT($A181&amp;"",1),9)))),"Employee SSN, ","")&amp;IF(OR(AND($O181&lt;&gt;"",$B181=""),AND($B181&lt;&gt;"",OR(NOT(IFERROR(AND(LEN($B181&amp;"")=9,ISNUMBER(--($B181&amp;""))),FALSE)),$B181=$A181,$B181="123456789",$B181="987654321",$B181="012345678",$B181=REPT(LEFT($B181&amp;"",1),9)))),"Dependent SSN, ","")&amp;IF(OR($C181="",LEN($C181)&gt;19,AND($C181&lt;&gt;"",SUMPRODUCT(--(ROW($1:$19)&lt;=LEN($C181&amp;"")),--ISERROR(FIND(MID($C181&amp;"",ROW($1:$19),1),"ABCDEFGHIJKLMNOPQRSTUVWXYZabcdefghijklmnopqrstuvwxyz .,")))&gt;0)),"First Name, ","")&amp;IF(OR($D181="",LEN($D181)&gt;26,AND($D181&lt;&gt;"",SUMPRODUCT(--(ROW($1:$26)&lt;=LEN($D181&amp;"")),--ISERROR(FIND(MID($D181&amp;"",ROW($1:$26),1),"ABCDEFGHIJKLMNOPQRSTUVWXYZabcdefghijklmnopqrstuvwxyz .,")))&gt;0)),"Last Name, ","")&amp;IF(OR(LEN($E181)&gt;1,AND($E181&lt;&gt;"",SUMPRODUCT(--(ROW($1:$1)&lt;=LEN($E181&amp;"")),--ISERROR(FIND(MID($E181&amp;"",ROW($1:$1),1),"ABCDEFGHIJKLMNOPQRSTUVWXYZabcdefghijklmnopqrstuvwxyz .,")))&gt;0)),"Middle Initial, ","")&amp;IF(OR($F181="",LEN($F181)&gt;75),"Address, ","")&amp;IF(OR($H181="",LEN($H181)&gt;30),"City, ","")&amp;IF(AND($K181="US",OR($I181="",LEN($I181)&lt;&gt;2)),"State, ","")&amp;IF($J181="","ZIP, ","")&amp;IF(OR($K181="",AND($K181&lt;&gt;"US",$K181&lt;&gt;"CA")),"Country, ","")&amp;IF(OR($L181="",AND($L181&lt;&gt;"",OR(NOT(ISNUMBER($L181)),$L181&lt;=DATE(1900,1,1),$L181&gt;TODAY()))),"Birthdate, ","")&amp;IF(AND($N181&lt;&gt;"",NOT(IFERROR(AND(ISNUMBER(SEARCH("@",$N181)),ISNUMBER(SEARCH(".",$N181,SEARCH("@",$N181)+2))),FALSE))),"Email, ","")&amp;IF(OR(AND($B181&lt;&gt;"",$O181=""),AND($O181&lt;&gt;"",$O181&lt;&gt;"Spouse or Common Law Spouse",$O181&lt;&gt;"Domestic Partner",$O181&lt;&gt;"Child",$O181&lt;&gt;"Other",$O181&lt;&gt;"Estate",$O181&lt;&gt;"Unknown")),"Dependent Relationship, ","")&amp;IF($AA181&lt;&gt;"","Household, ","")&amp;IF(OR($P181="",AND($P181&lt;&gt;"",OR(NOT(ISNUMBER($P181)),$P181&lt;=DATE(1900,1,1)))),"Eligibility Date, ","")&amp;IF(OR(AND($R181="Terminated",$Q181=""),AND($Q181&lt;&gt;"",OR(NOT(ISNUMBER($Q181)),$Q181&lt;=DATE(1900,1,1))),AND(ISNUMBER($P181),ISNUMBER($Q181),$Q181&lt;$P181)),"Termination Date, ","")&amp;IF(OR($R181="",AND($R181&lt;&gt;"Active",$R181&lt;&gt;"Terminated"),AND('START HERE'!$C$8="Terminations Only",$R181&lt;&gt;"Terminated")),"Status, ","")&amp;IF($S181="","Plan Name, ","")&amp;IF($T181="","Coverage Level, ","")&amp;IF(AND($U181&lt;&gt;"",OR(NOT(ISNUMBER($U181)),$U181&lt;0)),"Funding, ","")&amp;IF(AND($A181&lt;&gt;"",$S181&lt;&gt;"",COUNTIFS($A$2:$A$501,$A181,$B$2:$B$501,$B181,$S$2:$S$501,$S181)&gt;1),"Duplicate Row, ",""))</f>
        <v/>
      </c>
      <c r="AF181">
        <f>IF(COUNTA($A181:$U181)=0,"",$Y181&amp;$Z181&amp;$AA181&amp;$AB181&amp;$AC181)</f>
        <v/>
      </c>
      <c r="AG181">
        <f>IF($N181="","",LOWER(TRIM($N181)))</f>
        <v/>
      </c>
      <c r="AH181">
        <f>IF($A181="","",COUNTIFS($A$2:$A$501,$A181,$AI$2:$AI$501,1))</f>
        <v/>
      </c>
      <c r="AI181">
        <f>IF(COUNTA($A181:$U181)=0,"",--($AF181&lt;&gt;""))</f>
        <v/>
      </c>
      <c r="AJ181">
        <f>IF(COUNTA($A181:$U181)=0,"",--($AD181&lt;&gt;""))</f>
        <v/>
      </c>
    </row>
    <row r="182" ht="20" customHeight="1">
      <c r="A182" s="80" t="n"/>
      <c r="B182" s="80" t="n"/>
      <c r="C182" s="81" t="n"/>
      <c r="D182" s="81" t="n"/>
      <c r="E182" s="80" t="n"/>
      <c r="F182" s="81" t="n"/>
      <c r="G182" s="81" t="n"/>
      <c r="H182" s="81" t="n"/>
      <c r="I182" s="80" t="n"/>
      <c r="J182" s="80" t="n"/>
      <c r="K182" s="80" t="n"/>
      <c r="L182" s="82" t="n"/>
      <c r="M182" s="80" t="n"/>
      <c r="N182" s="80" t="n"/>
      <c r="O182" s="80" t="n"/>
      <c r="P182" s="82" t="n"/>
      <c r="Q182" s="82" t="n"/>
      <c r="R182" s="80" t="n"/>
      <c r="S182" s="80" t="n"/>
      <c r="T182" s="80" t="n"/>
      <c r="U182" s="83" t="n"/>
      <c r="V182">
        <f>IF($A182="","",IF($A182=$A181,$V181,IF($V181="",0,1-$V181)))</f>
        <v/>
      </c>
      <c r="W182">
        <f>IF($B182&lt;&gt;"",$B182,$A182)</f>
        <v/>
      </c>
      <c r="X182">
        <f>IF(COUNTA($A182:$U182)=0,"",IF(OR($B182&lt;&gt;"",$O182&lt;&gt;""),"Dependent","Employee"))</f>
        <v/>
      </c>
      <c r="Y182">
        <f>IF(COUNTA($A182:$U182)=0,"",IF($A182="","Employee SSN is required; ","")&amp;IF($C182="","First Name is required; ","")&amp;IF(LEN($C182&amp;"")&gt;19,"First Name exceeds 19 characters; ","")&amp;IF(AND($C182&lt;&gt;"",SUMPRODUCT(--(ROW($1:$19)&lt;=LEN($C182&amp;"")),--ISERROR(FIND(MID($C182&amp;"",ROW($1:$19),1),"ABCDEFGHIJKLMNOPQRSTUVWXYZabcdefghijklmnopqrstuvwxyz .,")))&gt;0),"First Name contains unsupported or encoded characters; use plain A-Z letters only; ","")&amp;IF($D182="","Last Name is required; ","")&amp;IF(LEN($D182&amp;"")&gt;26,"Last Name exceeds 26 characters; ","")&amp;IF(AND($D182&lt;&gt;"",SUMPRODUCT(--(ROW($1:$26)&lt;=LEN($D182&amp;"")),--ISERROR(FIND(MID($D182&amp;"",ROW($1:$26),1),"ABCDEFGHIJKLMNOPQRSTUVWXYZabcdefghijklmnopqrstuvwxyz .,")))&gt;0),"Last Name contains unsupported or encoded characters; use plain A-Z letters only; ","")&amp;IF(LEN($E182&amp;"")&gt;1,"Middle Initial may contain only one character; ","")&amp;IF(AND($E182&lt;&gt;"",SUMPRODUCT(--(ROW($1:$1)&lt;=LEN($E182&amp;"")),--ISERROR(FIND(MID($E182&amp;"",ROW($1:$1),1),"ABCDEFGHIJKLMNOPQRSTUVWXYZabcdefghijklmnopqrstuvwxyz .,")))&gt;0),"Middle Initial must be a plain A-Z letter; ","")&amp;IF($F182="","Address is required; ","")&amp;IF(LEN($F182&amp;"")&gt;75,"Address exceeds 75 characters; ","")&amp;IF(LEN($G182&amp;"")&gt;75,"Address 2 exceeds 75 characters; ","")&amp;IF($H182="","City is required; ","")&amp;IF(LEN($H182&amp;"")&gt;30,"City exceeds 30 characters; ","")&amp;IF($K182="","Country is required; ","")&amp;IF(AND($K182&lt;&gt;"",$K182&lt;&gt;"US",$K182&lt;&gt;"CA"),"Country must be US or CA; ","")&amp;IF(AND($K182="US",OR($I182="",LEN($I182&amp;"")&lt;&gt;2)),"Use a 2-letter state code; ","")&amp;IF($J182="","ZIP or postal code is required; ","")&amp;IF(AND($K182="US",$J182&lt;&gt;"",NOT(IFERROR(OR(AND(LEN($J182&amp;"")=5,ISNUMBER(--($J182&amp;""))),AND(LEN($J182&amp;"")=9,ISNUMBER(--($J182&amp;""))),AND(LEN($J182&amp;"")=10,MID($J182&amp;"",6,1)="-",ISNUMBER(--SUBSTITUTE($J182&amp;"","-","")))),FALSE))),"US ZIP must be 5 or 9 digits, with an optional ZIP+4 hyphen; ","")&amp;IF(AND($N182&lt;&gt;"",NOT(IFERROR(AND(ISNUMBER(SEARCH("@",$N182)),ISNUMBER(SEARCH(".",$N182,SEARCH("@",$N182)+2))),FALSE))),"Email format appears invalid; ","")&amp;IF(AND($O182&lt;&gt;"",$B182=""),"Dependent SSN is required for every dependent; ","")&amp;IF(AND($B182&lt;&gt;"",$O182=""),"Dependent Relationship is required when Dependent SSN is entered; ","")&amp;IF(AND($O182&lt;&gt;"",$O182&lt;&gt;"Spouse or Common Law Spouse",$O182&lt;&gt;"Domestic Partner",$O182&lt;&gt;"Child",$O182&lt;&gt;"Other",$O182&lt;&gt;"Estate",$O182&lt;&gt;"Unknown"),"Dependent Relationship must use one of the approved options; ",""))</f>
        <v/>
      </c>
      <c r="Z182">
        <f>IF(COUNTA($A182:$U182)=0,"",IF(AND($A182&lt;&gt;"",NOT(IFERROR(AND(LEN($A182&amp;"")=9,ISNUMBER(--($A182&amp;""))),FALSE))),"Employee SSN must contain exactly 9 digits; ","")&amp;IF(AND($A182&lt;&gt;"",OR($A182="123456789",$A182="987654321",$A182="012345678",$A182=REPT(LEFT($A182&amp;"",1),9))),"Employee SSN appears to be a placeholder; ","")&amp;IF(AND($B182&lt;&gt;"",NOT(IFERROR(AND(LEN($B182&amp;"")=9,ISNUMBER(--($B182&amp;""))),FALSE))),"Dependent SSN must contain exactly 9 digits; ","")&amp;IF(AND($B182&lt;&gt;"",OR($B182="123456789",$B182="987654321",$B182="012345678",$B182=REPT(LEFT($B182&amp;"",1),9))),"Dependent SSN appears to be a placeholder; ","")&amp;IF(AND($A182&lt;&gt;"",$B182&lt;&gt;"",$A182&amp;""=$B182&amp;""),"Dependent SSN cannot match Employee SSN; ","")&amp;IF(AND($W182&lt;&gt;"",OR(COUNTIFS($W$2:$W$501,$W182,$C$2:$C$501,"&lt;&gt;"&amp;$C182)&gt;0,COUNTIFS($W$2:$W$501,$W182,$D$2:$D$501,"&lt;&gt;"&amp;$D182)&gt;0,COUNTIFS($W$2:$W$501,$W182,$L$2:$L$501,"&lt;&gt;"&amp;$L182)&gt;0)),"The same SSN is associated with a different name or birthdate; ",""))</f>
        <v/>
      </c>
      <c r="AA182">
        <f>IF(COUNTA($A182:$U182)=0,"",IF(AND($A182&lt;&gt;"",$S182&lt;&gt;"",COUNTIFS($A$2:$A$501,$A182,$S$2:$S$501,$S182,$B$2:$B$501,"",$O$2:$O$501,"")=0),"Add an employee row for this household and plan; ","")&amp;IF(AND($X182="Dependent",COUNTIFS($A$2:$A182,$A182,$S$2:$S182,$S182,$B$2:$B182,"",$O$2:$O182,"")=0),"Place the employee row before dependent rows for this plan; ","")&amp;IF(AND($X182="Dependent",COUNTIFS($A$2:$A$501,$A182,$S$2:$S$501,$S182,$B$2:$B$501,"",$O$2:$O$501,"")&gt;0,IFERROR(OR($P182&lt;&gt;LOOKUP(2,1/(($A$2:$A$501=$A182)*($S$2:$S$501=$S182)*($B$2:$B$501="")*($O$2:$O$501="")),$P$2:$P$501),$Q182&lt;&gt;LOOKUP(2,1/(($A$2:$A$501=$A182)*($S$2:$S$501=$S182)*($B$2:$B$501="")*($O$2:$O$501="")),$Q$2:$Q$501),$R182&lt;&gt;LOOKUP(2,1/(($A$2:$A$501=$A182)*($S$2:$S$501=$S182)*($B$2:$B$501="")*($O$2:$O$501="")),$R$2:$R$501),$T182&lt;&gt;LOOKUP(2,1/(($A$2:$A$501=$A182)*($S$2:$S$501=$S182)*($B$2:$B$501="")*($O$2:$O$501="")),$T$2:$T$501),$U182&lt;&gt;LOOKUP(2,1/(($A$2:$A$501=$A182)*($S$2:$S$501=$S182)*($B$2:$B$501="")*($O$2:$O$501="")),$U$2:$U$501)),FALSE)),"Dependent row does not match the employee row for eligibility, status, coverage level, or funding; ",""))</f>
        <v/>
      </c>
      <c r="AB182">
        <f>IF(COUNTA($A182:$U182)=0,"",IF($L182="","Birthdate is required; ","")&amp;IF(AND($L182&lt;&gt;"",OR(NOT(ISNUMBER($L182)),$L182&lt;=DATE(1900,1,1),$L182&gt;TODAY())),"Birthdate must be an exact valid past date; ","")&amp;IF($P182="","Eligibility Date is required; ","")&amp;IF(AND($P182&lt;&gt;"",OR(NOT(ISNUMBER($P182)),$P182&lt;=DATE(1900,1,1))),"Eligibility Date must be a valid date; ","")&amp;IF(AND($R182="Terminated",$Q182=""),"Termination Date is required when Status is Terminated; ","")&amp;IF(AND($Q182&lt;&gt;"",OR(NOT(ISNUMBER($Q182)),$Q182&lt;=DATE(1900,1,1))),"Termination Date must be a valid date; ","")&amp;IF(AND(ISNUMBER($P182),ISNUMBER($Q182),$Q182&lt;$P182),"Termination Date cannot be before Eligibility Date; ","")&amp;IF($R182="","Status is required; ","")&amp;IF(AND($R182&lt;&gt;"",$R182&lt;&gt;"Active",$R182&lt;&gt;"Terminated"),"Status must be Active or Terminated; ","")&amp;IF(AND('START HERE'!$C$8="Terminations Only",$R182&lt;&gt;"Terminated"),"Terminations Only files must contain terminated records; ",""))</f>
        <v/>
      </c>
      <c r="AC182">
        <f>IF(COUNTA($A182:$U182)=0,"",IF($S182="","Plan Name is required; ","")&amp;IF($T182="","Benefit Coverage Level is required; ","")&amp;IF(AND($U182&lt;&gt;"",OR(NOT(ISNUMBER($U182)),$U182&lt;0)),"Plan Funding Amount must be a nonnegative number; ","")&amp;IF(AND($A182&lt;&gt;"",$S182&lt;&gt;"",COUNTIFS($A$2:$A$501,$A182,$B$2:$B$501,$B182,$S$2:$S$501,$S182)&gt;1),"Duplicate participant and plan row; ",""))</f>
        <v/>
      </c>
      <c r="AD182">
        <f>IF(COUNTA($A182:$U182)=0,"",IF(AND($X182="Employee",$M182="",$N182=""),"No employee phone or email provided; ","")&amp;IF(AND($R182="Active",$Q182&lt;&gt;""),"Active record includes a Termination Date; confirm this is intentional; ","")&amp;IF(AND($B182&lt;&gt;"",$B182&amp;""&lt;&gt;$A182&amp;"",COUNTIF($A$2:$A$501,$B182)&gt;0),"Dependent SSN also appears as an Employee SSN elsewhere; confirm dual-employee coverage is intentional; ","")&amp;IF(AND($B182&lt;&gt;"",COUNTIF($B$2:$B$501,$B182)&gt;COUNTIFS($A$2:$A$501,$A182,$B$2:$B$501,$B182)),"Dependent SSN appears under more than one employee; confirm duplicate family coverage is intentional; ","")&amp;IF(AND(ROW()&gt;2,$A182&lt;&gt;"",$A182&lt;&gt;$A181,COUNTIF($A$2:$A181,$A182)&gt;0),"This household appears in more than one section of the census; keep the family together; ","")&amp;IF(OR(AND($C182&lt;&gt;"",LEN($C182&amp;"")&lt;&gt;LEN(TRIM($C182&amp;""))),AND($D182&lt;&gt;"",LEN($D182&amp;"")&lt;&gt;LEN(TRIM($D182&amp;""))),AND($E182&lt;&gt;"",LEN($E182&amp;"")&lt;&gt;LEN(TRIM($E182&amp;""))),AND($F182&lt;&gt;"",LEN($F182&amp;"")&lt;&gt;LEN(TRIM($F182&amp;""))),AND($G182&lt;&gt;"",LEN($G182&amp;"")&lt;&gt;LEN(TRIM($G182&amp;""))),AND($H182&lt;&gt;"",LEN($H182&amp;"")&lt;&gt;LEN(TRIM($H182&amp;""))),AND($I182&lt;&gt;"",LEN($I182&amp;"")&lt;&gt;LEN(TRIM($I182&amp;""))),AND($J182&lt;&gt;"",LEN($J182&amp;"")&lt;&gt;LEN(TRIM($J182&amp;""))),AND($K182&lt;&gt;"",LEN($K182&amp;"")&lt;&gt;LEN(TRIM($K182&amp;""))),AND($M182&lt;&gt;"",LEN($M182&amp;"")&lt;&gt;LEN(TRIM($M182&amp;""))),AND($N182&lt;&gt;"",LEN($N182&amp;"")&lt;&gt;LEN(TRIM($N182&amp;""))),AND($O182&lt;&gt;"",LEN($O182&amp;"")&lt;&gt;LEN(TRIM($O182&amp;""))),AND($R182&lt;&gt;"",LEN($R182&amp;"")&lt;&gt;LEN(TRIM($R182&amp;""))),AND($S182&lt;&gt;"",LEN($S182&amp;"")&lt;&gt;LEN(TRIM($S182&amp;""))),AND($T182&lt;&gt;"",LEN($T182&amp;"")&lt;&gt;LEN(TRIM($T182&amp;"")))),"Remove leading or trailing spaces from text fields; ","")&amp;IF(OR(AND(LEN($C182)&gt;1,OR(EXACT($C182,UPPER($C182)),EXACT($C182,LOWER($C182)))),AND(LEN($D182)&gt;1,OR(EXACT($D182,UPPER($D182)),EXACT($D182,LOWER($D182)))),AND(LEN($H182)&gt;1,OR(EXACT($H182,UPPER($H182)),EXACT($H182,LOWER($H182))))),"Review capitalization in First Name, Last Name, or City; ","")&amp;IF(AND($N182&lt;&gt;"",NOT(EXACT($N182,LOWER($N182)))),"Email will be standardized to lowercase in the clean output; ","")&amp;IF(AND(OR('START HERE'!$C$8="Initial Enrollment",'START HERE'!$C$8="Open Enrollment"),$R182="Terminated"),"A terminated row is included in an initial or open enrollment file; confirm this is intentional; ",""))</f>
        <v/>
      </c>
      <c r="AE182">
        <f>IF(COUNTA($A182:$U182)=0,"",IF(OR($A182="",AND($A182&lt;&gt;"",NOT(IFERROR(AND(LEN($A182&amp;"")=9,ISNUMBER(--($A182&amp;""))),FALSE))),AND($A182&lt;&gt;"",OR($A182="123456789",$A182="987654321",$A182="012345678",$A182=REPT(LEFT($A182&amp;"",1),9)))),"Employee SSN, ","")&amp;IF(OR(AND($O182&lt;&gt;"",$B182=""),AND($B182&lt;&gt;"",OR(NOT(IFERROR(AND(LEN($B182&amp;"")=9,ISNUMBER(--($B182&amp;""))),FALSE)),$B182=$A182,$B182="123456789",$B182="987654321",$B182="012345678",$B182=REPT(LEFT($B182&amp;"",1),9)))),"Dependent SSN, ","")&amp;IF(OR($C182="",LEN($C182)&gt;19,AND($C182&lt;&gt;"",SUMPRODUCT(--(ROW($1:$19)&lt;=LEN($C182&amp;"")),--ISERROR(FIND(MID($C182&amp;"",ROW($1:$19),1),"ABCDEFGHIJKLMNOPQRSTUVWXYZabcdefghijklmnopqrstuvwxyz .,")))&gt;0)),"First Name, ","")&amp;IF(OR($D182="",LEN($D182)&gt;26,AND($D182&lt;&gt;"",SUMPRODUCT(--(ROW($1:$26)&lt;=LEN($D182&amp;"")),--ISERROR(FIND(MID($D182&amp;"",ROW($1:$26),1),"ABCDEFGHIJKLMNOPQRSTUVWXYZabcdefghijklmnopqrstuvwxyz .,")))&gt;0)),"Last Name, ","")&amp;IF(OR(LEN($E182)&gt;1,AND($E182&lt;&gt;"",SUMPRODUCT(--(ROW($1:$1)&lt;=LEN($E182&amp;"")),--ISERROR(FIND(MID($E182&amp;"",ROW($1:$1),1),"ABCDEFGHIJKLMNOPQRSTUVWXYZabcdefghijklmnopqrstuvwxyz .,")))&gt;0)),"Middle Initial, ","")&amp;IF(OR($F182="",LEN($F182)&gt;75),"Address, ","")&amp;IF(OR($H182="",LEN($H182)&gt;30),"City, ","")&amp;IF(AND($K182="US",OR($I182="",LEN($I182)&lt;&gt;2)),"State, ","")&amp;IF($J182="","ZIP, ","")&amp;IF(OR($K182="",AND($K182&lt;&gt;"US",$K182&lt;&gt;"CA")),"Country, ","")&amp;IF(OR($L182="",AND($L182&lt;&gt;"",OR(NOT(ISNUMBER($L182)),$L182&lt;=DATE(1900,1,1),$L182&gt;TODAY()))),"Birthdate, ","")&amp;IF(AND($N182&lt;&gt;"",NOT(IFERROR(AND(ISNUMBER(SEARCH("@",$N182)),ISNUMBER(SEARCH(".",$N182,SEARCH("@",$N182)+2))),FALSE))),"Email, ","")&amp;IF(OR(AND($B182&lt;&gt;"",$O182=""),AND($O182&lt;&gt;"",$O182&lt;&gt;"Spouse or Common Law Spouse",$O182&lt;&gt;"Domestic Partner",$O182&lt;&gt;"Child",$O182&lt;&gt;"Other",$O182&lt;&gt;"Estate",$O182&lt;&gt;"Unknown")),"Dependent Relationship, ","")&amp;IF($AA182&lt;&gt;"","Household, ","")&amp;IF(OR($P182="",AND($P182&lt;&gt;"",OR(NOT(ISNUMBER($P182)),$P182&lt;=DATE(1900,1,1)))),"Eligibility Date, ","")&amp;IF(OR(AND($R182="Terminated",$Q182=""),AND($Q182&lt;&gt;"",OR(NOT(ISNUMBER($Q182)),$Q182&lt;=DATE(1900,1,1))),AND(ISNUMBER($P182),ISNUMBER($Q182),$Q182&lt;$P182)),"Termination Date, ","")&amp;IF(OR($R182="",AND($R182&lt;&gt;"Active",$R182&lt;&gt;"Terminated"),AND('START HERE'!$C$8="Terminations Only",$R182&lt;&gt;"Terminated")),"Status, ","")&amp;IF($S182="","Plan Name, ","")&amp;IF($T182="","Coverage Level, ","")&amp;IF(AND($U182&lt;&gt;"",OR(NOT(ISNUMBER($U182)),$U182&lt;0)),"Funding, ","")&amp;IF(AND($A182&lt;&gt;"",$S182&lt;&gt;"",COUNTIFS($A$2:$A$501,$A182,$B$2:$B$501,$B182,$S$2:$S$501,$S182)&gt;1),"Duplicate Row, ",""))</f>
        <v/>
      </c>
      <c r="AF182">
        <f>IF(COUNTA($A182:$U182)=0,"",$Y182&amp;$Z182&amp;$AA182&amp;$AB182&amp;$AC182)</f>
        <v/>
      </c>
      <c r="AG182">
        <f>IF($N182="","",LOWER(TRIM($N182)))</f>
        <v/>
      </c>
      <c r="AH182">
        <f>IF($A182="","",COUNTIFS($A$2:$A$501,$A182,$AI$2:$AI$501,1))</f>
        <v/>
      </c>
      <c r="AI182">
        <f>IF(COUNTA($A182:$U182)=0,"",--($AF182&lt;&gt;""))</f>
        <v/>
      </c>
      <c r="AJ182">
        <f>IF(COUNTA($A182:$U182)=0,"",--($AD182&lt;&gt;""))</f>
        <v/>
      </c>
    </row>
    <row r="183" ht="20" customHeight="1">
      <c r="A183" s="80" t="n"/>
      <c r="B183" s="80" t="n"/>
      <c r="C183" s="81" t="n"/>
      <c r="D183" s="81" t="n"/>
      <c r="E183" s="80" t="n"/>
      <c r="F183" s="81" t="n"/>
      <c r="G183" s="81" t="n"/>
      <c r="H183" s="81" t="n"/>
      <c r="I183" s="80" t="n"/>
      <c r="J183" s="80" t="n"/>
      <c r="K183" s="80" t="n"/>
      <c r="L183" s="82" t="n"/>
      <c r="M183" s="80" t="n"/>
      <c r="N183" s="80" t="n"/>
      <c r="O183" s="80" t="n"/>
      <c r="P183" s="82" t="n"/>
      <c r="Q183" s="82" t="n"/>
      <c r="R183" s="80" t="n"/>
      <c r="S183" s="80" t="n"/>
      <c r="T183" s="80" t="n"/>
      <c r="U183" s="83" t="n"/>
      <c r="V183">
        <f>IF($A183="","",IF($A183=$A182,$V182,IF($V182="",0,1-$V182)))</f>
        <v/>
      </c>
      <c r="W183">
        <f>IF($B183&lt;&gt;"",$B183,$A183)</f>
        <v/>
      </c>
      <c r="X183">
        <f>IF(COUNTA($A183:$U183)=0,"",IF(OR($B183&lt;&gt;"",$O183&lt;&gt;""),"Dependent","Employee"))</f>
        <v/>
      </c>
      <c r="Y183">
        <f>IF(COUNTA($A183:$U183)=0,"",IF($A183="","Employee SSN is required; ","")&amp;IF($C183="","First Name is required; ","")&amp;IF(LEN($C183&amp;"")&gt;19,"First Name exceeds 19 characters; ","")&amp;IF(AND($C183&lt;&gt;"",SUMPRODUCT(--(ROW($1:$19)&lt;=LEN($C183&amp;"")),--ISERROR(FIND(MID($C183&amp;"",ROW($1:$19),1),"ABCDEFGHIJKLMNOPQRSTUVWXYZabcdefghijklmnopqrstuvwxyz .,")))&gt;0),"First Name contains unsupported or encoded characters; use plain A-Z letters only; ","")&amp;IF($D183="","Last Name is required; ","")&amp;IF(LEN($D183&amp;"")&gt;26,"Last Name exceeds 26 characters; ","")&amp;IF(AND($D183&lt;&gt;"",SUMPRODUCT(--(ROW($1:$26)&lt;=LEN($D183&amp;"")),--ISERROR(FIND(MID($D183&amp;"",ROW($1:$26),1),"ABCDEFGHIJKLMNOPQRSTUVWXYZabcdefghijklmnopqrstuvwxyz .,")))&gt;0),"Last Name contains unsupported or encoded characters; use plain A-Z letters only; ","")&amp;IF(LEN($E183&amp;"")&gt;1,"Middle Initial may contain only one character; ","")&amp;IF(AND($E183&lt;&gt;"",SUMPRODUCT(--(ROW($1:$1)&lt;=LEN($E183&amp;"")),--ISERROR(FIND(MID($E183&amp;"",ROW($1:$1),1),"ABCDEFGHIJKLMNOPQRSTUVWXYZabcdefghijklmnopqrstuvwxyz .,")))&gt;0),"Middle Initial must be a plain A-Z letter; ","")&amp;IF($F183="","Address is required; ","")&amp;IF(LEN($F183&amp;"")&gt;75,"Address exceeds 75 characters; ","")&amp;IF(LEN($G183&amp;"")&gt;75,"Address 2 exceeds 75 characters; ","")&amp;IF($H183="","City is required; ","")&amp;IF(LEN($H183&amp;"")&gt;30,"City exceeds 30 characters; ","")&amp;IF($K183="","Country is required; ","")&amp;IF(AND($K183&lt;&gt;"",$K183&lt;&gt;"US",$K183&lt;&gt;"CA"),"Country must be US or CA; ","")&amp;IF(AND($K183="US",OR($I183="",LEN($I183&amp;"")&lt;&gt;2)),"Use a 2-letter state code; ","")&amp;IF($J183="","ZIP or postal code is required; ","")&amp;IF(AND($K183="US",$J183&lt;&gt;"",NOT(IFERROR(OR(AND(LEN($J183&amp;"")=5,ISNUMBER(--($J183&amp;""))),AND(LEN($J183&amp;"")=9,ISNUMBER(--($J183&amp;""))),AND(LEN($J183&amp;"")=10,MID($J183&amp;"",6,1)="-",ISNUMBER(--SUBSTITUTE($J183&amp;"","-","")))),FALSE))),"US ZIP must be 5 or 9 digits, with an optional ZIP+4 hyphen; ","")&amp;IF(AND($N183&lt;&gt;"",NOT(IFERROR(AND(ISNUMBER(SEARCH("@",$N183)),ISNUMBER(SEARCH(".",$N183,SEARCH("@",$N183)+2))),FALSE))),"Email format appears invalid; ","")&amp;IF(AND($O183&lt;&gt;"",$B183=""),"Dependent SSN is required for every dependent; ","")&amp;IF(AND($B183&lt;&gt;"",$O183=""),"Dependent Relationship is required when Dependent SSN is entered; ","")&amp;IF(AND($O183&lt;&gt;"",$O183&lt;&gt;"Spouse or Common Law Spouse",$O183&lt;&gt;"Domestic Partner",$O183&lt;&gt;"Child",$O183&lt;&gt;"Other",$O183&lt;&gt;"Estate",$O183&lt;&gt;"Unknown"),"Dependent Relationship must use one of the approved options; ",""))</f>
        <v/>
      </c>
      <c r="Z183">
        <f>IF(COUNTA($A183:$U183)=0,"",IF(AND($A183&lt;&gt;"",NOT(IFERROR(AND(LEN($A183&amp;"")=9,ISNUMBER(--($A183&amp;""))),FALSE))),"Employee SSN must contain exactly 9 digits; ","")&amp;IF(AND($A183&lt;&gt;"",OR($A183="123456789",$A183="987654321",$A183="012345678",$A183=REPT(LEFT($A183&amp;"",1),9))),"Employee SSN appears to be a placeholder; ","")&amp;IF(AND($B183&lt;&gt;"",NOT(IFERROR(AND(LEN($B183&amp;"")=9,ISNUMBER(--($B183&amp;""))),FALSE))),"Dependent SSN must contain exactly 9 digits; ","")&amp;IF(AND($B183&lt;&gt;"",OR($B183="123456789",$B183="987654321",$B183="012345678",$B183=REPT(LEFT($B183&amp;"",1),9))),"Dependent SSN appears to be a placeholder; ","")&amp;IF(AND($A183&lt;&gt;"",$B183&lt;&gt;"",$A183&amp;""=$B183&amp;""),"Dependent SSN cannot match Employee SSN; ","")&amp;IF(AND($W183&lt;&gt;"",OR(COUNTIFS($W$2:$W$501,$W183,$C$2:$C$501,"&lt;&gt;"&amp;$C183)&gt;0,COUNTIFS($W$2:$W$501,$W183,$D$2:$D$501,"&lt;&gt;"&amp;$D183)&gt;0,COUNTIFS($W$2:$W$501,$W183,$L$2:$L$501,"&lt;&gt;"&amp;$L183)&gt;0)),"The same SSN is associated with a different name or birthdate; ",""))</f>
        <v/>
      </c>
      <c r="AA183">
        <f>IF(COUNTA($A183:$U183)=0,"",IF(AND($A183&lt;&gt;"",$S183&lt;&gt;"",COUNTIFS($A$2:$A$501,$A183,$S$2:$S$501,$S183,$B$2:$B$501,"",$O$2:$O$501,"")=0),"Add an employee row for this household and plan; ","")&amp;IF(AND($X183="Dependent",COUNTIFS($A$2:$A183,$A183,$S$2:$S183,$S183,$B$2:$B183,"",$O$2:$O183,"")=0),"Place the employee row before dependent rows for this plan; ","")&amp;IF(AND($X183="Dependent",COUNTIFS($A$2:$A$501,$A183,$S$2:$S$501,$S183,$B$2:$B$501,"",$O$2:$O$501,"")&gt;0,IFERROR(OR($P183&lt;&gt;LOOKUP(2,1/(($A$2:$A$501=$A183)*($S$2:$S$501=$S183)*($B$2:$B$501="")*($O$2:$O$501="")),$P$2:$P$501),$Q183&lt;&gt;LOOKUP(2,1/(($A$2:$A$501=$A183)*($S$2:$S$501=$S183)*($B$2:$B$501="")*($O$2:$O$501="")),$Q$2:$Q$501),$R183&lt;&gt;LOOKUP(2,1/(($A$2:$A$501=$A183)*($S$2:$S$501=$S183)*($B$2:$B$501="")*($O$2:$O$501="")),$R$2:$R$501),$T183&lt;&gt;LOOKUP(2,1/(($A$2:$A$501=$A183)*($S$2:$S$501=$S183)*($B$2:$B$501="")*($O$2:$O$501="")),$T$2:$T$501),$U183&lt;&gt;LOOKUP(2,1/(($A$2:$A$501=$A183)*($S$2:$S$501=$S183)*($B$2:$B$501="")*($O$2:$O$501="")),$U$2:$U$501)),FALSE)),"Dependent row does not match the employee row for eligibility, status, coverage level, or funding; ",""))</f>
        <v/>
      </c>
      <c r="AB183">
        <f>IF(COUNTA($A183:$U183)=0,"",IF($L183="","Birthdate is required; ","")&amp;IF(AND($L183&lt;&gt;"",OR(NOT(ISNUMBER($L183)),$L183&lt;=DATE(1900,1,1),$L183&gt;TODAY())),"Birthdate must be an exact valid past date; ","")&amp;IF($P183="","Eligibility Date is required; ","")&amp;IF(AND($P183&lt;&gt;"",OR(NOT(ISNUMBER($P183)),$P183&lt;=DATE(1900,1,1))),"Eligibility Date must be a valid date; ","")&amp;IF(AND($R183="Terminated",$Q183=""),"Termination Date is required when Status is Terminated; ","")&amp;IF(AND($Q183&lt;&gt;"",OR(NOT(ISNUMBER($Q183)),$Q183&lt;=DATE(1900,1,1))),"Termination Date must be a valid date; ","")&amp;IF(AND(ISNUMBER($P183),ISNUMBER($Q183),$Q183&lt;$P183),"Termination Date cannot be before Eligibility Date; ","")&amp;IF($R183="","Status is required; ","")&amp;IF(AND($R183&lt;&gt;"",$R183&lt;&gt;"Active",$R183&lt;&gt;"Terminated"),"Status must be Active or Terminated; ","")&amp;IF(AND('START HERE'!$C$8="Terminations Only",$R183&lt;&gt;"Terminated"),"Terminations Only files must contain terminated records; ",""))</f>
        <v/>
      </c>
      <c r="AC183">
        <f>IF(COUNTA($A183:$U183)=0,"",IF($S183="","Plan Name is required; ","")&amp;IF($T183="","Benefit Coverage Level is required; ","")&amp;IF(AND($U183&lt;&gt;"",OR(NOT(ISNUMBER($U183)),$U183&lt;0)),"Plan Funding Amount must be a nonnegative number; ","")&amp;IF(AND($A183&lt;&gt;"",$S183&lt;&gt;"",COUNTIFS($A$2:$A$501,$A183,$B$2:$B$501,$B183,$S$2:$S$501,$S183)&gt;1),"Duplicate participant and plan row; ",""))</f>
        <v/>
      </c>
      <c r="AD183">
        <f>IF(COUNTA($A183:$U183)=0,"",IF(AND($X183="Employee",$M183="",$N183=""),"No employee phone or email provided; ","")&amp;IF(AND($R183="Active",$Q183&lt;&gt;""),"Active record includes a Termination Date; confirm this is intentional; ","")&amp;IF(AND($B183&lt;&gt;"",$B183&amp;""&lt;&gt;$A183&amp;"",COUNTIF($A$2:$A$501,$B183)&gt;0),"Dependent SSN also appears as an Employee SSN elsewhere; confirm dual-employee coverage is intentional; ","")&amp;IF(AND($B183&lt;&gt;"",COUNTIF($B$2:$B$501,$B183)&gt;COUNTIFS($A$2:$A$501,$A183,$B$2:$B$501,$B183)),"Dependent SSN appears under more than one employee; confirm duplicate family coverage is intentional; ","")&amp;IF(AND(ROW()&gt;2,$A183&lt;&gt;"",$A183&lt;&gt;$A182,COUNTIF($A$2:$A182,$A183)&gt;0),"This household appears in more than one section of the census; keep the family together; ","")&amp;IF(OR(AND($C183&lt;&gt;"",LEN($C183&amp;"")&lt;&gt;LEN(TRIM($C183&amp;""))),AND($D183&lt;&gt;"",LEN($D183&amp;"")&lt;&gt;LEN(TRIM($D183&amp;""))),AND($E183&lt;&gt;"",LEN($E183&amp;"")&lt;&gt;LEN(TRIM($E183&amp;""))),AND($F183&lt;&gt;"",LEN($F183&amp;"")&lt;&gt;LEN(TRIM($F183&amp;""))),AND($G183&lt;&gt;"",LEN($G183&amp;"")&lt;&gt;LEN(TRIM($G183&amp;""))),AND($H183&lt;&gt;"",LEN($H183&amp;"")&lt;&gt;LEN(TRIM($H183&amp;""))),AND($I183&lt;&gt;"",LEN($I183&amp;"")&lt;&gt;LEN(TRIM($I183&amp;""))),AND($J183&lt;&gt;"",LEN($J183&amp;"")&lt;&gt;LEN(TRIM($J183&amp;""))),AND($K183&lt;&gt;"",LEN($K183&amp;"")&lt;&gt;LEN(TRIM($K183&amp;""))),AND($M183&lt;&gt;"",LEN($M183&amp;"")&lt;&gt;LEN(TRIM($M183&amp;""))),AND($N183&lt;&gt;"",LEN($N183&amp;"")&lt;&gt;LEN(TRIM($N183&amp;""))),AND($O183&lt;&gt;"",LEN($O183&amp;"")&lt;&gt;LEN(TRIM($O183&amp;""))),AND($R183&lt;&gt;"",LEN($R183&amp;"")&lt;&gt;LEN(TRIM($R183&amp;""))),AND($S183&lt;&gt;"",LEN($S183&amp;"")&lt;&gt;LEN(TRIM($S183&amp;""))),AND($T183&lt;&gt;"",LEN($T183&amp;"")&lt;&gt;LEN(TRIM($T183&amp;"")))),"Remove leading or trailing spaces from text fields; ","")&amp;IF(OR(AND(LEN($C183)&gt;1,OR(EXACT($C183,UPPER($C183)),EXACT($C183,LOWER($C183)))),AND(LEN($D183)&gt;1,OR(EXACT($D183,UPPER($D183)),EXACT($D183,LOWER($D183)))),AND(LEN($H183)&gt;1,OR(EXACT($H183,UPPER($H183)),EXACT($H183,LOWER($H183))))),"Review capitalization in First Name, Last Name, or City; ","")&amp;IF(AND($N183&lt;&gt;"",NOT(EXACT($N183,LOWER($N183)))),"Email will be standardized to lowercase in the clean output; ","")&amp;IF(AND(OR('START HERE'!$C$8="Initial Enrollment",'START HERE'!$C$8="Open Enrollment"),$R183="Terminated"),"A terminated row is included in an initial or open enrollment file; confirm this is intentional; ",""))</f>
        <v/>
      </c>
      <c r="AE183">
        <f>IF(COUNTA($A183:$U183)=0,"",IF(OR($A183="",AND($A183&lt;&gt;"",NOT(IFERROR(AND(LEN($A183&amp;"")=9,ISNUMBER(--($A183&amp;""))),FALSE))),AND($A183&lt;&gt;"",OR($A183="123456789",$A183="987654321",$A183="012345678",$A183=REPT(LEFT($A183&amp;"",1),9)))),"Employee SSN, ","")&amp;IF(OR(AND($O183&lt;&gt;"",$B183=""),AND($B183&lt;&gt;"",OR(NOT(IFERROR(AND(LEN($B183&amp;"")=9,ISNUMBER(--($B183&amp;""))),FALSE)),$B183=$A183,$B183="123456789",$B183="987654321",$B183="012345678",$B183=REPT(LEFT($B183&amp;"",1),9)))),"Dependent SSN, ","")&amp;IF(OR($C183="",LEN($C183)&gt;19,AND($C183&lt;&gt;"",SUMPRODUCT(--(ROW($1:$19)&lt;=LEN($C183&amp;"")),--ISERROR(FIND(MID($C183&amp;"",ROW($1:$19),1),"ABCDEFGHIJKLMNOPQRSTUVWXYZabcdefghijklmnopqrstuvwxyz .,")))&gt;0)),"First Name, ","")&amp;IF(OR($D183="",LEN($D183)&gt;26,AND($D183&lt;&gt;"",SUMPRODUCT(--(ROW($1:$26)&lt;=LEN($D183&amp;"")),--ISERROR(FIND(MID($D183&amp;"",ROW($1:$26),1),"ABCDEFGHIJKLMNOPQRSTUVWXYZabcdefghijklmnopqrstuvwxyz .,")))&gt;0)),"Last Name, ","")&amp;IF(OR(LEN($E183)&gt;1,AND($E183&lt;&gt;"",SUMPRODUCT(--(ROW($1:$1)&lt;=LEN($E183&amp;"")),--ISERROR(FIND(MID($E183&amp;"",ROW($1:$1),1),"ABCDEFGHIJKLMNOPQRSTUVWXYZabcdefghijklmnopqrstuvwxyz .,")))&gt;0)),"Middle Initial, ","")&amp;IF(OR($F183="",LEN($F183)&gt;75),"Address, ","")&amp;IF(OR($H183="",LEN($H183)&gt;30),"City, ","")&amp;IF(AND($K183="US",OR($I183="",LEN($I183)&lt;&gt;2)),"State, ","")&amp;IF($J183="","ZIP, ","")&amp;IF(OR($K183="",AND($K183&lt;&gt;"US",$K183&lt;&gt;"CA")),"Country, ","")&amp;IF(OR($L183="",AND($L183&lt;&gt;"",OR(NOT(ISNUMBER($L183)),$L183&lt;=DATE(1900,1,1),$L183&gt;TODAY()))),"Birthdate, ","")&amp;IF(AND($N183&lt;&gt;"",NOT(IFERROR(AND(ISNUMBER(SEARCH("@",$N183)),ISNUMBER(SEARCH(".",$N183,SEARCH("@",$N183)+2))),FALSE))),"Email, ","")&amp;IF(OR(AND($B183&lt;&gt;"",$O183=""),AND($O183&lt;&gt;"",$O183&lt;&gt;"Spouse or Common Law Spouse",$O183&lt;&gt;"Domestic Partner",$O183&lt;&gt;"Child",$O183&lt;&gt;"Other",$O183&lt;&gt;"Estate",$O183&lt;&gt;"Unknown")),"Dependent Relationship, ","")&amp;IF($AA183&lt;&gt;"","Household, ","")&amp;IF(OR($P183="",AND($P183&lt;&gt;"",OR(NOT(ISNUMBER($P183)),$P183&lt;=DATE(1900,1,1)))),"Eligibility Date, ","")&amp;IF(OR(AND($R183="Terminated",$Q183=""),AND($Q183&lt;&gt;"",OR(NOT(ISNUMBER($Q183)),$Q183&lt;=DATE(1900,1,1))),AND(ISNUMBER($P183),ISNUMBER($Q183),$Q183&lt;$P183)),"Termination Date, ","")&amp;IF(OR($R183="",AND($R183&lt;&gt;"Active",$R183&lt;&gt;"Terminated"),AND('START HERE'!$C$8="Terminations Only",$R183&lt;&gt;"Terminated")),"Status, ","")&amp;IF($S183="","Plan Name, ","")&amp;IF($T183="","Coverage Level, ","")&amp;IF(AND($U183&lt;&gt;"",OR(NOT(ISNUMBER($U183)),$U183&lt;0)),"Funding, ","")&amp;IF(AND($A183&lt;&gt;"",$S183&lt;&gt;"",COUNTIFS($A$2:$A$501,$A183,$B$2:$B$501,$B183,$S$2:$S$501,$S183)&gt;1),"Duplicate Row, ",""))</f>
        <v/>
      </c>
      <c r="AF183">
        <f>IF(COUNTA($A183:$U183)=0,"",$Y183&amp;$Z183&amp;$AA183&amp;$AB183&amp;$AC183)</f>
        <v/>
      </c>
      <c r="AG183">
        <f>IF($N183="","",LOWER(TRIM($N183)))</f>
        <v/>
      </c>
      <c r="AH183">
        <f>IF($A183="","",COUNTIFS($A$2:$A$501,$A183,$AI$2:$AI$501,1))</f>
        <v/>
      </c>
      <c r="AI183">
        <f>IF(COUNTA($A183:$U183)=0,"",--($AF183&lt;&gt;""))</f>
        <v/>
      </c>
      <c r="AJ183">
        <f>IF(COUNTA($A183:$U183)=0,"",--($AD183&lt;&gt;""))</f>
        <v/>
      </c>
    </row>
    <row r="184" ht="20" customHeight="1">
      <c r="A184" s="80" t="n"/>
      <c r="B184" s="80" t="n"/>
      <c r="C184" s="81" t="n"/>
      <c r="D184" s="81" t="n"/>
      <c r="E184" s="80" t="n"/>
      <c r="F184" s="81" t="n"/>
      <c r="G184" s="81" t="n"/>
      <c r="H184" s="81" t="n"/>
      <c r="I184" s="80" t="n"/>
      <c r="J184" s="80" t="n"/>
      <c r="K184" s="80" t="n"/>
      <c r="L184" s="82" t="n"/>
      <c r="M184" s="80" t="n"/>
      <c r="N184" s="80" t="n"/>
      <c r="O184" s="80" t="n"/>
      <c r="P184" s="82" t="n"/>
      <c r="Q184" s="82" t="n"/>
      <c r="R184" s="80" t="n"/>
      <c r="S184" s="80" t="n"/>
      <c r="T184" s="80" t="n"/>
      <c r="U184" s="83" t="n"/>
      <c r="V184">
        <f>IF($A184="","",IF($A184=$A183,$V183,IF($V183="",0,1-$V183)))</f>
        <v/>
      </c>
      <c r="W184">
        <f>IF($B184&lt;&gt;"",$B184,$A184)</f>
        <v/>
      </c>
      <c r="X184">
        <f>IF(COUNTA($A184:$U184)=0,"",IF(OR($B184&lt;&gt;"",$O184&lt;&gt;""),"Dependent","Employee"))</f>
        <v/>
      </c>
      <c r="Y184">
        <f>IF(COUNTA($A184:$U184)=0,"",IF($A184="","Employee SSN is required; ","")&amp;IF($C184="","First Name is required; ","")&amp;IF(LEN($C184&amp;"")&gt;19,"First Name exceeds 19 characters; ","")&amp;IF(AND($C184&lt;&gt;"",SUMPRODUCT(--(ROW($1:$19)&lt;=LEN($C184&amp;"")),--ISERROR(FIND(MID($C184&amp;"",ROW($1:$19),1),"ABCDEFGHIJKLMNOPQRSTUVWXYZabcdefghijklmnopqrstuvwxyz .,")))&gt;0),"First Name contains unsupported or encoded characters; use plain A-Z letters only; ","")&amp;IF($D184="","Last Name is required; ","")&amp;IF(LEN($D184&amp;"")&gt;26,"Last Name exceeds 26 characters; ","")&amp;IF(AND($D184&lt;&gt;"",SUMPRODUCT(--(ROW($1:$26)&lt;=LEN($D184&amp;"")),--ISERROR(FIND(MID($D184&amp;"",ROW($1:$26),1),"ABCDEFGHIJKLMNOPQRSTUVWXYZabcdefghijklmnopqrstuvwxyz .,")))&gt;0),"Last Name contains unsupported or encoded characters; use plain A-Z letters only; ","")&amp;IF(LEN($E184&amp;"")&gt;1,"Middle Initial may contain only one character; ","")&amp;IF(AND($E184&lt;&gt;"",SUMPRODUCT(--(ROW($1:$1)&lt;=LEN($E184&amp;"")),--ISERROR(FIND(MID($E184&amp;"",ROW($1:$1),1),"ABCDEFGHIJKLMNOPQRSTUVWXYZabcdefghijklmnopqrstuvwxyz .,")))&gt;0),"Middle Initial must be a plain A-Z letter; ","")&amp;IF($F184="","Address is required; ","")&amp;IF(LEN($F184&amp;"")&gt;75,"Address exceeds 75 characters; ","")&amp;IF(LEN($G184&amp;"")&gt;75,"Address 2 exceeds 75 characters; ","")&amp;IF($H184="","City is required; ","")&amp;IF(LEN($H184&amp;"")&gt;30,"City exceeds 30 characters; ","")&amp;IF($K184="","Country is required; ","")&amp;IF(AND($K184&lt;&gt;"",$K184&lt;&gt;"US",$K184&lt;&gt;"CA"),"Country must be US or CA; ","")&amp;IF(AND($K184="US",OR($I184="",LEN($I184&amp;"")&lt;&gt;2)),"Use a 2-letter state code; ","")&amp;IF($J184="","ZIP or postal code is required; ","")&amp;IF(AND($K184="US",$J184&lt;&gt;"",NOT(IFERROR(OR(AND(LEN($J184&amp;"")=5,ISNUMBER(--($J184&amp;""))),AND(LEN($J184&amp;"")=9,ISNUMBER(--($J184&amp;""))),AND(LEN($J184&amp;"")=10,MID($J184&amp;"",6,1)="-",ISNUMBER(--SUBSTITUTE($J184&amp;"","-","")))),FALSE))),"US ZIP must be 5 or 9 digits, with an optional ZIP+4 hyphen; ","")&amp;IF(AND($N184&lt;&gt;"",NOT(IFERROR(AND(ISNUMBER(SEARCH("@",$N184)),ISNUMBER(SEARCH(".",$N184,SEARCH("@",$N184)+2))),FALSE))),"Email format appears invalid; ","")&amp;IF(AND($O184&lt;&gt;"",$B184=""),"Dependent SSN is required for every dependent; ","")&amp;IF(AND($B184&lt;&gt;"",$O184=""),"Dependent Relationship is required when Dependent SSN is entered; ","")&amp;IF(AND($O184&lt;&gt;"",$O184&lt;&gt;"Spouse or Common Law Spouse",$O184&lt;&gt;"Domestic Partner",$O184&lt;&gt;"Child",$O184&lt;&gt;"Other",$O184&lt;&gt;"Estate",$O184&lt;&gt;"Unknown"),"Dependent Relationship must use one of the approved options; ",""))</f>
        <v/>
      </c>
      <c r="Z184">
        <f>IF(COUNTA($A184:$U184)=0,"",IF(AND($A184&lt;&gt;"",NOT(IFERROR(AND(LEN($A184&amp;"")=9,ISNUMBER(--($A184&amp;""))),FALSE))),"Employee SSN must contain exactly 9 digits; ","")&amp;IF(AND($A184&lt;&gt;"",OR($A184="123456789",$A184="987654321",$A184="012345678",$A184=REPT(LEFT($A184&amp;"",1),9))),"Employee SSN appears to be a placeholder; ","")&amp;IF(AND($B184&lt;&gt;"",NOT(IFERROR(AND(LEN($B184&amp;"")=9,ISNUMBER(--($B184&amp;""))),FALSE))),"Dependent SSN must contain exactly 9 digits; ","")&amp;IF(AND($B184&lt;&gt;"",OR($B184="123456789",$B184="987654321",$B184="012345678",$B184=REPT(LEFT($B184&amp;"",1),9))),"Dependent SSN appears to be a placeholder; ","")&amp;IF(AND($A184&lt;&gt;"",$B184&lt;&gt;"",$A184&amp;""=$B184&amp;""),"Dependent SSN cannot match Employee SSN; ","")&amp;IF(AND($W184&lt;&gt;"",OR(COUNTIFS($W$2:$W$501,$W184,$C$2:$C$501,"&lt;&gt;"&amp;$C184)&gt;0,COUNTIFS($W$2:$W$501,$W184,$D$2:$D$501,"&lt;&gt;"&amp;$D184)&gt;0,COUNTIFS($W$2:$W$501,$W184,$L$2:$L$501,"&lt;&gt;"&amp;$L184)&gt;0)),"The same SSN is associated with a different name or birthdate; ",""))</f>
        <v/>
      </c>
      <c r="AA184">
        <f>IF(COUNTA($A184:$U184)=0,"",IF(AND($A184&lt;&gt;"",$S184&lt;&gt;"",COUNTIFS($A$2:$A$501,$A184,$S$2:$S$501,$S184,$B$2:$B$501,"",$O$2:$O$501,"")=0),"Add an employee row for this household and plan; ","")&amp;IF(AND($X184="Dependent",COUNTIFS($A$2:$A184,$A184,$S$2:$S184,$S184,$B$2:$B184,"",$O$2:$O184,"")=0),"Place the employee row before dependent rows for this plan; ","")&amp;IF(AND($X184="Dependent",COUNTIFS($A$2:$A$501,$A184,$S$2:$S$501,$S184,$B$2:$B$501,"",$O$2:$O$501,"")&gt;0,IFERROR(OR($P184&lt;&gt;LOOKUP(2,1/(($A$2:$A$501=$A184)*($S$2:$S$501=$S184)*($B$2:$B$501="")*($O$2:$O$501="")),$P$2:$P$501),$Q184&lt;&gt;LOOKUP(2,1/(($A$2:$A$501=$A184)*($S$2:$S$501=$S184)*($B$2:$B$501="")*($O$2:$O$501="")),$Q$2:$Q$501),$R184&lt;&gt;LOOKUP(2,1/(($A$2:$A$501=$A184)*($S$2:$S$501=$S184)*($B$2:$B$501="")*($O$2:$O$501="")),$R$2:$R$501),$T184&lt;&gt;LOOKUP(2,1/(($A$2:$A$501=$A184)*($S$2:$S$501=$S184)*($B$2:$B$501="")*($O$2:$O$501="")),$T$2:$T$501),$U184&lt;&gt;LOOKUP(2,1/(($A$2:$A$501=$A184)*($S$2:$S$501=$S184)*($B$2:$B$501="")*($O$2:$O$501="")),$U$2:$U$501)),FALSE)),"Dependent row does not match the employee row for eligibility, status, coverage level, or funding; ",""))</f>
        <v/>
      </c>
      <c r="AB184">
        <f>IF(COUNTA($A184:$U184)=0,"",IF($L184="","Birthdate is required; ","")&amp;IF(AND($L184&lt;&gt;"",OR(NOT(ISNUMBER($L184)),$L184&lt;=DATE(1900,1,1),$L184&gt;TODAY())),"Birthdate must be an exact valid past date; ","")&amp;IF($P184="","Eligibility Date is required; ","")&amp;IF(AND($P184&lt;&gt;"",OR(NOT(ISNUMBER($P184)),$P184&lt;=DATE(1900,1,1))),"Eligibility Date must be a valid date; ","")&amp;IF(AND($R184="Terminated",$Q184=""),"Termination Date is required when Status is Terminated; ","")&amp;IF(AND($Q184&lt;&gt;"",OR(NOT(ISNUMBER($Q184)),$Q184&lt;=DATE(1900,1,1))),"Termination Date must be a valid date; ","")&amp;IF(AND(ISNUMBER($P184),ISNUMBER($Q184),$Q184&lt;$P184),"Termination Date cannot be before Eligibility Date; ","")&amp;IF($R184="","Status is required; ","")&amp;IF(AND($R184&lt;&gt;"",$R184&lt;&gt;"Active",$R184&lt;&gt;"Terminated"),"Status must be Active or Terminated; ","")&amp;IF(AND('START HERE'!$C$8="Terminations Only",$R184&lt;&gt;"Terminated"),"Terminations Only files must contain terminated records; ",""))</f>
        <v/>
      </c>
      <c r="AC184">
        <f>IF(COUNTA($A184:$U184)=0,"",IF($S184="","Plan Name is required; ","")&amp;IF($T184="","Benefit Coverage Level is required; ","")&amp;IF(AND($U184&lt;&gt;"",OR(NOT(ISNUMBER($U184)),$U184&lt;0)),"Plan Funding Amount must be a nonnegative number; ","")&amp;IF(AND($A184&lt;&gt;"",$S184&lt;&gt;"",COUNTIFS($A$2:$A$501,$A184,$B$2:$B$501,$B184,$S$2:$S$501,$S184)&gt;1),"Duplicate participant and plan row; ",""))</f>
        <v/>
      </c>
      <c r="AD184">
        <f>IF(COUNTA($A184:$U184)=0,"",IF(AND($X184="Employee",$M184="",$N184=""),"No employee phone or email provided; ","")&amp;IF(AND($R184="Active",$Q184&lt;&gt;""),"Active record includes a Termination Date; confirm this is intentional; ","")&amp;IF(AND($B184&lt;&gt;"",$B184&amp;""&lt;&gt;$A184&amp;"",COUNTIF($A$2:$A$501,$B184)&gt;0),"Dependent SSN also appears as an Employee SSN elsewhere; confirm dual-employee coverage is intentional; ","")&amp;IF(AND($B184&lt;&gt;"",COUNTIF($B$2:$B$501,$B184)&gt;COUNTIFS($A$2:$A$501,$A184,$B$2:$B$501,$B184)),"Dependent SSN appears under more than one employee; confirm duplicate family coverage is intentional; ","")&amp;IF(AND(ROW()&gt;2,$A184&lt;&gt;"",$A184&lt;&gt;$A183,COUNTIF($A$2:$A183,$A184)&gt;0),"This household appears in more than one section of the census; keep the family together; ","")&amp;IF(OR(AND($C184&lt;&gt;"",LEN($C184&amp;"")&lt;&gt;LEN(TRIM($C184&amp;""))),AND($D184&lt;&gt;"",LEN($D184&amp;"")&lt;&gt;LEN(TRIM($D184&amp;""))),AND($E184&lt;&gt;"",LEN($E184&amp;"")&lt;&gt;LEN(TRIM($E184&amp;""))),AND($F184&lt;&gt;"",LEN($F184&amp;"")&lt;&gt;LEN(TRIM($F184&amp;""))),AND($G184&lt;&gt;"",LEN($G184&amp;"")&lt;&gt;LEN(TRIM($G184&amp;""))),AND($H184&lt;&gt;"",LEN($H184&amp;"")&lt;&gt;LEN(TRIM($H184&amp;""))),AND($I184&lt;&gt;"",LEN($I184&amp;"")&lt;&gt;LEN(TRIM($I184&amp;""))),AND($J184&lt;&gt;"",LEN($J184&amp;"")&lt;&gt;LEN(TRIM($J184&amp;""))),AND($K184&lt;&gt;"",LEN($K184&amp;"")&lt;&gt;LEN(TRIM($K184&amp;""))),AND($M184&lt;&gt;"",LEN($M184&amp;"")&lt;&gt;LEN(TRIM($M184&amp;""))),AND($N184&lt;&gt;"",LEN($N184&amp;"")&lt;&gt;LEN(TRIM($N184&amp;""))),AND($O184&lt;&gt;"",LEN($O184&amp;"")&lt;&gt;LEN(TRIM($O184&amp;""))),AND($R184&lt;&gt;"",LEN($R184&amp;"")&lt;&gt;LEN(TRIM($R184&amp;""))),AND($S184&lt;&gt;"",LEN($S184&amp;"")&lt;&gt;LEN(TRIM($S184&amp;""))),AND($T184&lt;&gt;"",LEN($T184&amp;"")&lt;&gt;LEN(TRIM($T184&amp;"")))),"Remove leading or trailing spaces from text fields; ","")&amp;IF(OR(AND(LEN($C184)&gt;1,OR(EXACT($C184,UPPER($C184)),EXACT($C184,LOWER($C184)))),AND(LEN($D184)&gt;1,OR(EXACT($D184,UPPER($D184)),EXACT($D184,LOWER($D184)))),AND(LEN($H184)&gt;1,OR(EXACT($H184,UPPER($H184)),EXACT($H184,LOWER($H184))))),"Review capitalization in First Name, Last Name, or City; ","")&amp;IF(AND($N184&lt;&gt;"",NOT(EXACT($N184,LOWER($N184)))),"Email will be standardized to lowercase in the clean output; ","")&amp;IF(AND(OR('START HERE'!$C$8="Initial Enrollment",'START HERE'!$C$8="Open Enrollment"),$R184="Terminated"),"A terminated row is included in an initial or open enrollment file; confirm this is intentional; ",""))</f>
        <v/>
      </c>
      <c r="AE184">
        <f>IF(COUNTA($A184:$U184)=0,"",IF(OR($A184="",AND($A184&lt;&gt;"",NOT(IFERROR(AND(LEN($A184&amp;"")=9,ISNUMBER(--($A184&amp;""))),FALSE))),AND($A184&lt;&gt;"",OR($A184="123456789",$A184="987654321",$A184="012345678",$A184=REPT(LEFT($A184&amp;"",1),9)))),"Employee SSN, ","")&amp;IF(OR(AND($O184&lt;&gt;"",$B184=""),AND($B184&lt;&gt;"",OR(NOT(IFERROR(AND(LEN($B184&amp;"")=9,ISNUMBER(--($B184&amp;""))),FALSE)),$B184=$A184,$B184="123456789",$B184="987654321",$B184="012345678",$B184=REPT(LEFT($B184&amp;"",1),9)))),"Dependent SSN, ","")&amp;IF(OR($C184="",LEN($C184)&gt;19,AND($C184&lt;&gt;"",SUMPRODUCT(--(ROW($1:$19)&lt;=LEN($C184&amp;"")),--ISERROR(FIND(MID($C184&amp;"",ROW($1:$19),1),"ABCDEFGHIJKLMNOPQRSTUVWXYZabcdefghijklmnopqrstuvwxyz .,")))&gt;0)),"First Name, ","")&amp;IF(OR($D184="",LEN($D184)&gt;26,AND($D184&lt;&gt;"",SUMPRODUCT(--(ROW($1:$26)&lt;=LEN($D184&amp;"")),--ISERROR(FIND(MID($D184&amp;"",ROW($1:$26),1),"ABCDEFGHIJKLMNOPQRSTUVWXYZabcdefghijklmnopqrstuvwxyz .,")))&gt;0)),"Last Name, ","")&amp;IF(OR(LEN($E184)&gt;1,AND($E184&lt;&gt;"",SUMPRODUCT(--(ROW($1:$1)&lt;=LEN($E184&amp;"")),--ISERROR(FIND(MID($E184&amp;"",ROW($1:$1),1),"ABCDEFGHIJKLMNOPQRSTUVWXYZabcdefghijklmnopqrstuvwxyz .,")))&gt;0)),"Middle Initial, ","")&amp;IF(OR($F184="",LEN($F184)&gt;75),"Address, ","")&amp;IF(OR($H184="",LEN($H184)&gt;30),"City, ","")&amp;IF(AND($K184="US",OR($I184="",LEN($I184)&lt;&gt;2)),"State, ","")&amp;IF($J184="","ZIP, ","")&amp;IF(OR($K184="",AND($K184&lt;&gt;"US",$K184&lt;&gt;"CA")),"Country, ","")&amp;IF(OR($L184="",AND($L184&lt;&gt;"",OR(NOT(ISNUMBER($L184)),$L184&lt;=DATE(1900,1,1),$L184&gt;TODAY()))),"Birthdate, ","")&amp;IF(AND($N184&lt;&gt;"",NOT(IFERROR(AND(ISNUMBER(SEARCH("@",$N184)),ISNUMBER(SEARCH(".",$N184,SEARCH("@",$N184)+2))),FALSE))),"Email, ","")&amp;IF(OR(AND($B184&lt;&gt;"",$O184=""),AND($O184&lt;&gt;"",$O184&lt;&gt;"Spouse or Common Law Spouse",$O184&lt;&gt;"Domestic Partner",$O184&lt;&gt;"Child",$O184&lt;&gt;"Other",$O184&lt;&gt;"Estate",$O184&lt;&gt;"Unknown")),"Dependent Relationship, ","")&amp;IF($AA184&lt;&gt;"","Household, ","")&amp;IF(OR($P184="",AND($P184&lt;&gt;"",OR(NOT(ISNUMBER($P184)),$P184&lt;=DATE(1900,1,1)))),"Eligibility Date, ","")&amp;IF(OR(AND($R184="Terminated",$Q184=""),AND($Q184&lt;&gt;"",OR(NOT(ISNUMBER($Q184)),$Q184&lt;=DATE(1900,1,1))),AND(ISNUMBER($P184),ISNUMBER($Q184),$Q184&lt;$P184)),"Termination Date, ","")&amp;IF(OR($R184="",AND($R184&lt;&gt;"Active",$R184&lt;&gt;"Terminated"),AND('START HERE'!$C$8="Terminations Only",$R184&lt;&gt;"Terminated")),"Status, ","")&amp;IF($S184="","Plan Name, ","")&amp;IF($T184="","Coverage Level, ","")&amp;IF(AND($U184&lt;&gt;"",OR(NOT(ISNUMBER($U184)),$U184&lt;0)),"Funding, ","")&amp;IF(AND($A184&lt;&gt;"",$S184&lt;&gt;"",COUNTIFS($A$2:$A$501,$A184,$B$2:$B$501,$B184,$S$2:$S$501,$S184)&gt;1),"Duplicate Row, ",""))</f>
        <v/>
      </c>
      <c r="AF184">
        <f>IF(COUNTA($A184:$U184)=0,"",$Y184&amp;$Z184&amp;$AA184&amp;$AB184&amp;$AC184)</f>
        <v/>
      </c>
      <c r="AG184">
        <f>IF($N184="","",LOWER(TRIM($N184)))</f>
        <v/>
      </c>
      <c r="AH184">
        <f>IF($A184="","",COUNTIFS($A$2:$A$501,$A184,$AI$2:$AI$501,1))</f>
        <v/>
      </c>
      <c r="AI184">
        <f>IF(COUNTA($A184:$U184)=0,"",--($AF184&lt;&gt;""))</f>
        <v/>
      </c>
      <c r="AJ184">
        <f>IF(COUNTA($A184:$U184)=0,"",--($AD184&lt;&gt;""))</f>
        <v/>
      </c>
    </row>
    <row r="185" ht="20" customHeight="1">
      <c r="A185" s="80" t="n"/>
      <c r="B185" s="80" t="n"/>
      <c r="C185" s="81" t="n"/>
      <c r="D185" s="81" t="n"/>
      <c r="E185" s="80" t="n"/>
      <c r="F185" s="81" t="n"/>
      <c r="G185" s="81" t="n"/>
      <c r="H185" s="81" t="n"/>
      <c r="I185" s="80" t="n"/>
      <c r="J185" s="80" t="n"/>
      <c r="K185" s="80" t="n"/>
      <c r="L185" s="82" t="n"/>
      <c r="M185" s="80" t="n"/>
      <c r="N185" s="80" t="n"/>
      <c r="O185" s="80" t="n"/>
      <c r="P185" s="82" t="n"/>
      <c r="Q185" s="82" t="n"/>
      <c r="R185" s="80" t="n"/>
      <c r="S185" s="80" t="n"/>
      <c r="T185" s="80" t="n"/>
      <c r="U185" s="83" t="n"/>
      <c r="V185">
        <f>IF($A185="","",IF($A185=$A184,$V184,IF($V184="",0,1-$V184)))</f>
        <v/>
      </c>
      <c r="W185">
        <f>IF($B185&lt;&gt;"",$B185,$A185)</f>
        <v/>
      </c>
      <c r="X185">
        <f>IF(COUNTA($A185:$U185)=0,"",IF(OR($B185&lt;&gt;"",$O185&lt;&gt;""),"Dependent","Employee"))</f>
        <v/>
      </c>
      <c r="Y185">
        <f>IF(COUNTA($A185:$U185)=0,"",IF($A185="","Employee SSN is required; ","")&amp;IF($C185="","First Name is required; ","")&amp;IF(LEN($C185&amp;"")&gt;19,"First Name exceeds 19 characters; ","")&amp;IF(AND($C185&lt;&gt;"",SUMPRODUCT(--(ROW($1:$19)&lt;=LEN($C185&amp;"")),--ISERROR(FIND(MID($C185&amp;"",ROW($1:$19),1),"ABCDEFGHIJKLMNOPQRSTUVWXYZabcdefghijklmnopqrstuvwxyz .,")))&gt;0),"First Name contains unsupported or encoded characters; use plain A-Z letters only; ","")&amp;IF($D185="","Last Name is required; ","")&amp;IF(LEN($D185&amp;"")&gt;26,"Last Name exceeds 26 characters; ","")&amp;IF(AND($D185&lt;&gt;"",SUMPRODUCT(--(ROW($1:$26)&lt;=LEN($D185&amp;"")),--ISERROR(FIND(MID($D185&amp;"",ROW($1:$26),1),"ABCDEFGHIJKLMNOPQRSTUVWXYZabcdefghijklmnopqrstuvwxyz .,")))&gt;0),"Last Name contains unsupported or encoded characters; use plain A-Z letters only; ","")&amp;IF(LEN($E185&amp;"")&gt;1,"Middle Initial may contain only one character; ","")&amp;IF(AND($E185&lt;&gt;"",SUMPRODUCT(--(ROW($1:$1)&lt;=LEN($E185&amp;"")),--ISERROR(FIND(MID($E185&amp;"",ROW($1:$1),1),"ABCDEFGHIJKLMNOPQRSTUVWXYZabcdefghijklmnopqrstuvwxyz .,")))&gt;0),"Middle Initial must be a plain A-Z letter; ","")&amp;IF($F185="","Address is required; ","")&amp;IF(LEN($F185&amp;"")&gt;75,"Address exceeds 75 characters; ","")&amp;IF(LEN($G185&amp;"")&gt;75,"Address 2 exceeds 75 characters; ","")&amp;IF($H185="","City is required; ","")&amp;IF(LEN($H185&amp;"")&gt;30,"City exceeds 30 characters; ","")&amp;IF($K185="","Country is required; ","")&amp;IF(AND($K185&lt;&gt;"",$K185&lt;&gt;"US",$K185&lt;&gt;"CA"),"Country must be US or CA; ","")&amp;IF(AND($K185="US",OR($I185="",LEN($I185&amp;"")&lt;&gt;2)),"Use a 2-letter state code; ","")&amp;IF($J185="","ZIP or postal code is required; ","")&amp;IF(AND($K185="US",$J185&lt;&gt;"",NOT(IFERROR(OR(AND(LEN($J185&amp;"")=5,ISNUMBER(--($J185&amp;""))),AND(LEN($J185&amp;"")=9,ISNUMBER(--($J185&amp;""))),AND(LEN($J185&amp;"")=10,MID($J185&amp;"",6,1)="-",ISNUMBER(--SUBSTITUTE($J185&amp;"","-","")))),FALSE))),"US ZIP must be 5 or 9 digits, with an optional ZIP+4 hyphen; ","")&amp;IF(AND($N185&lt;&gt;"",NOT(IFERROR(AND(ISNUMBER(SEARCH("@",$N185)),ISNUMBER(SEARCH(".",$N185,SEARCH("@",$N185)+2))),FALSE))),"Email format appears invalid; ","")&amp;IF(AND($O185&lt;&gt;"",$B185=""),"Dependent SSN is required for every dependent; ","")&amp;IF(AND($B185&lt;&gt;"",$O185=""),"Dependent Relationship is required when Dependent SSN is entered; ","")&amp;IF(AND($O185&lt;&gt;"",$O185&lt;&gt;"Spouse or Common Law Spouse",$O185&lt;&gt;"Domestic Partner",$O185&lt;&gt;"Child",$O185&lt;&gt;"Other",$O185&lt;&gt;"Estate",$O185&lt;&gt;"Unknown"),"Dependent Relationship must use one of the approved options; ",""))</f>
        <v/>
      </c>
      <c r="Z185">
        <f>IF(COUNTA($A185:$U185)=0,"",IF(AND($A185&lt;&gt;"",NOT(IFERROR(AND(LEN($A185&amp;"")=9,ISNUMBER(--($A185&amp;""))),FALSE))),"Employee SSN must contain exactly 9 digits; ","")&amp;IF(AND($A185&lt;&gt;"",OR($A185="123456789",$A185="987654321",$A185="012345678",$A185=REPT(LEFT($A185&amp;"",1),9))),"Employee SSN appears to be a placeholder; ","")&amp;IF(AND($B185&lt;&gt;"",NOT(IFERROR(AND(LEN($B185&amp;"")=9,ISNUMBER(--($B185&amp;""))),FALSE))),"Dependent SSN must contain exactly 9 digits; ","")&amp;IF(AND($B185&lt;&gt;"",OR($B185="123456789",$B185="987654321",$B185="012345678",$B185=REPT(LEFT($B185&amp;"",1),9))),"Dependent SSN appears to be a placeholder; ","")&amp;IF(AND($A185&lt;&gt;"",$B185&lt;&gt;"",$A185&amp;""=$B185&amp;""),"Dependent SSN cannot match Employee SSN; ","")&amp;IF(AND($W185&lt;&gt;"",OR(COUNTIFS($W$2:$W$501,$W185,$C$2:$C$501,"&lt;&gt;"&amp;$C185)&gt;0,COUNTIFS($W$2:$W$501,$W185,$D$2:$D$501,"&lt;&gt;"&amp;$D185)&gt;0,COUNTIFS($W$2:$W$501,$W185,$L$2:$L$501,"&lt;&gt;"&amp;$L185)&gt;0)),"The same SSN is associated with a different name or birthdate; ",""))</f>
        <v/>
      </c>
      <c r="AA185">
        <f>IF(COUNTA($A185:$U185)=0,"",IF(AND($A185&lt;&gt;"",$S185&lt;&gt;"",COUNTIFS($A$2:$A$501,$A185,$S$2:$S$501,$S185,$B$2:$B$501,"",$O$2:$O$501,"")=0),"Add an employee row for this household and plan; ","")&amp;IF(AND($X185="Dependent",COUNTIFS($A$2:$A185,$A185,$S$2:$S185,$S185,$B$2:$B185,"",$O$2:$O185,"")=0),"Place the employee row before dependent rows for this plan; ","")&amp;IF(AND($X185="Dependent",COUNTIFS($A$2:$A$501,$A185,$S$2:$S$501,$S185,$B$2:$B$501,"",$O$2:$O$501,"")&gt;0,IFERROR(OR($P185&lt;&gt;LOOKUP(2,1/(($A$2:$A$501=$A185)*($S$2:$S$501=$S185)*($B$2:$B$501="")*($O$2:$O$501="")),$P$2:$P$501),$Q185&lt;&gt;LOOKUP(2,1/(($A$2:$A$501=$A185)*($S$2:$S$501=$S185)*($B$2:$B$501="")*($O$2:$O$501="")),$Q$2:$Q$501),$R185&lt;&gt;LOOKUP(2,1/(($A$2:$A$501=$A185)*($S$2:$S$501=$S185)*($B$2:$B$501="")*($O$2:$O$501="")),$R$2:$R$501),$T185&lt;&gt;LOOKUP(2,1/(($A$2:$A$501=$A185)*($S$2:$S$501=$S185)*($B$2:$B$501="")*($O$2:$O$501="")),$T$2:$T$501),$U185&lt;&gt;LOOKUP(2,1/(($A$2:$A$501=$A185)*($S$2:$S$501=$S185)*($B$2:$B$501="")*($O$2:$O$501="")),$U$2:$U$501)),FALSE)),"Dependent row does not match the employee row for eligibility, status, coverage level, or funding; ",""))</f>
        <v/>
      </c>
      <c r="AB185">
        <f>IF(COUNTA($A185:$U185)=0,"",IF($L185="","Birthdate is required; ","")&amp;IF(AND($L185&lt;&gt;"",OR(NOT(ISNUMBER($L185)),$L185&lt;=DATE(1900,1,1),$L185&gt;TODAY())),"Birthdate must be an exact valid past date; ","")&amp;IF($P185="","Eligibility Date is required; ","")&amp;IF(AND($P185&lt;&gt;"",OR(NOT(ISNUMBER($P185)),$P185&lt;=DATE(1900,1,1))),"Eligibility Date must be a valid date; ","")&amp;IF(AND($R185="Terminated",$Q185=""),"Termination Date is required when Status is Terminated; ","")&amp;IF(AND($Q185&lt;&gt;"",OR(NOT(ISNUMBER($Q185)),$Q185&lt;=DATE(1900,1,1))),"Termination Date must be a valid date; ","")&amp;IF(AND(ISNUMBER($P185),ISNUMBER($Q185),$Q185&lt;$P185),"Termination Date cannot be before Eligibility Date; ","")&amp;IF($R185="","Status is required; ","")&amp;IF(AND($R185&lt;&gt;"",$R185&lt;&gt;"Active",$R185&lt;&gt;"Terminated"),"Status must be Active or Terminated; ","")&amp;IF(AND('START HERE'!$C$8="Terminations Only",$R185&lt;&gt;"Terminated"),"Terminations Only files must contain terminated records; ",""))</f>
        <v/>
      </c>
      <c r="AC185">
        <f>IF(COUNTA($A185:$U185)=0,"",IF($S185="","Plan Name is required; ","")&amp;IF($T185="","Benefit Coverage Level is required; ","")&amp;IF(AND($U185&lt;&gt;"",OR(NOT(ISNUMBER($U185)),$U185&lt;0)),"Plan Funding Amount must be a nonnegative number; ","")&amp;IF(AND($A185&lt;&gt;"",$S185&lt;&gt;"",COUNTIFS($A$2:$A$501,$A185,$B$2:$B$501,$B185,$S$2:$S$501,$S185)&gt;1),"Duplicate participant and plan row; ",""))</f>
        <v/>
      </c>
      <c r="AD185">
        <f>IF(COUNTA($A185:$U185)=0,"",IF(AND($X185="Employee",$M185="",$N185=""),"No employee phone or email provided; ","")&amp;IF(AND($R185="Active",$Q185&lt;&gt;""),"Active record includes a Termination Date; confirm this is intentional; ","")&amp;IF(AND($B185&lt;&gt;"",$B185&amp;""&lt;&gt;$A185&amp;"",COUNTIF($A$2:$A$501,$B185)&gt;0),"Dependent SSN also appears as an Employee SSN elsewhere; confirm dual-employee coverage is intentional; ","")&amp;IF(AND($B185&lt;&gt;"",COUNTIF($B$2:$B$501,$B185)&gt;COUNTIFS($A$2:$A$501,$A185,$B$2:$B$501,$B185)),"Dependent SSN appears under more than one employee; confirm duplicate family coverage is intentional; ","")&amp;IF(AND(ROW()&gt;2,$A185&lt;&gt;"",$A185&lt;&gt;$A184,COUNTIF($A$2:$A184,$A185)&gt;0),"This household appears in more than one section of the census; keep the family together; ","")&amp;IF(OR(AND($C185&lt;&gt;"",LEN($C185&amp;"")&lt;&gt;LEN(TRIM($C185&amp;""))),AND($D185&lt;&gt;"",LEN($D185&amp;"")&lt;&gt;LEN(TRIM($D185&amp;""))),AND($E185&lt;&gt;"",LEN($E185&amp;"")&lt;&gt;LEN(TRIM($E185&amp;""))),AND($F185&lt;&gt;"",LEN($F185&amp;"")&lt;&gt;LEN(TRIM($F185&amp;""))),AND($G185&lt;&gt;"",LEN($G185&amp;"")&lt;&gt;LEN(TRIM($G185&amp;""))),AND($H185&lt;&gt;"",LEN($H185&amp;"")&lt;&gt;LEN(TRIM($H185&amp;""))),AND($I185&lt;&gt;"",LEN($I185&amp;"")&lt;&gt;LEN(TRIM($I185&amp;""))),AND($J185&lt;&gt;"",LEN($J185&amp;"")&lt;&gt;LEN(TRIM($J185&amp;""))),AND($K185&lt;&gt;"",LEN($K185&amp;"")&lt;&gt;LEN(TRIM($K185&amp;""))),AND($M185&lt;&gt;"",LEN($M185&amp;"")&lt;&gt;LEN(TRIM($M185&amp;""))),AND($N185&lt;&gt;"",LEN($N185&amp;"")&lt;&gt;LEN(TRIM($N185&amp;""))),AND($O185&lt;&gt;"",LEN($O185&amp;"")&lt;&gt;LEN(TRIM($O185&amp;""))),AND($R185&lt;&gt;"",LEN($R185&amp;"")&lt;&gt;LEN(TRIM($R185&amp;""))),AND($S185&lt;&gt;"",LEN($S185&amp;"")&lt;&gt;LEN(TRIM($S185&amp;""))),AND($T185&lt;&gt;"",LEN($T185&amp;"")&lt;&gt;LEN(TRIM($T185&amp;"")))),"Remove leading or trailing spaces from text fields; ","")&amp;IF(OR(AND(LEN($C185)&gt;1,OR(EXACT($C185,UPPER($C185)),EXACT($C185,LOWER($C185)))),AND(LEN($D185)&gt;1,OR(EXACT($D185,UPPER($D185)),EXACT($D185,LOWER($D185)))),AND(LEN($H185)&gt;1,OR(EXACT($H185,UPPER($H185)),EXACT($H185,LOWER($H185))))),"Review capitalization in First Name, Last Name, or City; ","")&amp;IF(AND($N185&lt;&gt;"",NOT(EXACT($N185,LOWER($N185)))),"Email will be standardized to lowercase in the clean output; ","")&amp;IF(AND(OR('START HERE'!$C$8="Initial Enrollment",'START HERE'!$C$8="Open Enrollment"),$R185="Terminated"),"A terminated row is included in an initial or open enrollment file; confirm this is intentional; ",""))</f>
        <v/>
      </c>
      <c r="AE185">
        <f>IF(COUNTA($A185:$U185)=0,"",IF(OR($A185="",AND($A185&lt;&gt;"",NOT(IFERROR(AND(LEN($A185&amp;"")=9,ISNUMBER(--($A185&amp;""))),FALSE))),AND($A185&lt;&gt;"",OR($A185="123456789",$A185="987654321",$A185="012345678",$A185=REPT(LEFT($A185&amp;"",1),9)))),"Employee SSN, ","")&amp;IF(OR(AND($O185&lt;&gt;"",$B185=""),AND($B185&lt;&gt;"",OR(NOT(IFERROR(AND(LEN($B185&amp;"")=9,ISNUMBER(--($B185&amp;""))),FALSE)),$B185=$A185,$B185="123456789",$B185="987654321",$B185="012345678",$B185=REPT(LEFT($B185&amp;"",1),9)))),"Dependent SSN, ","")&amp;IF(OR($C185="",LEN($C185)&gt;19,AND($C185&lt;&gt;"",SUMPRODUCT(--(ROW($1:$19)&lt;=LEN($C185&amp;"")),--ISERROR(FIND(MID($C185&amp;"",ROW($1:$19),1),"ABCDEFGHIJKLMNOPQRSTUVWXYZabcdefghijklmnopqrstuvwxyz .,")))&gt;0)),"First Name, ","")&amp;IF(OR($D185="",LEN($D185)&gt;26,AND($D185&lt;&gt;"",SUMPRODUCT(--(ROW($1:$26)&lt;=LEN($D185&amp;"")),--ISERROR(FIND(MID($D185&amp;"",ROW($1:$26),1),"ABCDEFGHIJKLMNOPQRSTUVWXYZabcdefghijklmnopqrstuvwxyz .,")))&gt;0)),"Last Name, ","")&amp;IF(OR(LEN($E185)&gt;1,AND($E185&lt;&gt;"",SUMPRODUCT(--(ROW($1:$1)&lt;=LEN($E185&amp;"")),--ISERROR(FIND(MID($E185&amp;"",ROW($1:$1),1),"ABCDEFGHIJKLMNOPQRSTUVWXYZabcdefghijklmnopqrstuvwxyz .,")))&gt;0)),"Middle Initial, ","")&amp;IF(OR($F185="",LEN($F185)&gt;75),"Address, ","")&amp;IF(OR($H185="",LEN($H185)&gt;30),"City, ","")&amp;IF(AND($K185="US",OR($I185="",LEN($I185)&lt;&gt;2)),"State, ","")&amp;IF($J185="","ZIP, ","")&amp;IF(OR($K185="",AND($K185&lt;&gt;"US",$K185&lt;&gt;"CA")),"Country, ","")&amp;IF(OR($L185="",AND($L185&lt;&gt;"",OR(NOT(ISNUMBER($L185)),$L185&lt;=DATE(1900,1,1),$L185&gt;TODAY()))),"Birthdate, ","")&amp;IF(AND($N185&lt;&gt;"",NOT(IFERROR(AND(ISNUMBER(SEARCH("@",$N185)),ISNUMBER(SEARCH(".",$N185,SEARCH("@",$N185)+2))),FALSE))),"Email, ","")&amp;IF(OR(AND($B185&lt;&gt;"",$O185=""),AND($O185&lt;&gt;"",$O185&lt;&gt;"Spouse or Common Law Spouse",$O185&lt;&gt;"Domestic Partner",$O185&lt;&gt;"Child",$O185&lt;&gt;"Other",$O185&lt;&gt;"Estate",$O185&lt;&gt;"Unknown")),"Dependent Relationship, ","")&amp;IF($AA185&lt;&gt;"","Household, ","")&amp;IF(OR($P185="",AND($P185&lt;&gt;"",OR(NOT(ISNUMBER($P185)),$P185&lt;=DATE(1900,1,1)))),"Eligibility Date, ","")&amp;IF(OR(AND($R185="Terminated",$Q185=""),AND($Q185&lt;&gt;"",OR(NOT(ISNUMBER($Q185)),$Q185&lt;=DATE(1900,1,1))),AND(ISNUMBER($P185),ISNUMBER($Q185),$Q185&lt;$P185)),"Termination Date, ","")&amp;IF(OR($R185="",AND($R185&lt;&gt;"Active",$R185&lt;&gt;"Terminated"),AND('START HERE'!$C$8="Terminations Only",$R185&lt;&gt;"Terminated")),"Status, ","")&amp;IF($S185="","Plan Name, ","")&amp;IF($T185="","Coverage Level, ","")&amp;IF(AND($U185&lt;&gt;"",OR(NOT(ISNUMBER($U185)),$U185&lt;0)),"Funding, ","")&amp;IF(AND($A185&lt;&gt;"",$S185&lt;&gt;"",COUNTIFS($A$2:$A$501,$A185,$B$2:$B$501,$B185,$S$2:$S$501,$S185)&gt;1),"Duplicate Row, ",""))</f>
        <v/>
      </c>
      <c r="AF185">
        <f>IF(COUNTA($A185:$U185)=0,"",$Y185&amp;$Z185&amp;$AA185&amp;$AB185&amp;$AC185)</f>
        <v/>
      </c>
      <c r="AG185">
        <f>IF($N185="","",LOWER(TRIM($N185)))</f>
        <v/>
      </c>
      <c r="AH185">
        <f>IF($A185="","",COUNTIFS($A$2:$A$501,$A185,$AI$2:$AI$501,1))</f>
        <v/>
      </c>
      <c r="AI185">
        <f>IF(COUNTA($A185:$U185)=0,"",--($AF185&lt;&gt;""))</f>
        <v/>
      </c>
      <c r="AJ185">
        <f>IF(COUNTA($A185:$U185)=0,"",--($AD185&lt;&gt;""))</f>
        <v/>
      </c>
    </row>
    <row r="186" ht="20" customHeight="1">
      <c r="A186" s="80" t="n"/>
      <c r="B186" s="80" t="n"/>
      <c r="C186" s="81" t="n"/>
      <c r="D186" s="81" t="n"/>
      <c r="E186" s="80" t="n"/>
      <c r="F186" s="81" t="n"/>
      <c r="G186" s="81" t="n"/>
      <c r="H186" s="81" t="n"/>
      <c r="I186" s="80" t="n"/>
      <c r="J186" s="80" t="n"/>
      <c r="K186" s="80" t="n"/>
      <c r="L186" s="82" t="n"/>
      <c r="M186" s="80" t="n"/>
      <c r="N186" s="80" t="n"/>
      <c r="O186" s="80" t="n"/>
      <c r="P186" s="82" t="n"/>
      <c r="Q186" s="82" t="n"/>
      <c r="R186" s="80" t="n"/>
      <c r="S186" s="80" t="n"/>
      <c r="T186" s="80" t="n"/>
      <c r="U186" s="83" t="n"/>
      <c r="V186">
        <f>IF($A186="","",IF($A186=$A185,$V185,IF($V185="",0,1-$V185)))</f>
        <v/>
      </c>
      <c r="W186">
        <f>IF($B186&lt;&gt;"",$B186,$A186)</f>
        <v/>
      </c>
      <c r="X186">
        <f>IF(COUNTA($A186:$U186)=0,"",IF(OR($B186&lt;&gt;"",$O186&lt;&gt;""),"Dependent","Employee"))</f>
        <v/>
      </c>
      <c r="Y186">
        <f>IF(COUNTA($A186:$U186)=0,"",IF($A186="","Employee SSN is required; ","")&amp;IF($C186="","First Name is required; ","")&amp;IF(LEN($C186&amp;"")&gt;19,"First Name exceeds 19 characters; ","")&amp;IF(AND($C186&lt;&gt;"",SUMPRODUCT(--(ROW($1:$19)&lt;=LEN($C186&amp;"")),--ISERROR(FIND(MID($C186&amp;"",ROW($1:$19),1),"ABCDEFGHIJKLMNOPQRSTUVWXYZabcdefghijklmnopqrstuvwxyz .,")))&gt;0),"First Name contains unsupported or encoded characters; use plain A-Z letters only; ","")&amp;IF($D186="","Last Name is required; ","")&amp;IF(LEN($D186&amp;"")&gt;26,"Last Name exceeds 26 characters; ","")&amp;IF(AND($D186&lt;&gt;"",SUMPRODUCT(--(ROW($1:$26)&lt;=LEN($D186&amp;"")),--ISERROR(FIND(MID($D186&amp;"",ROW($1:$26),1),"ABCDEFGHIJKLMNOPQRSTUVWXYZabcdefghijklmnopqrstuvwxyz .,")))&gt;0),"Last Name contains unsupported or encoded characters; use plain A-Z letters only; ","")&amp;IF(LEN($E186&amp;"")&gt;1,"Middle Initial may contain only one character; ","")&amp;IF(AND($E186&lt;&gt;"",SUMPRODUCT(--(ROW($1:$1)&lt;=LEN($E186&amp;"")),--ISERROR(FIND(MID($E186&amp;"",ROW($1:$1),1),"ABCDEFGHIJKLMNOPQRSTUVWXYZabcdefghijklmnopqrstuvwxyz .,")))&gt;0),"Middle Initial must be a plain A-Z letter; ","")&amp;IF($F186="","Address is required; ","")&amp;IF(LEN($F186&amp;"")&gt;75,"Address exceeds 75 characters; ","")&amp;IF(LEN($G186&amp;"")&gt;75,"Address 2 exceeds 75 characters; ","")&amp;IF($H186="","City is required; ","")&amp;IF(LEN($H186&amp;"")&gt;30,"City exceeds 30 characters; ","")&amp;IF($K186="","Country is required; ","")&amp;IF(AND($K186&lt;&gt;"",$K186&lt;&gt;"US",$K186&lt;&gt;"CA"),"Country must be US or CA; ","")&amp;IF(AND($K186="US",OR($I186="",LEN($I186&amp;"")&lt;&gt;2)),"Use a 2-letter state code; ","")&amp;IF($J186="","ZIP or postal code is required; ","")&amp;IF(AND($K186="US",$J186&lt;&gt;"",NOT(IFERROR(OR(AND(LEN($J186&amp;"")=5,ISNUMBER(--($J186&amp;""))),AND(LEN($J186&amp;"")=9,ISNUMBER(--($J186&amp;""))),AND(LEN($J186&amp;"")=10,MID($J186&amp;"",6,1)="-",ISNUMBER(--SUBSTITUTE($J186&amp;"","-","")))),FALSE))),"US ZIP must be 5 or 9 digits, with an optional ZIP+4 hyphen; ","")&amp;IF(AND($N186&lt;&gt;"",NOT(IFERROR(AND(ISNUMBER(SEARCH("@",$N186)),ISNUMBER(SEARCH(".",$N186,SEARCH("@",$N186)+2))),FALSE))),"Email format appears invalid; ","")&amp;IF(AND($O186&lt;&gt;"",$B186=""),"Dependent SSN is required for every dependent; ","")&amp;IF(AND($B186&lt;&gt;"",$O186=""),"Dependent Relationship is required when Dependent SSN is entered; ","")&amp;IF(AND($O186&lt;&gt;"",$O186&lt;&gt;"Spouse or Common Law Spouse",$O186&lt;&gt;"Domestic Partner",$O186&lt;&gt;"Child",$O186&lt;&gt;"Other",$O186&lt;&gt;"Estate",$O186&lt;&gt;"Unknown"),"Dependent Relationship must use one of the approved options; ",""))</f>
        <v/>
      </c>
      <c r="Z186">
        <f>IF(COUNTA($A186:$U186)=0,"",IF(AND($A186&lt;&gt;"",NOT(IFERROR(AND(LEN($A186&amp;"")=9,ISNUMBER(--($A186&amp;""))),FALSE))),"Employee SSN must contain exactly 9 digits; ","")&amp;IF(AND($A186&lt;&gt;"",OR($A186="123456789",$A186="987654321",$A186="012345678",$A186=REPT(LEFT($A186&amp;"",1),9))),"Employee SSN appears to be a placeholder; ","")&amp;IF(AND($B186&lt;&gt;"",NOT(IFERROR(AND(LEN($B186&amp;"")=9,ISNUMBER(--($B186&amp;""))),FALSE))),"Dependent SSN must contain exactly 9 digits; ","")&amp;IF(AND($B186&lt;&gt;"",OR($B186="123456789",$B186="987654321",$B186="012345678",$B186=REPT(LEFT($B186&amp;"",1),9))),"Dependent SSN appears to be a placeholder; ","")&amp;IF(AND($A186&lt;&gt;"",$B186&lt;&gt;"",$A186&amp;""=$B186&amp;""),"Dependent SSN cannot match Employee SSN; ","")&amp;IF(AND($W186&lt;&gt;"",OR(COUNTIFS($W$2:$W$501,$W186,$C$2:$C$501,"&lt;&gt;"&amp;$C186)&gt;0,COUNTIFS($W$2:$W$501,$W186,$D$2:$D$501,"&lt;&gt;"&amp;$D186)&gt;0,COUNTIFS($W$2:$W$501,$W186,$L$2:$L$501,"&lt;&gt;"&amp;$L186)&gt;0)),"The same SSN is associated with a different name or birthdate; ",""))</f>
        <v/>
      </c>
      <c r="AA186">
        <f>IF(COUNTA($A186:$U186)=0,"",IF(AND($A186&lt;&gt;"",$S186&lt;&gt;"",COUNTIFS($A$2:$A$501,$A186,$S$2:$S$501,$S186,$B$2:$B$501,"",$O$2:$O$501,"")=0),"Add an employee row for this household and plan; ","")&amp;IF(AND($X186="Dependent",COUNTIFS($A$2:$A186,$A186,$S$2:$S186,$S186,$B$2:$B186,"",$O$2:$O186,"")=0),"Place the employee row before dependent rows for this plan; ","")&amp;IF(AND($X186="Dependent",COUNTIFS($A$2:$A$501,$A186,$S$2:$S$501,$S186,$B$2:$B$501,"",$O$2:$O$501,"")&gt;0,IFERROR(OR($P186&lt;&gt;LOOKUP(2,1/(($A$2:$A$501=$A186)*($S$2:$S$501=$S186)*($B$2:$B$501="")*($O$2:$O$501="")),$P$2:$P$501),$Q186&lt;&gt;LOOKUP(2,1/(($A$2:$A$501=$A186)*($S$2:$S$501=$S186)*($B$2:$B$501="")*($O$2:$O$501="")),$Q$2:$Q$501),$R186&lt;&gt;LOOKUP(2,1/(($A$2:$A$501=$A186)*($S$2:$S$501=$S186)*($B$2:$B$501="")*($O$2:$O$501="")),$R$2:$R$501),$T186&lt;&gt;LOOKUP(2,1/(($A$2:$A$501=$A186)*($S$2:$S$501=$S186)*($B$2:$B$501="")*($O$2:$O$501="")),$T$2:$T$501),$U186&lt;&gt;LOOKUP(2,1/(($A$2:$A$501=$A186)*($S$2:$S$501=$S186)*($B$2:$B$501="")*($O$2:$O$501="")),$U$2:$U$501)),FALSE)),"Dependent row does not match the employee row for eligibility, status, coverage level, or funding; ",""))</f>
        <v/>
      </c>
      <c r="AB186">
        <f>IF(COUNTA($A186:$U186)=0,"",IF($L186="","Birthdate is required; ","")&amp;IF(AND($L186&lt;&gt;"",OR(NOT(ISNUMBER($L186)),$L186&lt;=DATE(1900,1,1),$L186&gt;TODAY())),"Birthdate must be an exact valid past date; ","")&amp;IF($P186="","Eligibility Date is required; ","")&amp;IF(AND($P186&lt;&gt;"",OR(NOT(ISNUMBER($P186)),$P186&lt;=DATE(1900,1,1))),"Eligibility Date must be a valid date; ","")&amp;IF(AND($R186="Terminated",$Q186=""),"Termination Date is required when Status is Terminated; ","")&amp;IF(AND($Q186&lt;&gt;"",OR(NOT(ISNUMBER($Q186)),$Q186&lt;=DATE(1900,1,1))),"Termination Date must be a valid date; ","")&amp;IF(AND(ISNUMBER($P186),ISNUMBER($Q186),$Q186&lt;$P186),"Termination Date cannot be before Eligibility Date; ","")&amp;IF($R186="","Status is required; ","")&amp;IF(AND($R186&lt;&gt;"",$R186&lt;&gt;"Active",$R186&lt;&gt;"Terminated"),"Status must be Active or Terminated; ","")&amp;IF(AND('START HERE'!$C$8="Terminations Only",$R186&lt;&gt;"Terminated"),"Terminations Only files must contain terminated records; ",""))</f>
        <v/>
      </c>
      <c r="AC186">
        <f>IF(COUNTA($A186:$U186)=0,"",IF($S186="","Plan Name is required; ","")&amp;IF($T186="","Benefit Coverage Level is required; ","")&amp;IF(AND($U186&lt;&gt;"",OR(NOT(ISNUMBER($U186)),$U186&lt;0)),"Plan Funding Amount must be a nonnegative number; ","")&amp;IF(AND($A186&lt;&gt;"",$S186&lt;&gt;"",COUNTIFS($A$2:$A$501,$A186,$B$2:$B$501,$B186,$S$2:$S$501,$S186)&gt;1),"Duplicate participant and plan row; ",""))</f>
        <v/>
      </c>
      <c r="AD186">
        <f>IF(COUNTA($A186:$U186)=0,"",IF(AND($X186="Employee",$M186="",$N186=""),"No employee phone or email provided; ","")&amp;IF(AND($R186="Active",$Q186&lt;&gt;""),"Active record includes a Termination Date; confirm this is intentional; ","")&amp;IF(AND($B186&lt;&gt;"",$B186&amp;""&lt;&gt;$A186&amp;"",COUNTIF($A$2:$A$501,$B186)&gt;0),"Dependent SSN also appears as an Employee SSN elsewhere; confirm dual-employee coverage is intentional; ","")&amp;IF(AND($B186&lt;&gt;"",COUNTIF($B$2:$B$501,$B186)&gt;COUNTIFS($A$2:$A$501,$A186,$B$2:$B$501,$B186)),"Dependent SSN appears under more than one employee; confirm duplicate family coverage is intentional; ","")&amp;IF(AND(ROW()&gt;2,$A186&lt;&gt;"",$A186&lt;&gt;$A185,COUNTIF($A$2:$A185,$A186)&gt;0),"This household appears in more than one section of the census; keep the family together; ","")&amp;IF(OR(AND($C186&lt;&gt;"",LEN($C186&amp;"")&lt;&gt;LEN(TRIM($C186&amp;""))),AND($D186&lt;&gt;"",LEN($D186&amp;"")&lt;&gt;LEN(TRIM($D186&amp;""))),AND($E186&lt;&gt;"",LEN($E186&amp;"")&lt;&gt;LEN(TRIM($E186&amp;""))),AND($F186&lt;&gt;"",LEN($F186&amp;"")&lt;&gt;LEN(TRIM($F186&amp;""))),AND($G186&lt;&gt;"",LEN($G186&amp;"")&lt;&gt;LEN(TRIM($G186&amp;""))),AND($H186&lt;&gt;"",LEN($H186&amp;"")&lt;&gt;LEN(TRIM($H186&amp;""))),AND($I186&lt;&gt;"",LEN($I186&amp;"")&lt;&gt;LEN(TRIM($I186&amp;""))),AND($J186&lt;&gt;"",LEN($J186&amp;"")&lt;&gt;LEN(TRIM($J186&amp;""))),AND($K186&lt;&gt;"",LEN($K186&amp;"")&lt;&gt;LEN(TRIM($K186&amp;""))),AND($M186&lt;&gt;"",LEN($M186&amp;"")&lt;&gt;LEN(TRIM($M186&amp;""))),AND($N186&lt;&gt;"",LEN($N186&amp;"")&lt;&gt;LEN(TRIM($N186&amp;""))),AND($O186&lt;&gt;"",LEN($O186&amp;"")&lt;&gt;LEN(TRIM($O186&amp;""))),AND($R186&lt;&gt;"",LEN($R186&amp;"")&lt;&gt;LEN(TRIM($R186&amp;""))),AND($S186&lt;&gt;"",LEN($S186&amp;"")&lt;&gt;LEN(TRIM($S186&amp;""))),AND($T186&lt;&gt;"",LEN($T186&amp;"")&lt;&gt;LEN(TRIM($T186&amp;"")))),"Remove leading or trailing spaces from text fields; ","")&amp;IF(OR(AND(LEN($C186)&gt;1,OR(EXACT($C186,UPPER($C186)),EXACT($C186,LOWER($C186)))),AND(LEN($D186)&gt;1,OR(EXACT($D186,UPPER($D186)),EXACT($D186,LOWER($D186)))),AND(LEN($H186)&gt;1,OR(EXACT($H186,UPPER($H186)),EXACT($H186,LOWER($H186))))),"Review capitalization in First Name, Last Name, or City; ","")&amp;IF(AND($N186&lt;&gt;"",NOT(EXACT($N186,LOWER($N186)))),"Email will be standardized to lowercase in the clean output; ","")&amp;IF(AND(OR('START HERE'!$C$8="Initial Enrollment",'START HERE'!$C$8="Open Enrollment"),$R186="Terminated"),"A terminated row is included in an initial or open enrollment file; confirm this is intentional; ",""))</f>
        <v/>
      </c>
      <c r="AE186">
        <f>IF(COUNTA($A186:$U186)=0,"",IF(OR($A186="",AND($A186&lt;&gt;"",NOT(IFERROR(AND(LEN($A186&amp;"")=9,ISNUMBER(--($A186&amp;""))),FALSE))),AND($A186&lt;&gt;"",OR($A186="123456789",$A186="987654321",$A186="012345678",$A186=REPT(LEFT($A186&amp;"",1),9)))),"Employee SSN, ","")&amp;IF(OR(AND($O186&lt;&gt;"",$B186=""),AND($B186&lt;&gt;"",OR(NOT(IFERROR(AND(LEN($B186&amp;"")=9,ISNUMBER(--($B186&amp;""))),FALSE)),$B186=$A186,$B186="123456789",$B186="987654321",$B186="012345678",$B186=REPT(LEFT($B186&amp;"",1),9)))),"Dependent SSN, ","")&amp;IF(OR($C186="",LEN($C186)&gt;19,AND($C186&lt;&gt;"",SUMPRODUCT(--(ROW($1:$19)&lt;=LEN($C186&amp;"")),--ISERROR(FIND(MID($C186&amp;"",ROW($1:$19),1),"ABCDEFGHIJKLMNOPQRSTUVWXYZabcdefghijklmnopqrstuvwxyz .,")))&gt;0)),"First Name, ","")&amp;IF(OR($D186="",LEN($D186)&gt;26,AND($D186&lt;&gt;"",SUMPRODUCT(--(ROW($1:$26)&lt;=LEN($D186&amp;"")),--ISERROR(FIND(MID($D186&amp;"",ROW($1:$26),1),"ABCDEFGHIJKLMNOPQRSTUVWXYZabcdefghijklmnopqrstuvwxyz .,")))&gt;0)),"Last Name, ","")&amp;IF(OR(LEN($E186)&gt;1,AND($E186&lt;&gt;"",SUMPRODUCT(--(ROW($1:$1)&lt;=LEN($E186&amp;"")),--ISERROR(FIND(MID($E186&amp;"",ROW($1:$1),1),"ABCDEFGHIJKLMNOPQRSTUVWXYZabcdefghijklmnopqrstuvwxyz .,")))&gt;0)),"Middle Initial, ","")&amp;IF(OR($F186="",LEN($F186)&gt;75),"Address, ","")&amp;IF(OR($H186="",LEN($H186)&gt;30),"City, ","")&amp;IF(AND($K186="US",OR($I186="",LEN($I186)&lt;&gt;2)),"State, ","")&amp;IF($J186="","ZIP, ","")&amp;IF(OR($K186="",AND($K186&lt;&gt;"US",$K186&lt;&gt;"CA")),"Country, ","")&amp;IF(OR($L186="",AND($L186&lt;&gt;"",OR(NOT(ISNUMBER($L186)),$L186&lt;=DATE(1900,1,1),$L186&gt;TODAY()))),"Birthdate, ","")&amp;IF(AND($N186&lt;&gt;"",NOT(IFERROR(AND(ISNUMBER(SEARCH("@",$N186)),ISNUMBER(SEARCH(".",$N186,SEARCH("@",$N186)+2))),FALSE))),"Email, ","")&amp;IF(OR(AND($B186&lt;&gt;"",$O186=""),AND($O186&lt;&gt;"",$O186&lt;&gt;"Spouse or Common Law Spouse",$O186&lt;&gt;"Domestic Partner",$O186&lt;&gt;"Child",$O186&lt;&gt;"Other",$O186&lt;&gt;"Estate",$O186&lt;&gt;"Unknown")),"Dependent Relationship, ","")&amp;IF($AA186&lt;&gt;"","Household, ","")&amp;IF(OR($P186="",AND($P186&lt;&gt;"",OR(NOT(ISNUMBER($P186)),$P186&lt;=DATE(1900,1,1)))),"Eligibility Date, ","")&amp;IF(OR(AND($R186="Terminated",$Q186=""),AND($Q186&lt;&gt;"",OR(NOT(ISNUMBER($Q186)),$Q186&lt;=DATE(1900,1,1))),AND(ISNUMBER($P186),ISNUMBER($Q186),$Q186&lt;$P186)),"Termination Date, ","")&amp;IF(OR($R186="",AND($R186&lt;&gt;"Active",$R186&lt;&gt;"Terminated"),AND('START HERE'!$C$8="Terminations Only",$R186&lt;&gt;"Terminated")),"Status, ","")&amp;IF($S186="","Plan Name, ","")&amp;IF($T186="","Coverage Level, ","")&amp;IF(AND($U186&lt;&gt;"",OR(NOT(ISNUMBER($U186)),$U186&lt;0)),"Funding, ","")&amp;IF(AND($A186&lt;&gt;"",$S186&lt;&gt;"",COUNTIFS($A$2:$A$501,$A186,$B$2:$B$501,$B186,$S$2:$S$501,$S186)&gt;1),"Duplicate Row, ",""))</f>
        <v/>
      </c>
      <c r="AF186">
        <f>IF(COUNTA($A186:$U186)=0,"",$Y186&amp;$Z186&amp;$AA186&amp;$AB186&amp;$AC186)</f>
        <v/>
      </c>
      <c r="AG186">
        <f>IF($N186="","",LOWER(TRIM($N186)))</f>
        <v/>
      </c>
      <c r="AH186">
        <f>IF($A186="","",COUNTIFS($A$2:$A$501,$A186,$AI$2:$AI$501,1))</f>
        <v/>
      </c>
      <c r="AI186">
        <f>IF(COUNTA($A186:$U186)=0,"",--($AF186&lt;&gt;""))</f>
        <v/>
      </c>
      <c r="AJ186">
        <f>IF(COUNTA($A186:$U186)=0,"",--($AD186&lt;&gt;""))</f>
        <v/>
      </c>
    </row>
    <row r="187" ht="20" customHeight="1">
      <c r="A187" s="80" t="n"/>
      <c r="B187" s="80" t="n"/>
      <c r="C187" s="81" t="n"/>
      <c r="D187" s="81" t="n"/>
      <c r="E187" s="80" t="n"/>
      <c r="F187" s="81" t="n"/>
      <c r="G187" s="81" t="n"/>
      <c r="H187" s="81" t="n"/>
      <c r="I187" s="80" t="n"/>
      <c r="J187" s="80" t="n"/>
      <c r="K187" s="80" t="n"/>
      <c r="L187" s="82" t="n"/>
      <c r="M187" s="80" t="n"/>
      <c r="N187" s="80" t="n"/>
      <c r="O187" s="80" t="n"/>
      <c r="P187" s="82" t="n"/>
      <c r="Q187" s="82" t="n"/>
      <c r="R187" s="80" t="n"/>
      <c r="S187" s="80" t="n"/>
      <c r="T187" s="80" t="n"/>
      <c r="U187" s="83" t="n"/>
      <c r="V187">
        <f>IF($A187="","",IF($A187=$A186,$V186,IF($V186="",0,1-$V186)))</f>
        <v/>
      </c>
      <c r="W187">
        <f>IF($B187&lt;&gt;"",$B187,$A187)</f>
        <v/>
      </c>
      <c r="X187">
        <f>IF(COUNTA($A187:$U187)=0,"",IF(OR($B187&lt;&gt;"",$O187&lt;&gt;""),"Dependent","Employee"))</f>
        <v/>
      </c>
      <c r="Y187">
        <f>IF(COUNTA($A187:$U187)=0,"",IF($A187="","Employee SSN is required; ","")&amp;IF($C187="","First Name is required; ","")&amp;IF(LEN($C187&amp;"")&gt;19,"First Name exceeds 19 characters; ","")&amp;IF(AND($C187&lt;&gt;"",SUMPRODUCT(--(ROW($1:$19)&lt;=LEN($C187&amp;"")),--ISERROR(FIND(MID($C187&amp;"",ROW($1:$19),1),"ABCDEFGHIJKLMNOPQRSTUVWXYZabcdefghijklmnopqrstuvwxyz .,")))&gt;0),"First Name contains unsupported or encoded characters; use plain A-Z letters only; ","")&amp;IF($D187="","Last Name is required; ","")&amp;IF(LEN($D187&amp;"")&gt;26,"Last Name exceeds 26 characters; ","")&amp;IF(AND($D187&lt;&gt;"",SUMPRODUCT(--(ROW($1:$26)&lt;=LEN($D187&amp;"")),--ISERROR(FIND(MID($D187&amp;"",ROW($1:$26),1),"ABCDEFGHIJKLMNOPQRSTUVWXYZabcdefghijklmnopqrstuvwxyz .,")))&gt;0),"Last Name contains unsupported or encoded characters; use plain A-Z letters only; ","")&amp;IF(LEN($E187&amp;"")&gt;1,"Middle Initial may contain only one character; ","")&amp;IF(AND($E187&lt;&gt;"",SUMPRODUCT(--(ROW($1:$1)&lt;=LEN($E187&amp;"")),--ISERROR(FIND(MID($E187&amp;"",ROW($1:$1),1),"ABCDEFGHIJKLMNOPQRSTUVWXYZabcdefghijklmnopqrstuvwxyz .,")))&gt;0),"Middle Initial must be a plain A-Z letter; ","")&amp;IF($F187="","Address is required; ","")&amp;IF(LEN($F187&amp;"")&gt;75,"Address exceeds 75 characters; ","")&amp;IF(LEN($G187&amp;"")&gt;75,"Address 2 exceeds 75 characters; ","")&amp;IF($H187="","City is required; ","")&amp;IF(LEN($H187&amp;"")&gt;30,"City exceeds 30 characters; ","")&amp;IF($K187="","Country is required; ","")&amp;IF(AND($K187&lt;&gt;"",$K187&lt;&gt;"US",$K187&lt;&gt;"CA"),"Country must be US or CA; ","")&amp;IF(AND($K187="US",OR($I187="",LEN($I187&amp;"")&lt;&gt;2)),"Use a 2-letter state code; ","")&amp;IF($J187="","ZIP or postal code is required; ","")&amp;IF(AND($K187="US",$J187&lt;&gt;"",NOT(IFERROR(OR(AND(LEN($J187&amp;"")=5,ISNUMBER(--($J187&amp;""))),AND(LEN($J187&amp;"")=9,ISNUMBER(--($J187&amp;""))),AND(LEN($J187&amp;"")=10,MID($J187&amp;"",6,1)="-",ISNUMBER(--SUBSTITUTE($J187&amp;"","-","")))),FALSE))),"US ZIP must be 5 or 9 digits, with an optional ZIP+4 hyphen; ","")&amp;IF(AND($N187&lt;&gt;"",NOT(IFERROR(AND(ISNUMBER(SEARCH("@",$N187)),ISNUMBER(SEARCH(".",$N187,SEARCH("@",$N187)+2))),FALSE))),"Email format appears invalid; ","")&amp;IF(AND($O187&lt;&gt;"",$B187=""),"Dependent SSN is required for every dependent; ","")&amp;IF(AND($B187&lt;&gt;"",$O187=""),"Dependent Relationship is required when Dependent SSN is entered; ","")&amp;IF(AND($O187&lt;&gt;"",$O187&lt;&gt;"Spouse or Common Law Spouse",$O187&lt;&gt;"Domestic Partner",$O187&lt;&gt;"Child",$O187&lt;&gt;"Other",$O187&lt;&gt;"Estate",$O187&lt;&gt;"Unknown"),"Dependent Relationship must use one of the approved options; ",""))</f>
        <v/>
      </c>
      <c r="Z187">
        <f>IF(COUNTA($A187:$U187)=0,"",IF(AND($A187&lt;&gt;"",NOT(IFERROR(AND(LEN($A187&amp;"")=9,ISNUMBER(--($A187&amp;""))),FALSE))),"Employee SSN must contain exactly 9 digits; ","")&amp;IF(AND($A187&lt;&gt;"",OR($A187="123456789",$A187="987654321",$A187="012345678",$A187=REPT(LEFT($A187&amp;"",1),9))),"Employee SSN appears to be a placeholder; ","")&amp;IF(AND($B187&lt;&gt;"",NOT(IFERROR(AND(LEN($B187&amp;"")=9,ISNUMBER(--($B187&amp;""))),FALSE))),"Dependent SSN must contain exactly 9 digits; ","")&amp;IF(AND($B187&lt;&gt;"",OR($B187="123456789",$B187="987654321",$B187="012345678",$B187=REPT(LEFT($B187&amp;"",1),9))),"Dependent SSN appears to be a placeholder; ","")&amp;IF(AND($A187&lt;&gt;"",$B187&lt;&gt;"",$A187&amp;""=$B187&amp;""),"Dependent SSN cannot match Employee SSN; ","")&amp;IF(AND($W187&lt;&gt;"",OR(COUNTIFS($W$2:$W$501,$W187,$C$2:$C$501,"&lt;&gt;"&amp;$C187)&gt;0,COUNTIFS($W$2:$W$501,$W187,$D$2:$D$501,"&lt;&gt;"&amp;$D187)&gt;0,COUNTIFS($W$2:$W$501,$W187,$L$2:$L$501,"&lt;&gt;"&amp;$L187)&gt;0)),"The same SSN is associated with a different name or birthdate; ",""))</f>
        <v/>
      </c>
      <c r="AA187">
        <f>IF(COUNTA($A187:$U187)=0,"",IF(AND($A187&lt;&gt;"",$S187&lt;&gt;"",COUNTIFS($A$2:$A$501,$A187,$S$2:$S$501,$S187,$B$2:$B$501,"",$O$2:$O$501,"")=0),"Add an employee row for this household and plan; ","")&amp;IF(AND($X187="Dependent",COUNTIFS($A$2:$A187,$A187,$S$2:$S187,$S187,$B$2:$B187,"",$O$2:$O187,"")=0),"Place the employee row before dependent rows for this plan; ","")&amp;IF(AND($X187="Dependent",COUNTIFS($A$2:$A$501,$A187,$S$2:$S$501,$S187,$B$2:$B$501,"",$O$2:$O$501,"")&gt;0,IFERROR(OR($P187&lt;&gt;LOOKUP(2,1/(($A$2:$A$501=$A187)*($S$2:$S$501=$S187)*($B$2:$B$501="")*($O$2:$O$501="")),$P$2:$P$501),$Q187&lt;&gt;LOOKUP(2,1/(($A$2:$A$501=$A187)*($S$2:$S$501=$S187)*($B$2:$B$501="")*($O$2:$O$501="")),$Q$2:$Q$501),$R187&lt;&gt;LOOKUP(2,1/(($A$2:$A$501=$A187)*($S$2:$S$501=$S187)*($B$2:$B$501="")*($O$2:$O$501="")),$R$2:$R$501),$T187&lt;&gt;LOOKUP(2,1/(($A$2:$A$501=$A187)*($S$2:$S$501=$S187)*($B$2:$B$501="")*($O$2:$O$501="")),$T$2:$T$501),$U187&lt;&gt;LOOKUP(2,1/(($A$2:$A$501=$A187)*($S$2:$S$501=$S187)*($B$2:$B$501="")*($O$2:$O$501="")),$U$2:$U$501)),FALSE)),"Dependent row does not match the employee row for eligibility, status, coverage level, or funding; ",""))</f>
        <v/>
      </c>
      <c r="AB187">
        <f>IF(COUNTA($A187:$U187)=0,"",IF($L187="","Birthdate is required; ","")&amp;IF(AND($L187&lt;&gt;"",OR(NOT(ISNUMBER($L187)),$L187&lt;=DATE(1900,1,1),$L187&gt;TODAY())),"Birthdate must be an exact valid past date; ","")&amp;IF($P187="","Eligibility Date is required; ","")&amp;IF(AND($P187&lt;&gt;"",OR(NOT(ISNUMBER($P187)),$P187&lt;=DATE(1900,1,1))),"Eligibility Date must be a valid date; ","")&amp;IF(AND($R187="Terminated",$Q187=""),"Termination Date is required when Status is Terminated; ","")&amp;IF(AND($Q187&lt;&gt;"",OR(NOT(ISNUMBER($Q187)),$Q187&lt;=DATE(1900,1,1))),"Termination Date must be a valid date; ","")&amp;IF(AND(ISNUMBER($P187),ISNUMBER($Q187),$Q187&lt;$P187),"Termination Date cannot be before Eligibility Date; ","")&amp;IF($R187="","Status is required; ","")&amp;IF(AND($R187&lt;&gt;"",$R187&lt;&gt;"Active",$R187&lt;&gt;"Terminated"),"Status must be Active or Terminated; ","")&amp;IF(AND('START HERE'!$C$8="Terminations Only",$R187&lt;&gt;"Terminated"),"Terminations Only files must contain terminated records; ",""))</f>
        <v/>
      </c>
      <c r="AC187">
        <f>IF(COUNTA($A187:$U187)=0,"",IF($S187="","Plan Name is required; ","")&amp;IF($T187="","Benefit Coverage Level is required; ","")&amp;IF(AND($U187&lt;&gt;"",OR(NOT(ISNUMBER($U187)),$U187&lt;0)),"Plan Funding Amount must be a nonnegative number; ","")&amp;IF(AND($A187&lt;&gt;"",$S187&lt;&gt;"",COUNTIFS($A$2:$A$501,$A187,$B$2:$B$501,$B187,$S$2:$S$501,$S187)&gt;1),"Duplicate participant and plan row; ",""))</f>
        <v/>
      </c>
      <c r="AD187">
        <f>IF(COUNTA($A187:$U187)=0,"",IF(AND($X187="Employee",$M187="",$N187=""),"No employee phone or email provided; ","")&amp;IF(AND($R187="Active",$Q187&lt;&gt;""),"Active record includes a Termination Date; confirm this is intentional; ","")&amp;IF(AND($B187&lt;&gt;"",$B187&amp;""&lt;&gt;$A187&amp;"",COUNTIF($A$2:$A$501,$B187)&gt;0),"Dependent SSN also appears as an Employee SSN elsewhere; confirm dual-employee coverage is intentional; ","")&amp;IF(AND($B187&lt;&gt;"",COUNTIF($B$2:$B$501,$B187)&gt;COUNTIFS($A$2:$A$501,$A187,$B$2:$B$501,$B187)),"Dependent SSN appears under more than one employee; confirm duplicate family coverage is intentional; ","")&amp;IF(AND(ROW()&gt;2,$A187&lt;&gt;"",$A187&lt;&gt;$A186,COUNTIF($A$2:$A186,$A187)&gt;0),"This household appears in more than one section of the census; keep the family together; ","")&amp;IF(OR(AND($C187&lt;&gt;"",LEN($C187&amp;"")&lt;&gt;LEN(TRIM($C187&amp;""))),AND($D187&lt;&gt;"",LEN($D187&amp;"")&lt;&gt;LEN(TRIM($D187&amp;""))),AND($E187&lt;&gt;"",LEN($E187&amp;"")&lt;&gt;LEN(TRIM($E187&amp;""))),AND($F187&lt;&gt;"",LEN($F187&amp;"")&lt;&gt;LEN(TRIM($F187&amp;""))),AND($G187&lt;&gt;"",LEN($G187&amp;"")&lt;&gt;LEN(TRIM($G187&amp;""))),AND($H187&lt;&gt;"",LEN($H187&amp;"")&lt;&gt;LEN(TRIM($H187&amp;""))),AND($I187&lt;&gt;"",LEN($I187&amp;"")&lt;&gt;LEN(TRIM($I187&amp;""))),AND($J187&lt;&gt;"",LEN($J187&amp;"")&lt;&gt;LEN(TRIM($J187&amp;""))),AND($K187&lt;&gt;"",LEN($K187&amp;"")&lt;&gt;LEN(TRIM($K187&amp;""))),AND($M187&lt;&gt;"",LEN($M187&amp;"")&lt;&gt;LEN(TRIM($M187&amp;""))),AND($N187&lt;&gt;"",LEN($N187&amp;"")&lt;&gt;LEN(TRIM($N187&amp;""))),AND($O187&lt;&gt;"",LEN($O187&amp;"")&lt;&gt;LEN(TRIM($O187&amp;""))),AND($R187&lt;&gt;"",LEN($R187&amp;"")&lt;&gt;LEN(TRIM($R187&amp;""))),AND($S187&lt;&gt;"",LEN($S187&amp;"")&lt;&gt;LEN(TRIM($S187&amp;""))),AND($T187&lt;&gt;"",LEN($T187&amp;"")&lt;&gt;LEN(TRIM($T187&amp;"")))),"Remove leading or trailing spaces from text fields; ","")&amp;IF(OR(AND(LEN($C187)&gt;1,OR(EXACT($C187,UPPER($C187)),EXACT($C187,LOWER($C187)))),AND(LEN($D187)&gt;1,OR(EXACT($D187,UPPER($D187)),EXACT($D187,LOWER($D187)))),AND(LEN($H187)&gt;1,OR(EXACT($H187,UPPER($H187)),EXACT($H187,LOWER($H187))))),"Review capitalization in First Name, Last Name, or City; ","")&amp;IF(AND($N187&lt;&gt;"",NOT(EXACT($N187,LOWER($N187)))),"Email will be standardized to lowercase in the clean output; ","")&amp;IF(AND(OR('START HERE'!$C$8="Initial Enrollment",'START HERE'!$C$8="Open Enrollment"),$R187="Terminated"),"A terminated row is included in an initial or open enrollment file; confirm this is intentional; ",""))</f>
        <v/>
      </c>
      <c r="AE187">
        <f>IF(COUNTA($A187:$U187)=0,"",IF(OR($A187="",AND($A187&lt;&gt;"",NOT(IFERROR(AND(LEN($A187&amp;"")=9,ISNUMBER(--($A187&amp;""))),FALSE))),AND($A187&lt;&gt;"",OR($A187="123456789",$A187="987654321",$A187="012345678",$A187=REPT(LEFT($A187&amp;"",1),9)))),"Employee SSN, ","")&amp;IF(OR(AND($O187&lt;&gt;"",$B187=""),AND($B187&lt;&gt;"",OR(NOT(IFERROR(AND(LEN($B187&amp;"")=9,ISNUMBER(--($B187&amp;""))),FALSE)),$B187=$A187,$B187="123456789",$B187="987654321",$B187="012345678",$B187=REPT(LEFT($B187&amp;"",1),9)))),"Dependent SSN, ","")&amp;IF(OR($C187="",LEN($C187)&gt;19,AND($C187&lt;&gt;"",SUMPRODUCT(--(ROW($1:$19)&lt;=LEN($C187&amp;"")),--ISERROR(FIND(MID($C187&amp;"",ROW($1:$19),1),"ABCDEFGHIJKLMNOPQRSTUVWXYZabcdefghijklmnopqrstuvwxyz .,")))&gt;0)),"First Name, ","")&amp;IF(OR($D187="",LEN($D187)&gt;26,AND($D187&lt;&gt;"",SUMPRODUCT(--(ROW($1:$26)&lt;=LEN($D187&amp;"")),--ISERROR(FIND(MID($D187&amp;"",ROW($1:$26),1),"ABCDEFGHIJKLMNOPQRSTUVWXYZabcdefghijklmnopqrstuvwxyz .,")))&gt;0)),"Last Name, ","")&amp;IF(OR(LEN($E187)&gt;1,AND($E187&lt;&gt;"",SUMPRODUCT(--(ROW($1:$1)&lt;=LEN($E187&amp;"")),--ISERROR(FIND(MID($E187&amp;"",ROW($1:$1),1),"ABCDEFGHIJKLMNOPQRSTUVWXYZabcdefghijklmnopqrstuvwxyz .,")))&gt;0)),"Middle Initial, ","")&amp;IF(OR($F187="",LEN($F187)&gt;75),"Address, ","")&amp;IF(OR($H187="",LEN($H187)&gt;30),"City, ","")&amp;IF(AND($K187="US",OR($I187="",LEN($I187)&lt;&gt;2)),"State, ","")&amp;IF($J187="","ZIP, ","")&amp;IF(OR($K187="",AND($K187&lt;&gt;"US",$K187&lt;&gt;"CA")),"Country, ","")&amp;IF(OR($L187="",AND($L187&lt;&gt;"",OR(NOT(ISNUMBER($L187)),$L187&lt;=DATE(1900,1,1),$L187&gt;TODAY()))),"Birthdate, ","")&amp;IF(AND($N187&lt;&gt;"",NOT(IFERROR(AND(ISNUMBER(SEARCH("@",$N187)),ISNUMBER(SEARCH(".",$N187,SEARCH("@",$N187)+2))),FALSE))),"Email, ","")&amp;IF(OR(AND($B187&lt;&gt;"",$O187=""),AND($O187&lt;&gt;"",$O187&lt;&gt;"Spouse or Common Law Spouse",$O187&lt;&gt;"Domestic Partner",$O187&lt;&gt;"Child",$O187&lt;&gt;"Other",$O187&lt;&gt;"Estate",$O187&lt;&gt;"Unknown")),"Dependent Relationship, ","")&amp;IF($AA187&lt;&gt;"","Household, ","")&amp;IF(OR($P187="",AND($P187&lt;&gt;"",OR(NOT(ISNUMBER($P187)),$P187&lt;=DATE(1900,1,1)))),"Eligibility Date, ","")&amp;IF(OR(AND($R187="Terminated",$Q187=""),AND($Q187&lt;&gt;"",OR(NOT(ISNUMBER($Q187)),$Q187&lt;=DATE(1900,1,1))),AND(ISNUMBER($P187),ISNUMBER($Q187),$Q187&lt;$P187)),"Termination Date, ","")&amp;IF(OR($R187="",AND($R187&lt;&gt;"Active",$R187&lt;&gt;"Terminated"),AND('START HERE'!$C$8="Terminations Only",$R187&lt;&gt;"Terminated")),"Status, ","")&amp;IF($S187="","Plan Name, ","")&amp;IF($T187="","Coverage Level, ","")&amp;IF(AND($U187&lt;&gt;"",OR(NOT(ISNUMBER($U187)),$U187&lt;0)),"Funding, ","")&amp;IF(AND($A187&lt;&gt;"",$S187&lt;&gt;"",COUNTIFS($A$2:$A$501,$A187,$B$2:$B$501,$B187,$S$2:$S$501,$S187)&gt;1),"Duplicate Row, ",""))</f>
        <v/>
      </c>
      <c r="AF187">
        <f>IF(COUNTA($A187:$U187)=0,"",$Y187&amp;$Z187&amp;$AA187&amp;$AB187&amp;$AC187)</f>
        <v/>
      </c>
      <c r="AG187">
        <f>IF($N187="","",LOWER(TRIM($N187)))</f>
        <v/>
      </c>
      <c r="AH187">
        <f>IF($A187="","",COUNTIFS($A$2:$A$501,$A187,$AI$2:$AI$501,1))</f>
        <v/>
      </c>
      <c r="AI187">
        <f>IF(COUNTA($A187:$U187)=0,"",--($AF187&lt;&gt;""))</f>
        <v/>
      </c>
      <c r="AJ187">
        <f>IF(COUNTA($A187:$U187)=0,"",--($AD187&lt;&gt;""))</f>
        <v/>
      </c>
    </row>
    <row r="188" ht="20" customHeight="1">
      <c r="A188" s="80" t="n"/>
      <c r="B188" s="80" t="n"/>
      <c r="C188" s="81" t="n"/>
      <c r="D188" s="81" t="n"/>
      <c r="E188" s="80" t="n"/>
      <c r="F188" s="81" t="n"/>
      <c r="G188" s="81" t="n"/>
      <c r="H188" s="81" t="n"/>
      <c r="I188" s="80" t="n"/>
      <c r="J188" s="80" t="n"/>
      <c r="K188" s="80" t="n"/>
      <c r="L188" s="82" t="n"/>
      <c r="M188" s="80" t="n"/>
      <c r="N188" s="80" t="n"/>
      <c r="O188" s="80" t="n"/>
      <c r="P188" s="82" t="n"/>
      <c r="Q188" s="82" t="n"/>
      <c r="R188" s="80" t="n"/>
      <c r="S188" s="80" t="n"/>
      <c r="T188" s="80" t="n"/>
      <c r="U188" s="83" t="n"/>
      <c r="V188">
        <f>IF($A188="","",IF($A188=$A187,$V187,IF($V187="",0,1-$V187)))</f>
        <v/>
      </c>
      <c r="W188">
        <f>IF($B188&lt;&gt;"",$B188,$A188)</f>
        <v/>
      </c>
      <c r="X188">
        <f>IF(COUNTA($A188:$U188)=0,"",IF(OR($B188&lt;&gt;"",$O188&lt;&gt;""),"Dependent","Employee"))</f>
        <v/>
      </c>
      <c r="Y188">
        <f>IF(COUNTA($A188:$U188)=0,"",IF($A188="","Employee SSN is required; ","")&amp;IF($C188="","First Name is required; ","")&amp;IF(LEN($C188&amp;"")&gt;19,"First Name exceeds 19 characters; ","")&amp;IF(AND($C188&lt;&gt;"",SUMPRODUCT(--(ROW($1:$19)&lt;=LEN($C188&amp;"")),--ISERROR(FIND(MID($C188&amp;"",ROW($1:$19),1),"ABCDEFGHIJKLMNOPQRSTUVWXYZabcdefghijklmnopqrstuvwxyz .,")))&gt;0),"First Name contains unsupported or encoded characters; use plain A-Z letters only; ","")&amp;IF($D188="","Last Name is required; ","")&amp;IF(LEN($D188&amp;"")&gt;26,"Last Name exceeds 26 characters; ","")&amp;IF(AND($D188&lt;&gt;"",SUMPRODUCT(--(ROW($1:$26)&lt;=LEN($D188&amp;"")),--ISERROR(FIND(MID($D188&amp;"",ROW($1:$26),1),"ABCDEFGHIJKLMNOPQRSTUVWXYZabcdefghijklmnopqrstuvwxyz .,")))&gt;0),"Last Name contains unsupported or encoded characters; use plain A-Z letters only; ","")&amp;IF(LEN($E188&amp;"")&gt;1,"Middle Initial may contain only one character; ","")&amp;IF(AND($E188&lt;&gt;"",SUMPRODUCT(--(ROW($1:$1)&lt;=LEN($E188&amp;"")),--ISERROR(FIND(MID($E188&amp;"",ROW($1:$1),1),"ABCDEFGHIJKLMNOPQRSTUVWXYZabcdefghijklmnopqrstuvwxyz .,")))&gt;0),"Middle Initial must be a plain A-Z letter; ","")&amp;IF($F188="","Address is required; ","")&amp;IF(LEN($F188&amp;"")&gt;75,"Address exceeds 75 characters; ","")&amp;IF(LEN($G188&amp;"")&gt;75,"Address 2 exceeds 75 characters; ","")&amp;IF($H188="","City is required; ","")&amp;IF(LEN($H188&amp;"")&gt;30,"City exceeds 30 characters; ","")&amp;IF($K188="","Country is required; ","")&amp;IF(AND($K188&lt;&gt;"",$K188&lt;&gt;"US",$K188&lt;&gt;"CA"),"Country must be US or CA; ","")&amp;IF(AND($K188="US",OR($I188="",LEN($I188&amp;"")&lt;&gt;2)),"Use a 2-letter state code; ","")&amp;IF($J188="","ZIP or postal code is required; ","")&amp;IF(AND($K188="US",$J188&lt;&gt;"",NOT(IFERROR(OR(AND(LEN($J188&amp;"")=5,ISNUMBER(--($J188&amp;""))),AND(LEN($J188&amp;"")=9,ISNUMBER(--($J188&amp;""))),AND(LEN($J188&amp;"")=10,MID($J188&amp;"",6,1)="-",ISNUMBER(--SUBSTITUTE($J188&amp;"","-","")))),FALSE))),"US ZIP must be 5 or 9 digits, with an optional ZIP+4 hyphen; ","")&amp;IF(AND($N188&lt;&gt;"",NOT(IFERROR(AND(ISNUMBER(SEARCH("@",$N188)),ISNUMBER(SEARCH(".",$N188,SEARCH("@",$N188)+2))),FALSE))),"Email format appears invalid; ","")&amp;IF(AND($O188&lt;&gt;"",$B188=""),"Dependent SSN is required for every dependent; ","")&amp;IF(AND($B188&lt;&gt;"",$O188=""),"Dependent Relationship is required when Dependent SSN is entered; ","")&amp;IF(AND($O188&lt;&gt;"",$O188&lt;&gt;"Spouse or Common Law Spouse",$O188&lt;&gt;"Domestic Partner",$O188&lt;&gt;"Child",$O188&lt;&gt;"Other",$O188&lt;&gt;"Estate",$O188&lt;&gt;"Unknown"),"Dependent Relationship must use one of the approved options; ",""))</f>
        <v/>
      </c>
      <c r="Z188">
        <f>IF(COUNTA($A188:$U188)=0,"",IF(AND($A188&lt;&gt;"",NOT(IFERROR(AND(LEN($A188&amp;"")=9,ISNUMBER(--($A188&amp;""))),FALSE))),"Employee SSN must contain exactly 9 digits; ","")&amp;IF(AND($A188&lt;&gt;"",OR($A188="123456789",$A188="987654321",$A188="012345678",$A188=REPT(LEFT($A188&amp;"",1),9))),"Employee SSN appears to be a placeholder; ","")&amp;IF(AND($B188&lt;&gt;"",NOT(IFERROR(AND(LEN($B188&amp;"")=9,ISNUMBER(--($B188&amp;""))),FALSE))),"Dependent SSN must contain exactly 9 digits; ","")&amp;IF(AND($B188&lt;&gt;"",OR($B188="123456789",$B188="987654321",$B188="012345678",$B188=REPT(LEFT($B188&amp;"",1),9))),"Dependent SSN appears to be a placeholder; ","")&amp;IF(AND($A188&lt;&gt;"",$B188&lt;&gt;"",$A188&amp;""=$B188&amp;""),"Dependent SSN cannot match Employee SSN; ","")&amp;IF(AND($W188&lt;&gt;"",OR(COUNTIFS($W$2:$W$501,$W188,$C$2:$C$501,"&lt;&gt;"&amp;$C188)&gt;0,COUNTIFS($W$2:$W$501,$W188,$D$2:$D$501,"&lt;&gt;"&amp;$D188)&gt;0,COUNTIFS($W$2:$W$501,$W188,$L$2:$L$501,"&lt;&gt;"&amp;$L188)&gt;0)),"The same SSN is associated with a different name or birthdate; ",""))</f>
        <v/>
      </c>
      <c r="AA188">
        <f>IF(COUNTA($A188:$U188)=0,"",IF(AND($A188&lt;&gt;"",$S188&lt;&gt;"",COUNTIFS($A$2:$A$501,$A188,$S$2:$S$501,$S188,$B$2:$B$501,"",$O$2:$O$501,"")=0),"Add an employee row for this household and plan; ","")&amp;IF(AND($X188="Dependent",COUNTIFS($A$2:$A188,$A188,$S$2:$S188,$S188,$B$2:$B188,"",$O$2:$O188,"")=0),"Place the employee row before dependent rows for this plan; ","")&amp;IF(AND($X188="Dependent",COUNTIFS($A$2:$A$501,$A188,$S$2:$S$501,$S188,$B$2:$B$501,"",$O$2:$O$501,"")&gt;0,IFERROR(OR($P188&lt;&gt;LOOKUP(2,1/(($A$2:$A$501=$A188)*($S$2:$S$501=$S188)*($B$2:$B$501="")*($O$2:$O$501="")),$P$2:$P$501),$Q188&lt;&gt;LOOKUP(2,1/(($A$2:$A$501=$A188)*($S$2:$S$501=$S188)*($B$2:$B$501="")*($O$2:$O$501="")),$Q$2:$Q$501),$R188&lt;&gt;LOOKUP(2,1/(($A$2:$A$501=$A188)*($S$2:$S$501=$S188)*($B$2:$B$501="")*($O$2:$O$501="")),$R$2:$R$501),$T188&lt;&gt;LOOKUP(2,1/(($A$2:$A$501=$A188)*($S$2:$S$501=$S188)*($B$2:$B$501="")*($O$2:$O$501="")),$T$2:$T$501),$U188&lt;&gt;LOOKUP(2,1/(($A$2:$A$501=$A188)*($S$2:$S$501=$S188)*($B$2:$B$501="")*($O$2:$O$501="")),$U$2:$U$501)),FALSE)),"Dependent row does not match the employee row for eligibility, status, coverage level, or funding; ",""))</f>
        <v/>
      </c>
      <c r="AB188">
        <f>IF(COUNTA($A188:$U188)=0,"",IF($L188="","Birthdate is required; ","")&amp;IF(AND($L188&lt;&gt;"",OR(NOT(ISNUMBER($L188)),$L188&lt;=DATE(1900,1,1),$L188&gt;TODAY())),"Birthdate must be an exact valid past date; ","")&amp;IF($P188="","Eligibility Date is required; ","")&amp;IF(AND($P188&lt;&gt;"",OR(NOT(ISNUMBER($P188)),$P188&lt;=DATE(1900,1,1))),"Eligibility Date must be a valid date; ","")&amp;IF(AND($R188="Terminated",$Q188=""),"Termination Date is required when Status is Terminated; ","")&amp;IF(AND($Q188&lt;&gt;"",OR(NOT(ISNUMBER($Q188)),$Q188&lt;=DATE(1900,1,1))),"Termination Date must be a valid date; ","")&amp;IF(AND(ISNUMBER($P188),ISNUMBER($Q188),$Q188&lt;$P188),"Termination Date cannot be before Eligibility Date; ","")&amp;IF($R188="","Status is required; ","")&amp;IF(AND($R188&lt;&gt;"",$R188&lt;&gt;"Active",$R188&lt;&gt;"Terminated"),"Status must be Active or Terminated; ","")&amp;IF(AND('START HERE'!$C$8="Terminations Only",$R188&lt;&gt;"Terminated"),"Terminations Only files must contain terminated records; ",""))</f>
        <v/>
      </c>
      <c r="AC188">
        <f>IF(COUNTA($A188:$U188)=0,"",IF($S188="","Plan Name is required; ","")&amp;IF($T188="","Benefit Coverage Level is required; ","")&amp;IF(AND($U188&lt;&gt;"",OR(NOT(ISNUMBER($U188)),$U188&lt;0)),"Plan Funding Amount must be a nonnegative number; ","")&amp;IF(AND($A188&lt;&gt;"",$S188&lt;&gt;"",COUNTIFS($A$2:$A$501,$A188,$B$2:$B$501,$B188,$S$2:$S$501,$S188)&gt;1),"Duplicate participant and plan row; ",""))</f>
        <v/>
      </c>
      <c r="AD188">
        <f>IF(COUNTA($A188:$U188)=0,"",IF(AND($X188="Employee",$M188="",$N188=""),"No employee phone or email provided; ","")&amp;IF(AND($R188="Active",$Q188&lt;&gt;""),"Active record includes a Termination Date; confirm this is intentional; ","")&amp;IF(AND($B188&lt;&gt;"",$B188&amp;""&lt;&gt;$A188&amp;"",COUNTIF($A$2:$A$501,$B188)&gt;0),"Dependent SSN also appears as an Employee SSN elsewhere; confirm dual-employee coverage is intentional; ","")&amp;IF(AND($B188&lt;&gt;"",COUNTIF($B$2:$B$501,$B188)&gt;COUNTIFS($A$2:$A$501,$A188,$B$2:$B$501,$B188)),"Dependent SSN appears under more than one employee; confirm duplicate family coverage is intentional; ","")&amp;IF(AND(ROW()&gt;2,$A188&lt;&gt;"",$A188&lt;&gt;$A187,COUNTIF($A$2:$A187,$A188)&gt;0),"This household appears in more than one section of the census; keep the family together; ","")&amp;IF(OR(AND($C188&lt;&gt;"",LEN($C188&amp;"")&lt;&gt;LEN(TRIM($C188&amp;""))),AND($D188&lt;&gt;"",LEN($D188&amp;"")&lt;&gt;LEN(TRIM($D188&amp;""))),AND($E188&lt;&gt;"",LEN($E188&amp;"")&lt;&gt;LEN(TRIM($E188&amp;""))),AND($F188&lt;&gt;"",LEN($F188&amp;"")&lt;&gt;LEN(TRIM($F188&amp;""))),AND($G188&lt;&gt;"",LEN($G188&amp;"")&lt;&gt;LEN(TRIM($G188&amp;""))),AND($H188&lt;&gt;"",LEN($H188&amp;"")&lt;&gt;LEN(TRIM($H188&amp;""))),AND($I188&lt;&gt;"",LEN($I188&amp;"")&lt;&gt;LEN(TRIM($I188&amp;""))),AND($J188&lt;&gt;"",LEN($J188&amp;"")&lt;&gt;LEN(TRIM($J188&amp;""))),AND($K188&lt;&gt;"",LEN($K188&amp;"")&lt;&gt;LEN(TRIM($K188&amp;""))),AND($M188&lt;&gt;"",LEN($M188&amp;"")&lt;&gt;LEN(TRIM($M188&amp;""))),AND($N188&lt;&gt;"",LEN($N188&amp;"")&lt;&gt;LEN(TRIM($N188&amp;""))),AND($O188&lt;&gt;"",LEN($O188&amp;"")&lt;&gt;LEN(TRIM($O188&amp;""))),AND($R188&lt;&gt;"",LEN($R188&amp;"")&lt;&gt;LEN(TRIM($R188&amp;""))),AND($S188&lt;&gt;"",LEN($S188&amp;"")&lt;&gt;LEN(TRIM($S188&amp;""))),AND($T188&lt;&gt;"",LEN($T188&amp;"")&lt;&gt;LEN(TRIM($T188&amp;"")))),"Remove leading or trailing spaces from text fields; ","")&amp;IF(OR(AND(LEN($C188)&gt;1,OR(EXACT($C188,UPPER($C188)),EXACT($C188,LOWER($C188)))),AND(LEN($D188)&gt;1,OR(EXACT($D188,UPPER($D188)),EXACT($D188,LOWER($D188)))),AND(LEN($H188)&gt;1,OR(EXACT($H188,UPPER($H188)),EXACT($H188,LOWER($H188))))),"Review capitalization in First Name, Last Name, or City; ","")&amp;IF(AND($N188&lt;&gt;"",NOT(EXACT($N188,LOWER($N188)))),"Email will be standardized to lowercase in the clean output; ","")&amp;IF(AND(OR('START HERE'!$C$8="Initial Enrollment",'START HERE'!$C$8="Open Enrollment"),$R188="Terminated"),"A terminated row is included in an initial or open enrollment file; confirm this is intentional; ",""))</f>
        <v/>
      </c>
      <c r="AE188">
        <f>IF(COUNTA($A188:$U188)=0,"",IF(OR($A188="",AND($A188&lt;&gt;"",NOT(IFERROR(AND(LEN($A188&amp;"")=9,ISNUMBER(--($A188&amp;""))),FALSE))),AND($A188&lt;&gt;"",OR($A188="123456789",$A188="987654321",$A188="012345678",$A188=REPT(LEFT($A188&amp;"",1),9)))),"Employee SSN, ","")&amp;IF(OR(AND($O188&lt;&gt;"",$B188=""),AND($B188&lt;&gt;"",OR(NOT(IFERROR(AND(LEN($B188&amp;"")=9,ISNUMBER(--($B188&amp;""))),FALSE)),$B188=$A188,$B188="123456789",$B188="987654321",$B188="012345678",$B188=REPT(LEFT($B188&amp;"",1),9)))),"Dependent SSN, ","")&amp;IF(OR($C188="",LEN($C188)&gt;19,AND($C188&lt;&gt;"",SUMPRODUCT(--(ROW($1:$19)&lt;=LEN($C188&amp;"")),--ISERROR(FIND(MID($C188&amp;"",ROW($1:$19),1),"ABCDEFGHIJKLMNOPQRSTUVWXYZabcdefghijklmnopqrstuvwxyz .,")))&gt;0)),"First Name, ","")&amp;IF(OR($D188="",LEN($D188)&gt;26,AND($D188&lt;&gt;"",SUMPRODUCT(--(ROW($1:$26)&lt;=LEN($D188&amp;"")),--ISERROR(FIND(MID($D188&amp;"",ROW($1:$26),1),"ABCDEFGHIJKLMNOPQRSTUVWXYZabcdefghijklmnopqrstuvwxyz .,")))&gt;0)),"Last Name, ","")&amp;IF(OR(LEN($E188)&gt;1,AND($E188&lt;&gt;"",SUMPRODUCT(--(ROW($1:$1)&lt;=LEN($E188&amp;"")),--ISERROR(FIND(MID($E188&amp;"",ROW($1:$1),1),"ABCDEFGHIJKLMNOPQRSTUVWXYZabcdefghijklmnopqrstuvwxyz .,")))&gt;0)),"Middle Initial, ","")&amp;IF(OR($F188="",LEN($F188)&gt;75),"Address, ","")&amp;IF(OR($H188="",LEN($H188)&gt;30),"City, ","")&amp;IF(AND($K188="US",OR($I188="",LEN($I188)&lt;&gt;2)),"State, ","")&amp;IF($J188="","ZIP, ","")&amp;IF(OR($K188="",AND($K188&lt;&gt;"US",$K188&lt;&gt;"CA")),"Country, ","")&amp;IF(OR($L188="",AND($L188&lt;&gt;"",OR(NOT(ISNUMBER($L188)),$L188&lt;=DATE(1900,1,1),$L188&gt;TODAY()))),"Birthdate, ","")&amp;IF(AND($N188&lt;&gt;"",NOT(IFERROR(AND(ISNUMBER(SEARCH("@",$N188)),ISNUMBER(SEARCH(".",$N188,SEARCH("@",$N188)+2))),FALSE))),"Email, ","")&amp;IF(OR(AND($B188&lt;&gt;"",$O188=""),AND($O188&lt;&gt;"",$O188&lt;&gt;"Spouse or Common Law Spouse",$O188&lt;&gt;"Domestic Partner",$O188&lt;&gt;"Child",$O188&lt;&gt;"Other",$O188&lt;&gt;"Estate",$O188&lt;&gt;"Unknown")),"Dependent Relationship, ","")&amp;IF($AA188&lt;&gt;"","Household, ","")&amp;IF(OR($P188="",AND($P188&lt;&gt;"",OR(NOT(ISNUMBER($P188)),$P188&lt;=DATE(1900,1,1)))),"Eligibility Date, ","")&amp;IF(OR(AND($R188="Terminated",$Q188=""),AND($Q188&lt;&gt;"",OR(NOT(ISNUMBER($Q188)),$Q188&lt;=DATE(1900,1,1))),AND(ISNUMBER($P188),ISNUMBER($Q188),$Q188&lt;$P188)),"Termination Date, ","")&amp;IF(OR($R188="",AND($R188&lt;&gt;"Active",$R188&lt;&gt;"Terminated"),AND('START HERE'!$C$8="Terminations Only",$R188&lt;&gt;"Terminated")),"Status, ","")&amp;IF($S188="","Plan Name, ","")&amp;IF($T188="","Coverage Level, ","")&amp;IF(AND($U188&lt;&gt;"",OR(NOT(ISNUMBER($U188)),$U188&lt;0)),"Funding, ","")&amp;IF(AND($A188&lt;&gt;"",$S188&lt;&gt;"",COUNTIFS($A$2:$A$501,$A188,$B$2:$B$501,$B188,$S$2:$S$501,$S188)&gt;1),"Duplicate Row, ",""))</f>
        <v/>
      </c>
      <c r="AF188">
        <f>IF(COUNTA($A188:$U188)=0,"",$Y188&amp;$Z188&amp;$AA188&amp;$AB188&amp;$AC188)</f>
        <v/>
      </c>
      <c r="AG188">
        <f>IF($N188="","",LOWER(TRIM($N188)))</f>
        <v/>
      </c>
      <c r="AH188">
        <f>IF($A188="","",COUNTIFS($A$2:$A$501,$A188,$AI$2:$AI$501,1))</f>
        <v/>
      </c>
      <c r="AI188">
        <f>IF(COUNTA($A188:$U188)=0,"",--($AF188&lt;&gt;""))</f>
        <v/>
      </c>
      <c r="AJ188">
        <f>IF(COUNTA($A188:$U188)=0,"",--($AD188&lt;&gt;""))</f>
        <v/>
      </c>
    </row>
    <row r="189" ht="20" customHeight="1">
      <c r="A189" s="80" t="n"/>
      <c r="B189" s="80" t="n"/>
      <c r="C189" s="81" t="n"/>
      <c r="D189" s="81" t="n"/>
      <c r="E189" s="80" t="n"/>
      <c r="F189" s="81" t="n"/>
      <c r="G189" s="81" t="n"/>
      <c r="H189" s="81" t="n"/>
      <c r="I189" s="80" t="n"/>
      <c r="J189" s="80" t="n"/>
      <c r="K189" s="80" t="n"/>
      <c r="L189" s="82" t="n"/>
      <c r="M189" s="80" t="n"/>
      <c r="N189" s="80" t="n"/>
      <c r="O189" s="80" t="n"/>
      <c r="P189" s="82" t="n"/>
      <c r="Q189" s="82" t="n"/>
      <c r="R189" s="80" t="n"/>
      <c r="S189" s="80" t="n"/>
      <c r="T189" s="80" t="n"/>
      <c r="U189" s="83" t="n"/>
      <c r="V189">
        <f>IF($A189="","",IF($A189=$A188,$V188,IF($V188="",0,1-$V188)))</f>
        <v/>
      </c>
      <c r="W189">
        <f>IF($B189&lt;&gt;"",$B189,$A189)</f>
        <v/>
      </c>
      <c r="X189">
        <f>IF(COUNTA($A189:$U189)=0,"",IF(OR($B189&lt;&gt;"",$O189&lt;&gt;""),"Dependent","Employee"))</f>
        <v/>
      </c>
      <c r="Y189">
        <f>IF(COUNTA($A189:$U189)=0,"",IF($A189="","Employee SSN is required; ","")&amp;IF($C189="","First Name is required; ","")&amp;IF(LEN($C189&amp;"")&gt;19,"First Name exceeds 19 characters; ","")&amp;IF(AND($C189&lt;&gt;"",SUMPRODUCT(--(ROW($1:$19)&lt;=LEN($C189&amp;"")),--ISERROR(FIND(MID($C189&amp;"",ROW($1:$19),1),"ABCDEFGHIJKLMNOPQRSTUVWXYZabcdefghijklmnopqrstuvwxyz .,")))&gt;0),"First Name contains unsupported or encoded characters; use plain A-Z letters only; ","")&amp;IF($D189="","Last Name is required; ","")&amp;IF(LEN($D189&amp;"")&gt;26,"Last Name exceeds 26 characters; ","")&amp;IF(AND($D189&lt;&gt;"",SUMPRODUCT(--(ROW($1:$26)&lt;=LEN($D189&amp;"")),--ISERROR(FIND(MID($D189&amp;"",ROW($1:$26),1),"ABCDEFGHIJKLMNOPQRSTUVWXYZabcdefghijklmnopqrstuvwxyz .,")))&gt;0),"Last Name contains unsupported or encoded characters; use plain A-Z letters only; ","")&amp;IF(LEN($E189&amp;"")&gt;1,"Middle Initial may contain only one character; ","")&amp;IF(AND($E189&lt;&gt;"",SUMPRODUCT(--(ROW($1:$1)&lt;=LEN($E189&amp;"")),--ISERROR(FIND(MID($E189&amp;"",ROW($1:$1),1),"ABCDEFGHIJKLMNOPQRSTUVWXYZabcdefghijklmnopqrstuvwxyz .,")))&gt;0),"Middle Initial must be a plain A-Z letter; ","")&amp;IF($F189="","Address is required; ","")&amp;IF(LEN($F189&amp;"")&gt;75,"Address exceeds 75 characters; ","")&amp;IF(LEN($G189&amp;"")&gt;75,"Address 2 exceeds 75 characters; ","")&amp;IF($H189="","City is required; ","")&amp;IF(LEN($H189&amp;"")&gt;30,"City exceeds 30 characters; ","")&amp;IF($K189="","Country is required; ","")&amp;IF(AND($K189&lt;&gt;"",$K189&lt;&gt;"US",$K189&lt;&gt;"CA"),"Country must be US or CA; ","")&amp;IF(AND($K189="US",OR($I189="",LEN($I189&amp;"")&lt;&gt;2)),"Use a 2-letter state code; ","")&amp;IF($J189="","ZIP or postal code is required; ","")&amp;IF(AND($K189="US",$J189&lt;&gt;"",NOT(IFERROR(OR(AND(LEN($J189&amp;"")=5,ISNUMBER(--($J189&amp;""))),AND(LEN($J189&amp;"")=9,ISNUMBER(--($J189&amp;""))),AND(LEN($J189&amp;"")=10,MID($J189&amp;"",6,1)="-",ISNUMBER(--SUBSTITUTE($J189&amp;"","-","")))),FALSE))),"US ZIP must be 5 or 9 digits, with an optional ZIP+4 hyphen; ","")&amp;IF(AND($N189&lt;&gt;"",NOT(IFERROR(AND(ISNUMBER(SEARCH("@",$N189)),ISNUMBER(SEARCH(".",$N189,SEARCH("@",$N189)+2))),FALSE))),"Email format appears invalid; ","")&amp;IF(AND($O189&lt;&gt;"",$B189=""),"Dependent SSN is required for every dependent; ","")&amp;IF(AND($B189&lt;&gt;"",$O189=""),"Dependent Relationship is required when Dependent SSN is entered; ","")&amp;IF(AND($O189&lt;&gt;"",$O189&lt;&gt;"Spouse or Common Law Spouse",$O189&lt;&gt;"Domestic Partner",$O189&lt;&gt;"Child",$O189&lt;&gt;"Other",$O189&lt;&gt;"Estate",$O189&lt;&gt;"Unknown"),"Dependent Relationship must use one of the approved options; ",""))</f>
        <v/>
      </c>
      <c r="Z189">
        <f>IF(COUNTA($A189:$U189)=0,"",IF(AND($A189&lt;&gt;"",NOT(IFERROR(AND(LEN($A189&amp;"")=9,ISNUMBER(--($A189&amp;""))),FALSE))),"Employee SSN must contain exactly 9 digits; ","")&amp;IF(AND($A189&lt;&gt;"",OR($A189="123456789",$A189="987654321",$A189="012345678",$A189=REPT(LEFT($A189&amp;"",1),9))),"Employee SSN appears to be a placeholder; ","")&amp;IF(AND($B189&lt;&gt;"",NOT(IFERROR(AND(LEN($B189&amp;"")=9,ISNUMBER(--($B189&amp;""))),FALSE))),"Dependent SSN must contain exactly 9 digits; ","")&amp;IF(AND($B189&lt;&gt;"",OR($B189="123456789",$B189="987654321",$B189="012345678",$B189=REPT(LEFT($B189&amp;"",1),9))),"Dependent SSN appears to be a placeholder; ","")&amp;IF(AND($A189&lt;&gt;"",$B189&lt;&gt;"",$A189&amp;""=$B189&amp;""),"Dependent SSN cannot match Employee SSN; ","")&amp;IF(AND($W189&lt;&gt;"",OR(COUNTIFS($W$2:$W$501,$W189,$C$2:$C$501,"&lt;&gt;"&amp;$C189)&gt;0,COUNTIFS($W$2:$W$501,$W189,$D$2:$D$501,"&lt;&gt;"&amp;$D189)&gt;0,COUNTIFS($W$2:$W$501,$W189,$L$2:$L$501,"&lt;&gt;"&amp;$L189)&gt;0)),"The same SSN is associated with a different name or birthdate; ",""))</f>
        <v/>
      </c>
      <c r="AA189">
        <f>IF(COUNTA($A189:$U189)=0,"",IF(AND($A189&lt;&gt;"",$S189&lt;&gt;"",COUNTIFS($A$2:$A$501,$A189,$S$2:$S$501,$S189,$B$2:$B$501,"",$O$2:$O$501,"")=0),"Add an employee row for this household and plan; ","")&amp;IF(AND($X189="Dependent",COUNTIFS($A$2:$A189,$A189,$S$2:$S189,$S189,$B$2:$B189,"",$O$2:$O189,"")=0),"Place the employee row before dependent rows for this plan; ","")&amp;IF(AND($X189="Dependent",COUNTIFS($A$2:$A$501,$A189,$S$2:$S$501,$S189,$B$2:$B$501,"",$O$2:$O$501,"")&gt;0,IFERROR(OR($P189&lt;&gt;LOOKUP(2,1/(($A$2:$A$501=$A189)*($S$2:$S$501=$S189)*($B$2:$B$501="")*($O$2:$O$501="")),$P$2:$P$501),$Q189&lt;&gt;LOOKUP(2,1/(($A$2:$A$501=$A189)*($S$2:$S$501=$S189)*($B$2:$B$501="")*($O$2:$O$501="")),$Q$2:$Q$501),$R189&lt;&gt;LOOKUP(2,1/(($A$2:$A$501=$A189)*($S$2:$S$501=$S189)*($B$2:$B$501="")*($O$2:$O$501="")),$R$2:$R$501),$T189&lt;&gt;LOOKUP(2,1/(($A$2:$A$501=$A189)*($S$2:$S$501=$S189)*($B$2:$B$501="")*($O$2:$O$501="")),$T$2:$T$501),$U189&lt;&gt;LOOKUP(2,1/(($A$2:$A$501=$A189)*($S$2:$S$501=$S189)*($B$2:$B$501="")*($O$2:$O$501="")),$U$2:$U$501)),FALSE)),"Dependent row does not match the employee row for eligibility, status, coverage level, or funding; ",""))</f>
        <v/>
      </c>
      <c r="AB189">
        <f>IF(COUNTA($A189:$U189)=0,"",IF($L189="","Birthdate is required; ","")&amp;IF(AND($L189&lt;&gt;"",OR(NOT(ISNUMBER($L189)),$L189&lt;=DATE(1900,1,1),$L189&gt;TODAY())),"Birthdate must be an exact valid past date; ","")&amp;IF($P189="","Eligibility Date is required; ","")&amp;IF(AND($P189&lt;&gt;"",OR(NOT(ISNUMBER($P189)),$P189&lt;=DATE(1900,1,1))),"Eligibility Date must be a valid date; ","")&amp;IF(AND($R189="Terminated",$Q189=""),"Termination Date is required when Status is Terminated; ","")&amp;IF(AND($Q189&lt;&gt;"",OR(NOT(ISNUMBER($Q189)),$Q189&lt;=DATE(1900,1,1))),"Termination Date must be a valid date; ","")&amp;IF(AND(ISNUMBER($P189),ISNUMBER($Q189),$Q189&lt;$P189),"Termination Date cannot be before Eligibility Date; ","")&amp;IF($R189="","Status is required; ","")&amp;IF(AND($R189&lt;&gt;"",$R189&lt;&gt;"Active",$R189&lt;&gt;"Terminated"),"Status must be Active or Terminated; ","")&amp;IF(AND('START HERE'!$C$8="Terminations Only",$R189&lt;&gt;"Terminated"),"Terminations Only files must contain terminated records; ",""))</f>
        <v/>
      </c>
      <c r="AC189">
        <f>IF(COUNTA($A189:$U189)=0,"",IF($S189="","Plan Name is required; ","")&amp;IF($T189="","Benefit Coverage Level is required; ","")&amp;IF(AND($U189&lt;&gt;"",OR(NOT(ISNUMBER($U189)),$U189&lt;0)),"Plan Funding Amount must be a nonnegative number; ","")&amp;IF(AND($A189&lt;&gt;"",$S189&lt;&gt;"",COUNTIFS($A$2:$A$501,$A189,$B$2:$B$501,$B189,$S$2:$S$501,$S189)&gt;1),"Duplicate participant and plan row; ",""))</f>
        <v/>
      </c>
      <c r="AD189">
        <f>IF(COUNTA($A189:$U189)=0,"",IF(AND($X189="Employee",$M189="",$N189=""),"No employee phone or email provided; ","")&amp;IF(AND($R189="Active",$Q189&lt;&gt;""),"Active record includes a Termination Date; confirm this is intentional; ","")&amp;IF(AND($B189&lt;&gt;"",$B189&amp;""&lt;&gt;$A189&amp;"",COUNTIF($A$2:$A$501,$B189)&gt;0),"Dependent SSN also appears as an Employee SSN elsewhere; confirm dual-employee coverage is intentional; ","")&amp;IF(AND($B189&lt;&gt;"",COUNTIF($B$2:$B$501,$B189)&gt;COUNTIFS($A$2:$A$501,$A189,$B$2:$B$501,$B189)),"Dependent SSN appears under more than one employee; confirm duplicate family coverage is intentional; ","")&amp;IF(AND(ROW()&gt;2,$A189&lt;&gt;"",$A189&lt;&gt;$A188,COUNTIF($A$2:$A188,$A189)&gt;0),"This household appears in more than one section of the census; keep the family together; ","")&amp;IF(OR(AND($C189&lt;&gt;"",LEN($C189&amp;"")&lt;&gt;LEN(TRIM($C189&amp;""))),AND($D189&lt;&gt;"",LEN($D189&amp;"")&lt;&gt;LEN(TRIM($D189&amp;""))),AND($E189&lt;&gt;"",LEN($E189&amp;"")&lt;&gt;LEN(TRIM($E189&amp;""))),AND($F189&lt;&gt;"",LEN($F189&amp;"")&lt;&gt;LEN(TRIM($F189&amp;""))),AND($G189&lt;&gt;"",LEN($G189&amp;"")&lt;&gt;LEN(TRIM($G189&amp;""))),AND($H189&lt;&gt;"",LEN($H189&amp;"")&lt;&gt;LEN(TRIM($H189&amp;""))),AND($I189&lt;&gt;"",LEN($I189&amp;"")&lt;&gt;LEN(TRIM($I189&amp;""))),AND($J189&lt;&gt;"",LEN($J189&amp;"")&lt;&gt;LEN(TRIM($J189&amp;""))),AND($K189&lt;&gt;"",LEN($K189&amp;"")&lt;&gt;LEN(TRIM($K189&amp;""))),AND($M189&lt;&gt;"",LEN($M189&amp;"")&lt;&gt;LEN(TRIM($M189&amp;""))),AND($N189&lt;&gt;"",LEN($N189&amp;"")&lt;&gt;LEN(TRIM($N189&amp;""))),AND($O189&lt;&gt;"",LEN($O189&amp;"")&lt;&gt;LEN(TRIM($O189&amp;""))),AND($R189&lt;&gt;"",LEN($R189&amp;"")&lt;&gt;LEN(TRIM($R189&amp;""))),AND($S189&lt;&gt;"",LEN($S189&amp;"")&lt;&gt;LEN(TRIM($S189&amp;""))),AND($T189&lt;&gt;"",LEN($T189&amp;"")&lt;&gt;LEN(TRIM($T189&amp;"")))),"Remove leading or trailing spaces from text fields; ","")&amp;IF(OR(AND(LEN($C189)&gt;1,OR(EXACT($C189,UPPER($C189)),EXACT($C189,LOWER($C189)))),AND(LEN($D189)&gt;1,OR(EXACT($D189,UPPER($D189)),EXACT($D189,LOWER($D189)))),AND(LEN($H189)&gt;1,OR(EXACT($H189,UPPER($H189)),EXACT($H189,LOWER($H189))))),"Review capitalization in First Name, Last Name, or City; ","")&amp;IF(AND($N189&lt;&gt;"",NOT(EXACT($N189,LOWER($N189)))),"Email will be standardized to lowercase in the clean output; ","")&amp;IF(AND(OR('START HERE'!$C$8="Initial Enrollment",'START HERE'!$C$8="Open Enrollment"),$R189="Terminated"),"A terminated row is included in an initial or open enrollment file; confirm this is intentional; ",""))</f>
        <v/>
      </c>
      <c r="AE189">
        <f>IF(COUNTA($A189:$U189)=0,"",IF(OR($A189="",AND($A189&lt;&gt;"",NOT(IFERROR(AND(LEN($A189&amp;"")=9,ISNUMBER(--($A189&amp;""))),FALSE))),AND($A189&lt;&gt;"",OR($A189="123456789",$A189="987654321",$A189="012345678",$A189=REPT(LEFT($A189&amp;"",1),9)))),"Employee SSN, ","")&amp;IF(OR(AND($O189&lt;&gt;"",$B189=""),AND($B189&lt;&gt;"",OR(NOT(IFERROR(AND(LEN($B189&amp;"")=9,ISNUMBER(--($B189&amp;""))),FALSE)),$B189=$A189,$B189="123456789",$B189="987654321",$B189="012345678",$B189=REPT(LEFT($B189&amp;"",1),9)))),"Dependent SSN, ","")&amp;IF(OR($C189="",LEN($C189)&gt;19,AND($C189&lt;&gt;"",SUMPRODUCT(--(ROW($1:$19)&lt;=LEN($C189&amp;"")),--ISERROR(FIND(MID($C189&amp;"",ROW($1:$19),1),"ABCDEFGHIJKLMNOPQRSTUVWXYZabcdefghijklmnopqrstuvwxyz .,")))&gt;0)),"First Name, ","")&amp;IF(OR($D189="",LEN($D189)&gt;26,AND($D189&lt;&gt;"",SUMPRODUCT(--(ROW($1:$26)&lt;=LEN($D189&amp;"")),--ISERROR(FIND(MID($D189&amp;"",ROW($1:$26),1),"ABCDEFGHIJKLMNOPQRSTUVWXYZabcdefghijklmnopqrstuvwxyz .,")))&gt;0)),"Last Name, ","")&amp;IF(OR(LEN($E189)&gt;1,AND($E189&lt;&gt;"",SUMPRODUCT(--(ROW($1:$1)&lt;=LEN($E189&amp;"")),--ISERROR(FIND(MID($E189&amp;"",ROW($1:$1),1),"ABCDEFGHIJKLMNOPQRSTUVWXYZabcdefghijklmnopqrstuvwxyz .,")))&gt;0)),"Middle Initial, ","")&amp;IF(OR($F189="",LEN($F189)&gt;75),"Address, ","")&amp;IF(OR($H189="",LEN($H189)&gt;30),"City, ","")&amp;IF(AND($K189="US",OR($I189="",LEN($I189)&lt;&gt;2)),"State, ","")&amp;IF($J189="","ZIP, ","")&amp;IF(OR($K189="",AND($K189&lt;&gt;"US",$K189&lt;&gt;"CA")),"Country, ","")&amp;IF(OR($L189="",AND($L189&lt;&gt;"",OR(NOT(ISNUMBER($L189)),$L189&lt;=DATE(1900,1,1),$L189&gt;TODAY()))),"Birthdate, ","")&amp;IF(AND($N189&lt;&gt;"",NOT(IFERROR(AND(ISNUMBER(SEARCH("@",$N189)),ISNUMBER(SEARCH(".",$N189,SEARCH("@",$N189)+2))),FALSE))),"Email, ","")&amp;IF(OR(AND($B189&lt;&gt;"",$O189=""),AND($O189&lt;&gt;"",$O189&lt;&gt;"Spouse or Common Law Spouse",$O189&lt;&gt;"Domestic Partner",$O189&lt;&gt;"Child",$O189&lt;&gt;"Other",$O189&lt;&gt;"Estate",$O189&lt;&gt;"Unknown")),"Dependent Relationship, ","")&amp;IF($AA189&lt;&gt;"","Household, ","")&amp;IF(OR($P189="",AND($P189&lt;&gt;"",OR(NOT(ISNUMBER($P189)),$P189&lt;=DATE(1900,1,1)))),"Eligibility Date, ","")&amp;IF(OR(AND($R189="Terminated",$Q189=""),AND($Q189&lt;&gt;"",OR(NOT(ISNUMBER($Q189)),$Q189&lt;=DATE(1900,1,1))),AND(ISNUMBER($P189),ISNUMBER($Q189),$Q189&lt;$P189)),"Termination Date, ","")&amp;IF(OR($R189="",AND($R189&lt;&gt;"Active",$R189&lt;&gt;"Terminated"),AND('START HERE'!$C$8="Terminations Only",$R189&lt;&gt;"Terminated")),"Status, ","")&amp;IF($S189="","Plan Name, ","")&amp;IF($T189="","Coverage Level, ","")&amp;IF(AND($U189&lt;&gt;"",OR(NOT(ISNUMBER($U189)),$U189&lt;0)),"Funding, ","")&amp;IF(AND($A189&lt;&gt;"",$S189&lt;&gt;"",COUNTIFS($A$2:$A$501,$A189,$B$2:$B$501,$B189,$S$2:$S$501,$S189)&gt;1),"Duplicate Row, ",""))</f>
        <v/>
      </c>
      <c r="AF189">
        <f>IF(COUNTA($A189:$U189)=0,"",$Y189&amp;$Z189&amp;$AA189&amp;$AB189&amp;$AC189)</f>
        <v/>
      </c>
      <c r="AG189">
        <f>IF($N189="","",LOWER(TRIM($N189)))</f>
        <v/>
      </c>
      <c r="AH189">
        <f>IF($A189="","",COUNTIFS($A$2:$A$501,$A189,$AI$2:$AI$501,1))</f>
        <v/>
      </c>
      <c r="AI189">
        <f>IF(COUNTA($A189:$U189)=0,"",--($AF189&lt;&gt;""))</f>
        <v/>
      </c>
      <c r="AJ189">
        <f>IF(COUNTA($A189:$U189)=0,"",--($AD189&lt;&gt;""))</f>
        <v/>
      </c>
    </row>
    <row r="190" ht="20" customHeight="1">
      <c r="A190" s="80" t="n"/>
      <c r="B190" s="80" t="n"/>
      <c r="C190" s="81" t="n"/>
      <c r="D190" s="81" t="n"/>
      <c r="E190" s="80" t="n"/>
      <c r="F190" s="81" t="n"/>
      <c r="G190" s="81" t="n"/>
      <c r="H190" s="81" t="n"/>
      <c r="I190" s="80" t="n"/>
      <c r="J190" s="80" t="n"/>
      <c r="K190" s="80" t="n"/>
      <c r="L190" s="82" t="n"/>
      <c r="M190" s="80" t="n"/>
      <c r="N190" s="80" t="n"/>
      <c r="O190" s="80" t="n"/>
      <c r="P190" s="82" t="n"/>
      <c r="Q190" s="82" t="n"/>
      <c r="R190" s="80" t="n"/>
      <c r="S190" s="80" t="n"/>
      <c r="T190" s="80" t="n"/>
      <c r="U190" s="83" t="n"/>
      <c r="V190">
        <f>IF($A190="","",IF($A190=$A189,$V189,IF($V189="",0,1-$V189)))</f>
        <v/>
      </c>
      <c r="W190">
        <f>IF($B190&lt;&gt;"",$B190,$A190)</f>
        <v/>
      </c>
      <c r="X190">
        <f>IF(COUNTA($A190:$U190)=0,"",IF(OR($B190&lt;&gt;"",$O190&lt;&gt;""),"Dependent","Employee"))</f>
        <v/>
      </c>
      <c r="Y190">
        <f>IF(COUNTA($A190:$U190)=0,"",IF($A190="","Employee SSN is required; ","")&amp;IF($C190="","First Name is required; ","")&amp;IF(LEN($C190&amp;"")&gt;19,"First Name exceeds 19 characters; ","")&amp;IF(AND($C190&lt;&gt;"",SUMPRODUCT(--(ROW($1:$19)&lt;=LEN($C190&amp;"")),--ISERROR(FIND(MID($C190&amp;"",ROW($1:$19),1),"ABCDEFGHIJKLMNOPQRSTUVWXYZabcdefghijklmnopqrstuvwxyz .,")))&gt;0),"First Name contains unsupported or encoded characters; use plain A-Z letters only; ","")&amp;IF($D190="","Last Name is required; ","")&amp;IF(LEN($D190&amp;"")&gt;26,"Last Name exceeds 26 characters; ","")&amp;IF(AND($D190&lt;&gt;"",SUMPRODUCT(--(ROW($1:$26)&lt;=LEN($D190&amp;"")),--ISERROR(FIND(MID($D190&amp;"",ROW($1:$26),1),"ABCDEFGHIJKLMNOPQRSTUVWXYZabcdefghijklmnopqrstuvwxyz .,")))&gt;0),"Last Name contains unsupported or encoded characters; use plain A-Z letters only; ","")&amp;IF(LEN($E190&amp;"")&gt;1,"Middle Initial may contain only one character; ","")&amp;IF(AND($E190&lt;&gt;"",SUMPRODUCT(--(ROW($1:$1)&lt;=LEN($E190&amp;"")),--ISERROR(FIND(MID($E190&amp;"",ROW($1:$1),1),"ABCDEFGHIJKLMNOPQRSTUVWXYZabcdefghijklmnopqrstuvwxyz .,")))&gt;0),"Middle Initial must be a plain A-Z letter; ","")&amp;IF($F190="","Address is required; ","")&amp;IF(LEN($F190&amp;"")&gt;75,"Address exceeds 75 characters; ","")&amp;IF(LEN($G190&amp;"")&gt;75,"Address 2 exceeds 75 characters; ","")&amp;IF($H190="","City is required; ","")&amp;IF(LEN($H190&amp;"")&gt;30,"City exceeds 30 characters; ","")&amp;IF($K190="","Country is required; ","")&amp;IF(AND($K190&lt;&gt;"",$K190&lt;&gt;"US",$K190&lt;&gt;"CA"),"Country must be US or CA; ","")&amp;IF(AND($K190="US",OR($I190="",LEN($I190&amp;"")&lt;&gt;2)),"Use a 2-letter state code; ","")&amp;IF($J190="","ZIP or postal code is required; ","")&amp;IF(AND($K190="US",$J190&lt;&gt;"",NOT(IFERROR(OR(AND(LEN($J190&amp;"")=5,ISNUMBER(--($J190&amp;""))),AND(LEN($J190&amp;"")=9,ISNUMBER(--($J190&amp;""))),AND(LEN($J190&amp;"")=10,MID($J190&amp;"",6,1)="-",ISNUMBER(--SUBSTITUTE($J190&amp;"","-","")))),FALSE))),"US ZIP must be 5 or 9 digits, with an optional ZIP+4 hyphen; ","")&amp;IF(AND($N190&lt;&gt;"",NOT(IFERROR(AND(ISNUMBER(SEARCH("@",$N190)),ISNUMBER(SEARCH(".",$N190,SEARCH("@",$N190)+2))),FALSE))),"Email format appears invalid; ","")&amp;IF(AND($O190&lt;&gt;"",$B190=""),"Dependent SSN is required for every dependent; ","")&amp;IF(AND($B190&lt;&gt;"",$O190=""),"Dependent Relationship is required when Dependent SSN is entered; ","")&amp;IF(AND($O190&lt;&gt;"",$O190&lt;&gt;"Spouse or Common Law Spouse",$O190&lt;&gt;"Domestic Partner",$O190&lt;&gt;"Child",$O190&lt;&gt;"Other",$O190&lt;&gt;"Estate",$O190&lt;&gt;"Unknown"),"Dependent Relationship must use one of the approved options; ",""))</f>
        <v/>
      </c>
      <c r="Z190">
        <f>IF(COUNTA($A190:$U190)=0,"",IF(AND($A190&lt;&gt;"",NOT(IFERROR(AND(LEN($A190&amp;"")=9,ISNUMBER(--($A190&amp;""))),FALSE))),"Employee SSN must contain exactly 9 digits; ","")&amp;IF(AND($A190&lt;&gt;"",OR($A190="123456789",$A190="987654321",$A190="012345678",$A190=REPT(LEFT($A190&amp;"",1),9))),"Employee SSN appears to be a placeholder; ","")&amp;IF(AND($B190&lt;&gt;"",NOT(IFERROR(AND(LEN($B190&amp;"")=9,ISNUMBER(--($B190&amp;""))),FALSE))),"Dependent SSN must contain exactly 9 digits; ","")&amp;IF(AND($B190&lt;&gt;"",OR($B190="123456789",$B190="987654321",$B190="012345678",$B190=REPT(LEFT($B190&amp;"",1),9))),"Dependent SSN appears to be a placeholder; ","")&amp;IF(AND($A190&lt;&gt;"",$B190&lt;&gt;"",$A190&amp;""=$B190&amp;""),"Dependent SSN cannot match Employee SSN; ","")&amp;IF(AND($W190&lt;&gt;"",OR(COUNTIFS($W$2:$W$501,$W190,$C$2:$C$501,"&lt;&gt;"&amp;$C190)&gt;0,COUNTIFS($W$2:$W$501,$W190,$D$2:$D$501,"&lt;&gt;"&amp;$D190)&gt;0,COUNTIFS($W$2:$W$501,$W190,$L$2:$L$501,"&lt;&gt;"&amp;$L190)&gt;0)),"The same SSN is associated with a different name or birthdate; ",""))</f>
        <v/>
      </c>
      <c r="AA190">
        <f>IF(COUNTA($A190:$U190)=0,"",IF(AND($A190&lt;&gt;"",$S190&lt;&gt;"",COUNTIFS($A$2:$A$501,$A190,$S$2:$S$501,$S190,$B$2:$B$501,"",$O$2:$O$501,"")=0),"Add an employee row for this household and plan; ","")&amp;IF(AND($X190="Dependent",COUNTIFS($A$2:$A190,$A190,$S$2:$S190,$S190,$B$2:$B190,"",$O$2:$O190,"")=0),"Place the employee row before dependent rows for this plan; ","")&amp;IF(AND($X190="Dependent",COUNTIFS($A$2:$A$501,$A190,$S$2:$S$501,$S190,$B$2:$B$501,"",$O$2:$O$501,"")&gt;0,IFERROR(OR($P190&lt;&gt;LOOKUP(2,1/(($A$2:$A$501=$A190)*($S$2:$S$501=$S190)*($B$2:$B$501="")*($O$2:$O$501="")),$P$2:$P$501),$Q190&lt;&gt;LOOKUP(2,1/(($A$2:$A$501=$A190)*($S$2:$S$501=$S190)*($B$2:$B$501="")*($O$2:$O$501="")),$Q$2:$Q$501),$R190&lt;&gt;LOOKUP(2,1/(($A$2:$A$501=$A190)*($S$2:$S$501=$S190)*($B$2:$B$501="")*($O$2:$O$501="")),$R$2:$R$501),$T190&lt;&gt;LOOKUP(2,1/(($A$2:$A$501=$A190)*($S$2:$S$501=$S190)*($B$2:$B$501="")*($O$2:$O$501="")),$T$2:$T$501),$U190&lt;&gt;LOOKUP(2,1/(($A$2:$A$501=$A190)*($S$2:$S$501=$S190)*($B$2:$B$501="")*($O$2:$O$501="")),$U$2:$U$501)),FALSE)),"Dependent row does not match the employee row for eligibility, status, coverage level, or funding; ",""))</f>
        <v/>
      </c>
      <c r="AB190">
        <f>IF(COUNTA($A190:$U190)=0,"",IF($L190="","Birthdate is required; ","")&amp;IF(AND($L190&lt;&gt;"",OR(NOT(ISNUMBER($L190)),$L190&lt;=DATE(1900,1,1),$L190&gt;TODAY())),"Birthdate must be an exact valid past date; ","")&amp;IF($P190="","Eligibility Date is required; ","")&amp;IF(AND($P190&lt;&gt;"",OR(NOT(ISNUMBER($P190)),$P190&lt;=DATE(1900,1,1))),"Eligibility Date must be a valid date; ","")&amp;IF(AND($R190="Terminated",$Q190=""),"Termination Date is required when Status is Terminated; ","")&amp;IF(AND($Q190&lt;&gt;"",OR(NOT(ISNUMBER($Q190)),$Q190&lt;=DATE(1900,1,1))),"Termination Date must be a valid date; ","")&amp;IF(AND(ISNUMBER($P190),ISNUMBER($Q190),$Q190&lt;$P190),"Termination Date cannot be before Eligibility Date; ","")&amp;IF($R190="","Status is required; ","")&amp;IF(AND($R190&lt;&gt;"",$R190&lt;&gt;"Active",$R190&lt;&gt;"Terminated"),"Status must be Active or Terminated; ","")&amp;IF(AND('START HERE'!$C$8="Terminations Only",$R190&lt;&gt;"Terminated"),"Terminations Only files must contain terminated records; ",""))</f>
        <v/>
      </c>
      <c r="AC190">
        <f>IF(COUNTA($A190:$U190)=0,"",IF($S190="","Plan Name is required; ","")&amp;IF($T190="","Benefit Coverage Level is required; ","")&amp;IF(AND($U190&lt;&gt;"",OR(NOT(ISNUMBER($U190)),$U190&lt;0)),"Plan Funding Amount must be a nonnegative number; ","")&amp;IF(AND($A190&lt;&gt;"",$S190&lt;&gt;"",COUNTIFS($A$2:$A$501,$A190,$B$2:$B$501,$B190,$S$2:$S$501,$S190)&gt;1),"Duplicate participant and plan row; ",""))</f>
        <v/>
      </c>
      <c r="AD190">
        <f>IF(COUNTA($A190:$U190)=0,"",IF(AND($X190="Employee",$M190="",$N190=""),"No employee phone or email provided; ","")&amp;IF(AND($R190="Active",$Q190&lt;&gt;""),"Active record includes a Termination Date; confirm this is intentional; ","")&amp;IF(AND($B190&lt;&gt;"",$B190&amp;""&lt;&gt;$A190&amp;"",COUNTIF($A$2:$A$501,$B190)&gt;0),"Dependent SSN also appears as an Employee SSN elsewhere; confirm dual-employee coverage is intentional; ","")&amp;IF(AND($B190&lt;&gt;"",COUNTIF($B$2:$B$501,$B190)&gt;COUNTIFS($A$2:$A$501,$A190,$B$2:$B$501,$B190)),"Dependent SSN appears under more than one employee; confirm duplicate family coverage is intentional; ","")&amp;IF(AND(ROW()&gt;2,$A190&lt;&gt;"",$A190&lt;&gt;$A189,COUNTIF($A$2:$A189,$A190)&gt;0),"This household appears in more than one section of the census; keep the family together; ","")&amp;IF(OR(AND($C190&lt;&gt;"",LEN($C190&amp;"")&lt;&gt;LEN(TRIM($C190&amp;""))),AND($D190&lt;&gt;"",LEN($D190&amp;"")&lt;&gt;LEN(TRIM($D190&amp;""))),AND($E190&lt;&gt;"",LEN($E190&amp;"")&lt;&gt;LEN(TRIM($E190&amp;""))),AND($F190&lt;&gt;"",LEN($F190&amp;"")&lt;&gt;LEN(TRIM($F190&amp;""))),AND($G190&lt;&gt;"",LEN($G190&amp;"")&lt;&gt;LEN(TRIM($G190&amp;""))),AND($H190&lt;&gt;"",LEN($H190&amp;"")&lt;&gt;LEN(TRIM($H190&amp;""))),AND($I190&lt;&gt;"",LEN($I190&amp;"")&lt;&gt;LEN(TRIM($I190&amp;""))),AND($J190&lt;&gt;"",LEN($J190&amp;"")&lt;&gt;LEN(TRIM($J190&amp;""))),AND($K190&lt;&gt;"",LEN($K190&amp;"")&lt;&gt;LEN(TRIM($K190&amp;""))),AND($M190&lt;&gt;"",LEN($M190&amp;"")&lt;&gt;LEN(TRIM($M190&amp;""))),AND($N190&lt;&gt;"",LEN($N190&amp;"")&lt;&gt;LEN(TRIM($N190&amp;""))),AND($O190&lt;&gt;"",LEN($O190&amp;"")&lt;&gt;LEN(TRIM($O190&amp;""))),AND($R190&lt;&gt;"",LEN($R190&amp;"")&lt;&gt;LEN(TRIM($R190&amp;""))),AND($S190&lt;&gt;"",LEN($S190&amp;"")&lt;&gt;LEN(TRIM($S190&amp;""))),AND($T190&lt;&gt;"",LEN($T190&amp;"")&lt;&gt;LEN(TRIM($T190&amp;"")))),"Remove leading or trailing spaces from text fields; ","")&amp;IF(OR(AND(LEN($C190)&gt;1,OR(EXACT($C190,UPPER($C190)),EXACT($C190,LOWER($C190)))),AND(LEN($D190)&gt;1,OR(EXACT($D190,UPPER($D190)),EXACT($D190,LOWER($D190)))),AND(LEN($H190)&gt;1,OR(EXACT($H190,UPPER($H190)),EXACT($H190,LOWER($H190))))),"Review capitalization in First Name, Last Name, or City; ","")&amp;IF(AND($N190&lt;&gt;"",NOT(EXACT($N190,LOWER($N190)))),"Email will be standardized to lowercase in the clean output; ","")&amp;IF(AND(OR('START HERE'!$C$8="Initial Enrollment",'START HERE'!$C$8="Open Enrollment"),$R190="Terminated"),"A terminated row is included in an initial or open enrollment file; confirm this is intentional; ",""))</f>
        <v/>
      </c>
      <c r="AE190">
        <f>IF(COUNTA($A190:$U190)=0,"",IF(OR($A190="",AND($A190&lt;&gt;"",NOT(IFERROR(AND(LEN($A190&amp;"")=9,ISNUMBER(--($A190&amp;""))),FALSE))),AND($A190&lt;&gt;"",OR($A190="123456789",$A190="987654321",$A190="012345678",$A190=REPT(LEFT($A190&amp;"",1),9)))),"Employee SSN, ","")&amp;IF(OR(AND($O190&lt;&gt;"",$B190=""),AND($B190&lt;&gt;"",OR(NOT(IFERROR(AND(LEN($B190&amp;"")=9,ISNUMBER(--($B190&amp;""))),FALSE)),$B190=$A190,$B190="123456789",$B190="987654321",$B190="012345678",$B190=REPT(LEFT($B190&amp;"",1),9)))),"Dependent SSN, ","")&amp;IF(OR($C190="",LEN($C190)&gt;19,AND($C190&lt;&gt;"",SUMPRODUCT(--(ROW($1:$19)&lt;=LEN($C190&amp;"")),--ISERROR(FIND(MID($C190&amp;"",ROW($1:$19),1),"ABCDEFGHIJKLMNOPQRSTUVWXYZabcdefghijklmnopqrstuvwxyz .,")))&gt;0)),"First Name, ","")&amp;IF(OR($D190="",LEN($D190)&gt;26,AND($D190&lt;&gt;"",SUMPRODUCT(--(ROW($1:$26)&lt;=LEN($D190&amp;"")),--ISERROR(FIND(MID($D190&amp;"",ROW($1:$26),1),"ABCDEFGHIJKLMNOPQRSTUVWXYZabcdefghijklmnopqrstuvwxyz .,")))&gt;0)),"Last Name, ","")&amp;IF(OR(LEN($E190)&gt;1,AND($E190&lt;&gt;"",SUMPRODUCT(--(ROW($1:$1)&lt;=LEN($E190&amp;"")),--ISERROR(FIND(MID($E190&amp;"",ROW($1:$1),1),"ABCDEFGHIJKLMNOPQRSTUVWXYZabcdefghijklmnopqrstuvwxyz .,")))&gt;0)),"Middle Initial, ","")&amp;IF(OR($F190="",LEN($F190)&gt;75),"Address, ","")&amp;IF(OR($H190="",LEN($H190)&gt;30),"City, ","")&amp;IF(AND($K190="US",OR($I190="",LEN($I190)&lt;&gt;2)),"State, ","")&amp;IF($J190="","ZIP, ","")&amp;IF(OR($K190="",AND($K190&lt;&gt;"US",$K190&lt;&gt;"CA")),"Country, ","")&amp;IF(OR($L190="",AND($L190&lt;&gt;"",OR(NOT(ISNUMBER($L190)),$L190&lt;=DATE(1900,1,1),$L190&gt;TODAY()))),"Birthdate, ","")&amp;IF(AND($N190&lt;&gt;"",NOT(IFERROR(AND(ISNUMBER(SEARCH("@",$N190)),ISNUMBER(SEARCH(".",$N190,SEARCH("@",$N190)+2))),FALSE))),"Email, ","")&amp;IF(OR(AND($B190&lt;&gt;"",$O190=""),AND($O190&lt;&gt;"",$O190&lt;&gt;"Spouse or Common Law Spouse",$O190&lt;&gt;"Domestic Partner",$O190&lt;&gt;"Child",$O190&lt;&gt;"Other",$O190&lt;&gt;"Estate",$O190&lt;&gt;"Unknown")),"Dependent Relationship, ","")&amp;IF($AA190&lt;&gt;"","Household, ","")&amp;IF(OR($P190="",AND($P190&lt;&gt;"",OR(NOT(ISNUMBER($P190)),$P190&lt;=DATE(1900,1,1)))),"Eligibility Date, ","")&amp;IF(OR(AND($R190="Terminated",$Q190=""),AND($Q190&lt;&gt;"",OR(NOT(ISNUMBER($Q190)),$Q190&lt;=DATE(1900,1,1))),AND(ISNUMBER($P190),ISNUMBER($Q190),$Q190&lt;$P190)),"Termination Date, ","")&amp;IF(OR($R190="",AND($R190&lt;&gt;"Active",$R190&lt;&gt;"Terminated"),AND('START HERE'!$C$8="Terminations Only",$R190&lt;&gt;"Terminated")),"Status, ","")&amp;IF($S190="","Plan Name, ","")&amp;IF($T190="","Coverage Level, ","")&amp;IF(AND($U190&lt;&gt;"",OR(NOT(ISNUMBER($U190)),$U190&lt;0)),"Funding, ","")&amp;IF(AND($A190&lt;&gt;"",$S190&lt;&gt;"",COUNTIFS($A$2:$A$501,$A190,$B$2:$B$501,$B190,$S$2:$S$501,$S190)&gt;1),"Duplicate Row, ",""))</f>
        <v/>
      </c>
      <c r="AF190">
        <f>IF(COUNTA($A190:$U190)=0,"",$Y190&amp;$Z190&amp;$AA190&amp;$AB190&amp;$AC190)</f>
        <v/>
      </c>
      <c r="AG190">
        <f>IF($N190="","",LOWER(TRIM($N190)))</f>
        <v/>
      </c>
      <c r="AH190">
        <f>IF($A190="","",COUNTIFS($A$2:$A$501,$A190,$AI$2:$AI$501,1))</f>
        <v/>
      </c>
      <c r="AI190">
        <f>IF(COUNTA($A190:$U190)=0,"",--($AF190&lt;&gt;""))</f>
        <v/>
      </c>
      <c r="AJ190">
        <f>IF(COUNTA($A190:$U190)=0,"",--($AD190&lt;&gt;""))</f>
        <v/>
      </c>
    </row>
    <row r="191" ht="20" customHeight="1">
      <c r="A191" s="80" t="n"/>
      <c r="B191" s="80" t="n"/>
      <c r="C191" s="81" t="n"/>
      <c r="D191" s="81" t="n"/>
      <c r="E191" s="80" t="n"/>
      <c r="F191" s="81" t="n"/>
      <c r="G191" s="81" t="n"/>
      <c r="H191" s="81" t="n"/>
      <c r="I191" s="80" t="n"/>
      <c r="J191" s="80" t="n"/>
      <c r="K191" s="80" t="n"/>
      <c r="L191" s="82" t="n"/>
      <c r="M191" s="80" t="n"/>
      <c r="N191" s="80" t="n"/>
      <c r="O191" s="80" t="n"/>
      <c r="P191" s="82" t="n"/>
      <c r="Q191" s="82" t="n"/>
      <c r="R191" s="80" t="n"/>
      <c r="S191" s="80" t="n"/>
      <c r="T191" s="80" t="n"/>
      <c r="U191" s="83" t="n"/>
      <c r="V191">
        <f>IF($A191="","",IF($A191=$A190,$V190,IF($V190="",0,1-$V190)))</f>
        <v/>
      </c>
      <c r="W191">
        <f>IF($B191&lt;&gt;"",$B191,$A191)</f>
        <v/>
      </c>
      <c r="X191">
        <f>IF(COUNTA($A191:$U191)=0,"",IF(OR($B191&lt;&gt;"",$O191&lt;&gt;""),"Dependent","Employee"))</f>
        <v/>
      </c>
      <c r="Y191">
        <f>IF(COUNTA($A191:$U191)=0,"",IF($A191="","Employee SSN is required; ","")&amp;IF($C191="","First Name is required; ","")&amp;IF(LEN($C191&amp;"")&gt;19,"First Name exceeds 19 characters; ","")&amp;IF(AND($C191&lt;&gt;"",SUMPRODUCT(--(ROW($1:$19)&lt;=LEN($C191&amp;"")),--ISERROR(FIND(MID($C191&amp;"",ROW($1:$19),1),"ABCDEFGHIJKLMNOPQRSTUVWXYZabcdefghijklmnopqrstuvwxyz .,")))&gt;0),"First Name contains unsupported or encoded characters; use plain A-Z letters only; ","")&amp;IF($D191="","Last Name is required; ","")&amp;IF(LEN($D191&amp;"")&gt;26,"Last Name exceeds 26 characters; ","")&amp;IF(AND($D191&lt;&gt;"",SUMPRODUCT(--(ROW($1:$26)&lt;=LEN($D191&amp;"")),--ISERROR(FIND(MID($D191&amp;"",ROW($1:$26),1),"ABCDEFGHIJKLMNOPQRSTUVWXYZabcdefghijklmnopqrstuvwxyz .,")))&gt;0),"Last Name contains unsupported or encoded characters; use plain A-Z letters only; ","")&amp;IF(LEN($E191&amp;"")&gt;1,"Middle Initial may contain only one character; ","")&amp;IF(AND($E191&lt;&gt;"",SUMPRODUCT(--(ROW($1:$1)&lt;=LEN($E191&amp;"")),--ISERROR(FIND(MID($E191&amp;"",ROW($1:$1),1),"ABCDEFGHIJKLMNOPQRSTUVWXYZabcdefghijklmnopqrstuvwxyz .,")))&gt;0),"Middle Initial must be a plain A-Z letter; ","")&amp;IF($F191="","Address is required; ","")&amp;IF(LEN($F191&amp;"")&gt;75,"Address exceeds 75 characters; ","")&amp;IF(LEN($G191&amp;"")&gt;75,"Address 2 exceeds 75 characters; ","")&amp;IF($H191="","City is required; ","")&amp;IF(LEN($H191&amp;"")&gt;30,"City exceeds 30 characters; ","")&amp;IF($K191="","Country is required; ","")&amp;IF(AND($K191&lt;&gt;"",$K191&lt;&gt;"US",$K191&lt;&gt;"CA"),"Country must be US or CA; ","")&amp;IF(AND($K191="US",OR($I191="",LEN($I191&amp;"")&lt;&gt;2)),"Use a 2-letter state code; ","")&amp;IF($J191="","ZIP or postal code is required; ","")&amp;IF(AND($K191="US",$J191&lt;&gt;"",NOT(IFERROR(OR(AND(LEN($J191&amp;"")=5,ISNUMBER(--($J191&amp;""))),AND(LEN($J191&amp;"")=9,ISNUMBER(--($J191&amp;""))),AND(LEN($J191&amp;"")=10,MID($J191&amp;"",6,1)="-",ISNUMBER(--SUBSTITUTE($J191&amp;"","-","")))),FALSE))),"US ZIP must be 5 or 9 digits, with an optional ZIP+4 hyphen; ","")&amp;IF(AND($N191&lt;&gt;"",NOT(IFERROR(AND(ISNUMBER(SEARCH("@",$N191)),ISNUMBER(SEARCH(".",$N191,SEARCH("@",$N191)+2))),FALSE))),"Email format appears invalid; ","")&amp;IF(AND($O191&lt;&gt;"",$B191=""),"Dependent SSN is required for every dependent; ","")&amp;IF(AND($B191&lt;&gt;"",$O191=""),"Dependent Relationship is required when Dependent SSN is entered; ","")&amp;IF(AND($O191&lt;&gt;"",$O191&lt;&gt;"Spouse or Common Law Spouse",$O191&lt;&gt;"Domestic Partner",$O191&lt;&gt;"Child",$O191&lt;&gt;"Other",$O191&lt;&gt;"Estate",$O191&lt;&gt;"Unknown"),"Dependent Relationship must use one of the approved options; ",""))</f>
        <v/>
      </c>
      <c r="Z191">
        <f>IF(COUNTA($A191:$U191)=0,"",IF(AND($A191&lt;&gt;"",NOT(IFERROR(AND(LEN($A191&amp;"")=9,ISNUMBER(--($A191&amp;""))),FALSE))),"Employee SSN must contain exactly 9 digits; ","")&amp;IF(AND($A191&lt;&gt;"",OR($A191="123456789",$A191="987654321",$A191="012345678",$A191=REPT(LEFT($A191&amp;"",1),9))),"Employee SSN appears to be a placeholder; ","")&amp;IF(AND($B191&lt;&gt;"",NOT(IFERROR(AND(LEN($B191&amp;"")=9,ISNUMBER(--($B191&amp;""))),FALSE))),"Dependent SSN must contain exactly 9 digits; ","")&amp;IF(AND($B191&lt;&gt;"",OR($B191="123456789",$B191="987654321",$B191="012345678",$B191=REPT(LEFT($B191&amp;"",1),9))),"Dependent SSN appears to be a placeholder; ","")&amp;IF(AND($A191&lt;&gt;"",$B191&lt;&gt;"",$A191&amp;""=$B191&amp;""),"Dependent SSN cannot match Employee SSN; ","")&amp;IF(AND($W191&lt;&gt;"",OR(COUNTIFS($W$2:$W$501,$W191,$C$2:$C$501,"&lt;&gt;"&amp;$C191)&gt;0,COUNTIFS($W$2:$W$501,$W191,$D$2:$D$501,"&lt;&gt;"&amp;$D191)&gt;0,COUNTIFS($W$2:$W$501,$W191,$L$2:$L$501,"&lt;&gt;"&amp;$L191)&gt;0)),"The same SSN is associated with a different name or birthdate; ",""))</f>
        <v/>
      </c>
      <c r="AA191">
        <f>IF(COUNTA($A191:$U191)=0,"",IF(AND($A191&lt;&gt;"",$S191&lt;&gt;"",COUNTIFS($A$2:$A$501,$A191,$S$2:$S$501,$S191,$B$2:$B$501,"",$O$2:$O$501,"")=0),"Add an employee row for this household and plan; ","")&amp;IF(AND($X191="Dependent",COUNTIFS($A$2:$A191,$A191,$S$2:$S191,$S191,$B$2:$B191,"",$O$2:$O191,"")=0),"Place the employee row before dependent rows for this plan; ","")&amp;IF(AND($X191="Dependent",COUNTIFS($A$2:$A$501,$A191,$S$2:$S$501,$S191,$B$2:$B$501,"",$O$2:$O$501,"")&gt;0,IFERROR(OR($P191&lt;&gt;LOOKUP(2,1/(($A$2:$A$501=$A191)*($S$2:$S$501=$S191)*($B$2:$B$501="")*($O$2:$O$501="")),$P$2:$P$501),$Q191&lt;&gt;LOOKUP(2,1/(($A$2:$A$501=$A191)*($S$2:$S$501=$S191)*($B$2:$B$501="")*($O$2:$O$501="")),$Q$2:$Q$501),$R191&lt;&gt;LOOKUP(2,1/(($A$2:$A$501=$A191)*($S$2:$S$501=$S191)*($B$2:$B$501="")*($O$2:$O$501="")),$R$2:$R$501),$T191&lt;&gt;LOOKUP(2,1/(($A$2:$A$501=$A191)*($S$2:$S$501=$S191)*($B$2:$B$501="")*($O$2:$O$501="")),$T$2:$T$501),$U191&lt;&gt;LOOKUP(2,1/(($A$2:$A$501=$A191)*($S$2:$S$501=$S191)*($B$2:$B$501="")*($O$2:$O$501="")),$U$2:$U$501)),FALSE)),"Dependent row does not match the employee row for eligibility, status, coverage level, or funding; ",""))</f>
        <v/>
      </c>
      <c r="AB191">
        <f>IF(COUNTA($A191:$U191)=0,"",IF($L191="","Birthdate is required; ","")&amp;IF(AND($L191&lt;&gt;"",OR(NOT(ISNUMBER($L191)),$L191&lt;=DATE(1900,1,1),$L191&gt;TODAY())),"Birthdate must be an exact valid past date; ","")&amp;IF($P191="","Eligibility Date is required; ","")&amp;IF(AND($P191&lt;&gt;"",OR(NOT(ISNUMBER($P191)),$P191&lt;=DATE(1900,1,1))),"Eligibility Date must be a valid date; ","")&amp;IF(AND($R191="Terminated",$Q191=""),"Termination Date is required when Status is Terminated; ","")&amp;IF(AND($Q191&lt;&gt;"",OR(NOT(ISNUMBER($Q191)),$Q191&lt;=DATE(1900,1,1))),"Termination Date must be a valid date; ","")&amp;IF(AND(ISNUMBER($P191),ISNUMBER($Q191),$Q191&lt;$P191),"Termination Date cannot be before Eligibility Date; ","")&amp;IF($R191="","Status is required; ","")&amp;IF(AND($R191&lt;&gt;"",$R191&lt;&gt;"Active",$R191&lt;&gt;"Terminated"),"Status must be Active or Terminated; ","")&amp;IF(AND('START HERE'!$C$8="Terminations Only",$R191&lt;&gt;"Terminated"),"Terminations Only files must contain terminated records; ",""))</f>
        <v/>
      </c>
      <c r="AC191">
        <f>IF(COUNTA($A191:$U191)=0,"",IF($S191="","Plan Name is required; ","")&amp;IF($T191="","Benefit Coverage Level is required; ","")&amp;IF(AND($U191&lt;&gt;"",OR(NOT(ISNUMBER($U191)),$U191&lt;0)),"Plan Funding Amount must be a nonnegative number; ","")&amp;IF(AND($A191&lt;&gt;"",$S191&lt;&gt;"",COUNTIFS($A$2:$A$501,$A191,$B$2:$B$501,$B191,$S$2:$S$501,$S191)&gt;1),"Duplicate participant and plan row; ",""))</f>
        <v/>
      </c>
      <c r="AD191">
        <f>IF(COUNTA($A191:$U191)=0,"",IF(AND($X191="Employee",$M191="",$N191=""),"No employee phone or email provided; ","")&amp;IF(AND($R191="Active",$Q191&lt;&gt;""),"Active record includes a Termination Date; confirm this is intentional; ","")&amp;IF(AND($B191&lt;&gt;"",$B191&amp;""&lt;&gt;$A191&amp;"",COUNTIF($A$2:$A$501,$B191)&gt;0),"Dependent SSN also appears as an Employee SSN elsewhere; confirm dual-employee coverage is intentional; ","")&amp;IF(AND($B191&lt;&gt;"",COUNTIF($B$2:$B$501,$B191)&gt;COUNTIFS($A$2:$A$501,$A191,$B$2:$B$501,$B191)),"Dependent SSN appears under more than one employee; confirm duplicate family coverage is intentional; ","")&amp;IF(AND(ROW()&gt;2,$A191&lt;&gt;"",$A191&lt;&gt;$A190,COUNTIF($A$2:$A190,$A191)&gt;0),"This household appears in more than one section of the census; keep the family together; ","")&amp;IF(OR(AND($C191&lt;&gt;"",LEN($C191&amp;"")&lt;&gt;LEN(TRIM($C191&amp;""))),AND($D191&lt;&gt;"",LEN($D191&amp;"")&lt;&gt;LEN(TRIM($D191&amp;""))),AND($E191&lt;&gt;"",LEN($E191&amp;"")&lt;&gt;LEN(TRIM($E191&amp;""))),AND($F191&lt;&gt;"",LEN($F191&amp;"")&lt;&gt;LEN(TRIM($F191&amp;""))),AND($G191&lt;&gt;"",LEN($G191&amp;"")&lt;&gt;LEN(TRIM($G191&amp;""))),AND($H191&lt;&gt;"",LEN($H191&amp;"")&lt;&gt;LEN(TRIM($H191&amp;""))),AND($I191&lt;&gt;"",LEN($I191&amp;"")&lt;&gt;LEN(TRIM($I191&amp;""))),AND($J191&lt;&gt;"",LEN($J191&amp;"")&lt;&gt;LEN(TRIM($J191&amp;""))),AND($K191&lt;&gt;"",LEN($K191&amp;"")&lt;&gt;LEN(TRIM($K191&amp;""))),AND($M191&lt;&gt;"",LEN($M191&amp;"")&lt;&gt;LEN(TRIM($M191&amp;""))),AND($N191&lt;&gt;"",LEN($N191&amp;"")&lt;&gt;LEN(TRIM($N191&amp;""))),AND($O191&lt;&gt;"",LEN($O191&amp;"")&lt;&gt;LEN(TRIM($O191&amp;""))),AND($R191&lt;&gt;"",LEN($R191&amp;"")&lt;&gt;LEN(TRIM($R191&amp;""))),AND($S191&lt;&gt;"",LEN($S191&amp;"")&lt;&gt;LEN(TRIM($S191&amp;""))),AND($T191&lt;&gt;"",LEN($T191&amp;"")&lt;&gt;LEN(TRIM($T191&amp;"")))),"Remove leading or trailing spaces from text fields; ","")&amp;IF(OR(AND(LEN($C191)&gt;1,OR(EXACT($C191,UPPER($C191)),EXACT($C191,LOWER($C191)))),AND(LEN($D191)&gt;1,OR(EXACT($D191,UPPER($D191)),EXACT($D191,LOWER($D191)))),AND(LEN($H191)&gt;1,OR(EXACT($H191,UPPER($H191)),EXACT($H191,LOWER($H191))))),"Review capitalization in First Name, Last Name, or City; ","")&amp;IF(AND($N191&lt;&gt;"",NOT(EXACT($N191,LOWER($N191)))),"Email will be standardized to lowercase in the clean output; ","")&amp;IF(AND(OR('START HERE'!$C$8="Initial Enrollment",'START HERE'!$C$8="Open Enrollment"),$R191="Terminated"),"A terminated row is included in an initial or open enrollment file; confirm this is intentional; ",""))</f>
        <v/>
      </c>
      <c r="AE191">
        <f>IF(COUNTA($A191:$U191)=0,"",IF(OR($A191="",AND($A191&lt;&gt;"",NOT(IFERROR(AND(LEN($A191&amp;"")=9,ISNUMBER(--($A191&amp;""))),FALSE))),AND($A191&lt;&gt;"",OR($A191="123456789",$A191="987654321",$A191="012345678",$A191=REPT(LEFT($A191&amp;"",1),9)))),"Employee SSN, ","")&amp;IF(OR(AND($O191&lt;&gt;"",$B191=""),AND($B191&lt;&gt;"",OR(NOT(IFERROR(AND(LEN($B191&amp;"")=9,ISNUMBER(--($B191&amp;""))),FALSE)),$B191=$A191,$B191="123456789",$B191="987654321",$B191="012345678",$B191=REPT(LEFT($B191&amp;"",1),9)))),"Dependent SSN, ","")&amp;IF(OR($C191="",LEN($C191)&gt;19,AND($C191&lt;&gt;"",SUMPRODUCT(--(ROW($1:$19)&lt;=LEN($C191&amp;"")),--ISERROR(FIND(MID($C191&amp;"",ROW($1:$19),1),"ABCDEFGHIJKLMNOPQRSTUVWXYZabcdefghijklmnopqrstuvwxyz .,")))&gt;0)),"First Name, ","")&amp;IF(OR($D191="",LEN($D191)&gt;26,AND($D191&lt;&gt;"",SUMPRODUCT(--(ROW($1:$26)&lt;=LEN($D191&amp;"")),--ISERROR(FIND(MID($D191&amp;"",ROW($1:$26),1),"ABCDEFGHIJKLMNOPQRSTUVWXYZabcdefghijklmnopqrstuvwxyz .,")))&gt;0)),"Last Name, ","")&amp;IF(OR(LEN($E191)&gt;1,AND($E191&lt;&gt;"",SUMPRODUCT(--(ROW($1:$1)&lt;=LEN($E191&amp;"")),--ISERROR(FIND(MID($E191&amp;"",ROW($1:$1),1),"ABCDEFGHIJKLMNOPQRSTUVWXYZabcdefghijklmnopqrstuvwxyz .,")))&gt;0)),"Middle Initial, ","")&amp;IF(OR($F191="",LEN($F191)&gt;75),"Address, ","")&amp;IF(OR($H191="",LEN($H191)&gt;30),"City, ","")&amp;IF(AND($K191="US",OR($I191="",LEN($I191)&lt;&gt;2)),"State, ","")&amp;IF($J191="","ZIP, ","")&amp;IF(OR($K191="",AND($K191&lt;&gt;"US",$K191&lt;&gt;"CA")),"Country, ","")&amp;IF(OR($L191="",AND($L191&lt;&gt;"",OR(NOT(ISNUMBER($L191)),$L191&lt;=DATE(1900,1,1),$L191&gt;TODAY()))),"Birthdate, ","")&amp;IF(AND($N191&lt;&gt;"",NOT(IFERROR(AND(ISNUMBER(SEARCH("@",$N191)),ISNUMBER(SEARCH(".",$N191,SEARCH("@",$N191)+2))),FALSE))),"Email, ","")&amp;IF(OR(AND($B191&lt;&gt;"",$O191=""),AND($O191&lt;&gt;"",$O191&lt;&gt;"Spouse or Common Law Spouse",$O191&lt;&gt;"Domestic Partner",$O191&lt;&gt;"Child",$O191&lt;&gt;"Other",$O191&lt;&gt;"Estate",$O191&lt;&gt;"Unknown")),"Dependent Relationship, ","")&amp;IF($AA191&lt;&gt;"","Household, ","")&amp;IF(OR($P191="",AND($P191&lt;&gt;"",OR(NOT(ISNUMBER($P191)),$P191&lt;=DATE(1900,1,1)))),"Eligibility Date, ","")&amp;IF(OR(AND($R191="Terminated",$Q191=""),AND($Q191&lt;&gt;"",OR(NOT(ISNUMBER($Q191)),$Q191&lt;=DATE(1900,1,1))),AND(ISNUMBER($P191),ISNUMBER($Q191),$Q191&lt;$P191)),"Termination Date, ","")&amp;IF(OR($R191="",AND($R191&lt;&gt;"Active",$R191&lt;&gt;"Terminated"),AND('START HERE'!$C$8="Terminations Only",$R191&lt;&gt;"Terminated")),"Status, ","")&amp;IF($S191="","Plan Name, ","")&amp;IF($T191="","Coverage Level, ","")&amp;IF(AND($U191&lt;&gt;"",OR(NOT(ISNUMBER($U191)),$U191&lt;0)),"Funding, ","")&amp;IF(AND($A191&lt;&gt;"",$S191&lt;&gt;"",COUNTIFS($A$2:$A$501,$A191,$B$2:$B$501,$B191,$S$2:$S$501,$S191)&gt;1),"Duplicate Row, ",""))</f>
        <v/>
      </c>
      <c r="AF191">
        <f>IF(COUNTA($A191:$U191)=0,"",$Y191&amp;$Z191&amp;$AA191&amp;$AB191&amp;$AC191)</f>
        <v/>
      </c>
      <c r="AG191">
        <f>IF($N191="","",LOWER(TRIM($N191)))</f>
        <v/>
      </c>
      <c r="AH191">
        <f>IF($A191="","",COUNTIFS($A$2:$A$501,$A191,$AI$2:$AI$501,1))</f>
        <v/>
      </c>
      <c r="AI191">
        <f>IF(COUNTA($A191:$U191)=0,"",--($AF191&lt;&gt;""))</f>
        <v/>
      </c>
      <c r="AJ191">
        <f>IF(COUNTA($A191:$U191)=0,"",--($AD191&lt;&gt;""))</f>
        <v/>
      </c>
    </row>
    <row r="192" ht="20" customHeight="1">
      <c r="A192" s="80" t="n"/>
      <c r="B192" s="80" t="n"/>
      <c r="C192" s="81" t="n"/>
      <c r="D192" s="81" t="n"/>
      <c r="E192" s="80" t="n"/>
      <c r="F192" s="81" t="n"/>
      <c r="G192" s="81" t="n"/>
      <c r="H192" s="81" t="n"/>
      <c r="I192" s="80" t="n"/>
      <c r="J192" s="80" t="n"/>
      <c r="K192" s="80" t="n"/>
      <c r="L192" s="82" t="n"/>
      <c r="M192" s="80" t="n"/>
      <c r="N192" s="80" t="n"/>
      <c r="O192" s="80" t="n"/>
      <c r="P192" s="82" t="n"/>
      <c r="Q192" s="82" t="n"/>
      <c r="R192" s="80" t="n"/>
      <c r="S192" s="80" t="n"/>
      <c r="T192" s="80" t="n"/>
      <c r="U192" s="83" t="n"/>
      <c r="V192">
        <f>IF($A192="","",IF($A192=$A191,$V191,IF($V191="",0,1-$V191)))</f>
        <v/>
      </c>
      <c r="W192">
        <f>IF($B192&lt;&gt;"",$B192,$A192)</f>
        <v/>
      </c>
      <c r="X192">
        <f>IF(COUNTA($A192:$U192)=0,"",IF(OR($B192&lt;&gt;"",$O192&lt;&gt;""),"Dependent","Employee"))</f>
        <v/>
      </c>
      <c r="Y192">
        <f>IF(COUNTA($A192:$U192)=0,"",IF($A192="","Employee SSN is required; ","")&amp;IF($C192="","First Name is required; ","")&amp;IF(LEN($C192&amp;"")&gt;19,"First Name exceeds 19 characters; ","")&amp;IF(AND($C192&lt;&gt;"",SUMPRODUCT(--(ROW($1:$19)&lt;=LEN($C192&amp;"")),--ISERROR(FIND(MID($C192&amp;"",ROW($1:$19),1),"ABCDEFGHIJKLMNOPQRSTUVWXYZabcdefghijklmnopqrstuvwxyz .,")))&gt;0),"First Name contains unsupported or encoded characters; use plain A-Z letters only; ","")&amp;IF($D192="","Last Name is required; ","")&amp;IF(LEN($D192&amp;"")&gt;26,"Last Name exceeds 26 characters; ","")&amp;IF(AND($D192&lt;&gt;"",SUMPRODUCT(--(ROW($1:$26)&lt;=LEN($D192&amp;"")),--ISERROR(FIND(MID($D192&amp;"",ROW($1:$26),1),"ABCDEFGHIJKLMNOPQRSTUVWXYZabcdefghijklmnopqrstuvwxyz .,")))&gt;0),"Last Name contains unsupported or encoded characters; use plain A-Z letters only; ","")&amp;IF(LEN($E192&amp;"")&gt;1,"Middle Initial may contain only one character; ","")&amp;IF(AND($E192&lt;&gt;"",SUMPRODUCT(--(ROW($1:$1)&lt;=LEN($E192&amp;"")),--ISERROR(FIND(MID($E192&amp;"",ROW($1:$1),1),"ABCDEFGHIJKLMNOPQRSTUVWXYZabcdefghijklmnopqrstuvwxyz .,")))&gt;0),"Middle Initial must be a plain A-Z letter; ","")&amp;IF($F192="","Address is required; ","")&amp;IF(LEN($F192&amp;"")&gt;75,"Address exceeds 75 characters; ","")&amp;IF(LEN($G192&amp;"")&gt;75,"Address 2 exceeds 75 characters; ","")&amp;IF($H192="","City is required; ","")&amp;IF(LEN($H192&amp;"")&gt;30,"City exceeds 30 characters; ","")&amp;IF($K192="","Country is required; ","")&amp;IF(AND($K192&lt;&gt;"",$K192&lt;&gt;"US",$K192&lt;&gt;"CA"),"Country must be US or CA; ","")&amp;IF(AND($K192="US",OR($I192="",LEN($I192&amp;"")&lt;&gt;2)),"Use a 2-letter state code; ","")&amp;IF($J192="","ZIP or postal code is required; ","")&amp;IF(AND($K192="US",$J192&lt;&gt;"",NOT(IFERROR(OR(AND(LEN($J192&amp;"")=5,ISNUMBER(--($J192&amp;""))),AND(LEN($J192&amp;"")=9,ISNUMBER(--($J192&amp;""))),AND(LEN($J192&amp;"")=10,MID($J192&amp;"",6,1)="-",ISNUMBER(--SUBSTITUTE($J192&amp;"","-","")))),FALSE))),"US ZIP must be 5 or 9 digits, with an optional ZIP+4 hyphen; ","")&amp;IF(AND($N192&lt;&gt;"",NOT(IFERROR(AND(ISNUMBER(SEARCH("@",$N192)),ISNUMBER(SEARCH(".",$N192,SEARCH("@",$N192)+2))),FALSE))),"Email format appears invalid; ","")&amp;IF(AND($O192&lt;&gt;"",$B192=""),"Dependent SSN is required for every dependent; ","")&amp;IF(AND($B192&lt;&gt;"",$O192=""),"Dependent Relationship is required when Dependent SSN is entered; ","")&amp;IF(AND($O192&lt;&gt;"",$O192&lt;&gt;"Spouse or Common Law Spouse",$O192&lt;&gt;"Domestic Partner",$O192&lt;&gt;"Child",$O192&lt;&gt;"Other",$O192&lt;&gt;"Estate",$O192&lt;&gt;"Unknown"),"Dependent Relationship must use one of the approved options; ",""))</f>
        <v/>
      </c>
      <c r="Z192">
        <f>IF(COUNTA($A192:$U192)=0,"",IF(AND($A192&lt;&gt;"",NOT(IFERROR(AND(LEN($A192&amp;"")=9,ISNUMBER(--($A192&amp;""))),FALSE))),"Employee SSN must contain exactly 9 digits; ","")&amp;IF(AND($A192&lt;&gt;"",OR($A192="123456789",$A192="987654321",$A192="012345678",$A192=REPT(LEFT($A192&amp;"",1),9))),"Employee SSN appears to be a placeholder; ","")&amp;IF(AND($B192&lt;&gt;"",NOT(IFERROR(AND(LEN($B192&amp;"")=9,ISNUMBER(--($B192&amp;""))),FALSE))),"Dependent SSN must contain exactly 9 digits; ","")&amp;IF(AND($B192&lt;&gt;"",OR($B192="123456789",$B192="987654321",$B192="012345678",$B192=REPT(LEFT($B192&amp;"",1),9))),"Dependent SSN appears to be a placeholder; ","")&amp;IF(AND($A192&lt;&gt;"",$B192&lt;&gt;"",$A192&amp;""=$B192&amp;""),"Dependent SSN cannot match Employee SSN; ","")&amp;IF(AND($W192&lt;&gt;"",OR(COUNTIFS($W$2:$W$501,$W192,$C$2:$C$501,"&lt;&gt;"&amp;$C192)&gt;0,COUNTIFS($W$2:$W$501,$W192,$D$2:$D$501,"&lt;&gt;"&amp;$D192)&gt;0,COUNTIFS($W$2:$W$501,$W192,$L$2:$L$501,"&lt;&gt;"&amp;$L192)&gt;0)),"The same SSN is associated with a different name or birthdate; ",""))</f>
        <v/>
      </c>
      <c r="AA192">
        <f>IF(COUNTA($A192:$U192)=0,"",IF(AND($A192&lt;&gt;"",$S192&lt;&gt;"",COUNTIFS($A$2:$A$501,$A192,$S$2:$S$501,$S192,$B$2:$B$501,"",$O$2:$O$501,"")=0),"Add an employee row for this household and plan; ","")&amp;IF(AND($X192="Dependent",COUNTIFS($A$2:$A192,$A192,$S$2:$S192,$S192,$B$2:$B192,"",$O$2:$O192,"")=0),"Place the employee row before dependent rows for this plan; ","")&amp;IF(AND($X192="Dependent",COUNTIFS($A$2:$A$501,$A192,$S$2:$S$501,$S192,$B$2:$B$501,"",$O$2:$O$501,"")&gt;0,IFERROR(OR($P192&lt;&gt;LOOKUP(2,1/(($A$2:$A$501=$A192)*($S$2:$S$501=$S192)*($B$2:$B$501="")*($O$2:$O$501="")),$P$2:$P$501),$Q192&lt;&gt;LOOKUP(2,1/(($A$2:$A$501=$A192)*($S$2:$S$501=$S192)*($B$2:$B$501="")*($O$2:$O$501="")),$Q$2:$Q$501),$R192&lt;&gt;LOOKUP(2,1/(($A$2:$A$501=$A192)*($S$2:$S$501=$S192)*($B$2:$B$501="")*($O$2:$O$501="")),$R$2:$R$501),$T192&lt;&gt;LOOKUP(2,1/(($A$2:$A$501=$A192)*($S$2:$S$501=$S192)*($B$2:$B$501="")*($O$2:$O$501="")),$T$2:$T$501),$U192&lt;&gt;LOOKUP(2,1/(($A$2:$A$501=$A192)*($S$2:$S$501=$S192)*($B$2:$B$501="")*($O$2:$O$501="")),$U$2:$U$501)),FALSE)),"Dependent row does not match the employee row for eligibility, status, coverage level, or funding; ",""))</f>
        <v/>
      </c>
      <c r="AB192">
        <f>IF(COUNTA($A192:$U192)=0,"",IF($L192="","Birthdate is required; ","")&amp;IF(AND($L192&lt;&gt;"",OR(NOT(ISNUMBER($L192)),$L192&lt;=DATE(1900,1,1),$L192&gt;TODAY())),"Birthdate must be an exact valid past date; ","")&amp;IF($P192="","Eligibility Date is required; ","")&amp;IF(AND($P192&lt;&gt;"",OR(NOT(ISNUMBER($P192)),$P192&lt;=DATE(1900,1,1))),"Eligibility Date must be a valid date; ","")&amp;IF(AND($R192="Terminated",$Q192=""),"Termination Date is required when Status is Terminated; ","")&amp;IF(AND($Q192&lt;&gt;"",OR(NOT(ISNUMBER($Q192)),$Q192&lt;=DATE(1900,1,1))),"Termination Date must be a valid date; ","")&amp;IF(AND(ISNUMBER($P192),ISNUMBER($Q192),$Q192&lt;$P192),"Termination Date cannot be before Eligibility Date; ","")&amp;IF($R192="","Status is required; ","")&amp;IF(AND($R192&lt;&gt;"",$R192&lt;&gt;"Active",$R192&lt;&gt;"Terminated"),"Status must be Active or Terminated; ","")&amp;IF(AND('START HERE'!$C$8="Terminations Only",$R192&lt;&gt;"Terminated"),"Terminations Only files must contain terminated records; ",""))</f>
        <v/>
      </c>
      <c r="AC192">
        <f>IF(COUNTA($A192:$U192)=0,"",IF($S192="","Plan Name is required; ","")&amp;IF($T192="","Benefit Coverage Level is required; ","")&amp;IF(AND($U192&lt;&gt;"",OR(NOT(ISNUMBER($U192)),$U192&lt;0)),"Plan Funding Amount must be a nonnegative number; ","")&amp;IF(AND($A192&lt;&gt;"",$S192&lt;&gt;"",COUNTIFS($A$2:$A$501,$A192,$B$2:$B$501,$B192,$S$2:$S$501,$S192)&gt;1),"Duplicate participant and plan row; ",""))</f>
        <v/>
      </c>
      <c r="AD192">
        <f>IF(COUNTA($A192:$U192)=0,"",IF(AND($X192="Employee",$M192="",$N192=""),"No employee phone or email provided; ","")&amp;IF(AND($R192="Active",$Q192&lt;&gt;""),"Active record includes a Termination Date; confirm this is intentional; ","")&amp;IF(AND($B192&lt;&gt;"",$B192&amp;""&lt;&gt;$A192&amp;"",COUNTIF($A$2:$A$501,$B192)&gt;0),"Dependent SSN also appears as an Employee SSN elsewhere; confirm dual-employee coverage is intentional; ","")&amp;IF(AND($B192&lt;&gt;"",COUNTIF($B$2:$B$501,$B192)&gt;COUNTIFS($A$2:$A$501,$A192,$B$2:$B$501,$B192)),"Dependent SSN appears under more than one employee; confirm duplicate family coverage is intentional; ","")&amp;IF(AND(ROW()&gt;2,$A192&lt;&gt;"",$A192&lt;&gt;$A191,COUNTIF($A$2:$A191,$A192)&gt;0),"This household appears in more than one section of the census; keep the family together; ","")&amp;IF(OR(AND($C192&lt;&gt;"",LEN($C192&amp;"")&lt;&gt;LEN(TRIM($C192&amp;""))),AND($D192&lt;&gt;"",LEN($D192&amp;"")&lt;&gt;LEN(TRIM($D192&amp;""))),AND($E192&lt;&gt;"",LEN($E192&amp;"")&lt;&gt;LEN(TRIM($E192&amp;""))),AND($F192&lt;&gt;"",LEN($F192&amp;"")&lt;&gt;LEN(TRIM($F192&amp;""))),AND($G192&lt;&gt;"",LEN($G192&amp;"")&lt;&gt;LEN(TRIM($G192&amp;""))),AND($H192&lt;&gt;"",LEN($H192&amp;"")&lt;&gt;LEN(TRIM($H192&amp;""))),AND($I192&lt;&gt;"",LEN($I192&amp;"")&lt;&gt;LEN(TRIM($I192&amp;""))),AND($J192&lt;&gt;"",LEN($J192&amp;"")&lt;&gt;LEN(TRIM($J192&amp;""))),AND($K192&lt;&gt;"",LEN($K192&amp;"")&lt;&gt;LEN(TRIM($K192&amp;""))),AND($M192&lt;&gt;"",LEN($M192&amp;"")&lt;&gt;LEN(TRIM($M192&amp;""))),AND($N192&lt;&gt;"",LEN($N192&amp;"")&lt;&gt;LEN(TRIM($N192&amp;""))),AND($O192&lt;&gt;"",LEN($O192&amp;"")&lt;&gt;LEN(TRIM($O192&amp;""))),AND($R192&lt;&gt;"",LEN($R192&amp;"")&lt;&gt;LEN(TRIM($R192&amp;""))),AND($S192&lt;&gt;"",LEN($S192&amp;"")&lt;&gt;LEN(TRIM($S192&amp;""))),AND($T192&lt;&gt;"",LEN($T192&amp;"")&lt;&gt;LEN(TRIM($T192&amp;"")))),"Remove leading or trailing spaces from text fields; ","")&amp;IF(OR(AND(LEN($C192)&gt;1,OR(EXACT($C192,UPPER($C192)),EXACT($C192,LOWER($C192)))),AND(LEN($D192)&gt;1,OR(EXACT($D192,UPPER($D192)),EXACT($D192,LOWER($D192)))),AND(LEN($H192)&gt;1,OR(EXACT($H192,UPPER($H192)),EXACT($H192,LOWER($H192))))),"Review capitalization in First Name, Last Name, or City; ","")&amp;IF(AND($N192&lt;&gt;"",NOT(EXACT($N192,LOWER($N192)))),"Email will be standardized to lowercase in the clean output; ","")&amp;IF(AND(OR('START HERE'!$C$8="Initial Enrollment",'START HERE'!$C$8="Open Enrollment"),$R192="Terminated"),"A terminated row is included in an initial or open enrollment file; confirm this is intentional; ",""))</f>
        <v/>
      </c>
      <c r="AE192">
        <f>IF(COUNTA($A192:$U192)=0,"",IF(OR($A192="",AND($A192&lt;&gt;"",NOT(IFERROR(AND(LEN($A192&amp;"")=9,ISNUMBER(--($A192&amp;""))),FALSE))),AND($A192&lt;&gt;"",OR($A192="123456789",$A192="987654321",$A192="012345678",$A192=REPT(LEFT($A192&amp;"",1),9)))),"Employee SSN, ","")&amp;IF(OR(AND($O192&lt;&gt;"",$B192=""),AND($B192&lt;&gt;"",OR(NOT(IFERROR(AND(LEN($B192&amp;"")=9,ISNUMBER(--($B192&amp;""))),FALSE)),$B192=$A192,$B192="123456789",$B192="987654321",$B192="012345678",$B192=REPT(LEFT($B192&amp;"",1),9)))),"Dependent SSN, ","")&amp;IF(OR($C192="",LEN($C192)&gt;19,AND($C192&lt;&gt;"",SUMPRODUCT(--(ROW($1:$19)&lt;=LEN($C192&amp;"")),--ISERROR(FIND(MID($C192&amp;"",ROW($1:$19),1),"ABCDEFGHIJKLMNOPQRSTUVWXYZabcdefghijklmnopqrstuvwxyz .,")))&gt;0)),"First Name, ","")&amp;IF(OR($D192="",LEN($D192)&gt;26,AND($D192&lt;&gt;"",SUMPRODUCT(--(ROW($1:$26)&lt;=LEN($D192&amp;"")),--ISERROR(FIND(MID($D192&amp;"",ROW($1:$26),1),"ABCDEFGHIJKLMNOPQRSTUVWXYZabcdefghijklmnopqrstuvwxyz .,")))&gt;0)),"Last Name, ","")&amp;IF(OR(LEN($E192)&gt;1,AND($E192&lt;&gt;"",SUMPRODUCT(--(ROW($1:$1)&lt;=LEN($E192&amp;"")),--ISERROR(FIND(MID($E192&amp;"",ROW($1:$1),1),"ABCDEFGHIJKLMNOPQRSTUVWXYZabcdefghijklmnopqrstuvwxyz .,")))&gt;0)),"Middle Initial, ","")&amp;IF(OR($F192="",LEN($F192)&gt;75),"Address, ","")&amp;IF(OR($H192="",LEN($H192)&gt;30),"City, ","")&amp;IF(AND($K192="US",OR($I192="",LEN($I192)&lt;&gt;2)),"State, ","")&amp;IF($J192="","ZIP, ","")&amp;IF(OR($K192="",AND($K192&lt;&gt;"US",$K192&lt;&gt;"CA")),"Country, ","")&amp;IF(OR($L192="",AND($L192&lt;&gt;"",OR(NOT(ISNUMBER($L192)),$L192&lt;=DATE(1900,1,1),$L192&gt;TODAY()))),"Birthdate, ","")&amp;IF(AND($N192&lt;&gt;"",NOT(IFERROR(AND(ISNUMBER(SEARCH("@",$N192)),ISNUMBER(SEARCH(".",$N192,SEARCH("@",$N192)+2))),FALSE))),"Email, ","")&amp;IF(OR(AND($B192&lt;&gt;"",$O192=""),AND($O192&lt;&gt;"",$O192&lt;&gt;"Spouse or Common Law Spouse",$O192&lt;&gt;"Domestic Partner",$O192&lt;&gt;"Child",$O192&lt;&gt;"Other",$O192&lt;&gt;"Estate",$O192&lt;&gt;"Unknown")),"Dependent Relationship, ","")&amp;IF($AA192&lt;&gt;"","Household, ","")&amp;IF(OR($P192="",AND($P192&lt;&gt;"",OR(NOT(ISNUMBER($P192)),$P192&lt;=DATE(1900,1,1)))),"Eligibility Date, ","")&amp;IF(OR(AND($R192="Terminated",$Q192=""),AND($Q192&lt;&gt;"",OR(NOT(ISNUMBER($Q192)),$Q192&lt;=DATE(1900,1,1))),AND(ISNUMBER($P192),ISNUMBER($Q192),$Q192&lt;$P192)),"Termination Date, ","")&amp;IF(OR($R192="",AND($R192&lt;&gt;"Active",$R192&lt;&gt;"Terminated"),AND('START HERE'!$C$8="Terminations Only",$R192&lt;&gt;"Terminated")),"Status, ","")&amp;IF($S192="","Plan Name, ","")&amp;IF($T192="","Coverage Level, ","")&amp;IF(AND($U192&lt;&gt;"",OR(NOT(ISNUMBER($U192)),$U192&lt;0)),"Funding, ","")&amp;IF(AND($A192&lt;&gt;"",$S192&lt;&gt;"",COUNTIFS($A$2:$A$501,$A192,$B$2:$B$501,$B192,$S$2:$S$501,$S192)&gt;1),"Duplicate Row, ",""))</f>
        <v/>
      </c>
      <c r="AF192">
        <f>IF(COUNTA($A192:$U192)=0,"",$Y192&amp;$Z192&amp;$AA192&amp;$AB192&amp;$AC192)</f>
        <v/>
      </c>
      <c r="AG192">
        <f>IF($N192="","",LOWER(TRIM($N192)))</f>
        <v/>
      </c>
      <c r="AH192">
        <f>IF($A192="","",COUNTIFS($A$2:$A$501,$A192,$AI$2:$AI$501,1))</f>
        <v/>
      </c>
      <c r="AI192">
        <f>IF(COUNTA($A192:$U192)=0,"",--($AF192&lt;&gt;""))</f>
        <v/>
      </c>
      <c r="AJ192">
        <f>IF(COUNTA($A192:$U192)=0,"",--($AD192&lt;&gt;""))</f>
        <v/>
      </c>
    </row>
    <row r="193" ht="20" customHeight="1">
      <c r="A193" s="80" t="n"/>
      <c r="B193" s="80" t="n"/>
      <c r="C193" s="81" t="n"/>
      <c r="D193" s="81" t="n"/>
      <c r="E193" s="80" t="n"/>
      <c r="F193" s="81" t="n"/>
      <c r="G193" s="81" t="n"/>
      <c r="H193" s="81" t="n"/>
      <c r="I193" s="80" t="n"/>
      <c r="J193" s="80" t="n"/>
      <c r="K193" s="80" t="n"/>
      <c r="L193" s="82" t="n"/>
      <c r="M193" s="80" t="n"/>
      <c r="N193" s="80" t="n"/>
      <c r="O193" s="80" t="n"/>
      <c r="P193" s="82" t="n"/>
      <c r="Q193" s="82" t="n"/>
      <c r="R193" s="80" t="n"/>
      <c r="S193" s="80" t="n"/>
      <c r="T193" s="80" t="n"/>
      <c r="U193" s="83" t="n"/>
      <c r="V193">
        <f>IF($A193="","",IF($A193=$A192,$V192,IF($V192="",0,1-$V192)))</f>
        <v/>
      </c>
      <c r="W193">
        <f>IF($B193&lt;&gt;"",$B193,$A193)</f>
        <v/>
      </c>
      <c r="X193">
        <f>IF(COUNTA($A193:$U193)=0,"",IF(OR($B193&lt;&gt;"",$O193&lt;&gt;""),"Dependent","Employee"))</f>
        <v/>
      </c>
      <c r="Y193">
        <f>IF(COUNTA($A193:$U193)=0,"",IF($A193="","Employee SSN is required; ","")&amp;IF($C193="","First Name is required; ","")&amp;IF(LEN($C193&amp;"")&gt;19,"First Name exceeds 19 characters; ","")&amp;IF(AND($C193&lt;&gt;"",SUMPRODUCT(--(ROW($1:$19)&lt;=LEN($C193&amp;"")),--ISERROR(FIND(MID($C193&amp;"",ROW($1:$19),1),"ABCDEFGHIJKLMNOPQRSTUVWXYZabcdefghijklmnopqrstuvwxyz .,")))&gt;0),"First Name contains unsupported or encoded characters; use plain A-Z letters only; ","")&amp;IF($D193="","Last Name is required; ","")&amp;IF(LEN($D193&amp;"")&gt;26,"Last Name exceeds 26 characters; ","")&amp;IF(AND($D193&lt;&gt;"",SUMPRODUCT(--(ROW($1:$26)&lt;=LEN($D193&amp;"")),--ISERROR(FIND(MID($D193&amp;"",ROW($1:$26),1),"ABCDEFGHIJKLMNOPQRSTUVWXYZabcdefghijklmnopqrstuvwxyz .,")))&gt;0),"Last Name contains unsupported or encoded characters; use plain A-Z letters only; ","")&amp;IF(LEN($E193&amp;"")&gt;1,"Middle Initial may contain only one character; ","")&amp;IF(AND($E193&lt;&gt;"",SUMPRODUCT(--(ROW($1:$1)&lt;=LEN($E193&amp;"")),--ISERROR(FIND(MID($E193&amp;"",ROW($1:$1),1),"ABCDEFGHIJKLMNOPQRSTUVWXYZabcdefghijklmnopqrstuvwxyz .,")))&gt;0),"Middle Initial must be a plain A-Z letter; ","")&amp;IF($F193="","Address is required; ","")&amp;IF(LEN($F193&amp;"")&gt;75,"Address exceeds 75 characters; ","")&amp;IF(LEN($G193&amp;"")&gt;75,"Address 2 exceeds 75 characters; ","")&amp;IF($H193="","City is required; ","")&amp;IF(LEN($H193&amp;"")&gt;30,"City exceeds 30 characters; ","")&amp;IF($K193="","Country is required; ","")&amp;IF(AND($K193&lt;&gt;"",$K193&lt;&gt;"US",$K193&lt;&gt;"CA"),"Country must be US or CA; ","")&amp;IF(AND($K193="US",OR($I193="",LEN($I193&amp;"")&lt;&gt;2)),"Use a 2-letter state code; ","")&amp;IF($J193="","ZIP or postal code is required; ","")&amp;IF(AND($K193="US",$J193&lt;&gt;"",NOT(IFERROR(OR(AND(LEN($J193&amp;"")=5,ISNUMBER(--($J193&amp;""))),AND(LEN($J193&amp;"")=9,ISNUMBER(--($J193&amp;""))),AND(LEN($J193&amp;"")=10,MID($J193&amp;"",6,1)="-",ISNUMBER(--SUBSTITUTE($J193&amp;"","-","")))),FALSE))),"US ZIP must be 5 or 9 digits, with an optional ZIP+4 hyphen; ","")&amp;IF(AND($N193&lt;&gt;"",NOT(IFERROR(AND(ISNUMBER(SEARCH("@",$N193)),ISNUMBER(SEARCH(".",$N193,SEARCH("@",$N193)+2))),FALSE))),"Email format appears invalid; ","")&amp;IF(AND($O193&lt;&gt;"",$B193=""),"Dependent SSN is required for every dependent; ","")&amp;IF(AND($B193&lt;&gt;"",$O193=""),"Dependent Relationship is required when Dependent SSN is entered; ","")&amp;IF(AND($O193&lt;&gt;"",$O193&lt;&gt;"Spouse or Common Law Spouse",$O193&lt;&gt;"Domestic Partner",$O193&lt;&gt;"Child",$O193&lt;&gt;"Other",$O193&lt;&gt;"Estate",$O193&lt;&gt;"Unknown"),"Dependent Relationship must use one of the approved options; ",""))</f>
        <v/>
      </c>
      <c r="Z193">
        <f>IF(COUNTA($A193:$U193)=0,"",IF(AND($A193&lt;&gt;"",NOT(IFERROR(AND(LEN($A193&amp;"")=9,ISNUMBER(--($A193&amp;""))),FALSE))),"Employee SSN must contain exactly 9 digits; ","")&amp;IF(AND($A193&lt;&gt;"",OR($A193="123456789",$A193="987654321",$A193="012345678",$A193=REPT(LEFT($A193&amp;"",1),9))),"Employee SSN appears to be a placeholder; ","")&amp;IF(AND($B193&lt;&gt;"",NOT(IFERROR(AND(LEN($B193&amp;"")=9,ISNUMBER(--($B193&amp;""))),FALSE))),"Dependent SSN must contain exactly 9 digits; ","")&amp;IF(AND($B193&lt;&gt;"",OR($B193="123456789",$B193="987654321",$B193="012345678",$B193=REPT(LEFT($B193&amp;"",1),9))),"Dependent SSN appears to be a placeholder; ","")&amp;IF(AND($A193&lt;&gt;"",$B193&lt;&gt;"",$A193&amp;""=$B193&amp;""),"Dependent SSN cannot match Employee SSN; ","")&amp;IF(AND($W193&lt;&gt;"",OR(COUNTIFS($W$2:$W$501,$W193,$C$2:$C$501,"&lt;&gt;"&amp;$C193)&gt;0,COUNTIFS($W$2:$W$501,$W193,$D$2:$D$501,"&lt;&gt;"&amp;$D193)&gt;0,COUNTIFS($W$2:$W$501,$W193,$L$2:$L$501,"&lt;&gt;"&amp;$L193)&gt;0)),"The same SSN is associated with a different name or birthdate; ",""))</f>
        <v/>
      </c>
      <c r="AA193">
        <f>IF(COUNTA($A193:$U193)=0,"",IF(AND($A193&lt;&gt;"",$S193&lt;&gt;"",COUNTIFS($A$2:$A$501,$A193,$S$2:$S$501,$S193,$B$2:$B$501,"",$O$2:$O$501,"")=0),"Add an employee row for this household and plan; ","")&amp;IF(AND($X193="Dependent",COUNTIFS($A$2:$A193,$A193,$S$2:$S193,$S193,$B$2:$B193,"",$O$2:$O193,"")=0),"Place the employee row before dependent rows for this plan; ","")&amp;IF(AND($X193="Dependent",COUNTIFS($A$2:$A$501,$A193,$S$2:$S$501,$S193,$B$2:$B$501,"",$O$2:$O$501,"")&gt;0,IFERROR(OR($P193&lt;&gt;LOOKUP(2,1/(($A$2:$A$501=$A193)*($S$2:$S$501=$S193)*($B$2:$B$501="")*($O$2:$O$501="")),$P$2:$P$501),$Q193&lt;&gt;LOOKUP(2,1/(($A$2:$A$501=$A193)*($S$2:$S$501=$S193)*($B$2:$B$501="")*($O$2:$O$501="")),$Q$2:$Q$501),$R193&lt;&gt;LOOKUP(2,1/(($A$2:$A$501=$A193)*($S$2:$S$501=$S193)*($B$2:$B$501="")*($O$2:$O$501="")),$R$2:$R$501),$T193&lt;&gt;LOOKUP(2,1/(($A$2:$A$501=$A193)*($S$2:$S$501=$S193)*($B$2:$B$501="")*($O$2:$O$501="")),$T$2:$T$501),$U193&lt;&gt;LOOKUP(2,1/(($A$2:$A$501=$A193)*($S$2:$S$501=$S193)*($B$2:$B$501="")*($O$2:$O$501="")),$U$2:$U$501)),FALSE)),"Dependent row does not match the employee row for eligibility, status, coverage level, or funding; ",""))</f>
        <v/>
      </c>
      <c r="AB193">
        <f>IF(COUNTA($A193:$U193)=0,"",IF($L193="","Birthdate is required; ","")&amp;IF(AND($L193&lt;&gt;"",OR(NOT(ISNUMBER($L193)),$L193&lt;=DATE(1900,1,1),$L193&gt;TODAY())),"Birthdate must be an exact valid past date; ","")&amp;IF($P193="","Eligibility Date is required; ","")&amp;IF(AND($P193&lt;&gt;"",OR(NOT(ISNUMBER($P193)),$P193&lt;=DATE(1900,1,1))),"Eligibility Date must be a valid date; ","")&amp;IF(AND($R193="Terminated",$Q193=""),"Termination Date is required when Status is Terminated; ","")&amp;IF(AND($Q193&lt;&gt;"",OR(NOT(ISNUMBER($Q193)),$Q193&lt;=DATE(1900,1,1))),"Termination Date must be a valid date; ","")&amp;IF(AND(ISNUMBER($P193),ISNUMBER($Q193),$Q193&lt;$P193),"Termination Date cannot be before Eligibility Date; ","")&amp;IF($R193="","Status is required; ","")&amp;IF(AND($R193&lt;&gt;"",$R193&lt;&gt;"Active",$R193&lt;&gt;"Terminated"),"Status must be Active or Terminated; ","")&amp;IF(AND('START HERE'!$C$8="Terminations Only",$R193&lt;&gt;"Terminated"),"Terminations Only files must contain terminated records; ",""))</f>
        <v/>
      </c>
      <c r="AC193">
        <f>IF(COUNTA($A193:$U193)=0,"",IF($S193="","Plan Name is required; ","")&amp;IF($T193="","Benefit Coverage Level is required; ","")&amp;IF(AND($U193&lt;&gt;"",OR(NOT(ISNUMBER($U193)),$U193&lt;0)),"Plan Funding Amount must be a nonnegative number; ","")&amp;IF(AND($A193&lt;&gt;"",$S193&lt;&gt;"",COUNTIFS($A$2:$A$501,$A193,$B$2:$B$501,$B193,$S$2:$S$501,$S193)&gt;1),"Duplicate participant and plan row; ",""))</f>
        <v/>
      </c>
      <c r="AD193">
        <f>IF(COUNTA($A193:$U193)=0,"",IF(AND($X193="Employee",$M193="",$N193=""),"No employee phone or email provided; ","")&amp;IF(AND($R193="Active",$Q193&lt;&gt;""),"Active record includes a Termination Date; confirm this is intentional; ","")&amp;IF(AND($B193&lt;&gt;"",$B193&amp;""&lt;&gt;$A193&amp;"",COUNTIF($A$2:$A$501,$B193)&gt;0),"Dependent SSN also appears as an Employee SSN elsewhere; confirm dual-employee coverage is intentional; ","")&amp;IF(AND($B193&lt;&gt;"",COUNTIF($B$2:$B$501,$B193)&gt;COUNTIFS($A$2:$A$501,$A193,$B$2:$B$501,$B193)),"Dependent SSN appears under more than one employee; confirm duplicate family coverage is intentional; ","")&amp;IF(AND(ROW()&gt;2,$A193&lt;&gt;"",$A193&lt;&gt;$A192,COUNTIF($A$2:$A192,$A193)&gt;0),"This household appears in more than one section of the census; keep the family together; ","")&amp;IF(OR(AND($C193&lt;&gt;"",LEN($C193&amp;"")&lt;&gt;LEN(TRIM($C193&amp;""))),AND($D193&lt;&gt;"",LEN($D193&amp;"")&lt;&gt;LEN(TRIM($D193&amp;""))),AND($E193&lt;&gt;"",LEN($E193&amp;"")&lt;&gt;LEN(TRIM($E193&amp;""))),AND($F193&lt;&gt;"",LEN($F193&amp;"")&lt;&gt;LEN(TRIM($F193&amp;""))),AND($G193&lt;&gt;"",LEN($G193&amp;"")&lt;&gt;LEN(TRIM($G193&amp;""))),AND($H193&lt;&gt;"",LEN($H193&amp;"")&lt;&gt;LEN(TRIM($H193&amp;""))),AND($I193&lt;&gt;"",LEN($I193&amp;"")&lt;&gt;LEN(TRIM($I193&amp;""))),AND($J193&lt;&gt;"",LEN($J193&amp;"")&lt;&gt;LEN(TRIM($J193&amp;""))),AND($K193&lt;&gt;"",LEN($K193&amp;"")&lt;&gt;LEN(TRIM($K193&amp;""))),AND($M193&lt;&gt;"",LEN($M193&amp;"")&lt;&gt;LEN(TRIM($M193&amp;""))),AND($N193&lt;&gt;"",LEN($N193&amp;"")&lt;&gt;LEN(TRIM($N193&amp;""))),AND($O193&lt;&gt;"",LEN($O193&amp;"")&lt;&gt;LEN(TRIM($O193&amp;""))),AND($R193&lt;&gt;"",LEN($R193&amp;"")&lt;&gt;LEN(TRIM($R193&amp;""))),AND($S193&lt;&gt;"",LEN($S193&amp;"")&lt;&gt;LEN(TRIM($S193&amp;""))),AND($T193&lt;&gt;"",LEN($T193&amp;"")&lt;&gt;LEN(TRIM($T193&amp;"")))),"Remove leading or trailing spaces from text fields; ","")&amp;IF(OR(AND(LEN($C193)&gt;1,OR(EXACT($C193,UPPER($C193)),EXACT($C193,LOWER($C193)))),AND(LEN($D193)&gt;1,OR(EXACT($D193,UPPER($D193)),EXACT($D193,LOWER($D193)))),AND(LEN($H193)&gt;1,OR(EXACT($H193,UPPER($H193)),EXACT($H193,LOWER($H193))))),"Review capitalization in First Name, Last Name, or City; ","")&amp;IF(AND($N193&lt;&gt;"",NOT(EXACT($N193,LOWER($N193)))),"Email will be standardized to lowercase in the clean output; ","")&amp;IF(AND(OR('START HERE'!$C$8="Initial Enrollment",'START HERE'!$C$8="Open Enrollment"),$R193="Terminated"),"A terminated row is included in an initial or open enrollment file; confirm this is intentional; ",""))</f>
        <v/>
      </c>
      <c r="AE193">
        <f>IF(COUNTA($A193:$U193)=0,"",IF(OR($A193="",AND($A193&lt;&gt;"",NOT(IFERROR(AND(LEN($A193&amp;"")=9,ISNUMBER(--($A193&amp;""))),FALSE))),AND($A193&lt;&gt;"",OR($A193="123456789",$A193="987654321",$A193="012345678",$A193=REPT(LEFT($A193&amp;"",1),9)))),"Employee SSN, ","")&amp;IF(OR(AND($O193&lt;&gt;"",$B193=""),AND($B193&lt;&gt;"",OR(NOT(IFERROR(AND(LEN($B193&amp;"")=9,ISNUMBER(--($B193&amp;""))),FALSE)),$B193=$A193,$B193="123456789",$B193="987654321",$B193="012345678",$B193=REPT(LEFT($B193&amp;"",1),9)))),"Dependent SSN, ","")&amp;IF(OR($C193="",LEN($C193)&gt;19,AND($C193&lt;&gt;"",SUMPRODUCT(--(ROW($1:$19)&lt;=LEN($C193&amp;"")),--ISERROR(FIND(MID($C193&amp;"",ROW($1:$19),1),"ABCDEFGHIJKLMNOPQRSTUVWXYZabcdefghijklmnopqrstuvwxyz .,")))&gt;0)),"First Name, ","")&amp;IF(OR($D193="",LEN($D193)&gt;26,AND($D193&lt;&gt;"",SUMPRODUCT(--(ROW($1:$26)&lt;=LEN($D193&amp;"")),--ISERROR(FIND(MID($D193&amp;"",ROW($1:$26),1),"ABCDEFGHIJKLMNOPQRSTUVWXYZabcdefghijklmnopqrstuvwxyz .,")))&gt;0)),"Last Name, ","")&amp;IF(OR(LEN($E193)&gt;1,AND($E193&lt;&gt;"",SUMPRODUCT(--(ROW($1:$1)&lt;=LEN($E193&amp;"")),--ISERROR(FIND(MID($E193&amp;"",ROW($1:$1),1),"ABCDEFGHIJKLMNOPQRSTUVWXYZabcdefghijklmnopqrstuvwxyz .,")))&gt;0)),"Middle Initial, ","")&amp;IF(OR($F193="",LEN($F193)&gt;75),"Address, ","")&amp;IF(OR($H193="",LEN($H193)&gt;30),"City, ","")&amp;IF(AND($K193="US",OR($I193="",LEN($I193)&lt;&gt;2)),"State, ","")&amp;IF($J193="","ZIP, ","")&amp;IF(OR($K193="",AND($K193&lt;&gt;"US",$K193&lt;&gt;"CA")),"Country, ","")&amp;IF(OR($L193="",AND($L193&lt;&gt;"",OR(NOT(ISNUMBER($L193)),$L193&lt;=DATE(1900,1,1),$L193&gt;TODAY()))),"Birthdate, ","")&amp;IF(AND($N193&lt;&gt;"",NOT(IFERROR(AND(ISNUMBER(SEARCH("@",$N193)),ISNUMBER(SEARCH(".",$N193,SEARCH("@",$N193)+2))),FALSE))),"Email, ","")&amp;IF(OR(AND($B193&lt;&gt;"",$O193=""),AND($O193&lt;&gt;"",$O193&lt;&gt;"Spouse or Common Law Spouse",$O193&lt;&gt;"Domestic Partner",$O193&lt;&gt;"Child",$O193&lt;&gt;"Other",$O193&lt;&gt;"Estate",$O193&lt;&gt;"Unknown")),"Dependent Relationship, ","")&amp;IF($AA193&lt;&gt;"","Household, ","")&amp;IF(OR($P193="",AND($P193&lt;&gt;"",OR(NOT(ISNUMBER($P193)),$P193&lt;=DATE(1900,1,1)))),"Eligibility Date, ","")&amp;IF(OR(AND($R193="Terminated",$Q193=""),AND($Q193&lt;&gt;"",OR(NOT(ISNUMBER($Q193)),$Q193&lt;=DATE(1900,1,1))),AND(ISNUMBER($P193),ISNUMBER($Q193),$Q193&lt;$P193)),"Termination Date, ","")&amp;IF(OR($R193="",AND($R193&lt;&gt;"Active",$R193&lt;&gt;"Terminated"),AND('START HERE'!$C$8="Terminations Only",$R193&lt;&gt;"Terminated")),"Status, ","")&amp;IF($S193="","Plan Name, ","")&amp;IF($T193="","Coverage Level, ","")&amp;IF(AND($U193&lt;&gt;"",OR(NOT(ISNUMBER($U193)),$U193&lt;0)),"Funding, ","")&amp;IF(AND($A193&lt;&gt;"",$S193&lt;&gt;"",COUNTIFS($A$2:$A$501,$A193,$B$2:$B$501,$B193,$S$2:$S$501,$S193)&gt;1),"Duplicate Row, ",""))</f>
        <v/>
      </c>
      <c r="AF193">
        <f>IF(COUNTA($A193:$U193)=0,"",$Y193&amp;$Z193&amp;$AA193&amp;$AB193&amp;$AC193)</f>
        <v/>
      </c>
      <c r="AG193">
        <f>IF($N193="","",LOWER(TRIM($N193)))</f>
        <v/>
      </c>
      <c r="AH193">
        <f>IF($A193="","",COUNTIFS($A$2:$A$501,$A193,$AI$2:$AI$501,1))</f>
        <v/>
      </c>
      <c r="AI193">
        <f>IF(COUNTA($A193:$U193)=0,"",--($AF193&lt;&gt;""))</f>
        <v/>
      </c>
      <c r="AJ193">
        <f>IF(COUNTA($A193:$U193)=0,"",--($AD193&lt;&gt;""))</f>
        <v/>
      </c>
    </row>
    <row r="194" ht="20" customHeight="1">
      <c r="A194" s="80" t="n"/>
      <c r="B194" s="80" t="n"/>
      <c r="C194" s="81" t="n"/>
      <c r="D194" s="81" t="n"/>
      <c r="E194" s="80" t="n"/>
      <c r="F194" s="81" t="n"/>
      <c r="G194" s="81" t="n"/>
      <c r="H194" s="81" t="n"/>
      <c r="I194" s="80" t="n"/>
      <c r="J194" s="80" t="n"/>
      <c r="K194" s="80" t="n"/>
      <c r="L194" s="82" t="n"/>
      <c r="M194" s="80" t="n"/>
      <c r="N194" s="80" t="n"/>
      <c r="O194" s="80" t="n"/>
      <c r="P194" s="82" t="n"/>
      <c r="Q194" s="82" t="n"/>
      <c r="R194" s="80" t="n"/>
      <c r="S194" s="80" t="n"/>
      <c r="T194" s="80" t="n"/>
      <c r="U194" s="83" t="n"/>
      <c r="V194">
        <f>IF($A194="","",IF($A194=$A193,$V193,IF($V193="",0,1-$V193)))</f>
        <v/>
      </c>
      <c r="W194">
        <f>IF($B194&lt;&gt;"",$B194,$A194)</f>
        <v/>
      </c>
      <c r="X194">
        <f>IF(COUNTA($A194:$U194)=0,"",IF(OR($B194&lt;&gt;"",$O194&lt;&gt;""),"Dependent","Employee"))</f>
        <v/>
      </c>
      <c r="Y194">
        <f>IF(COUNTA($A194:$U194)=0,"",IF($A194="","Employee SSN is required; ","")&amp;IF($C194="","First Name is required; ","")&amp;IF(LEN($C194&amp;"")&gt;19,"First Name exceeds 19 characters; ","")&amp;IF(AND($C194&lt;&gt;"",SUMPRODUCT(--(ROW($1:$19)&lt;=LEN($C194&amp;"")),--ISERROR(FIND(MID($C194&amp;"",ROW($1:$19),1),"ABCDEFGHIJKLMNOPQRSTUVWXYZabcdefghijklmnopqrstuvwxyz .,")))&gt;0),"First Name contains unsupported or encoded characters; use plain A-Z letters only; ","")&amp;IF($D194="","Last Name is required; ","")&amp;IF(LEN($D194&amp;"")&gt;26,"Last Name exceeds 26 characters; ","")&amp;IF(AND($D194&lt;&gt;"",SUMPRODUCT(--(ROW($1:$26)&lt;=LEN($D194&amp;"")),--ISERROR(FIND(MID($D194&amp;"",ROW($1:$26),1),"ABCDEFGHIJKLMNOPQRSTUVWXYZabcdefghijklmnopqrstuvwxyz .,")))&gt;0),"Last Name contains unsupported or encoded characters; use plain A-Z letters only; ","")&amp;IF(LEN($E194&amp;"")&gt;1,"Middle Initial may contain only one character; ","")&amp;IF(AND($E194&lt;&gt;"",SUMPRODUCT(--(ROW($1:$1)&lt;=LEN($E194&amp;"")),--ISERROR(FIND(MID($E194&amp;"",ROW($1:$1),1),"ABCDEFGHIJKLMNOPQRSTUVWXYZabcdefghijklmnopqrstuvwxyz .,")))&gt;0),"Middle Initial must be a plain A-Z letter; ","")&amp;IF($F194="","Address is required; ","")&amp;IF(LEN($F194&amp;"")&gt;75,"Address exceeds 75 characters; ","")&amp;IF(LEN($G194&amp;"")&gt;75,"Address 2 exceeds 75 characters; ","")&amp;IF($H194="","City is required; ","")&amp;IF(LEN($H194&amp;"")&gt;30,"City exceeds 30 characters; ","")&amp;IF($K194="","Country is required; ","")&amp;IF(AND($K194&lt;&gt;"",$K194&lt;&gt;"US",$K194&lt;&gt;"CA"),"Country must be US or CA; ","")&amp;IF(AND($K194="US",OR($I194="",LEN($I194&amp;"")&lt;&gt;2)),"Use a 2-letter state code; ","")&amp;IF($J194="","ZIP or postal code is required; ","")&amp;IF(AND($K194="US",$J194&lt;&gt;"",NOT(IFERROR(OR(AND(LEN($J194&amp;"")=5,ISNUMBER(--($J194&amp;""))),AND(LEN($J194&amp;"")=9,ISNUMBER(--($J194&amp;""))),AND(LEN($J194&amp;"")=10,MID($J194&amp;"",6,1)="-",ISNUMBER(--SUBSTITUTE($J194&amp;"","-","")))),FALSE))),"US ZIP must be 5 or 9 digits, with an optional ZIP+4 hyphen; ","")&amp;IF(AND($N194&lt;&gt;"",NOT(IFERROR(AND(ISNUMBER(SEARCH("@",$N194)),ISNUMBER(SEARCH(".",$N194,SEARCH("@",$N194)+2))),FALSE))),"Email format appears invalid; ","")&amp;IF(AND($O194&lt;&gt;"",$B194=""),"Dependent SSN is required for every dependent; ","")&amp;IF(AND($B194&lt;&gt;"",$O194=""),"Dependent Relationship is required when Dependent SSN is entered; ","")&amp;IF(AND($O194&lt;&gt;"",$O194&lt;&gt;"Spouse or Common Law Spouse",$O194&lt;&gt;"Domestic Partner",$O194&lt;&gt;"Child",$O194&lt;&gt;"Other",$O194&lt;&gt;"Estate",$O194&lt;&gt;"Unknown"),"Dependent Relationship must use one of the approved options; ",""))</f>
        <v/>
      </c>
      <c r="Z194">
        <f>IF(COUNTA($A194:$U194)=0,"",IF(AND($A194&lt;&gt;"",NOT(IFERROR(AND(LEN($A194&amp;"")=9,ISNUMBER(--($A194&amp;""))),FALSE))),"Employee SSN must contain exactly 9 digits; ","")&amp;IF(AND($A194&lt;&gt;"",OR($A194="123456789",$A194="987654321",$A194="012345678",$A194=REPT(LEFT($A194&amp;"",1),9))),"Employee SSN appears to be a placeholder; ","")&amp;IF(AND($B194&lt;&gt;"",NOT(IFERROR(AND(LEN($B194&amp;"")=9,ISNUMBER(--($B194&amp;""))),FALSE))),"Dependent SSN must contain exactly 9 digits; ","")&amp;IF(AND($B194&lt;&gt;"",OR($B194="123456789",$B194="987654321",$B194="012345678",$B194=REPT(LEFT($B194&amp;"",1),9))),"Dependent SSN appears to be a placeholder; ","")&amp;IF(AND($A194&lt;&gt;"",$B194&lt;&gt;"",$A194&amp;""=$B194&amp;""),"Dependent SSN cannot match Employee SSN; ","")&amp;IF(AND($W194&lt;&gt;"",OR(COUNTIFS($W$2:$W$501,$W194,$C$2:$C$501,"&lt;&gt;"&amp;$C194)&gt;0,COUNTIFS($W$2:$W$501,$W194,$D$2:$D$501,"&lt;&gt;"&amp;$D194)&gt;0,COUNTIFS($W$2:$W$501,$W194,$L$2:$L$501,"&lt;&gt;"&amp;$L194)&gt;0)),"The same SSN is associated with a different name or birthdate; ",""))</f>
        <v/>
      </c>
      <c r="AA194">
        <f>IF(COUNTA($A194:$U194)=0,"",IF(AND($A194&lt;&gt;"",$S194&lt;&gt;"",COUNTIFS($A$2:$A$501,$A194,$S$2:$S$501,$S194,$B$2:$B$501,"",$O$2:$O$501,"")=0),"Add an employee row for this household and plan; ","")&amp;IF(AND($X194="Dependent",COUNTIFS($A$2:$A194,$A194,$S$2:$S194,$S194,$B$2:$B194,"",$O$2:$O194,"")=0),"Place the employee row before dependent rows for this plan; ","")&amp;IF(AND($X194="Dependent",COUNTIFS($A$2:$A$501,$A194,$S$2:$S$501,$S194,$B$2:$B$501,"",$O$2:$O$501,"")&gt;0,IFERROR(OR($P194&lt;&gt;LOOKUP(2,1/(($A$2:$A$501=$A194)*($S$2:$S$501=$S194)*($B$2:$B$501="")*($O$2:$O$501="")),$P$2:$P$501),$Q194&lt;&gt;LOOKUP(2,1/(($A$2:$A$501=$A194)*($S$2:$S$501=$S194)*($B$2:$B$501="")*($O$2:$O$501="")),$Q$2:$Q$501),$R194&lt;&gt;LOOKUP(2,1/(($A$2:$A$501=$A194)*($S$2:$S$501=$S194)*($B$2:$B$501="")*($O$2:$O$501="")),$R$2:$R$501),$T194&lt;&gt;LOOKUP(2,1/(($A$2:$A$501=$A194)*($S$2:$S$501=$S194)*($B$2:$B$501="")*($O$2:$O$501="")),$T$2:$T$501),$U194&lt;&gt;LOOKUP(2,1/(($A$2:$A$501=$A194)*($S$2:$S$501=$S194)*($B$2:$B$501="")*($O$2:$O$501="")),$U$2:$U$501)),FALSE)),"Dependent row does not match the employee row for eligibility, status, coverage level, or funding; ",""))</f>
        <v/>
      </c>
      <c r="AB194">
        <f>IF(COUNTA($A194:$U194)=0,"",IF($L194="","Birthdate is required; ","")&amp;IF(AND($L194&lt;&gt;"",OR(NOT(ISNUMBER($L194)),$L194&lt;=DATE(1900,1,1),$L194&gt;TODAY())),"Birthdate must be an exact valid past date; ","")&amp;IF($P194="","Eligibility Date is required; ","")&amp;IF(AND($P194&lt;&gt;"",OR(NOT(ISNUMBER($P194)),$P194&lt;=DATE(1900,1,1))),"Eligibility Date must be a valid date; ","")&amp;IF(AND($R194="Terminated",$Q194=""),"Termination Date is required when Status is Terminated; ","")&amp;IF(AND($Q194&lt;&gt;"",OR(NOT(ISNUMBER($Q194)),$Q194&lt;=DATE(1900,1,1))),"Termination Date must be a valid date; ","")&amp;IF(AND(ISNUMBER($P194),ISNUMBER($Q194),$Q194&lt;$P194),"Termination Date cannot be before Eligibility Date; ","")&amp;IF($R194="","Status is required; ","")&amp;IF(AND($R194&lt;&gt;"",$R194&lt;&gt;"Active",$R194&lt;&gt;"Terminated"),"Status must be Active or Terminated; ","")&amp;IF(AND('START HERE'!$C$8="Terminations Only",$R194&lt;&gt;"Terminated"),"Terminations Only files must contain terminated records; ",""))</f>
        <v/>
      </c>
      <c r="AC194">
        <f>IF(COUNTA($A194:$U194)=0,"",IF($S194="","Plan Name is required; ","")&amp;IF($T194="","Benefit Coverage Level is required; ","")&amp;IF(AND($U194&lt;&gt;"",OR(NOT(ISNUMBER($U194)),$U194&lt;0)),"Plan Funding Amount must be a nonnegative number; ","")&amp;IF(AND($A194&lt;&gt;"",$S194&lt;&gt;"",COUNTIFS($A$2:$A$501,$A194,$B$2:$B$501,$B194,$S$2:$S$501,$S194)&gt;1),"Duplicate participant and plan row; ",""))</f>
        <v/>
      </c>
      <c r="AD194">
        <f>IF(COUNTA($A194:$U194)=0,"",IF(AND($X194="Employee",$M194="",$N194=""),"No employee phone or email provided; ","")&amp;IF(AND($R194="Active",$Q194&lt;&gt;""),"Active record includes a Termination Date; confirm this is intentional; ","")&amp;IF(AND($B194&lt;&gt;"",$B194&amp;""&lt;&gt;$A194&amp;"",COUNTIF($A$2:$A$501,$B194)&gt;0),"Dependent SSN also appears as an Employee SSN elsewhere; confirm dual-employee coverage is intentional; ","")&amp;IF(AND($B194&lt;&gt;"",COUNTIF($B$2:$B$501,$B194)&gt;COUNTIFS($A$2:$A$501,$A194,$B$2:$B$501,$B194)),"Dependent SSN appears under more than one employee; confirm duplicate family coverage is intentional; ","")&amp;IF(AND(ROW()&gt;2,$A194&lt;&gt;"",$A194&lt;&gt;$A193,COUNTIF($A$2:$A193,$A194)&gt;0),"This household appears in more than one section of the census; keep the family together; ","")&amp;IF(OR(AND($C194&lt;&gt;"",LEN($C194&amp;"")&lt;&gt;LEN(TRIM($C194&amp;""))),AND($D194&lt;&gt;"",LEN($D194&amp;"")&lt;&gt;LEN(TRIM($D194&amp;""))),AND($E194&lt;&gt;"",LEN($E194&amp;"")&lt;&gt;LEN(TRIM($E194&amp;""))),AND($F194&lt;&gt;"",LEN($F194&amp;"")&lt;&gt;LEN(TRIM($F194&amp;""))),AND($G194&lt;&gt;"",LEN($G194&amp;"")&lt;&gt;LEN(TRIM($G194&amp;""))),AND($H194&lt;&gt;"",LEN($H194&amp;"")&lt;&gt;LEN(TRIM($H194&amp;""))),AND($I194&lt;&gt;"",LEN($I194&amp;"")&lt;&gt;LEN(TRIM($I194&amp;""))),AND($J194&lt;&gt;"",LEN($J194&amp;"")&lt;&gt;LEN(TRIM($J194&amp;""))),AND($K194&lt;&gt;"",LEN($K194&amp;"")&lt;&gt;LEN(TRIM($K194&amp;""))),AND($M194&lt;&gt;"",LEN($M194&amp;"")&lt;&gt;LEN(TRIM($M194&amp;""))),AND($N194&lt;&gt;"",LEN($N194&amp;"")&lt;&gt;LEN(TRIM($N194&amp;""))),AND($O194&lt;&gt;"",LEN($O194&amp;"")&lt;&gt;LEN(TRIM($O194&amp;""))),AND($R194&lt;&gt;"",LEN($R194&amp;"")&lt;&gt;LEN(TRIM($R194&amp;""))),AND($S194&lt;&gt;"",LEN($S194&amp;"")&lt;&gt;LEN(TRIM($S194&amp;""))),AND($T194&lt;&gt;"",LEN($T194&amp;"")&lt;&gt;LEN(TRIM($T194&amp;"")))),"Remove leading or trailing spaces from text fields; ","")&amp;IF(OR(AND(LEN($C194)&gt;1,OR(EXACT($C194,UPPER($C194)),EXACT($C194,LOWER($C194)))),AND(LEN($D194)&gt;1,OR(EXACT($D194,UPPER($D194)),EXACT($D194,LOWER($D194)))),AND(LEN($H194)&gt;1,OR(EXACT($H194,UPPER($H194)),EXACT($H194,LOWER($H194))))),"Review capitalization in First Name, Last Name, or City; ","")&amp;IF(AND($N194&lt;&gt;"",NOT(EXACT($N194,LOWER($N194)))),"Email will be standardized to lowercase in the clean output; ","")&amp;IF(AND(OR('START HERE'!$C$8="Initial Enrollment",'START HERE'!$C$8="Open Enrollment"),$R194="Terminated"),"A terminated row is included in an initial or open enrollment file; confirm this is intentional; ",""))</f>
        <v/>
      </c>
      <c r="AE194">
        <f>IF(COUNTA($A194:$U194)=0,"",IF(OR($A194="",AND($A194&lt;&gt;"",NOT(IFERROR(AND(LEN($A194&amp;"")=9,ISNUMBER(--($A194&amp;""))),FALSE))),AND($A194&lt;&gt;"",OR($A194="123456789",$A194="987654321",$A194="012345678",$A194=REPT(LEFT($A194&amp;"",1),9)))),"Employee SSN, ","")&amp;IF(OR(AND($O194&lt;&gt;"",$B194=""),AND($B194&lt;&gt;"",OR(NOT(IFERROR(AND(LEN($B194&amp;"")=9,ISNUMBER(--($B194&amp;""))),FALSE)),$B194=$A194,$B194="123456789",$B194="987654321",$B194="012345678",$B194=REPT(LEFT($B194&amp;"",1),9)))),"Dependent SSN, ","")&amp;IF(OR($C194="",LEN($C194)&gt;19,AND($C194&lt;&gt;"",SUMPRODUCT(--(ROW($1:$19)&lt;=LEN($C194&amp;"")),--ISERROR(FIND(MID($C194&amp;"",ROW($1:$19),1),"ABCDEFGHIJKLMNOPQRSTUVWXYZabcdefghijklmnopqrstuvwxyz .,")))&gt;0)),"First Name, ","")&amp;IF(OR($D194="",LEN($D194)&gt;26,AND($D194&lt;&gt;"",SUMPRODUCT(--(ROW($1:$26)&lt;=LEN($D194&amp;"")),--ISERROR(FIND(MID($D194&amp;"",ROW($1:$26),1),"ABCDEFGHIJKLMNOPQRSTUVWXYZabcdefghijklmnopqrstuvwxyz .,")))&gt;0)),"Last Name, ","")&amp;IF(OR(LEN($E194)&gt;1,AND($E194&lt;&gt;"",SUMPRODUCT(--(ROW($1:$1)&lt;=LEN($E194&amp;"")),--ISERROR(FIND(MID($E194&amp;"",ROW($1:$1),1),"ABCDEFGHIJKLMNOPQRSTUVWXYZabcdefghijklmnopqrstuvwxyz .,")))&gt;0)),"Middle Initial, ","")&amp;IF(OR($F194="",LEN($F194)&gt;75),"Address, ","")&amp;IF(OR($H194="",LEN($H194)&gt;30),"City, ","")&amp;IF(AND($K194="US",OR($I194="",LEN($I194)&lt;&gt;2)),"State, ","")&amp;IF($J194="","ZIP, ","")&amp;IF(OR($K194="",AND($K194&lt;&gt;"US",$K194&lt;&gt;"CA")),"Country, ","")&amp;IF(OR($L194="",AND($L194&lt;&gt;"",OR(NOT(ISNUMBER($L194)),$L194&lt;=DATE(1900,1,1),$L194&gt;TODAY()))),"Birthdate, ","")&amp;IF(AND($N194&lt;&gt;"",NOT(IFERROR(AND(ISNUMBER(SEARCH("@",$N194)),ISNUMBER(SEARCH(".",$N194,SEARCH("@",$N194)+2))),FALSE))),"Email, ","")&amp;IF(OR(AND($B194&lt;&gt;"",$O194=""),AND($O194&lt;&gt;"",$O194&lt;&gt;"Spouse or Common Law Spouse",$O194&lt;&gt;"Domestic Partner",$O194&lt;&gt;"Child",$O194&lt;&gt;"Other",$O194&lt;&gt;"Estate",$O194&lt;&gt;"Unknown")),"Dependent Relationship, ","")&amp;IF($AA194&lt;&gt;"","Household, ","")&amp;IF(OR($P194="",AND($P194&lt;&gt;"",OR(NOT(ISNUMBER($P194)),$P194&lt;=DATE(1900,1,1)))),"Eligibility Date, ","")&amp;IF(OR(AND($R194="Terminated",$Q194=""),AND($Q194&lt;&gt;"",OR(NOT(ISNUMBER($Q194)),$Q194&lt;=DATE(1900,1,1))),AND(ISNUMBER($P194),ISNUMBER($Q194),$Q194&lt;$P194)),"Termination Date, ","")&amp;IF(OR($R194="",AND($R194&lt;&gt;"Active",$R194&lt;&gt;"Terminated"),AND('START HERE'!$C$8="Terminations Only",$R194&lt;&gt;"Terminated")),"Status, ","")&amp;IF($S194="","Plan Name, ","")&amp;IF($T194="","Coverage Level, ","")&amp;IF(AND($U194&lt;&gt;"",OR(NOT(ISNUMBER($U194)),$U194&lt;0)),"Funding, ","")&amp;IF(AND($A194&lt;&gt;"",$S194&lt;&gt;"",COUNTIFS($A$2:$A$501,$A194,$B$2:$B$501,$B194,$S$2:$S$501,$S194)&gt;1),"Duplicate Row, ",""))</f>
        <v/>
      </c>
      <c r="AF194">
        <f>IF(COUNTA($A194:$U194)=0,"",$Y194&amp;$Z194&amp;$AA194&amp;$AB194&amp;$AC194)</f>
        <v/>
      </c>
      <c r="AG194">
        <f>IF($N194="","",LOWER(TRIM($N194)))</f>
        <v/>
      </c>
      <c r="AH194">
        <f>IF($A194="","",COUNTIFS($A$2:$A$501,$A194,$AI$2:$AI$501,1))</f>
        <v/>
      </c>
      <c r="AI194">
        <f>IF(COUNTA($A194:$U194)=0,"",--($AF194&lt;&gt;""))</f>
        <v/>
      </c>
      <c r="AJ194">
        <f>IF(COUNTA($A194:$U194)=0,"",--($AD194&lt;&gt;""))</f>
        <v/>
      </c>
    </row>
    <row r="195" ht="20" customHeight="1">
      <c r="A195" s="80" t="n"/>
      <c r="B195" s="80" t="n"/>
      <c r="C195" s="81" t="n"/>
      <c r="D195" s="81" t="n"/>
      <c r="E195" s="80" t="n"/>
      <c r="F195" s="81" t="n"/>
      <c r="G195" s="81" t="n"/>
      <c r="H195" s="81" t="n"/>
      <c r="I195" s="80" t="n"/>
      <c r="J195" s="80" t="n"/>
      <c r="K195" s="80" t="n"/>
      <c r="L195" s="82" t="n"/>
      <c r="M195" s="80" t="n"/>
      <c r="N195" s="80" t="n"/>
      <c r="O195" s="80" t="n"/>
      <c r="P195" s="82" t="n"/>
      <c r="Q195" s="82" t="n"/>
      <c r="R195" s="80" t="n"/>
      <c r="S195" s="80" t="n"/>
      <c r="T195" s="80" t="n"/>
      <c r="U195" s="83" t="n"/>
      <c r="V195">
        <f>IF($A195="","",IF($A195=$A194,$V194,IF($V194="",0,1-$V194)))</f>
        <v/>
      </c>
      <c r="W195">
        <f>IF($B195&lt;&gt;"",$B195,$A195)</f>
        <v/>
      </c>
      <c r="X195">
        <f>IF(COUNTA($A195:$U195)=0,"",IF(OR($B195&lt;&gt;"",$O195&lt;&gt;""),"Dependent","Employee"))</f>
        <v/>
      </c>
      <c r="Y195">
        <f>IF(COUNTA($A195:$U195)=0,"",IF($A195="","Employee SSN is required; ","")&amp;IF($C195="","First Name is required; ","")&amp;IF(LEN($C195&amp;"")&gt;19,"First Name exceeds 19 characters; ","")&amp;IF(AND($C195&lt;&gt;"",SUMPRODUCT(--(ROW($1:$19)&lt;=LEN($C195&amp;"")),--ISERROR(FIND(MID($C195&amp;"",ROW($1:$19),1),"ABCDEFGHIJKLMNOPQRSTUVWXYZabcdefghijklmnopqrstuvwxyz .,")))&gt;0),"First Name contains unsupported or encoded characters; use plain A-Z letters only; ","")&amp;IF($D195="","Last Name is required; ","")&amp;IF(LEN($D195&amp;"")&gt;26,"Last Name exceeds 26 characters; ","")&amp;IF(AND($D195&lt;&gt;"",SUMPRODUCT(--(ROW($1:$26)&lt;=LEN($D195&amp;"")),--ISERROR(FIND(MID($D195&amp;"",ROW($1:$26),1),"ABCDEFGHIJKLMNOPQRSTUVWXYZabcdefghijklmnopqrstuvwxyz .,")))&gt;0),"Last Name contains unsupported or encoded characters; use plain A-Z letters only; ","")&amp;IF(LEN($E195&amp;"")&gt;1,"Middle Initial may contain only one character; ","")&amp;IF(AND($E195&lt;&gt;"",SUMPRODUCT(--(ROW($1:$1)&lt;=LEN($E195&amp;"")),--ISERROR(FIND(MID($E195&amp;"",ROW($1:$1),1),"ABCDEFGHIJKLMNOPQRSTUVWXYZabcdefghijklmnopqrstuvwxyz .,")))&gt;0),"Middle Initial must be a plain A-Z letter; ","")&amp;IF($F195="","Address is required; ","")&amp;IF(LEN($F195&amp;"")&gt;75,"Address exceeds 75 characters; ","")&amp;IF(LEN($G195&amp;"")&gt;75,"Address 2 exceeds 75 characters; ","")&amp;IF($H195="","City is required; ","")&amp;IF(LEN($H195&amp;"")&gt;30,"City exceeds 30 characters; ","")&amp;IF($K195="","Country is required; ","")&amp;IF(AND($K195&lt;&gt;"",$K195&lt;&gt;"US",$K195&lt;&gt;"CA"),"Country must be US or CA; ","")&amp;IF(AND($K195="US",OR($I195="",LEN($I195&amp;"")&lt;&gt;2)),"Use a 2-letter state code; ","")&amp;IF($J195="","ZIP or postal code is required; ","")&amp;IF(AND($K195="US",$J195&lt;&gt;"",NOT(IFERROR(OR(AND(LEN($J195&amp;"")=5,ISNUMBER(--($J195&amp;""))),AND(LEN($J195&amp;"")=9,ISNUMBER(--($J195&amp;""))),AND(LEN($J195&amp;"")=10,MID($J195&amp;"",6,1)="-",ISNUMBER(--SUBSTITUTE($J195&amp;"","-","")))),FALSE))),"US ZIP must be 5 or 9 digits, with an optional ZIP+4 hyphen; ","")&amp;IF(AND($N195&lt;&gt;"",NOT(IFERROR(AND(ISNUMBER(SEARCH("@",$N195)),ISNUMBER(SEARCH(".",$N195,SEARCH("@",$N195)+2))),FALSE))),"Email format appears invalid; ","")&amp;IF(AND($O195&lt;&gt;"",$B195=""),"Dependent SSN is required for every dependent; ","")&amp;IF(AND($B195&lt;&gt;"",$O195=""),"Dependent Relationship is required when Dependent SSN is entered; ","")&amp;IF(AND($O195&lt;&gt;"",$O195&lt;&gt;"Spouse or Common Law Spouse",$O195&lt;&gt;"Domestic Partner",$O195&lt;&gt;"Child",$O195&lt;&gt;"Other",$O195&lt;&gt;"Estate",$O195&lt;&gt;"Unknown"),"Dependent Relationship must use one of the approved options; ",""))</f>
        <v/>
      </c>
      <c r="Z195">
        <f>IF(COUNTA($A195:$U195)=0,"",IF(AND($A195&lt;&gt;"",NOT(IFERROR(AND(LEN($A195&amp;"")=9,ISNUMBER(--($A195&amp;""))),FALSE))),"Employee SSN must contain exactly 9 digits; ","")&amp;IF(AND($A195&lt;&gt;"",OR($A195="123456789",$A195="987654321",$A195="012345678",$A195=REPT(LEFT($A195&amp;"",1),9))),"Employee SSN appears to be a placeholder; ","")&amp;IF(AND($B195&lt;&gt;"",NOT(IFERROR(AND(LEN($B195&amp;"")=9,ISNUMBER(--($B195&amp;""))),FALSE))),"Dependent SSN must contain exactly 9 digits; ","")&amp;IF(AND($B195&lt;&gt;"",OR($B195="123456789",$B195="987654321",$B195="012345678",$B195=REPT(LEFT($B195&amp;"",1),9))),"Dependent SSN appears to be a placeholder; ","")&amp;IF(AND($A195&lt;&gt;"",$B195&lt;&gt;"",$A195&amp;""=$B195&amp;""),"Dependent SSN cannot match Employee SSN; ","")&amp;IF(AND($W195&lt;&gt;"",OR(COUNTIFS($W$2:$W$501,$W195,$C$2:$C$501,"&lt;&gt;"&amp;$C195)&gt;0,COUNTIFS($W$2:$W$501,$W195,$D$2:$D$501,"&lt;&gt;"&amp;$D195)&gt;0,COUNTIFS($W$2:$W$501,$W195,$L$2:$L$501,"&lt;&gt;"&amp;$L195)&gt;0)),"The same SSN is associated with a different name or birthdate; ",""))</f>
        <v/>
      </c>
      <c r="AA195">
        <f>IF(COUNTA($A195:$U195)=0,"",IF(AND($A195&lt;&gt;"",$S195&lt;&gt;"",COUNTIFS($A$2:$A$501,$A195,$S$2:$S$501,$S195,$B$2:$B$501,"",$O$2:$O$501,"")=0),"Add an employee row for this household and plan; ","")&amp;IF(AND($X195="Dependent",COUNTIFS($A$2:$A195,$A195,$S$2:$S195,$S195,$B$2:$B195,"",$O$2:$O195,"")=0),"Place the employee row before dependent rows for this plan; ","")&amp;IF(AND($X195="Dependent",COUNTIFS($A$2:$A$501,$A195,$S$2:$S$501,$S195,$B$2:$B$501,"",$O$2:$O$501,"")&gt;0,IFERROR(OR($P195&lt;&gt;LOOKUP(2,1/(($A$2:$A$501=$A195)*($S$2:$S$501=$S195)*($B$2:$B$501="")*($O$2:$O$501="")),$P$2:$P$501),$Q195&lt;&gt;LOOKUP(2,1/(($A$2:$A$501=$A195)*($S$2:$S$501=$S195)*($B$2:$B$501="")*($O$2:$O$501="")),$Q$2:$Q$501),$R195&lt;&gt;LOOKUP(2,1/(($A$2:$A$501=$A195)*($S$2:$S$501=$S195)*($B$2:$B$501="")*($O$2:$O$501="")),$R$2:$R$501),$T195&lt;&gt;LOOKUP(2,1/(($A$2:$A$501=$A195)*($S$2:$S$501=$S195)*($B$2:$B$501="")*($O$2:$O$501="")),$T$2:$T$501),$U195&lt;&gt;LOOKUP(2,1/(($A$2:$A$501=$A195)*($S$2:$S$501=$S195)*($B$2:$B$501="")*($O$2:$O$501="")),$U$2:$U$501)),FALSE)),"Dependent row does not match the employee row for eligibility, status, coverage level, or funding; ",""))</f>
        <v/>
      </c>
      <c r="AB195">
        <f>IF(COUNTA($A195:$U195)=0,"",IF($L195="","Birthdate is required; ","")&amp;IF(AND($L195&lt;&gt;"",OR(NOT(ISNUMBER($L195)),$L195&lt;=DATE(1900,1,1),$L195&gt;TODAY())),"Birthdate must be an exact valid past date; ","")&amp;IF($P195="","Eligibility Date is required; ","")&amp;IF(AND($P195&lt;&gt;"",OR(NOT(ISNUMBER($P195)),$P195&lt;=DATE(1900,1,1))),"Eligibility Date must be a valid date; ","")&amp;IF(AND($R195="Terminated",$Q195=""),"Termination Date is required when Status is Terminated; ","")&amp;IF(AND($Q195&lt;&gt;"",OR(NOT(ISNUMBER($Q195)),$Q195&lt;=DATE(1900,1,1))),"Termination Date must be a valid date; ","")&amp;IF(AND(ISNUMBER($P195),ISNUMBER($Q195),$Q195&lt;$P195),"Termination Date cannot be before Eligibility Date; ","")&amp;IF($R195="","Status is required; ","")&amp;IF(AND($R195&lt;&gt;"",$R195&lt;&gt;"Active",$R195&lt;&gt;"Terminated"),"Status must be Active or Terminated; ","")&amp;IF(AND('START HERE'!$C$8="Terminations Only",$R195&lt;&gt;"Terminated"),"Terminations Only files must contain terminated records; ",""))</f>
        <v/>
      </c>
      <c r="AC195">
        <f>IF(COUNTA($A195:$U195)=0,"",IF($S195="","Plan Name is required; ","")&amp;IF($T195="","Benefit Coverage Level is required; ","")&amp;IF(AND($U195&lt;&gt;"",OR(NOT(ISNUMBER($U195)),$U195&lt;0)),"Plan Funding Amount must be a nonnegative number; ","")&amp;IF(AND($A195&lt;&gt;"",$S195&lt;&gt;"",COUNTIFS($A$2:$A$501,$A195,$B$2:$B$501,$B195,$S$2:$S$501,$S195)&gt;1),"Duplicate participant and plan row; ",""))</f>
        <v/>
      </c>
      <c r="AD195">
        <f>IF(COUNTA($A195:$U195)=0,"",IF(AND($X195="Employee",$M195="",$N195=""),"No employee phone or email provided; ","")&amp;IF(AND($R195="Active",$Q195&lt;&gt;""),"Active record includes a Termination Date; confirm this is intentional; ","")&amp;IF(AND($B195&lt;&gt;"",$B195&amp;""&lt;&gt;$A195&amp;"",COUNTIF($A$2:$A$501,$B195)&gt;0),"Dependent SSN also appears as an Employee SSN elsewhere; confirm dual-employee coverage is intentional; ","")&amp;IF(AND($B195&lt;&gt;"",COUNTIF($B$2:$B$501,$B195)&gt;COUNTIFS($A$2:$A$501,$A195,$B$2:$B$501,$B195)),"Dependent SSN appears under more than one employee; confirm duplicate family coverage is intentional; ","")&amp;IF(AND(ROW()&gt;2,$A195&lt;&gt;"",$A195&lt;&gt;$A194,COUNTIF($A$2:$A194,$A195)&gt;0),"This household appears in more than one section of the census; keep the family together; ","")&amp;IF(OR(AND($C195&lt;&gt;"",LEN($C195&amp;"")&lt;&gt;LEN(TRIM($C195&amp;""))),AND($D195&lt;&gt;"",LEN($D195&amp;"")&lt;&gt;LEN(TRIM($D195&amp;""))),AND($E195&lt;&gt;"",LEN($E195&amp;"")&lt;&gt;LEN(TRIM($E195&amp;""))),AND($F195&lt;&gt;"",LEN($F195&amp;"")&lt;&gt;LEN(TRIM($F195&amp;""))),AND($G195&lt;&gt;"",LEN($G195&amp;"")&lt;&gt;LEN(TRIM($G195&amp;""))),AND($H195&lt;&gt;"",LEN($H195&amp;"")&lt;&gt;LEN(TRIM($H195&amp;""))),AND($I195&lt;&gt;"",LEN($I195&amp;"")&lt;&gt;LEN(TRIM($I195&amp;""))),AND($J195&lt;&gt;"",LEN($J195&amp;"")&lt;&gt;LEN(TRIM($J195&amp;""))),AND($K195&lt;&gt;"",LEN($K195&amp;"")&lt;&gt;LEN(TRIM($K195&amp;""))),AND($M195&lt;&gt;"",LEN($M195&amp;"")&lt;&gt;LEN(TRIM($M195&amp;""))),AND($N195&lt;&gt;"",LEN($N195&amp;"")&lt;&gt;LEN(TRIM($N195&amp;""))),AND($O195&lt;&gt;"",LEN($O195&amp;"")&lt;&gt;LEN(TRIM($O195&amp;""))),AND($R195&lt;&gt;"",LEN($R195&amp;"")&lt;&gt;LEN(TRIM($R195&amp;""))),AND($S195&lt;&gt;"",LEN($S195&amp;"")&lt;&gt;LEN(TRIM($S195&amp;""))),AND($T195&lt;&gt;"",LEN($T195&amp;"")&lt;&gt;LEN(TRIM($T195&amp;"")))),"Remove leading or trailing spaces from text fields; ","")&amp;IF(OR(AND(LEN($C195)&gt;1,OR(EXACT($C195,UPPER($C195)),EXACT($C195,LOWER($C195)))),AND(LEN($D195)&gt;1,OR(EXACT($D195,UPPER($D195)),EXACT($D195,LOWER($D195)))),AND(LEN($H195)&gt;1,OR(EXACT($H195,UPPER($H195)),EXACT($H195,LOWER($H195))))),"Review capitalization in First Name, Last Name, or City; ","")&amp;IF(AND($N195&lt;&gt;"",NOT(EXACT($N195,LOWER($N195)))),"Email will be standardized to lowercase in the clean output; ","")&amp;IF(AND(OR('START HERE'!$C$8="Initial Enrollment",'START HERE'!$C$8="Open Enrollment"),$R195="Terminated"),"A terminated row is included in an initial or open enrollment file; confirm this is intentional; ",""))</f>
        <v/>
      </c>
      <c r="AE195">
        <f>IF(COUNTA($A195:$U195)=0,"",IF(OR($A195="",AND($A195&lt;&gt;"",NOT(IFERROR(AND(LEN($A195&amp;"")=9,ISNUMBER(--($A195&amp;""))),FALSE))),AND($A195&lt;&gt;"",OR($A195="123456789",$A195="987654321",$A195="012345678",$A195=REPT(LEFT($A195&amp;"",1),9)))),"Employee SSN, ","")&amp;IF(OR(AND($O195&lt;&gt;"",$B195=""),AND($B195&lt;&gt;"",OR(NOT(IFERROR(AND(LEN($B195&amp;"")=9,ISNUMBER(--($B195&amp;""))),FALSE)),$B195=$A195,$B195="123456789",$B195="987654321",$B195="012345678",$B195=REPT(LEFT($B195&amp;"",1),9)))),"Dependent SSN, ","")&amp;IF(OR($C195="",LEN($C195)&gt;19,AND($C195&lt;&gt;"",SUMPRODUCT(--(ROW($1:$19)&lt;=LEN($C195&amp;"")),--ISERROR(FIND(MID($C195&amp;"",ROW($1:$19),1),"ABCDEFGHIJKLMNOPQRSTUVWXYZabcdefghijklmnopqrstuvwxyz .,")))&gt;0)),"First Name, ","")&amp;IF(OR($D195="",LEN($D195)&gt;26,AND($D195&lt;&gt;"",SUMPRODUCT(--(ROW($1:$26)&lt;=LEN($D195&amp;"")),--ISERROR(FIND(MID($D195&amp;"",ROW($1:$26),1),"ABCDEFGHIJKLMNOPQRSTUVWXYZabcdefghijklmnopqrstuvwxyz .,")))&gt;0)),"Last Name, ","")&amp;IF(OR(LEN($E195)&gt;1,AND($E195&lt;&gt;"",SUMPRODUCT(--(ROW($1:$1)&lt;=LEN($E195&amp;"")),--ISERROR(FIND(MID($E195&amp;"",ROW($1:$1),1),"ABCDEFGHIJKLMNOPQRSTUVWXYZabcdefghijklmnopqrstuvwxyz .,")))&gt;0)),"Middle Initial, ","")&amp;IF(OR($F195="",LEN($F195)&gt;75),"Address, ","")&amp;IF(OR($H195="",LEN($H195)&gt;30),"City, ","")&amp;IF(AND($K195="US",OR($I195="",LEN($I195)&lt;&gt;2)),"State, ","")&amp;IF($J195="","ZIP, ","")&amp;IF(OR($K195="",AND($K195&lt;&gt;"US",$K195&lt;&gt;"CA")),"Country, ","")&amp;IF(OR($L195="",AND($L195&lt;&gt;"",OR(NOT(ISNUMBER($L195)),$L195&lt;=DATE(1900,1,1),$L195&gt;TODAY()))),"Birthdate, ","")&amp;IF(AND($N195&lt;&gt;"",NOT(IFERROR(AND(ISNUMBER(SEARCH("@",$N195)),ISNUMBER(SEARCH(".",$N195,SEARCH("@",$N195)+2))),FALSE))),"Email, ","")&amp;IF(OR(AND($B195&lt;&gt;"",$O195=""),AND($O195&lt;&gt;"",$O195&lt;&gt;"Spouse or Common Law Spouse",$O195&lt;&gt;"Domestic Partner",$O195&lt;&gt;"Child",$O195&lt;&gt;"Other",$O195&lt;&gt;"Estate",$O195&lt;&gt;"Unknown")),"Dependent Relationship, ","")&amp;IF($AA195&lt;&gt;"","Household, ","")&amp;IF(OR($P195="",AND($P195&lt;&gt;"",OR(NOT(ISNUMBER($P195)),$P195&lt;=DATE(1900,1,1)))),"Eligibility Date, ","")&amp;IF(OR(AND($R195="Terminated",$Q195=""),AND($Q195&lt;&gt;"",OR(NOT(ISNUMBER($Q195)),$Q195&lt;=DATE(1900,1,1))),AND(ISNUMBER($P195),ISNUMBER($Q195),$Q195&lt;$P195)),"Termination Date, ","")&amp;IF(OR($R195="",AND($R195&lt;&gt;"Active",$R195&lt;&gt;"Terminated"),AND('START HERE'!$C$8="Terminations Only",$R195&lt;&gt;"Terminated")),"Status, ","")&amp;IF($S195="","Plan Name, ","")&amp;IF($T195="","Coverage Level, ","")&amp;IF(AND($U195&lt;&gt;"",OR(NOT(ISNUMBER($U195)),$U195&lt;0)),"Funding, ","")&amp;IF(AND($A195&lt;&gt;"",$S195&lt;&gt;"",COUNTIFS($A$2:$A$501,$A195,$B$2:$B$501,$B195,$S$2:$S$501,$S195)&gt;1),"Duplicate Row, ",""))</f>
        <v/>
      </c>
      <c r="AF195">
        <f>IF(COUNTA($A195:$U195)=0,"",$Y195&amp;$Z195&amp;$AA195&amp;$AB195&amp;$AC195)</f>
        <v/>
      </c>
      <c r="AG195">
        <f>IF($N195="","",LOWER(TRIM($N195)))</f>
        <v/>
      </c>
      <c r="AH195">
        <f>IF($A195="","",COUNTIFS($A$2:$A$501,$A195,$AI$2:$AI$501,1))</f>
        <v/>
      </c>
      <c r="AI195">
        <f>IF(COUNTA($A195:$U195)=0,"",--($AF195&lt;&gt;""))</f>
        <v/>
      </c>
      <c r="AJ195">
        <f>IF(COUNTA($A195:$U195)=0,"",--($AD195&lt;&gt;""))</f>
        <v/>
      </c>
    </row>
    <row r="196" ht="20" customHeight="1">
      <c r="A196" s="80" t="n"/>
      <c r="B196" s="80" t="n"/>
      <c r="C196" s="81" t="n"/>
      <c r="D196" s="81" t="n"/>
      <c r="E196" s="80" t="n"/>
      <c r="F196" s="81" t="n"/>
      <c r="G196" s="81" t="n"/>
      <c r="H196" s="81" t="n"/>
      <c r="I196" s="80" t="n"/>
      <c r="J196" s="80" t="n"/>
      <c r="K196" s="80" t="n"/>
      <c r="L196" s="82" t="n"/>
      <c r="M196" s="80" t="n"/>
      <c r="N196" s="80" t="n"/>
      <c r="O196" s="80" t="n"/>
      <c r="P196" s="82" t="n"/>
      <c r="Q196" s="82" t="n"/>
      <c r="R196" s="80" t="n"/>
      <c r="S196" s="80" t="n"/>
      <c r="T196" s="80" t="n"/>
      <c r="U196" s="83" t="n"/>
      <c r="V196">
        <f>IF($A196="","",IF($A196=$A195,$V195,IF($V195="",0,1-$V195)))</f>
        <v/>
      </c>
      <c r="W196">
        <f>IF($B196&lt;&gt;"",$B196,$A196)</f>
        <v/>
      </c>
      <c r="X196">
        <f>IF(COUNTA($A196:$U196)=0,"",IF(OR($B196&lt;&gt;"",$O196&lt;&gt;""),"Dependent","Employee"))</f>
        <v/>
      </c>
      <c r="Y196">
        <f>IF(COUNTA($A196:$U196)=0,"",IF($A196="","Employee SSN is required; ","")&amp;IF($C196="","First Name is required; ","")&amp;IF(LEN($C196&amp;"")&gt;19,"First Name exceeds 19 characters; ","")&amp;IF(AND($C196&lt;&gt;"",SUMPRODUCT(--(ROW($1:$19)&lt;=LEN($C196&amp;"")),--ISERROR(FIND(MID($C196&amp;"",ROW($1:$19),1),"ABCDEFGHIJKLMNOPQRSTUVWXYZabcdefghijklmnopqrstuvwxyz .,")))&gt;0),"First Name contains unsupported or encoded characters; use plain A-Z letters only; ","")&amp;IF($D196="","Last Name is required; ","")&amp;IF(LEN($D196&amp;"")&gt;26,"Last Name exceeds 26 characters; ","")&amp;IF(AND($D196&lt;&gt;"",SUMPRODUCT(--(ROW($1:$26)&lt;=LEN($D196&amp;"")),--ISERROR(FIND(MID($D196&amp;"",ROW($1:$26),1),"ABCDEFGHIJKLMNOPQRSTUVWXYZabcdefghijklmnopqrstuvwxyz .,")))&gt;0),"Last Name contains unsupported or encoded characters; use plain A-Z letters only; ","")&amp;IF(LEN($E196&amp;"")&gt;1,"Middle Initial may contain only one character; ","")&amp;IF(AND($E196&lt;&gt;"",SUMPRODUCT(--(ROW($1:$1)&lt;=LEN($E196&amp;"")),--ISERROR(FIND(MID($E196&amp;"",ROW($1:$1),1),"ABCDEFGHIJKLMNOPQRSTUVWXYZabcdefghijklmnopqrstuvwxyz .,")))&gt;0),"Middle Initial must be a plain A-Z letter; ","")&amp;IF($F196="","Address is required; ","")&amp;IF(LEN($F196&amp;"")&gt;75,"Address exceeds 75 characters; ","")&amp;IF(LEN($G196&amp;"")&gt;75,"Address 2 exceeds 75 characters; ","")&amp;IF($H196="","City is required; ","")&amp;IF(LEN($H196&amp;"")&gt;30,"City exceeds 30 characters; ","")&amp;IF($K196="","Country is required; ","")&amp;IF(AND($K196&lt;&gt;"",$K196&lt;&gt;"US",$K196&lt;&gt;"CA"),"Country must be US or CA; ","")&amp;IF(AND($K196="US",OR($I196="",LEN($I196&amp;"")&lt;&gt;2)),"Use a 2-letter state code; ","")&amp;IF($J196="","ZIP or postal code is required; ","")&amp;IF(AND($K196="US",$J196&lt;&gt;"",NOT(IFERROR(OR(AND(LEN($J196&amp;"")=5,ISNUMBER(--($J196&amp;""))),AND(LEN($J196&amp;"")=9,ISNUMBER(--($J196&amp;""))),AND(LEN($J196&amp;"")=10,MID($J196&amp;"",6,1)="-",ISNUMBER(--SUBSTITUTE($J196&amp;"","-","")))),FALSE))),"US ZIP must be 5 or 9 digits, with an optional ZIP+4 hyphen; ","")&amp;IF(AND($N196&lt;&gt;"",NOT(IFERROR(AND(ISNUMBER(SEARCH("@",$N196)),ISNUMBER(SEARCH(".",$N196,SEARCH("@",$N196)+2))),FALSE))),"Email format appears invalid; ","")&amp;IF(AND($O196&lt;&gt;"",$B196=""),"Dependent SSN is required for every dependent; ","")&amp;IF(AND($B196&lt;&gt;"",$O196=""),"Dependent Relationship is required when Dependent SSN is entered; ","")&amp;IF(AND($O196&lt;&gt;"",$O196&lt;&gt;"Spouse or Common Law Spouse",$O196&lt;&gt;"Domestic Partner",$O196&lt;&gt;"Child",$O196&lt;&gt;"Other",$O196&lt;&gt;"Estate",$O196&lt;&gt;"Unknown"),"Dependent Relationship must use one of the approved options; ",""))</f>
        <v/>
      </c>
      <c r="Z196">
        <f>IF(COUNTA($A196:$U196)=0,"",IF(AND($A196&lt;&gt;"",NOT(IFERROR(AND(LEN($A196&amp;"")=9,ISNUMBER(--($A196&amp;""))),FALSE))),"Employee SSN must contain exactly 9 digits; ","")&amp;IF(AND($A196&lt;&gt;"",OR($A196="123456789",$A196="987654321",$A196="012345678",$A196=REPT(LEFT($A196&amp;"",1),9))),"Employee SSN appears to be a placeholder; ","")&amp;IF(AND($B196&lt;&gt;"",NOT(IFERROR(AND(LEN($B196&amp;"")=9,ISNUMBER(--($B196&amp;""))),FALSE))),"Dependent SSN must contain exactly 9 digits; ","")&amp;IF(AND($B196&lt;&gt;"",OR($B196="123456789",$B196="987654321",$B196="012345678",$B196=REPT(LEFT($B196&amp;"",1),9))),"Dependent SSN appears to be a placeholder; ","")&amp;IF(AND($A196&lt;&gt;"",$B196&lt;&gt;"",$A196&amp;""=$B196&amp;""),"Dependent SSN cannot match Employee SSN; ","")&amp;IF(AND($W196&lt;&gt;"",OR(COUNTIFS($W$2:$W$501,$W196,$C$2:$C$501,"&lt;&gt;"&amp;$C196)&gt;0,COUNTIFS($W$2:$W$501,$W196,$D$2:$D$501,"&lt;&gt;"&amp;$D196)&gt;0,COUNTIFS($W$2:$W$501,$W196,$L$2:$L$501,"&lt;&gt;"&amp;$L196)&gt;0)),"The same SSN is associated with a different name or birthdate; ",""))</f>
        <v/>
      </c>
      <c r="AA196">
        <f>IF(COUNTA($A196:$U196)=0,"",IF(AND($A196&lt;&gt;"",$S196&lt;&gt;"",COUNTIFS($A$2:$A$501,$A196,$S$2:$S$501,$S196,$B$2:$B$501,"",$O$2:$O$501,"")=0),"Add an employee row for this household and plan; ","")&amp;IF(AND($X196="Dependent",COUNTIFS($A$2:$A196,$A196,$S$2:$S196,$S196,$B$2:$B196,"",$O$2:$O196,"")=0),"Place the employee row before dependent rows for this plan; ","")&amp;IF(AND($X196="Dependent",COUNTIFS($A$2:$A$501,$A196,$S$2:$S$501,$S196,$B$2:$B$501,"",$O$2:$O$501,"")&gt;0,IFERROR(OR($P196&lt;&gt;LOOKUP(2,1/(($A$2:$A$501=$A196)*($S$2:$S$501=$S196)*($B$2:$B$501="")*($O$2:$O$501="")),$P$2:$P$501),$Q196&lt;&gt;LOOKUP(2,1/(($A$2:$A$501=$A196)*($S$2:$S$501=$S196)*($B$2:$B$501="")*($O$2:$O$501="")),$Q$2:$Q$501),$R196&lt;&gt;LOOKUP(2,1/(($A$2:$A$501=$A196)*($S$2:$S$501=$S196)*($B$2:$B$501="")*($O$2:$O$501="")),$R$2:$R$501),$T196&lt;&gt;LOOKUP(2,1/(($A$2:$A$501=$A196)*($S$2:$S$501=$S196)*($B$2:$B$501="")*($O$2:$O$501="")),$T$2:$T$501),$U196&lt;&gt;LOOKUP(2,1/(($A$2:$A$501=$A196)*($S$2:$S$501=$S196)*($B$2:$B$501="")*($O$2:$O$501="")),$U$2:$U$501)),FALSE)),"Dependent row does not match the employee row for eligibility, status, coverage level, or funding; ",""))</f>
        <v/>
      </c>
      <c r="AB196">
        <f>IF(COUNTA($A196:$U196)=0,"",IF($L196="","Birthdate is required; ","")&amp;IF(AND($L196&lt;&gt;"",OR(NOT(ISNUMBER($L196)),$L196&lt;=DATE(1900,1,1),$L196&gt;TODAY())),"Birthdate must be an exact valid past date; ","")&amp;IF($P196="","Eligibility Date is required; ","")&amp;IF(AND($P196&lt;&gt;"",OR(NOT(ISNUMBER($P196)),$P196&lt;=DATE(1900,1,1))),"Eligibility Date must be a valid date; ","")&amp;IF(AND($R196="Terminated",$Q196=""),"Termination Date is required when Status is Terminated; ","")&amp;IF(AND($Q196&lt;&gt;"",OR(NOT(ISNUMBER($Q196)),$Q196&lt;=DATE(1900,1,1))),"Termination Date must be a valid date; ","")&amp;IF(AND(ISNUMBER($P196),ISNUMBER($Q196),$Q196&lt;$P196),"Termination Date cannot be before Eligibility Date; ","")&amp;IF($R196="","Status is required; ","")&amp;IF(AND($R196&lt;&gt;"",$R196&lt;&gt;"Active",$R196&lt;&gt;"Terminated"),"Status must be Active or Terminated; ","")&amp;IF(AND('START HERE'!$C$8="Terminations Only",$R196&lt;&gt;"Terminated"),"Terminations Only files must contain terminated records; ",""))</f>
        <v/>
      </c>
      <c r="AC196">
        <f>IF(COUNTA($A196:$U196)=0,"",IF($S196="","Plan Name is required; ","")&amp;IF($T196="","Benefit Coverage Level is required; ","")&amp;IF(AND($U196&lt;&gt;"",OR(NOT(ISNUMBER($U196)),$U196&lt;0)),"Plan Funding Amount must be a nonnegative number; ","")&amp;IF(AND($A196&lt;&gt;"",$S196&lt;&gt;"",COUNTIFS($A$2:$A$501,$A196,$B$2:$B$501,$B196,$S$2:$S$501,$S196)&gt;1),"Duplicate participant and plan row; ",""))</f>
        <v/>
      </c>
      <c r="AD196">
        <f>IF(COUNTA($A196:$U196)=0,"",IF(AND($X196="Employee",$M196="",$N196=""),"No employee phone or email provided; ","")&amp;IF(AND($R196="Active",$Q196&lt;&gt;""),"Active record includes a Termination Date; confirm this is intentional; ","")&amp;IF(AND($B196&lt;&gt;"",$B196&amp;""&lt;&gt;$A196&amp;"",COUNTIF($A$2:$A$501,$B196)&gt;0),"Dependent SSN also appears as an Employee SSN elsewhere; confirm dual-employee coverage is intentional; ","")&amp;IF(AND($B196&lt;&gt;"",COUNTIF($B$2:$B$501,$B196)&gt;COUNTIFS($A$2:$A$501,$A196,$B$2:$B$501,$B196)),"Dependent SSN appears under more than one employee; confirm duplicate family coverage is intentional; ","")&amp;IF(AND(ROW()&gt;2,$A196&lt;&gt;"",$A196&lt;&gt;$A195,COUNTIF($A$2:$A195,$A196)&gt;0),"This household appears in more than one section of the census; keep the family together; ","")&amp;IF(OR(AND($C196&lt;&gt;"",LEN($C196&amp;"")&lt;&gt;LEN(TRIM($C196&amp;""))),AND($D196&lt;&gt;"",LEN($D196&amp;"")&lt;&gt;LEN(TRIM($D196&amp;""))),AND($E196&lt;&gt;"",LEN($E196&amp;"")&lt;&gt;LEN(TRIM($E196&amp;""))),AND($F196&lt;&gt;"",LEN($F196&amp;"")&lt;&gt;LEN(TRIM($F196&amp;""))),AND($G196&lt;&gt;"",LEN($G196&amp;"")&lt;&gt;LEN(TRIM($G196&amp;""))),AND($H196&lt;&gt;"",LEN($H196&amp;"")&lt;&gt;LEN(TRIM($H196&amp;""))),AND($I196&lt;&gt;"",LEN($I196&amp;"")&lt;&gt;LEN(TRIM($I196&amp;""))),AND($J196&lt;&gt;"",LEN($J196&amp;"")&lt;&gt;LEN(TRIM($J196&amp;""))),AND($K196&lt;&gt;"",LEN($K196&amp;"")&lt;&gt;LEN(TRIM($K196&amp;""))),AND($M196&lt;&gt;"",LEN($M196&amp;"")&lt;&gt;LEN(TRIM($M196&amp;""))),AND($N196&lt;&gt;"",LEN($N196&amp;"")&lt;&gt;LEN(TRIM($N196&amp;""))),AND($O196&lt;&gt;"",LEN($O196&amp;"")&lt;&gt;LEN(TRIM($O196&amp;""))),AND($R196&lt;&gt;"",LEN($R196&amp;"")&lt;&gt;LEN(TRIM($R196&amp;""))),AND($S196&lt;&gt;"",LEN($S196&amp;"")&lt;&gt;LEN(TRIM($S196&amp;""))),AND($T196&lt;&gt;"",LEN($T196&amp;"")&lt;&gt;LEN(TRIM($T196&amp;"")))),"Remove leading or trailing spaces from text fields; ","")&amp;IF(OR(AND(LEN($C196)&gt;1,OR(EXACT($C196,UPPER($C196)),EXACT($C196,LOWER($C196)))),AND(LEN($D196)&gt;1,OR(EXACT($D196,UPPER($D196)),EXACT($D196,LOWER($D196)))),AND(LEN($H196)&gt;1,OR(EXACT($H196,UPPER($H196)),EXACT($H196,LOWER($H196))))),"Review capitalization in First Name, Last Name, or City; ","")&amp;IF(AND($N196&lt;&gt;"",NOT(EXACT($N196,LOWER($N196)))),"Email will be standardized to lowercase in the clean output; ","")&amp;IF(AND(OR('START HERE'!$C$8="Initial Enrollment",'START HERE'!$C$8="Open Enrollment"),$R196="Terminated"),"A terminated row is included in an initial or open enrollment file; confirm this is intentional; ",""))</f>
        <v/>
      </c>
      <c r="AE196">
        <f>IF(COUNTA($A196:$U196)=0,"",IF(OR($A196="",AND($A196&lt;&gt;"",NOT(IFERROR(AND(LEN($A196&amp;"")=9,ISNUMBER(--($A196&amp;""))),FALSE))),AND($A196&lt;&gt;"",OR($A196="123456789",$A196="987654321",$A196="012345678",$A196=REPT(LEFT($A196&amp;"",1),9)))),"Employee SSN, ","")&amp;IF(OR(AND($O196&lt;&gt;"",$B196=""),AND($B196&lt;&gt;"",OR(NOT(IFERROR(AND(LEN($B196&amp;"")=9,ISNUMBER(--($B196&amp;""))),FALSE)),$B196=$A196,$B196="123456789",$B196="987654321",$B196="012345678",$B196=REPT(LEFT($B196&amp;"",1),9)))),"Dependent SSN, ","")&amp;IF(OR($C196="",LEN($C196)&gt;19,AND($C196&lt;&gt;"",SUMPRODUCT(--(ROW($1:$19)&lt;=LEN($C196&amp;"")),--ISERROR(FIND(MID($C196&amp;"",ROW($1:$19),1),"ABCDEFGHIJKLMNOPQRSTUVWXYZabcdefghijklmnopqrstuvwxyz .,")))&gt;0)),"First Name, ","")&amp;IF(OR($D196="",LEN($D196)&gt;26,AND($D196&lt;&gt;"",SUMPRODUCT(--(ROW($1:$26)&lt;=LEN($D196&amp;"")),--ISERROR(FIND(MID($D196&amp;"",ROW($1:$26),1),"ABCDEFGHIJKLMNOPQRSTUVWXYZabcdefghijklmnopqrstuvwxyz .,")))&gt;0)),"Last Name, ","")&amp;IF(OR(LEN($E196)&gt;1,AND($E196&lt;&gt;"",SUMPRODUCT(--(ROW($1:$1)&lt;=LEN($E196&amp;"")),--ISERROR(FIND(MID($E196&amp;"",ROW($1:$1),1),"ABCDEFGHIJKLMNOPQRSTUVWXYZabcdefghijklmnopqrstuvwxyz .,")))&gt;0)),"Middle Initial, ","")&amp;IF(OR($F196="",LEN($F196)&gt;75),"Address, ","")&amp;IF(OR($H196="",LEN($H196)&gt;30),"City, ","")&amp;IF(AND($K196="US",OR($I196="",LEN($I196)&lt;&gt;2)),"State, ","")&amp;IF($J196="","ZIP, ","")&amp;IF(OR($K196="",AND($K196&lt;&gt;"US",$K196&lt;&gt;"CA")),"Country, ","")&amp;IF(OR($L196="",AND($L196&lt;&gt;"",OR(NOT(ISNUMBER($L196)),$L196&lt;=DATE(1900,1,1),$L196&gt;TODAY()))),"Birthdate, ","")&amp;IF(AND($N196&lt;&gt;"",NOT(IFERROR(AND(ISNUMBER(SEARCH("@",$N196)),ISNUMBER(SEARCH(".",$N196,SEARCH("@",$N196)+2))),FALSE))),"Email, ","")&amp;IF(OR(AND($B196&lt;&gt;"",$O196=""),AND($O196&lt;&gt;"",$O196&lt;&gt;"Spouse or Common Law Spouse",$O196&lt;&gt;"Domestic Partner",$O196&lt;&gt;"Child",$O196&lt;&gt;"Other",$O196&lt;&gt;"Estate",$O196&lt;&gt;"Unknown")),"Dependent Relationship, ","")&amp;IF($AA196&lt;&gt;"","Household, ","")&amp;IF(OR($P196="",AND($P196&lt;&gt;"",OR(NOT(ISNUMBER($P196)),$P196&lt;=DATE(1900,1,1)))),"Eligibility Date, ","")&amp;IF(OR(AND($R196="Terminated",$Q196=""),AND($Q196&lt;&gt;"",OR(NOT(ISNUMBER($Q196)),$Q196&lt;=DATE(1900,1,1))),AND(ISNUMBER($P196),ISNUMBER($Q196),$Q196&lt;$P196)),"Termination Date, ","")&amp;IF(OR($R196="",AND($R196&lt;&gt;"Active",$R196&lt;&gt;"Terminated"),AND('START HERE'!$C$8="Terminations Only",$R196&lt;&gt;"Terminated")),"Status, ","")&amp;IF($S196="","Plan Name, ","")&amp;IF($T196="","Coverage Level, ","")&amp;IF(AND($U196&lt;&gt;"",OR(NOT(ISNUMBER($U196)),$U196&lt;0)),"Funding, ","")&amp;IF(AND($A196&lt;&gt;"",$S196&lt;&gt;"",COUNTIFS($A$2:$A$501,$A196,$B$2:$B$501,$B196,$S$2:$S$501,$S196)&gt;1),"Duplicate Row, ",""))</f>
        <v/>
      </c>
      <c r="AF196">
        <f>IF(COUNTA($A196:$U196)=0,"",$Y196&amp;$Z196&amp;$AA196&amp;$AB196&amp;$AC196)</f>
        <v/>
      </c>
      <c r="AG196">
        <f>IF($N196="","",LOWER(TRIM($N196)))</f>
        <v/>
      </c>
      <c r="AH196">
        <f>IF($A196="","",COUNTIFS($A$2:$A$501,$A196,$AI$2:$AI$501,1))</f>
        <v/>
      </c>
      <c r="AI196">
        <f>IF(COUNTA($A196:$U196)=0,"",--($AF196&lt;&gt;""))</f>
        <v/>
      </c>
      <c r="AJ196">
        <f>IF(COUNTA($A196:$U196)=0,"",--($AD196&lt;&gt;""))</f>
        <v/>
      </c>
    </row>
    <row r="197" ht="20" customHeight="1">
      <c r="A197" s="80" t="n"/>
      <c r="B197" s="80" t="n"/>
      <c r="C197" s="81" t="n"/>
      <c r="D197" s="81" t="n"/>
      <c r="E197" s="80" t="n"/>
      <c r="F197" s="81" t="n"/>
      <c r="G197" s="81" t="n"/>
      <c r="H197" s="81" t="n"/>
      <c r="I197" s="80" t="n"/>
      <c r="J197" s="80" t="n"/>
      <c r="K197" s="80" t="n"/>
      <c r="L197" s="82" t="n"/>
      <c r="M197" s="80" t="n"/>
      <c r="N197" s="80" t="n"/>
      <c r="O197" s="80" t="n"/>
      <c r="P197" s="82" t="n"/>
      <c r="Q197" s="82" t="n"/>
      <c r="R197" s="80" t="n"/>
      <c r="S197" s="80" t="n"/>
      <c r="T197" s="80" t="n"/>
      <c r="U197" s="83" t="n"/>
      <c r="V197">
        <f>IF($A197="","",IF($A197=$A196,$V196,IF($V196="",0,1-$V196)))</f>
        <v/>
      </c>
      <c r="W197">
        <f>IF($B197&lt;&gt;"",$B197,$A197)</f>
        <v/>
      </c>
      <c r="X197">
        <f>IF(COUNTA($A197:$U197)=0,"",IF(OR($B197&lt;&gt;"",$O197&lt;&gt;""),"Dependent","Employee"))</f>
        <v/>
      </c>
      <c r="Y197">
        <f>IF(COUNTA($A197:$U197)=0,"",IF($A197="","Employee SSN is required; ","")&amp;IF($C197="","First Name is required; ","")&amp;IF(LEN($C197&amp;"")&gt;19,"First Name exceeds 19 characters; ","")&amp;IF(AND($C197&lt;&gt;"",SUMPRODUCT(--(ROW($1:$19)&lt;=LEN($C197&amp;"")),--ISERROR(FIND(MID($C197&amp;"",ROW($1:$19),1),"ABCDEFGHIJKLMNOPQRSTUVWXYZabcdefghijklmnopqrstuvwxyz .,")))&gt;0),"First Name contains unsupported or encoded characters; use plain A-Z letters only; ","")&amp;IF($D197="","Last Name is required; ","")&amp;IF(LEN($D197&amp;"")&gt;26,"Last Name exceeds 26 characters; ","")&amp;IF(AND($D197&lt;&gt;"",SUMPRODUCT(--(ROW($1:$26)&lt;=LEN($D197&amp;"")),--ISERROR(FIND(MID($D197&amp;"",ROW($1:$26),1),"ABCDEFGHIJKLMNOPQRSTUVWXYZabcdefghijklmnopqrstuvwxyz .,")))&gt;0),"Last Name contains unsupported or encoded characters; use plain A-Z letters only; ","")&amp;IF(LEN($E197&amp;"")&gt;1,"Middle Initial may contain only one character; ","")&amp;IF(AND($E197&lt;&gt;"",SUMPRODUCT(--(ROW($1:$1)&lt;=LEN($E197&amp;"")),--ISERROR(FIND(MID($E197&amp;"",ROW($1:$1),1),"ABCDEFGHIJKLMNOPQRSTUVWXYZabcdefghijklmnopqrstuvwxyz .,")))&gt;0),"Middle Initial must be a plain A-Z letter; ","")&amp;IF($F197="","Address is required; ","")&amp;IF(LEN($F197&amp;"")&gt;75,"Address exceeds 75 characters; ","")&amp;IF(LEN($G197&amp;"")&gt;75,"Address 2 exceeds 75 characters; ","")&amp;IF($H197="","City is required; ","")&amp;IF(LEN($H197&amp;"")&gt;30,"City exceeds 30 characters; ","")&amp;IF($K197="","Country is required; ","")&amp;IF(AND($K197&lt;&gt;"",$K197&lt;&gt;"US",$K197&lt;&gt;"CA"),"Country must be US or CA; ","")&amp;IF(AND($K197="US",OR($I197="",LEN($I197&amp;"")&lt;&gt;2)),"Use a 2-letter state code; ","")&amp;IF($J197="","ZIP or postal code is required; ","")&amp;IF(AND($K197="US",$J197&lt;&gt;"",NOT(IFERROR(OR(AND(LEN($J197&amp;"")=5,ISNUMBER(--($J197&amp;""))),AND(LEN($J197&amp;"")=9,ISNUMBER(--($J197&amp;""))),AND(LEN($J197&amp;"")=10,MID($J197&amp;"",6,1)="-",ISNUMBER(--SUBSTITUTE($J197&amp;"","-","")))),FALSE))),"US ZIP must be 5 or 9 digits, with an optional ZIP+4 hyphen; ","")&amp;IF(AND($N197&lt;&gt;"",NOT(IFERROR(AND(ISNUMBER(SEARCH("@",$N197)),ISNUMBER(SEARCH(".",$N197,SEARCH("@",$N197)+2))),FALSE))),"Email format appears invalid; ","")&amp;IF(AND($O197&lt;&gt;"",$B197=""),"Dependent SSN is required for every dependent; ","")&amp;IF(AND($B197&lt;&gt;"",$O197=""),"Dependent Relationship is required when Dependent SSN is entered; ","")&amp;IF(AND($O197&lt;&gt;"",$O197&lt;&gt;"Spouse or Common Law Spouse",$O197&lt;&gt;"Domestic Partner",$O197&lt;&gt;"Child",$O197&lt;&gt;"Other",$O197&lt;&gt;"Estate",$O197&lt;&gt;"Unknown"),"Dependent Relationship must use one of the approved options; ",""))</f>
        <v/>
      </c>
      <c r="Z197">
        <f>IF(COUNTA($A197:$U197)=0,"",IF(AND($A197&lt;&gt;"",NOT(IFERROR(AND(LEN($A197&amp;"")=9,ISNUMBER(--($A197&amp;""))),FALSE))),"Employee SSN must contain exactly 9 digits; ","")&amp;IF(AND($A197&lt;&gt;"",OR($A197="123456789",$A197="987654321",$A197="012345678",$A197=REPT(LEFT($A197&amp;"",1),9))),"Employee SSN appears to be a placeholder; ","")&amp;IF(AND($B197&lt;&gt;"",NOT(IFERROR(AND(LEN($B197&amp;"")=9,ISNUMBER(--($B197&amp;""))),FALSE))),"Dependent SSN must contain exactly 9 digits; ","")&amp;IF(AND($B197&lt;&gt;"",OR($B197="123456789",$B197="987654321",$B197="012345678",$B197=REPT(LEFT($B197&amp;"",1),9))),"Dependent SSN appears to be a placeholder; ","")&amp;IF(AND($A197&lt;&gt;"",$B197&lt;&gt;"",$A197&amp;""=$B197&amp;""),"Dependent SSN cannot match Employee SSN; ","")&amp;IF(AND($W197&lt;&gt;"",OR(COUNTIFS($W$2:$W$501,$W197,$C$2:$C$501,"&lt;&gt;"&amp;$C197)&gt;0,COUNTIFS($W$2:$W$501,$W197,$D$2:$D$501,"&lt;&gt;"&amp;$D197)&gt;0,COUNTIFS($W$2:$W$501,$W197,$L$2:$L$501,"&lt;&gt;"&amp;$L197)&gt;0)),"The same SSN is associated with a different name or birthdate; ",""))</f>
        <v/>
      </c>
      <c r="AA197">
        <f>IF(COUNTA($A197:$U197)=0,"",IF(AND($A197&lt;&gt;"",$S197&lt;&gt;"",COUNTIFS($A$2:$A$501,$A197,$S$2:$S$501,$S197,$B$2:$B$501,"",$O$2:$O$501,"")=0),"Add an employee row for this household and plan; ","")&amp;IF(AND($X197="Dependent",COUNTIFS($A$2:$A197,$A197,$S$2:$S197,$S197,$B$2:$B197,"",$O$2:$O197,"")=0),"Place the employee row before dependent rows for this plan; ","")&amp;IF(AND($X197="Dependent",COUNTIFS($A$2:$A$501,$A197,$S$2:$S$501,$S197,$B$2:$B$501,"",$O$2:$O$501,"")&gt;0,IFERROR(OR($P197&lt;&gt;LOOKUP(2,1/(($A$2:$A$501=$A197)*($S$2:$S$501=$S197)*($B$2:$B$501="")*($O$2:$O$501="")),$P$2:$P$501),$Q197&lt;&gt;LOOKUP(2,1/(($A$2:$A$501=$A197)*($S$2:$S$501=$S197)*($B$2:$B$501="")*($O$2:$O$501="")),$Q$2:$Q$501),$R197&lt;&gt;LOOKUP(2,1/(($A$2:$A$501=$A197)*($S$2:$S$501=$S197)*($B$2:$B$501="")*($O$2:$O$501="")),$R$2:$R$501),$T197&lt;&gt;LOOKUP(2,1/(($A$2:$A$501=$A197)*($S$2:$S$501=$S197)*($B$2:$B$501="")*($O$2:$O$501="")),$T$2:$T$501),$U197&lt;&gt;LOOKUP(2,1/(($A$2:$A$501=$A197)*($S$2:$S$501=$S197)*($B$2:$B$501="")*($O$2:$O$501="")),$U$2:$U$501)),FALSE)),"Dependent row does not match the employee row for eligibility, status, coverage level, or funding; ",""))</f>
        <v/>
      </c>
      <c r="AB197">
        <f>IF(COUNTA($A197:$U197)=0,"",IF($L197="","Birthdate is required; ","")&amp;IF(AND($L197&lt;&gt;"",OR(NOT(ISNUMBER($L197)),$L197&lt;=DATE(1900,1,1),$L197&gt;TODAY())),"Birthdate must be an exact valid past date; ","")&amp;IF($P197="","Eligibility Date is required; ","")&amp;IF(AND($P197&lt;&gt;"",OR(NOT(ISNUMBER($P197)),$P197&lt;=DATE(1900,1,1))),"Eligibility Date must be a valid date; ","")&amp;IF(AND($R197="Terminated",$Q197=""),"Termination Date is required when Status is Terminated; ","")&amp;IF(AND($Q197&lt;&gt;"",OR(NOT(ISNUMBER($Q197)),$Q197&lt;=DATE(1900,1,1))),"Termination Date must be a valid date; ","")&amp;IF(AND(ISNUMBER($P197),ISNUMBER($Q197),$Q197&lt;$P197),"Termination Date cannot be before Eligibility Date; ","")&amp;IF($R197="","Status is required; ","")&amp;IF(AND($R197&lt;&gt;"",$R197&lt;&gt;"Active",$R197&lt;&gt;"Terminated"),"Status must be Active or Terminated; ","")&amp;IF(AND('START HERE'!$C$8="Terminations Only",$R197&lt;&gt;"Terminated"),"Terminations Only files must contain terminated records; ",""))</f>
        <v/>
      </c>
      <c r="AC197">
        <f>IF(COUNTA($A197:$U197)=0,"",IF($S197="","Plan Name is required; ","")&amp;IF($T197="","Benefit Coverage Level is required; ","")&amp;IF(AND($U197&lt;&gt;"",OR(NOT(ISNUMBER($U197)),$U197&lt;0)),"Plan Funding Amount must be a nonnegative number; ","")&amp;IF(AND($A197&lt;&gt;"",$S197&lt;&gt;"",COUNTIFS($A$2:$A$501,$A197,$B$2:$B$501,$B197,$S$2:$S$501,$S197)&gt;1),"Duplicate participant and plan row; ",""))</f>
        <v/>
      </c>
      <c r="AD197">
        <f>IF(COUNTA($A197:$U197)=0,"",IF(AND($X197="Employee",$M197="",$N197=""),"No employee phone or email provided; ","")&amp;IF(AND($R197="Active",$Q197&lt;&gt;""),"Active record includes a Termination Date; confirm this is intentional; ","")&amp;IF(AND($B197&lt;&gt;"",$B197&amp;""&lt;&gt;$A197&amp;"",COUNTIF($A$2:$A$501,$B197)&gt;0),"Dependent SSN also appears as an Employee SSN elsewhere; confirm dual-employee coverage is intentional; ","")&amp;IF(AND($B197&lt;&gt;"",COUNTIF($B$2:$B$501,$B197)&gt;COUNTIFS($A$2:$A$501,$A197,$B$2:$B$501,$B197)),"Dependent SSN appears under more than one employee; confirm duplicate family coverage is intentional; ","")&amp;IF(AND(ROW()&gt;2,$A197&lt;&gt;"",$A197&lt;&gt;$A196,COUNTIF($A$2:$A196,$A197)&gt;0),"This household appears in more than one section of the census; keep the family together; ","")&amp;IF(OR(AND($C197&lt;&gt;"",LEN($C197&amp;"")&lt;&gt;LEN(TRIM($C197&amp;""))),AND($D197&lt;&gt;"",LEN($D197&amp;"")&lt;&gt;LEN(TRIM($D197&amp;""))),AND($E197&lt;&gt;"",LEN($E197&amp;"")&lt;&gt;LEN(TRIM($E197&amp;""))),AND($F197&lt;&gt;"",LEN($F197&amp;"")&lt;&gt;LEN(TRIM($F197&amp;""))),AND($G197&lt;&gt;"",LEN($G197&amp;"")&lt;&gt;LEN(TRIM($G197&amp;""))),AND($H197&lt;&gt;"",LEN($H197&amp;"")&lt;&gt;LEN(TRIM($H197&amp;""))),AND($I197&lt;&gt;"",LEN($I197&amp;"")&lt;&gt;LEN(TRIM($I197&amp;""))),AND($J197&lt;&gt;"",LEN($J197&amp;"")&lt;&gt;LEN(TRIM($J197&amp;""))),AND($K197&lt;&gt;"",LEN($K197&amp;"")&lt;&gt;LEN(TRIM($K197&amp;""))),AND($M197&lt;&gt;"",LEN($M197&amp;"")&lt;&gt;LEN(TRIM($M197&amp;""))),AND($N197&lt;&gt;"",LEN($N197&amp;"")&lt;&gt;LEN(TRIM($N197&amp;""))),AND($O197&lt;&gt;"",LEN($O197&amp;"")&lt;&gt;LEN(TRIM($O197&amp;""))),AND($R197&lt;&gt;"",LEN($R197&amp;"")&lt;&gt;LEN(TRIM($R197&amp;""))),AND($S197&lt;&gt;"",LEN($S197&amp;"")&lt;&gt;LEN(TRIM($S197&amp;""))),AND($T197&lt;&gt;"",LEN($T197&amp;"")&lt;&gt;LEN(TRIM($T197&amp;"")))),"Remove leading or trailing spaces from text fields; ","")&amp;IF(OR(AND(LEN($C197)&gt;1,OR(EXACT($C197,UPPER($C197)),EXACT($C197,LOWER($C197)))),AND(LEN($D197)&gt;1,OR(EXACT($D197,UPPER($D197)),EXACT($D197,LOWER($D197)))),AND(LEN($H197)&gt;1,OR(EXACT($H197,UPPER($H197)),EXACT($H197,LOWER($H197))))),"Review capitalization in First Name, Last Name, or City; ","")&amp;IF(AND($N197&lt;&gt;"",NOT(EXACT($N197,LOWER($N197)))),"Email will be standardized to lowercase in the clean output; ","")&amp;IF(AND(OR('START HERE'!$C$8="Initial Enrollment",'START HERE'!$C$8="Open Enrollment"),$R197="Terminated"),"A terminated row is included in an initial or open enrollment file; confirm this is intentional; ",""))</f>
        <v/>
      </c>
      <c r="AE197">
        <f>IF(COUNTA($A197:$U197)=0,"",IF(OR($A197="",AND($A197&lt;&gt;"",NOT(IFERROR(AND(LEN($A197&amp;"")=9,ISNUMBER(--($A197&amp;""))),FALSE))),AND($A197&lt;&gt;"",OR($A197="123456789",$A197="987654321",$A197="012345678",$A197=REPT(LEFT($A197&amp;"",1),9)))),"Employee SSN, ","")&amp;IF(OR(AND($O197&lt;&gt;"",$B197=""),AND($B197&lt;&gt;"",OR(NOT(IFERROR(AND(LEN($B197&amp;"")=9,ISNUMBER(--($B197&amp;""))),FALSE)),$B197=$A197,$B197="123456789",$B197="987654321",$B197="012345678",$B197=REPT(LEFT($B197&amp;"",1),9)))),"Dependent SSN, ","")&amp;IF(OR($C197="",LEN($C197)&gt;19,AND($C197&lt;&gt;"",SUMPRODUCT(--(ROW($1:$19)&lt;=LEN($C197&amp;"")),--ISERROR(FIND(MID($C197&amp;"",ROW($1:$19),1),"ABCDEFGHIJKLMNOPQRSTUVWXYZabcdefghijklmnopqrstuvwxyz .,")))&gt;0)),"First Name, ","")&amp;IF(OR($D197="",LEN($D197)&gt;26,AND($D197&lt;&gt;"",SUMPRODUCT(--(ROW($1:$26)&lt;=LEN($D197&amp;"")),--ISERROR(FIND(MID($D197&amp;"",ROW($1:$26),1),"ABCDEFGHIJKLMNOPQRSTUVWXYZabcdefghijklmnopqrstuvwxyz .,")))&gt;0)),"Last Name, ","")&amp;IF(OR(LEN($E197)&gt;1,AND($E197&lt;&gt;"",SUMPRODUCT(--(ROW($1:$1)&lt;=LEN($E197&amp;"")),--ISERROR(FIND(MID($E197&amp;"",ROW($1:$1),1),"ABCDEFGHIJKLMNOPQRSTUVWXYZabcdefghijklmnopqrstuvwxyz .,")))&gt;0)),"Middle Initial, ","")&amp;IF(OR($F197="",LEN($F197)&gt;75),"Address, ","")&amp;IF(OR($H197="",LEN($H197)&gt;30),"City, ","")&amp;IF(AND($K197="US",OR($I197="",LEN($I197)&lt;&gt;2)),"State, ","")&amp;IF($J197="","ZIP, ","")&amp;IF(OR($K197="",AND($K197&lt;&gt;"US",$K197&lt;&gt;"CA")),"Country, ","")&amp;IF(OR($L197="",AND($L197&lt;&gt;"",OR(NOT(ISNUMBER($L197)),$L197&lt;=DATE(1900,1,1),$L197&gt;TODAY()))),"Birthdate, ","")&amp;IF(AND($N197&lt;&gt;"",NOT(IFERROR(AND(ISNUMBER(SEARCH("@",$N197)),ISNUMBER(SEARCH(".",$N197,SEARCH("@",$N197)+2))),FALSE))),"Email, ","")&amp;IF(OR(AND($B197&lt;&gt;"",$O197=""),AND($O197&lt;&gt;"",$O197&lt;&gt;"Spouse or Common Law Spouse",$O197&lt;&gt;"Domestic Partner",$O197&lt;&gt;"Child",$O197&lt;&gt;"Other",$O197&lt;&gt;"Estate",$O197&lt;&gt;"Unknown")),"Dependent Relationship, ","")&amp;IF($AA197&lt;&gt;"","Household, ","")&amp;IF(OR($P197="",AND($P197&lt;&gt;"",OR(NOT(ISNUMBER($P197)),$P197&lt;=DATE(1900,1,1)))),"Eligibility Date, ","")&amp;IF(OR(AND($R197="Terminated",$Q197=""),AND($Q197&lt;&gt;"",OR(NOT(ISNUMBER($Q197)),$Q197&lt;=DATE(1900,1,1))),AND(ISNUMBER($P197),ISNUMBER($Q197),$Q197&lt;$P197)),"Termination Date, ","")&amp;IF(OR($R197="",AND($R197&lt;&gt;"Active",$R197&lt;&gt;"Terminated"),AND('START HERE'!$C$8="Terminations Only",$R197&lt;&gt;"Terminated")),"Status, ","")&amp;IF($S197="","Plan Name, ","")&amp;IF($T197="","Coverage Level, ","")&amp;IF(AND($U197&lt;&gt;"",OR(NOT(ISNUMBER($U197)),$U197&lt;0)),"Funding, ","")&amp;IF(AND($A197&lt;&gt;"",$S197&lt;&gt;"",COUNTIFS($A$2:$A$501,$A197,$B$2:$B$501,$B197,$S$2:$S$501,$S197)&gt;1),"Duplicate Row, ",""))</f>
        <v/>
      </c>
      <c r="AF197">
        <f>IF(COUNTA($A197:$U197)=0,"",$Y197&amp;$Z197&amp;$AA197&amp;$AB197&amp;$AC197)</f>
        <v/>
      </c>
      <c r="AG197">
        <f>IF($N197="","",LOWER(TRIM($N197)))</f>
        <v/>
      </c>
      <c r="AH197">
        <f>IF($A197="","",COUNTIFS($A$2:$A$501,$A197,$AI$2:$AI$501,1))</f>
        <v/>
      </c>
      <c r="AI197">
        <f>IF(COUNTA($A197:$U197)=0,"",--($AF197&lt;&gt;""))</f>
        <v/>
      </c>
      <c r="AJ197">
        <f>IF(COUNTA($A197:$U197)=0,"",--($AD197&lt;&gt;""))</f>
        <v/>
      </c>
    </row>
    <row r="198" ht="20" customHeight="1">
      <c r="A198" s="80" t="n"/>
      <c r="B198" s="80" t="n"/>
      <c r="C198" s="81" t="n"/>
      <c r="D198" s="81" t="n"/>
      <c r="E198" s="80" t="n"/>
      <c r="F198" s="81" t="n"/>
      <c r="G198" s="81" t="n"/>
      <c r="H198" s="81" t="n"/>
      <c r="I198" s="80" t="n"/>
      <c r="J198" s="80" t="n"/>
      <c r="K198" s="80" t="n"/>
      <c r="L198" s="82" t="n"/>
      <c r="M198" s="80" t="n"/>
      <c r="N198" s="80" t="n"/>
      <c r="O198" s="80" t="n"/>
      <c r="P198" s="82" t="n"/>
      <c r="Q198" s="82" t="n"/>
      <c r="R198" s="80" t="n"/>
      <c r="S198" s="80" t="n"/>
      <c r="T198" s="80" t="n"/>
      <c r="U198" s="83" t="n"/>
      <c r="V198">
        <f>IF($A198="","",IF($A198=$A197,$V197,IF($V197="",0,1-$V197)))</f>
        <v/>
      </c>
      <c r="W198">
        <f>IF($B198&lt;&gt;"",$B198,$A198)</f>
        <v/>
      </c>
      <c r="X198">
        <f>IF(COUNTA($A198:$U198)=0,"",IF(OR($B198&lt;&gt;"",$O198&lt;&gt;""),"Dependent","Employee"))</f>
        <v/>
      </c>
      <c r="Y198">
        <f>IF(COUNTA($A198:$U198)=0,"",IF($A198="","Employee SSN is required; ","")&amp;IF($C198="","First Name is required; ","")&amp;IF(LEN($C198&amp;"")&gt;19,"First Name exceeds 19 characters; ","")&amp;IF(AND($C198&lt;&gt;"",SUMPRODUCT(--(ROW($1:$19)&lt;=LEN($C198&amp;"")),--ISERROR(FIND(MID($C198&amp;"",ROW($1:$19),1),"ABCDEFGHIJKLMNOPQRSTUVWXYZabcdefghijklmnopqrstuvwxyz .,")))&gt;0),"First Name contains unsupported or encoded characters; use plain A-Z letters only; ","")&amp;IF($D198="","Last Name is required; ","")&amp;IF(LEN($D198&amp;"")&gt;26,"Last Name exceeds 26 characters; ","")&amp;IF(AND($D198&lt;&gt;"",SUMPRODUCT(--(ROW($1:$26)&lt;=LEN($D198&amp;"")),--ISERROR(FIND(MID($D198&amp;"",ROW($1:$26),1),"ABCDEFGHIJKLMNOPQRSTUVWXYZabcdefghijklmnopqrstuvwxyz .,")))&gt;0),"Last Name contains unsupported or encoded characters; use plain A-Z letters only; ","")&amp;IF(LEN($E198&amp;"")&gt;1,"Middle Initial may contain only one character; ","")&amp;IF(AND($E198&lt;&gt;"",SUMPRODUCT(--(ROW($1:$1)&lt;=LEN($E198&amp;"")),--ISERROR(FIND(MID($E198&amp;"",ROW($1:$1),1),"ABCDEFGHIJKLMNOPQRSTUVWXYZabcdefghijklmnopqrstuvwxyz .,")))&gt;0),"Middle Initial must be a plain A-Z letter; ","")&amp;IF($F198="","Address is required; ","")&amp;IF(LEN($F198&amp;"")&gt;75,"Address exceeds 75 characters; ","")&amp;IF(LEN($G198&amp;"")&gt;75,"Address 2 exceeds 75 characters; ","")&amp;IF($H198="","City is required; ","")&amp;IF(LEN($H198&amp;"")&gt;30,"City exceeds 30 characters; ","")&amp;IF($K198="","Country is required; ","")&amp;IF(AND($K198&lt;&gt;"",$K198&lt;&gt;"US",$K198&lt;&gt;"CA"),"Country must be US or CA; ","")&amp;IF(AND($K198="US",OR($I198="",LEN($I198&amp;"")&lt;&gt;2)),"Use a 2-letter state code; ","")&amp;IF($J198="","ZIP or postal code is required; ","")&amp;IF(AND($K198="US",$J198&lt;&gt;"",NOT(IFERROR(OR(AND(LEN($J198&amp;"")=5,ISNUMBER(--($J198&amp;""))),AND(LEN($J198&amp;"")=9,ISNUMBER(--($J198&amp;""))),AND(LEN($J198&amp;"")=10,MID($J198&amp;"",6,1)="-",ISNUMBER(--SUBSTITUTE($J198&amp;"","-","")))),FALSE))),"US ZIP must be 5 or 9 digits, with an optional ZIP+4 hyphen; ","")&amp;IF(AND($N198&lt;&gt;"",NOT(IFERROR(AND(ISNUMBER(SEARCH("@",$N198)),ISNUMBER(SEARCH(".",$N198,SEARCH("@",$N198)+2))),FALSE))),"Email format appears invalid; ","")&amp;IF(AND($O198&lt;&gt;"",$B198=""),"Dependent SSN is required for every dependent; ","")&amp;IF(AND($B198&lt;&gt;"",$O198=""),"Dependent Relationship is required when Dependent SSN is entered; ","")&amp;IF(AND($O198&lt;&gt;"",$O198&lt;&gt;"Spouse or Common Law Spouse",$O198&lt;&gt;"Domestic Partner",$O198&lt;&gt;"Child",$O198&lt;&gt;"Other",$O198&lt;&gt;"Estate",$O198&lt;&gt;"Unknown"),"Dependent Relationship must use one of the approved options; ",""))</f>
        <v/>
      </c>
      <c r="Z198">
        <f>IF(COUNTA($A198:$U198)=0,"",IF(AND($A198&lt;&gt;"",NOT(IFERROR(AND(LEN($A198&amp;"")=9,ISNUMBER(--($A198&amp;""))),FALSE))),"Employee SSN must contain exactly 9 digits; ","")&amp;IF(AND($A198&lt;&gt;"",OR($A198="123456789",$A198="987654321",$A198="012345678",$A198=REPT(LEFT($A198&amp;"",1),9))),"Employee SSN appears to be a placeholder; ","")&amp;IF(AND($B198&lt;&gt;"",NOT(IFERROR(AND(LEN($B198&amp;"")=9,ISNUMBER(--($B198&amp;""))),FALSE))),"Dependent SSN must contain exactly 9 digits; ","")&amp;IF(AND($B198&lt;&gt;"",OR($B198="123456789",$B198="987654321",$B198="012345678",$B198=REPT(LEFT($B198&amp;"",1),9))),"Dependent SSN appears to be a placeholder; ","")&amp;IF(AND($A198&lt;&gt;"",$B198&lt;&gt;"",$A198&amp;""=$B198&amp;""),"Dependent SSN cannot match Employee SSN; ","")&amp;IF(AND($W198&lt;&gt;"",OR(COUNTIFS($W$2:$W$501,$W198,$C$2:$C$501,"&lt;&gt;"&amp;$C198)&gt;0,COUNTIFS($W$2:$W$501,$W198,$D$2:$D$501,"&lt;&gt;"&amp;$D198)&gt;0,COUNTIFS($W$2:$W$501,$W198,$L$2:$L$501,"&lt;&gt;"&amp;$L198)&gt;0)),"The same SSN is associated with a different name or birthdate; ",""))</f>
        <v/>
      </c>
      <c r="AA198">
        <f>IF(COUNTA($A198:$U198)=0,"",IF(AND($A198&lt;&gt;"",$S198&lt;&gt;"",COUNTIFS($A$2:$A$501,$A198,$S$2:$S$501,$S198,$B$2:$B$501,"",$O$2:$O$501,"")=0),"Add an employee row for this household and plan; ","")&amp;IF(AND($X198="Dependent",COUNTIFS($A$2:$A198,$A198,$S$2:$S198,$S198,$B$2:$B198,"",$O$2:$O198,"")=0),"Place the employee row before dependent rows for this plan; ","")&amp;IF(AND($X198="Dependent",COUNTIFS($A$2:$A$501,$A198,$S$2:$S$501,$S198,$B$2:$B$501,"",$O$2:$O$501,"")&gt;0,IFERROR(OR($P198&lt;&gt;LOOKUP(2,1/(($A$2:$A$501=$A198)*($S$2:$S$501=$S198)*($B$2:$B$501="")*($O$2:$O$501="")),$P$2:$P$501),$Q198&lt;&gt;LOOKUP(2,1/(($A$2:$A$501=$A198)*($S$2:$S$501=$S198)*($B$2:$B$501="")*($O$2:$O$501="")),$Q$2:$Q$501),$R198&lt;&gt;LOOKUP(2,1/(($A$2:$A$501=$A198)*($S$2:$S$501=$S198)*($B$2:$B$501="")*($O$2:$O$501="")),$R$2:$R$501),$T198&lt;&gt;LOOKUP(2,1/(($A$2:$A$501=$A198)*($S$2:$S$501=$S198)*($B$2:$B$501="")*($O$2:$O$501="")),$T$2:$T$501),$U198&lt;&gt;LOOKUP(2,1/(($A$2:$A$501=$A198)*($S$2:$S$501=$S198)*($B$2:$B$501="")*($O$2:$O$501="")),$U$2:$U$501)),FALSE)),"Dependent row does not match the employee row for eligibility, status, coverage level, or funding; ",""))</f>
        <v/>
      </c>
      <c r="AB198">
        <f>IF(COUNTA($A198:$U198)=0,"",IF($L198="","Birthdate is required; ","")&amp;IF(AND($L198&lt;&gt;"",OR(NOT(ISNUMBER($L198)),$L198&lt;=DATE(1900,1,1),$L198&gt;TODAY())),"Birthdate must be an exact valid past date; ","")&amp;IF($P198="","Eligibility Date is required; ","")&amp;IF(AND($P198&lt;&gt;"",OR(NOT(ISNUMBER($P198)),$P198&lt;=DATE(1900,1,1))),"Eligibility Date must be a valid date; ","")&amp;IF(AND($R198="Terminated",$Q198=""),"Termination Date is required when Status is Terminated; ","")&amp;IF(AND($Q198&lt;&gt;"",OR(NOT(ISNUMBER($Q198)),$Q198&lt;=DATE(1900,1,1))),"Termination Date must be a valid date; ","")&amp;IF(AND(ISNUMBER($P198),ISNUMBER($Q198),$Q198&lt;$P198),"Termination Date cannot be before Eligibility Date; ","")&amp;IF($R198="","Status is required; ","")&amp;IF(AND($R198&lt;&gt;"",$R198&lt;&gt;"Active",$R198&lt;&gt;"Terminated"),"Status must be Active or Terminated; ","")&amp;IF(AND('START HERE'!$C$8="Terminations Only",$R198&lt;&gt;"Terminated"),"Terminations Only files must contain terminated records; ",""))</f>
        <v/>
      </c>
      <c r="AC198">
        <f>IF(COUNTA($A198:$U198)=0,"",IF($S198="","Plan Name is required; ","")&amp;IF($T198="","Benefit Coverage Level is required; ","")&amp;IF(AND($U198&lt;&gt;"",OR(NOT(ISNUMBER($U198)),$U198&lt;0)),"Plan Funding Amount must be a nonnegative number; ","")&amp;IF(AND($A198&lt;&gt;"",$S198&lt;&gt;"",COUNTIFS($A$2:$A$501,$A198,$B$2:$B$501,$B198,$S$2:$S$501,$S198)&gt;1),"Duplicate participant and plan row; ",""))</f>
        <v/>
      </c>
      <c r="AD198">
        <f>IF(COUNTA($A198:$U198)=0,"",IF(AND($X198="Employee",$M198="",$N198=""),"No employee phone or email provided; ","")&amp;IF(AND($R198="Active",$Q198&lt;&gt;""),"Active record includes a Termination Date; confirm this is intentional; ","")&amp;IF(AND($B198&lt;&gt;"",$B198&amp;""&lt;&gt;$A198&amp;"",COUNTIF($A$2:$A$501,$B198)&gt;0),"Dependent SSN also appears as an Employee SSN elsewhere; confirm dual-employee coverage is intentional; ","")&amp;IF(AND($B198&lt;&gt;"",COUNTIF($B$2:$B$501,$B198)&gt;COUNTIFS($A$2:$A$501,$A198,$B$2:$B$501,$B198)),"Dependent SSN appears under more than one employee; confirm duplicate family coverage is intentional; ","")&amp;IF(AND(ROW()&gt;2,$A198&lt;&gt;"",$A198&lt;&gt;$A197,COUNTIF($A$2:$A197,$A198)&gt;0),"This household appears in more than one section of the census; keep the family together; ","")&amp;IF(OR(AND($C198&lt;&gt;"",LEN($C198&amp;"")&lt;&gt;LEN(TRIM($C198&amp;""))),AND($D198&lt;&gt;"",LEN($D198&amp;"")&lt;&gt;LEN(TRIM($D198&amp;""))),AND($E198&lt;&gt;"",LEN($E198&amp;"")&lt;&gt;LEN(TRIM($E198&amp;""))),AND($F198&lt;&gt;"",LEN($F198&amp;"")&lt;&gt;LEN(TRIM($F198&amp;""))),AND($G198&lt;&gt;"",LEN($G198&amp;"")&lt;&gt;LEN(TRIM($G198&amp;""))),AND($H198&lt;&gt;"",LEN($H198&amp;"")&lt;&gt;LEN(TRIM($H198&amp;""))),AND($I198&lt;&gt;"",LEN($I198&amp;"")&lt;&gt;LEN(TRIM($I198&amp;""))),AND($J198&lt;&gt;"",LEN($J198&amp;"")&lt;&gt;LEN(TRIM($J198&amp;""))),AND($K198&lt;&gt;"",LEN($K198&amp;"")&lt;&gt;LEN(TRIM($K198&amp;""))),AND($M198&lt;&gt;"",LEN($M198&amp;"")&lt;&gt;LEN(TRIM($M198&amp;""))),AND($N198&lt;&gt;"",LEN($N198&amp;"")&lt;&gt;LEN(TRIM($N198&amp;""))),AND($O198&lt;&gt;"",LEN($O198&amp;"")&lt;&gt;LEN(TRIM($O198&amp;""))),AND($R198&lt;&gt;"",LEN($R198&amp;"")&lt;&gt;LEN(TRIM($R198&amp;""))),AND($S198&lt;&gt;"",LEN($S198&amp;"")&lt;&gt;LEN(TRIM($S198&amp;""))),AND($T198&lt;&gt;"",LEN($T198&amp;"")&lt;&gt;LEN(TRIM($T198&amp;"")))),"Remove leading or trailing spaces from text fields; ","")&amp;IF(OR(AND(LEN($C198)&gt;1,OR(EXACT($C198,UPPER($C198)),EXACT($C198,LOWER($C198)))),AND(LEN($D198)&gt;1,OR(EXACT($D198,UPPER($D198)),EXACT($D198,LOWER($D198)))),AND(LEN($H198)&gt;1,OR(EXACT($H198,UPPER($H198)),EXACT($H198,LOWER($H198))))),"Review capitalization in First Name, Last Name, or City; ","")&amp;IF(AND($N198&lt;&gt;"",NOT(EXACT($N198,LOWER($N198)))),"Email will be standardized to lowercase in the clean output; ","")&amp;IF(AND(OR('START HERE'!$C$8="Initial Enrollment",'START HERE'!$C$8="Open Enrollment"),$R198="Terminated"),"A terminated row is included in an initial or open enrollment file; confirm this is intentional; ",""))</f>
        <v/>
      </c>
      <c r="AE198">
        <f>IF(COUNTA($A198:$U198)=0,"",IF(OR($A198="",AND($A198&lt;&gt;"",NOT(IFERROR(AND(LEN($A198&amp;"")=9,ISNUMBER(--($A198&amp;""))),FALSE))),AND($A198&lt;&gt;"",OR($A198="123456789",$A198="987654321",$A198="012345678",$A198=REPT(LEFT($A198&amp;"",1),9)))),"Employee SSN, ","")&amp;IF(OR(AND($O198&lt;&gt;"",$B198=""),AND($B198&lt;&gt;"",OR(NOT(IFERROR(AND(LEN($B198&amp;"")=9,ISNUMBER(--($B198&amp;""))),FALSE)),$B198=$A198,$B198="123456789",$B198="987654321",$B198="012345678",$B198=REPT(LEFT($B198&amp;"",1),9)))),"Dependent SSN, ","")&amp;IF(OR($C198="",LEN($C198)&gt;19,AND($C198&lt;&gt;"",SUMPRODUCT(--(ROW($1:$19)&lt;=LEN($C198&amp;"")),--ISERROR(FIND(MID($C198&amp;"",ROW($1:$19),1),"ABCDEFGHIJKLMNOPQRSTUVWXYZabcdefghijklmnopqrstuvwxyz .,")))&gt;0)),"First Name, ","")&amp;IF(OR($D198="",LEN($D198)&gt;26,AND($D198&lt;&gt;"",SUMPRODUCT(--(ROW($1:$26)&lt;=LEN($D198&amp;"")),--ISERROR(FIND(MID($D198&amp;"",ROW($1:$26),1),"ABCDEFGHIJKLMNOPQRSTUVWXYZabcdefghijklmnopqrstuvwxyz .,")))&gt;0)),"Last Name, ","")&amp;IF(OR(LEN($E198)&gt;1,AND($E198&lt;&gt;"",SUMPRODUCT(--(ROW($1:$1)&lt;=LEN($E198&amp;"")),--ISERROR(FIND(MID($E198&amp;"",ROW($1:$1),1),"ABCDEFGHIJKLMNOPQRSTUVWXYZabcdefghijklmnopqrstuvwxyz .,")))&gt;0)),"Middle Initial, ","")&amp;IF(OR($F198="",LEN($F198)&gt;75),"Address, ","")&amp;IF(OR($H198="",LEN($H198)&gt;30),"City, ","")&amp;IF(AND($K198="US",OR($I198="",LEN($I198)&lt;&gt;2)),"State, ","")&amp;IF($J198="","ZIP, ","")&amp;IF(OR($K198="",AND($K198&lt;&gt;"US",$K198&lt;&gt;"CA")),"Country, ","")&amp;IF(OR($L198="",AND($L198&lt;&gt;"",OR(NOT(ISNUMBER($L198)),$L198&lt;=DATE(1900,1,1),$L198&gt;TODAY()))),"Birthdate, ","")&amp;IF(AND($N198&lt;&gt;"",NOT(IFERROR(AND(ISNUMBER(SEARCH("@",$N198)),ISNUMBER(SEARCH(".",$N198,SEARCH("@",$N198)+2))),FALSE))),"Email, ","")&amp;IF(OR(AND($B198&lt;&gt;"",$O198=""),AND($O198&lt;&gt;"",$O198&lt;&gt;"Spouse or Common Law Spouse",$O198&lt;&gt;"Domestic Partner",$O198&lt;&gt;"Child",$O198&lt;&gt;"Other",$O198&lt;&gt;"Estate",$O198&lt;&gt;"Unknown")),"Dependent Relationship, ","")&amp;IF($AA198&lt;&gt;"","Household, ","")&amp;IF(OR($P198="",AND($P198&lt;&gt;"",OR(NOT(ISNUMBER($P198)),$P198&lt;=DATE(1900,1,1)))),"Eligibility Date, ","")&amp;IF(OR(AND($R198="Terminated",$Q198=""),AND($Q198&lt;&gt;"",OR(NOT(ISNUMBER($Q198)),$Q198&lt;=DATE(1900,1,1))),AND(ISNUMBER($P198),ISNUMBER($Q198),$Q198&lt;$P198)),"Termination Date, ","")&amp;IF(OR($R198="",AND($R198&lt;&gt;"Active",$R198&lt;&gt;"Terminated"),AND('START HERE'!$C$8="Terminations Only",$R198&lt;&gt;"Terminated")),"Status, ","")&amp;IF($S198="","Plan Name, ","")&amp;IF($T198="","Coverage Level, ","")&amp;IF(AND($U198&lt;&gt;"",OR(NOT(ISNUMBER($U198)),$U198&lt;0)),"Funding, ","")&amp;IF(AND($A198&lt;&gt;"",$S198&lt;&gt;"",COUNTIFS($A$2:$A$501,$A198,$B$2:$B$501,$B198,$S$2:$S$501,$S198)&gt;1),"Duplicate Row, ",""))</f>
        <v/>
      </c>
      <c r="AF198">
        <f>IF(COUNTA($A198:$U198)=0,"",$Y198&amp;$Z198&amp;$AA198&amp;$AB198&amp;$AC198)</f>
        <v/>
      </c>
      <c r="AG198">
        <f>IF($N198="","",LOWER(TRIM($N198)))</f>
        <v/>
      </c>
      <c r="AH198">
        <f>IF($A198="","",COUNTIFS($A$2:$A$501,$A198,$AI$2:$AI$501,1))</f>
        <v/>
      </c>
      <c r="AI198">
        <f>IF(COUNTA($A198:$U198)=0,"",--($AF198&lt;&gt;""))</f>
        <v/>
      </c>
      <c r="AJ198">
        <f>IF(COUNTA($A198:$U198)=0,"",--($AD198&lt;&gt;""))</f>
        <v/>
      </c>
    </row>
    <row r="199" ht="20" customHeight="1">
      <c r="A199" s="80" t="n"/>
      <c r="B199" s="80" t="n"/>
      <c r="C199" s="81" t="n"/>
      <c r="D199" s="81" t="n"/>
      <c r="E199" s="80" t="n"/>
      <c r="F199" s="81" t="n"/>
      <c r="G199" s="81" t="n"/>
      <c r="H199" s="81" t="n"/>
      <c r="I199" s="80" t="n"/>
      <c r="J199" s="80" t="n"/>
      <c r="K199" s="80" t="n"/>
      <c r="L199" s="82" t="n"/>
      <c r="M199" s="80" t="n"/>
      <c r="N199" s="80" t="n"/>
      <c r="O199" s="80" t="n"/>
      <c r="P199" s="82" t="n"/>
      <c r="Q199" s="82" t="n"/>
      <c r="R199" s="80" t="n"/>
      <c r="S199" s="80" t="n"/>
      <c r="T199" s="80" t="n"/>
      <c r="U199" s="83" t="n"/>
      <c r="V199">
        <f>IF($A199="","",IF($A199=$A198,$V198,IF($V198="",0,1-$V198)))</f>
        <v/>
      </c>
      <c r="W199">
        <f>IF($B199&lt;&gt;"",$B199,$A199)</f>
        <v/>
      </c>
      <c r="X199">
        <f>IF(COUNTA($A199:$U199)=0,"",IF(OR($B199&lt;&gt;"",$O199&lt;&gt;""),"Dependent","Employee"))</f>
        <v/>
      </c>
      <c r="Y199">
        <f>IF(COUNTA($A199:$U199)=0,"",IF($A199="","Employee SSN is required; ","")&amp;IF($C199="","First Name is required; ","")&amp;IF(LEN($C199&amp;"")&gt;19,"First Name exceeds 19 characters; ","")&amp;IF(AND($C199&lt;&gt;"",SUMPRODUCT(--(ROW($1:$19)&lt;=LEN($C199&amp;"")),--ISERROR(FIND(MID($C199&amp;"",ROW($1:$19),1),"ABCDEFGHIJKLMNOPQRSTUVWXYZabcdefghijklmnopqrstuvwxyz .,")))&gt;0),"First Name contains unsupported or encoded characters; use plain A-Z letters only; ","")&amp;IF($D199="","Last Name is required; ","")&amp;IF(LEN($D199&amp;"")&gt;26,"Last Name exceeds 26 characters; ","")&amp;IF(AND($D199&lt;&gt;"",SUMPRODUCT(--(ROW($1:$26)&lt;=LEN($D199&amp;"")),--ISERROR(FIND(MID($D199&amp;"",ROW($1:$26),1),"ABCDEFGHIJKLMNOPQRSTUVWXYZabcdefghijklmnopqrstuvwxyz .,")))&gt;0),"Last Name contains unsupported or encoded characters; use plain A-Z letters only; ","")&amp;IF(LEN($E199&amp;"")&gt;1,"Middle Initial may contain only one character; ","")&amp;IF(AND($E199&lt;&gt;"",SUMPRODUCT(--(ROW($1:$1)&lt;=LEN($E199&amp;"")),--ISERROR(FIND(MID($E199&amp;"",ROW($1:$1),1),"ABCDEFGHIJKLMNOPQRSTUVWXYZabcdefghijklmnopqrstuvwxyz .,")))&gt;0),"Middle Initial must be a plain A-Z letter; ","")&amp;IF($F199="","Address is required; ","")&amp;IF(LEN($F199&amp;"")&gt;75,"Address exceeds 75 characters; ","")&amp;IF(LEN($G199&amp;"")&gt;75,"Address 2 exceeds 75 characters; ","")&amp;IF($H199="","City is required; ","")&amp;IF(LEN($H199&amp;"")&gt;30,"City exceeds 30 characters; ","")&amp;IF($K199="","Country is required; ","")&amp;IF(AND($K199&lt;&gt;"",$K199&lt;&gt;"US",$K199&lt;&gt;"CA"),"Country must be US or CA; ","")&amp;IF(AND($K199="US",OR($I199="",LEN($I199&amp;"")&lt;&gt;2)),"Use a 2-letter state code; ","")&amp;IF($J199="","ZIP or postal code is required; ","")&amp;IF(AND($K199="US",$J199&lt;&gt;"",NOT(IFERROR(OR(AND(LEN($J199&amp;"")=5,ISNUMBER(--($J199&amp;""))),AND(LEN($J199&amp;"")=9,ISNUMBER(--($J199&amp;""))),AND(LEN($J199&amp;"")=10,MID($J199&amp;"",6,1)="-",ISNUMBER(--SUBSTITUTE($J199&amp;"","-","")))),FALSE))),"US ZIP must be 5 or 9 digits, with an optional ZIP+4 hyphen; ","")&amp;IF(AND($N199&lt;&gt;"",NOT(IFERROR(AND(ISNUMBER(SEARCH("@",$N199)),ISNUMBER(SEARCH(".",$N199,SEARCH("@",$N199)+2))),FALSE))),"Email format appears invalid; ","")&amp;IF(AND($O199&lt;&gt;"",$B199=""),"Dependent SSN is required for every dependent; ","")&amp;IF(AND($B199&lt;&gt;"",$O199=""),"Dependent Relationship is required when Dependent SSN is entered; ","")&amp;IF(AND($O199&lt;&gt;"",$O199&lt;&gt;"Spouse or Common Law Spouse",$O199&lt;&gt;"Domestic Partner",$O199&lt;&gt;"Child",$O199&lt;&gt;"Other",$O199&lt;&gt;"Estate",$O199&lt;&gt;"Unknown"),"Dependent Relationship must use one of the approved options; ",""))</f>
        <v/>
      </c>
      <c r="Z199">
        <f>IF(COUNTA($A199:$U199)=0,"",IF(AND($A199&lt;&gt;"",NOT(IFERROR(AND(LEN($A199&amp;"")=9,ISNUMBER(--($A199&amp;""))),FALSE))),"Employee SSN must contain exactly 9 digits; ","")&amp;IF(AND($A199&lt;&gt;"",OR($A199="123456789",$A199="987654321",$A199="012345678",$A199=REPT(LEFT($A199&amp;"",1),9))),"Employee SSN appears to be a placeholder; ","")&amp;IF(AND($B199&lt;&gt;"",NOT(IFERROR(AND(LEN($B199&amp;"")=9,ISNUMBER(--($B199&amp;""))),FALSE))),"Dependent SSN must contain exactly 9 digits; ","")&amp;IF(AND($B199&lt;&gt;"",OR($B199="123456789",$B199="987654321",$B199="012345678",$B199=REPT(LEFT($B199&amp;"",1),9))),"Dependent SSN appears to be a placeholder; ","")&amp;IF(AND($A199&lt;&gt;"",$B199&lt;&gt;"",$A199&amp;""=$B199&amp;""),"Dependent SSN cannot match Employee SSN; ","")&amp;IF(AND($W199&lt;&gt;"",OR(COUNTIFS($W$2:$W$501,$W199,$C$2:$C$501,"&lt;&gt;"&amp;$C199)&gt;0,COUNTIFS($W$2:$W$501,$W199,$D$2:$D$501,"&lt;&gt;"&amp;$D199)&gt;0,COUNTIFS($W$2:$W$501,$W199,$L$2:$L$501,"&lt;&gt;"&amp;$L199)&gt;0)),"The same SSN is associated with a different name or birthdate; ",""))</f>
        <v/>
      </c>
      <c r="AA199">
        <f>IF(COUNTA($A199:$U199)=0,"",IF(AND($A199&lt;&gt;"",$S199&lt;&gt;"",COUNTIFS($A$2:$A$501,$A199,$S$2:$S$501,$S199,$B$2:$B$501,"",$O$2:$O$501,"")=0),"Add an employee row for this household and plan; ","")&amp;IF(AND($X199="Dependent",COUNTIFS($A$2:$A199,$A199,$S$2:$S199,$S199,$B$2:$B199,"",$O$2:$O199,"")=0),"Place the employee row before dependent rows for this plan; ","")&amp;IF(AND($X199="Dependent",COUNTIFS($A$2:$A$501,$A199,$S$2:$S$501,$S199,$B$2:$B$501,"",$O$2:$O$501,"")&gt;0,IFERROR(OR($P199&lt;&gt;LOOKUP(2,1/(($A$2:$A$501=$A199)*($S$2:$S$501=$S199)*($B$2:$B$501="")*($O$2:$O$501="")),$P$2:$P$501),$Q199&lt;&gt;LOOKUP(2,1/(($A$2:$A$501=$A199)*($S$2:$S$501=$S199)*($B$2:$B$501="")*($O$2:$O$501="")),$Q$2:$Q$501),$R199&lt;&gt;LOOKUP(2,1/(($A$2:$A$501=$A199)*($S$2:$S$501=$S199)*($B$2:$B$501="")*($O$2:$O$501="")),$R$2:$R$501),$T199&lt;&gt;LOOKUP(2,1/(($A$2:$A$501=$A199)*($S$2:$S$501=$S199)*($B$2:$B$501="")*($O$2:$O$501="")),$T$2:$T$501),$U199&lt;&gt;LOOKUP(2,1/(($A$2:$A$501=$A199)*($S$2:$S$501=$S199)*($B$2:$B$501="")*($O$2:$O$501="")),$U$2:$U$501)),FALSE)),"Dependent row does not match the employee row for eligibility, status, coverage level, or funding; ",""))</f>
        <v/>
      </c>
      <c r="AB199">
        <f>IF(COUNTA($A199:$U199)=0,"",IF($L199="","Birthdate is required; ","")&amp;IF(AND($L199&lt;&gt;"",OR(NOT(ISNUMBER($L199)),$L199&lt;=DATE(1900,1,1),$L199&gt;TODAY())),"Birthdate must be an exact valid past date; ","")&amp;IF($P199="","Eligibility Date is required; ","")&amp;IF(AND($P199&lt;&gt;"",OR(NOT(ISNUMBER($P199)),$P199&lt;=DATE(1900,1,1))),"Eligibility Date must be a valid date; ","")&amp;IF(AND($R199="Terminated",$Q199=""),"Termination Date is required when Status is Terminated; ","")&amp;IF(AND($Q199&lt;&gt;"",OR(NOT(ISNUMBER($Q199)),$Q199&lt;=DATE(1900,1,1))),"Termination Date must be a valid date; ","")&amp;IF(AND(ISNUMBER($P199),ISNUMBER($Q199),$Q199&lt;$P199),"Termination Date cannot be before Eligibility Date; ","")&amp;IF($R199="","Status is required; ","")&amp;IF(AND($R199&lt;&gt;"",$R199&lt;&gt;"Active",$R199&lt;&gt;"Terminated"),"Status must be Active or Terminated; ","")&amp;IF(AND('START HERE'!$C$8="Terminations Only",$R199&lt;&gt;"Terminated"),"Terminations Only files must contain terminated records; ",""))</f>
        <v/>
      </c>
      <c r="AC199">
        <f>IF(COUNTA($A199:$U199)=0,"",IF($S199="","Plan Name is required; ","")&amp;IF($T199="","Benefit Coverage Level is required; ","")&amp;IF(AND($U199&lt;&gt;"",OR(NOT(ISNUMBER($U199)),$U199&lt;0)),"Plan Funding Amount must be a nonnegative number; ","")&amp;IF(AND($A199&lt;&gt;"",$S199&lt;&gt;"",COUNTIFS($A$2:$A$501,$A199,$B$2:$B$501,$B199,$S$2:$S$501,$S199)&gt;1),"Duplicate participant and plan row; ",""))</f>
        <v/>
      </c>
      <c r="AD199">
        <f>IF(COUNTA($A199:$U199)=0,"",IF(AND($X199="Employee",$M199="",$N199=""),"No employee phone or email provided; ","")&amp;IF(AND($R199="Active",$Q199&lt;&gt;""),"Active record includes a Termination Date; confirm this is intentional; ","")&amp;IF(AND($B199&lt;&gt;"",$B199&amp;""&lt;&gt;$A199&amp;"",COUNTIF($A$2:$A$501,$B199)&gt;0),"Dependent SSN also appears as an Employee SSN elsewhere; confirm dual-employee coverage is intentional; ","")&amp;IF(AND($B199&lt;&gt;"",COUNTIF($B$2:$B$501,$B199)&gt;COUNTIFS($A$2:$A$501,$A199,$B$2:$B$501,$B199)),"Dependent SSN appears under more than one employee; confirm duplicate family coverage is intentional; ","")&amp;IF(AND(ROW()&gt;2,$A199&lt;&gt;"",$A199&lt;&gt;$A198,COUNTIF($A$2:$A198,$A199)&gt;0),"This household appears in more than one section of the census; keep the family together; ","")&amp;IF(OR(AND($C199&lt;&gt;"",LEN($C199&amp;"")&lt;&gt;LEN(TRIM($C199&amp;""))),AND($D199&lt;&gt;"",LEN($D199&amp;"")&lt;&gt;LEN(TRIM($D199&amp;""))),AND($E199&lt;&gt;"",LEN($E199&amp;"")&lt;&gt;LEN(TRIM($E199&amp;""))),AND($F199&lt;&gt;"",LEN($F199&amp;"")&lt;&gt;LEN(TRIM($F199&amp;""))),AND($G199&lt;&gt;"",LEN($G199&amp;"")&lt;&gt;LEN(TRIM($G199&amp;""))),AND($H199&lt;&gt;"",LEN($H199&amp;"")&lt;&gt;LEN(TRIM($H199&amp;""))),AND($I199&lt;&gt;"",LEN($I199&amp;"")&lt;&gt;LEN(TRIM($I199&amp;""))),AND($J199&lt;&gt;"",LEN($J199&amp;"")&lt;&gt;LEN(TRIM($J199&amp;""))),AND($K199&lt;&gt;"",LEN($K199&amp;"")&lt;&gt;LEN(TRIM($K199&amp;""))),AND($M199&lt;&gt;"",LEN($M199&amp;"")&lt;&gt;LEN(TRIM($M199&amp;""))),AND($N199&lt;&gt;"",LEN($N199&amp;"")&lt;&gt;LEN(TRIM($N199&amp;""))),AND($O199&lt;&gt;"",LEN($O199&amp;"")&lt;&gt;LEN(TRIM($O199&amp;""))),AND($R199&lt;&gt;"",LEN($R199&amp;"")&lt;&gt;LEN(TRIM($R199&amp;""))),AND($S199&lt;&gt;"",LEN($S199&amp;"")&lt;&gt;LEN(TRIM($S199&amp;""))),AND($T199&lt;&gt;"",LEN($T199&amp;"")&lt;&gt;LEN(TRIM($T199&amp;"")))),"Remove leading or trailing spaces from text fields; ","")&amp;IF(OR(AND(LEN($C199)&gt;1,OR(EXACT($C199,UPPER($C199)),EXACT($C199,LOWER($C199)))),AND(LEN($D199)&gt;1,OR(EXACT($D199,UPPER($D199)),EXACT($D199,LOWER($D199)))),AND(LEN($H199)&gt;1,OR(EXACT($H199,UPPER($H199)),EXACT($H199,LOWER($H199))))),"Review capitalization in First Name, Last Name, or City; ","")&amp;IF(AND($N199&lt;&gt;"",NOT(EXACT($N199,LOWER($N199)))),"Email will be standardized to lowercase in the clean output; ","")&amp;IF(AND(OR('START HERE'!$C$8="Initial Enrollment",'START HERE'!$C$8="Open Enrollment"),$R199="Terminated"),"A terminated row is included in an initial or open enrollment file; confirm this is intentional; ",""))</f>
        <v/>
      </c>
      <c r="AE199">
        <f>IF(COUNTA($A199:$U199)=0,"",IF(OR($A199="",AND($A199&lt;&gt;"",NOT(IFERROR(AND(LEN($A199&amp;"")=9,ISNUMBER(--($A199&amp;""))),FALSE))),AND($A199&lt;&gt;"",OR($A199="123456789",$A199="987654321",$A199="012345678",$A199=REPT(LEFT($A199&amp;"",1),9)))),"Employee SSN, ","")&amp;IF(OR(AND($O199&lt;&gt;"",$B199=""),AND($B199&lt;&gt;"",OR(NOT(IFERROR(AND(LEN($B199&amp;"")=9,ISNUMBER(--($B199&amp;""))),FALSE)),$B199=$A199,$B199="123456789",$B199="987654321",$B199="012345678",$B199=REPT(LEFT($B199&amp;"",1),9)))),"Dependent SSN, ","")&amp;IF(OR($C199="",LEN($C199)&gt;19,AND($C199&lt;&gt;"",SUMPRODUCT(--(ROW($1:$19)&lt;=LEN($C199&amp;"")),--ISERROR(FIND(MID($C199&amp;"",ROW($1:$19),1),"ABCDEFGHIJKLMNOPQRSTUVWXYZabcdefghijklmnopqrstuvwxyz .,")))&gt;0)),"First Name, ","")&amp;IF(OR($D199="",LEN($D199)&gt;26,AND($D199&lt;&gt;"",SUMPRODUCT(--(ROW($1:$26)&lt;=LEN($D199&amp;"")),--ISERROR(FIND(MID($D199&amp;"",ROW($1:$26),1),"ABCDEFGHIJKLMNOPQRSTUVWXYZabcdefghijklmnopqrstuvwxyz .,")))&gt;0)),"Last Name, ","")&amp;IF(OR(LEN($E199)&gt;1,AND($E199&lt;&gt;"",SUMPRODUCT(--(ROW($1:$1)&lt;=LEN($E199&amp;"")),--ISERROR(FIND(MID($E199&amp;"",ROW($1:$1),1),"ABCDEFGHIJKLMNOPQRSTUVWXYZabcdefghijklmnopqrstuvwxyz .,")))&gt;0)),"Middle Initial, ","")&amp;IF(OR($F199="",LEN($F199)&gt;75),"Address, ","")&amp;IF(OR($H199="",LEN($H199)&gt;30),"City, ","")&amp;IF(AND($K199="US",OR($I199="",LEN($I199)&lt;&gt;2)),"State, ","")&amp;IF($J199="","ZIP, ","")&amp;IF(OR($K199="",AND($K199&lt;&gt;"US",$K199&lt;&gt;"CA")),"Country, ","")&amp;IF(OR($L199="",AND($L199&lt;&gt;"",OR(NOT(ISNUMBER($L199)),$L199&lt;=DATE(1900,1,1),$L199&gt;TODAY()))),"Birthdate, ","")&amp;IF(AND($N199&lt;&gt;"",NOT(IFERROR(AND(ISNUMBER(SEARCH("@",$N199)),ISNUMBER(SEARCH(".",$N199,SEARCH("@",$N199)+2))),FALSE))),"Email, ","")&amp;IF(OR(AND($B199&lt;&gt;"",$O199=""),AND($O199&lt;&gt;"",$O199&lt;&gt;"Spouse or Common Law Spouse",$O199&lt;&gt;"Domestic Partner",$O199&lt;&gt;"Child",$O199&lt;&gt;"Other",$O199&lt;&gt;"Estate",$O199&lt;&gt;"Unknown")),"Dependent Relationship, ","")&amp;IF($AA199&lt;&gt;"","Household, ","")&amp;IF(OR($P199="",AND($P199&lt;&gt;"",OR(NOT(ISNUMBER($P199)),$P199&lt;=DATE(1900,1,1)))),"Eligibility Date, ","")&amp;IF(OR(AND($R199="Terminated",$Q199=""),AND($Q199&lt;&gt;"",OR(NOT(ISNUMBER($Q199)),$Q199&lt;=DATE(1900,1,1))),AND(ISNUMBER($P199),ISNUMBER($Q199),$Q199&lt;$P199)),"Termination Date, ","")&amp;IF(OR($R199="",AND($R199&lt;&gt;"Active",$R199&lt;&gt;"Terminated"),AND('START HERE'!$C$8="Terminations Only",$R199&lt;&gt;"Terminated")),"Status, ","")&amp;IF($S199="","Plan Name, ","")&amp;IF($T199="","Coverage Level, ","")&amp;IF(AND($U199&lt;&gt;"",OR(NOT(ISNUMBER($U199)),$U199&lt;0)),"Funding, ","")&amp;IF(AND($A199&lt;&gt;"",$S199&lt;&gt;"",COUNTIFS($A$2:$A$501,$A199,$B$2:$B$501,$B199,$S$2:$S$501,$S199)&gt;1),"Duplicate Row, ",""))</f>
        <v/>
      </c>
      <c r="AF199">
        <f>IF(COUNTA($A199:$U199)=0,"",$Y199&amp;$Z199&amp;$AA199&amp;$AB199&amp;$AC199)</f>
        <v/>
      </c>
      <c r="AG199">
        <f>IF($N199="","",LOWER(TRIM($N199)))</f>
        <v/>
      </c>
      <c r="AH199">
        <f>IF($A199="","",COUNTIFS($A$2:$A$501,$A199,$AI$2:$AI$501,1))</f>
        <v/>
      </c>
      <c r="AI199">
        <f>IF(COUNTA($A199:$U199)=0,"",--($AF199&lt;&gt;""))</f>
        <v/>
      </c>
      <c r="AJ199">
        <f>IF(COUNTA($A199:$U199)=0,"",--($AD199&lt;&gt;""))</f>
        <v/>
      </c>
    </row>
    <row r="200" ht="20" customHeight="1">
      <c r="A200" s="80" t="n"/>
      <c r="B200" s="80" t="n"/>
      <c r="C200" s="81" t="n"/>
      <c r="D200" s="81" t="n"/>
      <c r="E200" s="80" t="n"/>
      <c r="F200" s="81" t="n"/>
      <c r="G200" s="81" t="n"/>
      <c r="H200" s="81" t="n"/>
      <c r="I200" s="80" t="n"/>
      <c r="J200" s="80" t="n"/>
      <c r="K200" s="80" t="n"/>
      <c r="L200" s="82" t="n"/>
      <c r="M200" s="80" t="n"/>
      <c r="N200" s="80" t="n"/>
      <c r="O200" s="80" t="n"/>
      <c r="P200" s="82" t="n"/>
      <c r="Q200" s="82" t="n"/>
      <c r="R200" s="80" t="n"/>
      <c r="S200" s="80" t="n"/>
      <c r="T200" s="80" t="n"/>
      <c r="U200" s="83" t="n"/>
      <c r="V200">
        <f>IF($A200="","",IF($A200=$A199,$V199,IF($V199="",0,1-$V199)))</f>
        <v/>
      </c>
      <c r="W200">
        <f>IF($B200&lt;&gt;"",$B200,$A200)</f>
        <v/>
      </c>
      <c r="X200">
        <f>IF(COUNTA($A200:$U200)=0,"",IF(OR($B200&lt;&gt;"",$O200&lt;&gt;""),"Dependent","Employee"))</f>
        <v/>
      </c>
      <c r="Y200">
        <f>IF(COUNTA($A200:$U200)=0,"",IF($A200="","Employee SSN is required; ","")&amp;IF($C200="","First Name is required; ","")&amp;IF(LEN($C200&amp;"")&gt;19,"First Name exceeds 19 characters; ","")&amp;IF(AND($C200&lt;&gt;"",SUMPRODUCT(--(ROW($1:$19)&lt;=LEN($C200&amp;"")),--ISERROR(FIND(MID($C200&amp;"",ROW($1:$19),1),"ABCDEFGHIJKLMNOPQRSTUVWXYZabcdefghijklmnopqrstuvwxyz .,")))&gt;0),"First Name contains unsupported or encoded characters; use plain A-Z letters only; ","")&amp;IF($D200="","Last Name is required; ","")&amp;IF(LEN($D200&amp;"")&gt;26,"Last Name exceeds 26 characters; ","")&amp;IF(AND($D200&lt;&gt;"",SUMPRODUCT(--(ROW($1:$26)&lt;=LEN($D200&amp;"")),--ISERROR(FIND(MID($D200&amp;"",ROW($1:$26),1),"ABCDEFGHIJKLMNOPQRSTUVWXYZabcdefghijklmnopqrstuvwxyz .,")))&gt;0),"Last Name contains unsupported or encoded characters; use plain A-Z letters only; ","")&amp;IF(LEN($E200&amp;"")&gt;1,"Middle Initial may contain only one character; ","")&amp;IF(AND($E200&lt;&gt;"",SUMPRODUCT(--(ROW($1:$1)&lt;=LEN($E200&amp;"")),--ISERROR(FIND(MID($E200&amp;"",ROW($1:$1),1),"ABCDEFGHIJKLMNOPQRSTUVWXYZabcdefghijklmnopqrstuvwxyz .,")))&gt;0),"Middle Initial must be a plain A-Z letter; ","")&amp;IF($F200="","Address is required; ","")&amp;IF(LEN($F200&amp;"")&gt;75,"Address exceeds 75 characters; ","")&amp;IF(LEN($G200&amp;"")&gt;75,"Address 2 exceeds 75 characters; ","")&amp;IF($H200="","City is required; ","")&amp;IF(LEN($H200&amp;"")&gt;30,"City exceeds 30 characters; ","")&amp;IF($K200="","Country is required; ","")&amp;IF(AND($K200&lt;&gt;"",$K200&lt;&gt;"US",$K200&lt;&gt;"CA"),"Country must be US or CA; ","")&amp;IF(AND($K200="US",OR($I200="",LEN($I200&amp;"")&lt;&gt;2)),"Use a 2-letter state code; ","")&amp;IF($J200="","ZIP or postal code is required; ","")&amp;IF(AND($K200="US",$J200&lt;&gt;"",NOT(IFERROR(OR(AND(LEN($J200&amp;"")=5,ISNUMBER(--($J200&amp;""))),AND(LEN($J200&amp;"")=9,ISNUMBER(--($J200&amp;""))),AND(LEN($J200&amp;"")=10,MID($J200&amp;"",6,1)="-",ISNUMBER(--SUBSTITUTE($J200&amp;"","-","")))),FALSE))),"US ZIP must be 5 or 9 digits, with an optional ZIP+4 hyphen; ","")&amp;IF(AND($N200&lt;&gt;"",NOT(IFERROR(AND(ISNUMBER(SEARCH("@",$N200)),ISNUMBER(SEARCH(".",$N200,SEARCH("@",$N200)+2))),FALSE))),"Email format appears invalid; ","")&amp;IF(AND($O200&lt;&gt;"",$B200=""),"Dependent SSN is required for every dependent; ","")&amp;IF(AND($B200&lt;&gt;"",$O200=""),"Dependent Relationship is required when Dependent SSN is entered; ","")&amp;IF(AND($O200&lt;&gt;"",$O200&lt;&gt;"Spouse or Common Law Spouse",$O200&lt;&gt;"Domestic Partner",$O200&lt;&gt;"Child",$O200&lt;&gt;"Other",$O200&lt;&gt;"Estate",$O200&lt;&gt;"Unknown"),"Dependent Relationship must use one of the approved options; ",""))</f>
        <v/>
      </c>
      <c r="Z200">
        <f>IF(COUNTA($A200:$U200)=0,"",IF(AND($A200&lt;&gt;"",NOT(IFERROR(AND(LEN($A200&amp;"")=9,ISNUMBER(--($A200&amp;""))),FALSE))),"Employee SSN must contain exactly 9 digits; ","")&amp;IF(AND($A200&lt;&gt;"",OR($A200="123456789",$A200="987654321",$A200="012345678",$A200=REPT(LEFT($A200&amp;"",1),9))),"Employee SSN appears to be a placeholder; ","")&amp;IF(AND($B200&lt;&gt;"",NOT(IFERROR(AND(LEN($B200&amp;"")=9,ISNUMBER(--($B200&amp;""))),FALSE))),"Dependent SSN must contain exactly 9 digits; ","")&amp;IF(AND($B200&lt;&gt;"",OR($B200="123456789",$B200="987654321",$B200="012345678",$B200=REPT(LEFT($B200&amp;"",1),9))),"Dependent SSN appears to be a placeholder; ","")&amp;IF(AND($A200&lt;&gt;"",$B200&lt;&gt;"",$A200&amp;""=$B200&amp;""),"Dependent SSN cannot match Employee SSN; ","")&amp;IF(AND($W200&lt;&gt;"",OR(COUNTIFS($W$2:$W$501,$W200,$C$2:$C$501,"&lt;&gt;"&amp;$C200)&gt;0,COUNTIFS($W$2:$W$501,$W200,$D$2:$D$501,"&lt;&gt;"&amp;$D200)&gt;0,COUNTIFS($W$2:$W$501,$W200,$L$2:$L$501,"&lt;&gt;"&amp;$L200)&gt;0)),"The same SSN is associated with a different name or birthdate; ",""))</f>
        <v/>
      </c>
      <c r="AA200">
        <f>IF(COUNTA($A200:$U200)=0,"",IF(AND($A200&lt;&gt;"",$S200&lt;&gt;"",COUNTIFS($A$2:$A$501,$A200,$S$2:$S$501,$S200,$B$2:$B$501,"",$O$2:$O$501,"")=0),"Add an employee row for this household and plan; ","")&amp;IF(AND($X200="Dependent",COUNTIFS($A$2:$A200,$A200,$S$2:$S200,$S200,$B$2:$B200,"",$O$2:$O200,"")=0),"Place the employee row before dependent rows for this plan; ","")&amp;IF(AND($X200="Dependent",COUNTIFS($A$2:$A$501,$A200,$S$2:$S$501,$S200,$B$2:$B$501,"",$O$2:$O$501,"")&gt;0,IFERROR(OR($P200&lt;&gt;LOOKUP(2,1/(($A$2:$A$501=$A200)*($S$2:$S$501=$S200)*($B$2:$B$501="")*($O$2:$O$501="")),$P$2:$P$501),$Q200&lt;&gt;LOOKUP(2,1/(($A$2:$A$501=$A200)*($S$2:$S$501=$S200)*($B$2:$B$501="")*($O$2:$O$501="")),$Q$2:$Q$501),$R200&lt;&gt;LOOKUP(2,1/(($A$2:$A$501=$A200)*($S$2:$S$501=$S200)*($B$2:$B$501="")*($O$2:$O$501="")),$R$2:$R$501),$T200&lt;&gt;LOOKUP(2,1/(($A$2:$A$501=$A200)*($S$2:$S$501=$S200)*($B$2:$B$501="")*($O$2:$O$501="")),$T$2:$T$501),$U200&lt;&gt;LOOKUP(2,1/(($A$2:$A$501=$A200)*($S$2:$S$501=$S200)*($B$2:$B$501="")*($O$2:$O$501="")),$U$2:$U$501)),FALSE)),"Dependent row does not match the employee row for eligibility, status, coverage level, or funding; ",""))</f>
        <v/>
      </c>
      <c r="AB200">
        <f>IF(COUNTA($A200:$U200)=0,"",IF($L200="","Birthdate is required; ","")&amp;IF(AND($L200&lt;&gt;"",OR(NOT(ISNUMBER($L200)),$L200&lt;=DATE(1900,1,1),$L200&gt;TODAY())),"Birthdate must be an exact valid past date; ","")&amp;IF($P200="","Eligibility Date is required; ","")&amp;IF(AND($P200&lt;&gt;"",OR(NOT(ISNUMBER($P200)),$P200&lt;=DATE(1900,1,1))),"Eligibility Date must be a valid date; ","")&amp;IF(AND($R200="Terminated",$Q200=""),"Termination Date is required when Status is Terminated; ","")&amp;IF(AND($Q200&lt;&gt;"",OR(NOT(ISNUMBER($Q200)),$Q200&lt;=DATE(1900,1,1))),"Termination Date must be a valid date; ","")&amp;IF(AND(ISNUMBER($P200),ISNUMBER($Q200),$Q200&lt;$P200),"Termination Date cannot be before Eligibility Date; ","")&amp;IF($R200="","Status is required; ","")&amp;IF(AND($R200&lt;&gt;"",$R200&lt;&gt;"Active",$R200&lt;&gt;"Terminated"),"Status must be Active or Terminated; ","")&amp;IF(AND('START HERE'!$C$8="Terminations Only",$R200&lt;&gt;"Terminated"),"Terminations Only files must contain terminated records; ",""))</f>
        <v/>
      </c>
      <c r="AC200">
        <f>IF(COUNTA($A200:$U200)=0,"",IF($S200="","Plan Name is required; ","")&amp;IF($T200="","Benefit Coverage Level is required; ","")&amp;IF(AND($U200&lt;&gt;"",OR(NOT(ISNUMBER($U200)),$U200&lt;0)),"Plan Funding Amount must be a nonnegative number; ","")&amp;IF(AND($A200&lt;&gt;"",$S200&lt;&gt;"",COUNTIFS($A$2:$A$501,$A200,$B$2:$B$501,$B200,$S$2:$S$501,$S200)&gt;1),"Duplicate participant and plan row; ",""))</f>
        <v/>
      </c>
      <c r="AD200">
        <f>IF(COUNTA($A200:$U200)=0,"",IF(AND($X200="Employee",$M200="",$N200=""),"No employee phone or email provided; ","")&amp;IF(AND($R200="Active",$Q200&lt;&gt;""),"Active record includes a Termination Date; confirm this is intentional; ","")&amp;IF(AND($B200&lt;&gt;"",$B200&amp;""&lt;&gt;$A200&amp;"",COUNTIF($A$2:$A$501,$B200)&gt;0),"Dependent SSN also appears as an Employee SSN elsewhere; confirm dual-employee coverage is intentional; ","")&amp;IF(AND($B200&lt;&gt;"",COUNTIF($B$2:$B$501,$B200)&gt;COUNTIFS($A$2:$A$501,$A200,$B$2:$B$501,$B200)),"Dependent SSN appears under more than one employee; confirm duplicate family coverage is intentional; ","")&amp;IF(AND(ROW()&gt;2,$A200&lt;&gt;"",$A200&lt;&gt;$A199,COUNTIF($A$2:$A199,$A200)&gt;0),"This household appears in more than one section of the census; keep the family together; ","")&amp;IF(OR(AND($C200&lt;&gt;"",LEN($C200&amp;"")&lt;&gt;LEN(TRIM($C200&amp;""))),AND($D200&lt;&gt;"",LEN($D200&amp;"")&lt;&gt;LEN(TRIM($D200&amp;""))),AND($E200&lt;&gt;"",LEN($E200&amp;"")&lt;&gt;LEN(TRIM($E200&amp;""))),AND($F200&lt;&gt;"",LEN($F200&amp;"")&lt;&gt;LEN(TRIM($F200&amp;""))),AND($G200&lt;&gt;"",LEN($G200&amp;"")&lt;&gt;LEN(TRIM($G200&amp;""))),AND($H200&lt;&gt;"",LEN($H200&amp;"")&lt;&gt;LEN(TRIM($H200&amp;""))),AND($I200&lt;&gt;"",LEN($I200&amp;"")&lt;&gt;LEN(TRIM($I200&amp;""))),AND($J200&lt;&gt;"",LEN($J200&amp;"")&lt;&gt;LEN(TRIM($J200&amp;""))),AND($K200&lt;&gt;"",LEN($K200&amp;"")&lt;&gt;LEN(TRIM($K200&amp;""))),AND($M200&lt;&gt;"",LEN($M200&amp;"")&lt;&gt;LEN(TRIM($M200&amp;""))),AND($N200&lt;&gt;"",LEN($N200&amp;"")&lt;&gt;LEN(TRIM($N200&amp;""))),AND($O200&lt;&gt;"",LEN($O200&amp;"")&lt;&gt;LEN(TRIM($O200&amp;""))),AND($R200&lt;&gt;"",LEN($R200&amp;"")&lt;&gt;LEN(TRIM($R200&amp;""))),AND($S200&lt;&gt;"",LEN($S200&amp;"")&lt;&gt;LEN(TRIM($S200&amp;""))),AND($T200&lt;&gt;"",LEN($T200&amp;"")&lt;&gt;LEN(TRIM($T200&amp;"")))),"Remove leading or trailing spaces from text fields; ","")&amp;IF(OR(AND(LEN($C200)&gt;1,OR(EXACT($C200,UPPER($C200)),EXACT($C200,LOWER($C200)))),AND(LEN($D200)&gt;1,OR(EXACT($D200,UPPER($D200)),EXACT($D200,LOWER($D200)))),AND(LEN($H200)&gt;1,OR(EXACT($H200,UPPER($H200)),EXACT($H200,LOWER($H200))))),"Review capitalization in First Name, Last Name, or City; ","")&amp;IF(AND($N200&lt;&gt;"",NOT(EXACT($N200,LOWER($N200)))),"Email will be standardized to lowercase in the clean output; ","")&amp;IF(AND(OR('START HERE'!$C$8="Initial Enrollment",'START HERE'!$C$8="Open Enrollment"),$R200="Terminated"),"A terminated row is included in an initial or open enrollment file; confirm this is intentional; ",""))</f>
        <v/>
      </c>
      <c r="AE200">
        <f>IF(COUNTA($A200:$U200)=0,"",IF(OR($A200="",AND($A200&lt;&gt;"",NOT(IFERROR(AND(LEN($A200&amp;"")=9,ISNUMBER(--($A200&amp;""))),FALSE))),AND($A200&lt;&gt;"",OR($A200="123456789",$A200="987654321",$A200="012345678",$A200=REPT(LEFT($A200&amp;"",1),9)))),"Employee SSN, ","")&amp;IF(OR(AND($O200&lt;&gt;"",$B200=""),AND($B200&lt;&gt;"",OR(NOT(IFERROR(AND(LEN($B200&amp;"")=9,ISNUMBER(--($B200&amp;""))),FALSE)),$B200=$A200,$B200="123456789",$B200="987654321",$B200="012345678",$B200=REPT(LEFT($B200&amp;"",1),9)))),"Dependent SSN, ","")&amp;IF(OR($C200="",LEN($C200)&gt;19,AND($C200&lt;&gt;"",SUMPRODUCT(--(ROW($1:$19)&lt;=LEN($C200&amp;"")),--ISERROR(FIND(MID($C200&amp;"",ROW($1:$19),1),"ABCDEFGHIJKLMNOPQRSTUVWXYZabcdefghijklmnopqrstuvwxyz .,")))&gt;0)),"First Name, ","")&amp;IF(OR($D200="",LEN($D200)&gt;26,AND($D200&lt;&gt;"",SUMPRODUCT(--(ROW($1:$26)&lt;=LEN($D200&amp;"")),--ISERROR(FIND(MID($D200&amp;"",ROW($1:$26),1),"ABCDEFGHIJKLMNOPQRSTUVWXYZabcdefghijklmnopqrstuvwxyz .,")))&gt;0)),"Last Name, ","")&amp;IF(OR(LEN($E200)&gt;1,AND($E200&lt;&gt;"",SUMPRODUCT(--(ROW($1:$1)&lt;=LEN($E200&amp;"")),--ISERROR(FIND(MID($E200&amp;"",ROW($1:$1),1),"ABCDEFGHIJKLMNOPQRSTUVWXYZabcdefghijklmnopqrstuvwxyz .,")))&gt;0)),"Middle Initial, ","")&amp;IF(OR($F200="",LEN($F200)&gt;75),"Address, ","")&amp;IF(OR($H200="",LEN($H200)&gt;30),"City, ","")&amp;IF(AND($K200="US",OR($I200="",LEN($I200)&lt;&gt;2)),"State, ","")&amp;IF($J200="","ZIP, ","")&amp;IF(OR($K200="",AND($K200&lt;&gt;"US",$K200&lt;&gt;"CA")),"Country, ","")&amp;IF(OR($L200="",AND($L200&lt;&gt;"",OR(NOT(ISNUMBER($L200)),$L200&lt;=DATE(1900,1,1),$L200&gt;TODAY()))),"Birthdate, ","")&amp;IF(AND($N200&lt;&gt;"",NOT(IFERROR(AND(ISNUMBER(SEARCH("@",$N200)),ISNUMBER(SEARCH(".",$N200,SEARCH("@",$N200)+2))),FALSE))),"Email, ","")&amp;IF(OR(AND($B200&lt;&gt;"",$O200=""),AND($O200&lt;&gt;"",$O200&lt;&gt;"Spouse or Common Law Spouse",$O200&lt;&gt;"Domestic Partner",$O200&lt;&gt;"Child",$O200&lt;&gt;"Other",$O200&lt;&gt;"Estate",$O200&lt;&gt;"Unknown")),"Dependent Relationship, ","")&amp;IF($AA200&lt;&gt;"","Household, ","")&amp;IF(OR($P200="",AND($P200&lt;&gt;"",OR(NOT(ISNUMBER($P200)),$P200&lt;=DATE(1900,1,1)))),"Eligibility Date, ","")&amp;IF(OR(AND($R200="Terminated",$Q200=""),AND($Q200&lt;&gt;"",OR(NOT(ISNUMBER($Q200)),$Q200&lt;=DATE(1900,1,1))),AND(ISNUMBER($P200),ISNUMBER($Q200),$Q200&lt;$P200)),"Termination Date, ","")&amp;IF(OR($R200="",AND($R200&lt;&gt;"Active",$R200&lt;&gt;"Terminated"),AND('START HERE'!$C$8="Terminations Only",$R200&lt;&gt;"Terminated")),"Status, ","")&amp;IF($S200="","Plan Name, ","")&amp;IF($T200="","Coverage Level, ","")&amp;IF(AND($U200&lt;&gt;"",OR(NOT(ISNUMBER($U200)),$U200&lt;0)),"Funding, ","")&amp;IF(AND($A200&lt;&gt;"",$S200&lt;&gt;"",COUNTIFS($A$2:$A$501,$A200,$B$2:$B$501,$B200,$S$2:$S$501,$S200)&gt;1),"Duplicate Row, ",""))</f>
        <v/>
      </c>
      <c r="AF200">
        <f>IF(COUNTA($A200:$U200)=0,"",$Y200&amp;$Z200&amp;$AA200&amp;$AB200&amp;$AC200)</f>
        <v/>
      </c>
      <c r="AG200">
        <f>IF($N200="","",LOWER(TRIM($N200)))</f>
        <v/>
      </c>
      <c r="AH200">
        <f>IF($A200="","",COUNTIFS($A$2:$A$501,$A200,$AI$2:$AI$501,1))</f>
        <v/>
      </c>
      <c r="AI200">
        <f>IF(COUNTA($A200:$U200)=0,"",--($AF200&lt;&gt;""))</f>
        <v/>
      </c>
      <c r="AJ200">
        <f>IF(COUNTA($A200:$U200)=0,"",--($AD200&lt;&gt;""))</f>
        <v/>
      </c>
    </row>
    <row r="201" ht="20" customHeight="1">
      <c r="A201" s="80" t="n"/>
      <c r="B201" s="80" t="n"/>
      <c r="C201" s="81" t="n"/>
      <c r="D201" s="81" t="n"/>
      <c r="E201" s="80" t="n"/>
      <c r="F201" s="81" t="n"/>
      <c r="G201" s="81" t="n"/>
      <c r="H201" s="81" t="n"/>
      <c r="I201" s="80" t="n"/>
      <c r="J201" s="80" t="n"/>
      <c r="K201" s="80" t="n"/>
      <c r="L201" s="82" t="n"/>
      <c r="M201" s="80" t="n"/>
      <c r="N201" s="80" t="n"/>
      <c r="O201" s="80" t="n"/>
      <c r="P201" s="82" t="n"/>
      <c r="Q201" s="82" t="n"/>
      <c r="R201" s="80" t="n"/>
      <c r="S201" s="80" t="n"/>
      <c r="T201" s="80" t="n"/>
      <c r="U201" s="83" t="n"/>
      <c r="V201">
        <f>IF($A201="","",IF($A201=$A200,$V200,IF($V200="",0,1-$V200)))</f>
        <v/>
      </c>
      <c r="W201">
        <f>IF($B201&lt;&gt;"",$B201,$A201)</f>
        <v/>
      </c>
      <c r="X201">
        <f>IF(COUNTA($A201:$U201)=0,"",IF(OR($B201&lt;&gt;"",$O201&lt;&gt;""),"Dependent","Employee"))</f>
        <v/>
      </c>
      <c r="Y201">
        <f>IF(COUNTA($A201:$U201)=0,"",IF($A201="","Employee SSN is required; ","")&amp;IF($C201="","First Name is required; ","")&amp;IF(LEN($C201&amp;"")&gt;19,"First Name exceeds 19 characters; ","")&amp;IF(AND($C201&lt;&gt;"",SUMPRODUCT(--(ROW($1:$19)&lt;=LEN($C201&amp;"")),--ISERROR(FIND(MID($C201&amp;"",ROW($1:$19),1),"ABCDEFGHIJKLMNOPQRSTUVWXYZabcdefghijklmnopqrstuvwxyz .,")))&gt;0),"First Name contains unsupported or encoded characters; use plain A-Z letters only; ","")&amp;IF($D201="","Last Name is required; ","")&amp;IF(LEN($D201&amp;"")&gt;26,"Last Name exceeds 26 characters; ","")&amp;IF(AND($D201&lt;&gt;"",SUMPRODUCT(--(ROW($1:$26)&lt;=LEN($D201&amp;"")),--ISERROR(FIND(MID($D201&amp;"",ROW($1:$26),1),"ABCDEFGHIJKLMNOPQRSTUVWXYZabcdefghijklmnopqrstuvwxyz .,")))&gt;0),"Last Name contains unsupported or encoded characters; use plain A-Z letters only; ","")&amp;IF(LEN($E201&amp;"")&gt;1,"Middle Initial may contain only one character; ","")&amp;IF(AND($E201&lt;&gt;"",SUMPRODUCT(--(ROW($1:$1)&lt;=LEN($E201&amp;"")),--ISERROR(FIND(MID($E201&amp;"",ROW($1:$1),1),"ABCDEFGHIJKLMNOPQRSTUVWXYZabcdefghijklmnopqrstuvwxyz .,")))&gt;0),"Middle Initial must be a plain A-Z letter; ","")&amp;IF($F201="","Address is required; ","")&amp;IF(LEN($F201&amp;"")&gt;75,"Address exceeds 75 characters; ","")&amp;IF(LEN($G201&amp;"")&gt;75,"Address 2 exceeds 75 characters; ","")&amp;IF($H201="","City is required; ","")&amp;IF(LEN($H201&amp;"")&gt;30,"City exceeds 30 characters; ","")&amp;IF($K201="","Country is required; ","")&amp;IF(AND($K201&lt;&gt;"",$K201&lt;&gt;"US",$K201&lt;&gt;"CA"),"Country must be US or CA; ","")&amp;IF(AND($K201="US",OR($I201="",LEN($I201&amp;"")&lt;&gt;2)),"Use a 2-letter state code; ","")&amp;IF($J201="","ZIP or postal code is required; ","")&amp;IF(AND($K201="US",$J201&lt;&gt;"",NOT(IFERROR(OR(AND(LEN($J201&amp;"")=5,ISNUMBER(--($J201&amp;""))),AND(LEN($J201&amp;"")=9,ISNUMBER(--($J201&amp;""))),AND(LEN($J201&amp;"")=10,MID($J201&amp;"",6,1)="-",ISNUMBER(--SUBSTITUTE($J201&amp;"","-","")))),FALSE))),"US ZIP must be 5 or 9 digits, with an optional ZIP+4 hyphen; ","")&amp;IF(AND($N201&lt;&gt;"",NOT(IFERROR(AND(ISNUMBER(SEARCH("@",$N201)),ISNUMBER(SEARCH(".",$N201,SEARCH("@",$N201)+2))),FALSE))),"Email format appears invalid; ","")&amp;IF(AND($O201&lt;&gt;"",$B201=""),"Dependent SSN is required for every dependent; ","")&amp;IF(AND($B201&lt;&gt;"",$O201=""),"Dependent Relationship is required when Dependent SSN is entered; ","")&amp;IF(AND($O201&lt;&gt;"",$O201&lt;&gt;"Spouse or Common Law Spouse",$O201&lt;&gt;"Domestic Partner",$O201&lt;&gt;"Child",$O201&lt;&gt;"Other",$O201&lt;&gt;"Estate",$O201&lt;&gt;"Unknown"),"Dependent Relationship must use one of the approved options; ",""))</f>
        <v/>
      </c>
      <c r="Z201">
        <f>IF(COUNTA($A201:$U201)=0,"",IF(AND($A201&lt;&gt;"",NOT(IFERROR(AND(LEN($A201&amp;"")=9,ISNUMBER(--($A201&amp;""))),FALSE))),"Employee SSN must contain exactly 9 digits; ","")&amp;IF(AND($A201&lt;&gt;"",OR($A201="123456789",$A201="987654321",$A201="012345678",$A201=REPT(LEFT($A201&amp;"",1),9))),"Employee SSN appears to be a placeholder; ","")&amp;IF(AND($B201&lt;&gt;"",NOT(IFERROR(AND(LEN($B201&amp;"")=9,ISNUMBER(--($B201&amp;""))),FALSE))),"Dependent SSN must contain exactly 9 digits; ","")&amp;IF(AND($B201&lt;&gt;"",OR($B201="123456789",$B201="987654321",$B201="012345678",$B201=REPT(LEFT($B201&amp;"",1),9))),"Dependent SSN appears to be a placeholder; ","")&amp;IF(AND($A201&lt;&gt;"",$B201&lt;&gt;"",$A201&amp;""=$B201&amp;""),"Dependent SSN cannot match Employee SSN; ","")&amp;IF(AND($W201&lt;&gt;"",OR(COUNTIFS($W$2:$W$501,$W201,$C$2:$C$501,"&lt;&gt;"&amp;$C201)&gt;0,COUNTIFS($W$2:$W$501,$W201,$D$2:$D$501,"&lt;&gt;"&amp;$D201)&gt;0,COUNTIFS($W$2:$W$501,$W201,$L$2:$L$501,"&lt;&gt;"&amp;$L201)&gt;0)),"The same SSN is associated with a different name or birthdate; ",""))</f>
        <v/>
      </c>
      <c r="AA201">
        <f>IF(COUNTA($A201:$U201)=0,"",IF(AND($A201&lt;&gt;"",$S201&lt;&gt;"",COUNTIFS($A$2:$A$501,$A201,$S$2:$S$501,$S201,$B$2:$B$501,"",$O$2:$O$501,"")=0),"Add an employee row for this household and plan; ","")&amp;IF(AND($X201="Dependent",COUNTIFS($A$2:$A201,$A201,$S$2:$S201,$S201,$B$2:$B201,"",$O$2:$O201,"")=0),"Place the employee row before dependent rows for this plan; ","")&amp;IF(AND($X201="Dependent",COUNTIFS($A$2:$A$501,$A201,$S$2:$S$501,$S201,$B$2:$B$501,"",$O$2:$O$501,"")&gt;0,IFERROR(OR($P201&lt;&gt;LOOKUP(2,1/(($A$2:$A$501=$A201)*($S$2:$S$501=$S201)*($B$2:$B$501="")*($O$2:$O$501="")),$P$2:$P$501),$Q201&lt;&gt;LOOKUP(2,1/(($A$2:$A$501=$A201)*($S$2:$S$501=$S201)*($B$2:$B$501="")*($O$2:$O$501="")),$Q$2:$Q$501),$R201&lt;&gt;LOOKUP(2,1/(($A$2:$A$501=$A201)*($S$2:$S$501=$S201)*($B$2:$B$501="")*($O$2:$O$501="")),$R$2:$R$501),$T201&lt;&gt;LOOKUP(2,1/(($A$2:$A$501=$A201)*($S$2:$S$501=$S201)*($B$2:$B$501="")*($O$2:$O$501="")),$T$2:$T$501),$U201&lt;&gt;LOOKUP(2,1/(($A$2:$A$501=$A201)*($S$2:$S$501=$S201)*($B$2:$B$501="")*($O$2:$O$501="")),$U$2:$U$501)),FALSE)),"Dependent row does not match the employee row for eligibility, status, coverage level, or funding; ",""))</f>
        <v/>
      </c>
      <c r="AB201">
        <f>IF(COUNTA($A201:$U201)=0,"",IF($L201="","Birthdate is required; ","")&amp;IF(AND($L201&lt;&gt;"",OR(NOT(ISNUMBER($L201)),$L201&lt;=DATE(1900,1,1),$L201&gt;TODAY())),"Birthdate must be an exact valid past date; ","")&amp;IF($P201="","Eligibility Date is required; ","")&amp;IF(AND($P201&lt;&gt;"",OR(NOT(ISNUMBER($P201)),$P201&lt;=DATE(1900,1,1))),"Eligibility Date must be a valid date; ","")&amp;IF(AND($R201="Terminated",$Q201=""),"Termination Date is required when Status is Terminated; ","")&amp;IF(AND($Q201&lt;&gt;"",OR(NOT(ISNUMBER($Q201)),$Q201&lt;=DATE(1900,1,1))),"Termination Date must be a valid date; ","")&amp;IF(AND(ISNUMBER($P201),ISNUMBER($Q201),$Q201&lt;$P201),"Termination Date cannot be before Eligibility Date; ","")&amp;IF($R201="","Status is required; ","")&amp;IF(AND($R201&lt;&gt;"",$R201&lt;&gt;"Active",$R201&lt;&gt;"Terminated"),"Status must be Active or Terminated; ","")&amp;IF(AND('START HERE'!$C$8="Terminations Only",$R201&lt;&gt;"Terminated"),"Terminations Only files must contain terminated records; ",""))</f>
        <v/>
      </c>
      <c r="AC201">
        <f>IF(COUNTA($A201:$U201)=0,"",IF($S201="","Plan Name is required; ","")&amp;IF($T201="","Benefit Coverage Level is required; ","")&amp;IF(AND($U201&lt;&gt;"",OR(NOT(ISNUMBER($U201)),$U201&lt;0)),"Plan Funding Amount must be a nonnegative number; ","")&amp;IF(AND($A201&lt;&gt;"",$S201&lt;&gt;"",COUNTIFS($A$2:$A$501,$A201,$B$2:$B$501,$B201,$S$2:$S$501,$S201)&gt;1),"Duplicate participant and plan row; ",""))</f>
        <v/>
      </c>
      <c r="AD201">
        <f>IF(COUNTA($A201:$U201)=0,"",IF(AND($X201="Employee",$M201="",$N201=""),"No employee phone or email provided; ","")&amp;IF(AND($R201="Active",$Q201&lt;&gt;""),"Active record includes a Termination Date; confirm this is intentional; ","")&amp;IF(AND($B201&lt;&gt;"",$B201&amp;""&lt;&gt;$A201&amp;"",COUNTIF($A$2:$A$501,$B201)&gt;0),"Dependent SSN also appears as an Employee SSN elsewhere; confirm dual-employee coverage is intentional; ","")&amp;IF(AND($B201&lt;&gt;"",COUNTIF($B$2:$B$501,$B201)&gt;COUNTIFS($A$2:$A$501,$A201,$B$2:$B$501,$B201)),"Dependent SSN appears under more than one employee; confirm duplicate family coverage is intentional; ","")&amp;IF(AND(ROW()&gt;2,$A201&lt;&gt;"",$A201&lt;&gt;$A200,COUNTIF($A$2:$A200,$A201)&gt;0),"This household appears in more than one section of the census; keep the family together; ","")&amp;IF(OR(AND($C201&lt;&gt;"",LEN($C201&amp;"")&lt;&gt;LEN(TRIM($C201&amp;""))),AND($D201&lt;&gt;"",LEN($D201&amp;"")&lt;&gt;LEN(TRIM($D201&amp;""))),AND($E201&lt;&gt;"",LEN($E201&amp;"")&lt;&gt;LEN(TRIM($E201&amp;""))),AND($F201&lt;&gt;"",LEN($F201&amp;"")&lt;&gt;LEN(TRIM($F201&amp;""))),AND($G201&lt;&gt;"",LEN($G201&amp;"")&lt;&gt;LEN(TRIM($G201&amp;""))),AND($H201&lt;&gt;"",LEN($H201&amp;"")&lt;&gt;LEN(TRIM($H201&amp;""))),AND($I201&lt;&gt;"",LEN($I201&amp;"")&lt;&gt;LEN(TRIM($I201&amp;""))),AND($J201&lt;&gt;"",LEN($J201&amp;"")&lt;&gt;LEN(TRIM($J201&amp;""))),AND($K201&lt;&gt;"",LEN($K201&amp;"")&lt;&gt;LEN(TRIM($K201&amp;""))),AND($M201&lt;&gt;"",LEN($M201&amp;"")&lt;&gt;LEN(TRIM($M201&amp;""))),AND($N201&lt;&gt;"",LEN($N201&amp;"")&lt;&gt;LEN(TRIM($N201&amp;""))),AND($O201&lt;&gt;"",LEN($O201&amp;"")&lt;&gt;LEN(TRIM($O201&amp;""))),AND($R201&lt;&gt;"",LEN($R201&amp;"")&lt;&gt;LEN(TRIM($R201&amp;""))),AND($S201&lt;&gt;"",LEN($S201&amp;"")&lt;&gt;LEN(TRIM($S201&amp;""))),AND($T201&lt;&gt;"",LEN($T201&amp;"")&lt;&gt;LEN(TRIM($T201&amp;"")))),"Remove leading or trailing spaces from text fields; ","")&amp;IF(OR(AND(LEN($C201)&gt;1,OR(EXACT($C201,UPPER($C201)),EXACT($C201,LOWER($C201)))),AND(LEN($D201)&gt;1,OR(EXACT($D201,UPPER($D201)),EXACT($D201,LOWER($D201)))),AND(LEN($H201)&gt;1,OR(EXACT($H201,UPPER($H201)),EXACT($H201,LOWER($H201))))),"Review capitalization in First Name, Last Name, or City; ","")&amp;IF(AND($N201&lt;&gt;"",NOT(EXACT($N201,LOWER($N201)))),"Email will be standardized to lowercase in the clean output; ","")&amp;IF(AND(OR('START HERE'!$C$8="Initial Enrollment",'START HERE'!$C$8="Open Enrollment"),$R201="Terminated"),"A terminated row is included in an initial or open enrollment file; confirm this is intentional; ",""))</f>
        <v/>
      </c>
      <c r="AE201">
        <f>IF(COUNTA($A201:$U201)=0,"",IF(OR($A201="",AND($A201&lt;&gt;"",NOT(IFERROR(AND(LEN($A201&amp;"")=9,ISNUMBER(--($A201&amp;""))),FALSE))),AND($A201&lt;&gt;"",OR($A201="123456789",$A201="987654321",$A201="012345678",$A201=REPT(LEFT($A201&amp;"",1),9)))),"Employee SSN, ","")&amp;IF(OR(AND($O201&lt;&gt;"",$B201=""),AND($B201&lt;&gt;"",OR(NOT(IFERROR(AND(LEN($B201&amp;"")=9,ISNUMBER(--($B201&amp;""))),FALSE)),$B201=$A201,$B201="123456789",$B201="987654321",$B201="012345678",$B201=REPT(LEFT($B201&amp;"",1),9)))),"Dependent SSN, ","")&amp;IF(OR($C201="",LEN($C201)&gt;19,AND($C201&lt;&gt;"",SUMPRODUCT(--(ROW($1:$19)&lt;=LEN($C201&amp;"")),--ISERROR(FIND(MID($C201&amp;"",ROW($1:$19),1),"ABCDEFGHIJKLMNOPQRSTUVWXYZabcdefghijklmnopqrstuvwxyz .,")))&gt;0)),"First Name, ","")&amp;IF(OR($D201="",LEN($D201)&gt;26,AND($D201&lt;&gt;"",SUMPRODUCT(--(ROW($1:$26)&lt;=LEN($D201&amp;"")),--ISERROR(FIND(MID($D201&amp;"",ROW($1:$26),1),"ABCDEFGHIJKLMNOPQRSTUVWXYZabcdefghijklmnopqrstuvwxyz .,")))&gt;0)),"Last Name, ","")&amp;IF(OR(LEN($E201)&gt;1,AND($E201&lt;&gt;"",SUMPRODUCT(--(ROW($1:$1)&lt;=LEN($E201&amp;"")),--ISERROR(FIND(MID($E201&amp;"",ROW($1:$1),1),"ABCDEFGHIJKLMNOPQRSTUVWXYZabcdefghijklmnopqrstuvwxyz .,")))&gt;0)),"Middle Initial, ","")&amp;IF(OR($F201="",LEN($F201)&gt;75),"Address, ","")&amp;IF(OR($H201="",LEN($H201)&gt;30),"City, ","")&amp;IF(AND($K201="US",OR($I201="",LEN($I201)&lt;&gt;2)),"State, ","")&amp;IF($J201="","ZIP, ","")&amp;IF(OR($K201="",AND($K201&lt;&gt;"US",$K201&lt;&gt;"CA")),"Country, ","")&amp;IF(OR($L201="",AND($L201&lt;&gt;"",OR(NOT(ISNUMBER($L201)),$L201&lt;=DATE(1900,1,1),$L201&gt;TODAY()))),"Birthdate, ","")&amp;IF(AND($N201&lt;&gt;"",NOT(IFERROR(AND(ISNUMBER(SEARCH("@",$N201)),ISNUMBER(SEARCH(".",$N201,SEARCH("@",$N201)+2))),FALSE))),"Email, ","")&amp;IF(OR(AND($B201&lt;&gt;"",$O201=""),AND($O201&lt;&gt;"",$O201&lt;&gt;"Spouse or Common Law Spouse",$O201&lt;&gt;"Domestic Partner",$O201&lt;&gt;"Child",$O201&lt;&gt;"Other",$O201&lt;&gt;"Estate",$O201&lt;&gt;"Unknown")),"Dependent Relationship, ","")&amp;IF($AA201&lt;&gt;"","Household, ","")&amp;IF(OR($P201="",AND($P201&lt;&gt;"",OR(NOT(ISNUMBER($P201)),$P201&lt;=DATE(1900,1,1)))),"Eligibility Date, ","")&amp;IF(OR(AND($R201="Terminated",$Q201=""),AND($Q201&lt;&gt;"",OR(NOT(ISNUMBER($Q201)),$Q201&lt;=DATE(1900,1,1))),AND(ISNUMBER($P201),ISNUMBER($Q201),$Q201&lt;$P201)),"Termination Date, ","")&amp;IF(OR($R201="",AND($R201&lt;&gt;"Active",$R201&lt;&gt;"Terminated"),AND('START HERE'!$C$8="Terminations Only",$R201&lt;&gt;"Terminated")),"Status, ","")&amp;IF($S201="","Plan Name, ","")&amp;IF($T201="","Coverage Level, ","")&amp;IF(AND($U201&lt;&gt;"",OR(NOT(ISNUMBER($U201)),$U201&lt;0)),"Funding, ","")&amp;IF(AND($A201&lt;&gt;"",$S201&lt;&gt;"",COUNTIFS($A$2:$A$501,$A201,$B$2:$B$501,$B201,$S$2:$S$501,$S201)&gt;1),"Duplicate Row, ",""))</f>
        <v/>
      </c>
      <c r="AF201">
        <f>IF(COUNTA($A201:$U201)=0,"",$Y201&amp;$Z201&amp;$AA201&amp;$AB201&amp;$AC201)</f>
        <v/>
      </c>
      <c r="AG201">
        <f>IF($N201="","",LOWER(TRIM($N201)))</f>
        <v/>
      </c>
      <c r="AH201">
        <f>IF($A201="","",COUNTIFS($A$2:$A$501,$A201,$AI$2:$AI$501,1))</f>
        <v/>
      </c>
      <c r="AI201">
        <f>IF(COUNTA($A201:$U201)=0,"",--($AF201&lt;&gt;""))</f>
        <v/>
      </c>
      <c r="AJ201">
        <f>IF(COUNTA($A201:$U201)=0,"",--($AD201&lt;&gt;""))</f>
        <v/>
      </c>
    </row>
    <row r="202" ht="20" customHeight="1">
      <c r="A202" s="80" t="n"/>
      <c r="B202" s="80" t="n"/>
      <c r="C202" s="81" t="n"/>
      <c r="D202" s="81" t="n"/>
      <c r="E202" s="80" t="n"/>
      <c r="F202" s="81" t="n"/>
      <c r="G202" s="81" t="n"/>
      <c r="H202" s="81" t="n"/>
      <c r="I202" s="80" t="n"/>
      <c r="J202" s="80" t="n"/>
      <c r="K202" s="80" t="n"/>
      <c r="L202" s="82" t="n"/>
      <c r="M202" s="80" t="n"/>
      <c r="N202" s="80" t="n"/>
      <c r="O202" s="80" t="n"/>
      <c r="P202" s="82" t="n"/>
      <c r="Q202" s="82" t="n"/>
      <c r="R202" s="80" t="n"/>
      <c r="S202" s="80" t="n"/>
      <c r="T202" s="80" t="n"/>
      <c r="U202" s="83" t="n"/>
      <c r="V202">
        <f>IF($A202="","",IF($A202=$A201,$V201,IF($V201="",0,1-$V201)))</f>
        <v/>
      </c>
      <c r="W202">
        <f>IF($B202&lt;&gt;"",$B202,$A202)</f>
        <v/>
      </c>
      <c r="X202">
        <f>IF(COUNTA($A202:$U202)=0,"",IF(OR($B202&lt;&gt;"",$O202&lt;&gt;""),"Dependent","Employee"))</f>
        <v/>
      </c>
      <c r="Y202">
        <f>IF(COUNTA($A202:$U202)=0,"",IF($A202="","Employee SSN is required; ","")&amp;IF($C202="","First Name is required; ","")&amp;IF(LEN($C202&amp;"")&gt;19,"First Name exceeds 19 characters; ","")&amp;IF(AND($C202&lt;&gt;"",SUMPRODUCT(--(ROW($1:$19)&lt;=LEN($C202&amp;"")),--ISERROR(FIND(MID($C202&amp;"",ROW($1:$19),1),"ABCDEFGHIJKLMNOPQRSTUVWXYZabcdefghijklmnopqrstuvwxyz .,")))&gt;0),"First Name contains unsupported or encoded characters; use plain A-Z letters only; ","")&amp;IF($D202="","Last Name is required; ","")&amp;IF(LEN($D202&amp;"")&gt;26,"Last Name exceeds 26 characters; ","")&amp;IF(AND($D202&lt;&gt;"",SUMPRODUCT(--(ROW($1:$26)&lt;=LEN($D202&amp;"")),--ISERROR(FIND(MID($D202&amp;"",ROW($1:$26),1),"ABCDEFGHIJKLMNOPQRSTUVWXYZabcdefghijklmnopqrstuvwxyz .,")))&gt;0),"Last Name contains unsupported or encoded characters; use plain A-Z letters only; ","")&amp;IF(LEN($E202&amp;"")&gt;1,"Middle Initial may contain only one character; ","")&amp;IF(AND($E202&lt;&gt;"",SUMPRODUCT(--(ROW($1:$1)&lt;=LEN($E202&amp;"")),--ISERROR(FIND(MID($E202&amp;"",ROW($1:$1),1),"ABCDEFGHIJKLMNOPQRSTUVWXYZabcdefghijklmnopqrstuvwxyz .,")))&gt;0),"Middle Initial must be a plain A-Z letter; ","")&amp;IF($F202="","Address is required; ","")&amp;IF(LEN($F202&amp;"")&gt;75,"Address exceeds 75 characters; ","")&amp;IF(LEN($G202&amp;"")&gt;75,"Address 2 exceeds 75 characters; ","")&amp;IF($H202="","City is required; ","")&amp;IF(LEN($H202&amp;"")&gt;30,"City exceeds 30 characters; ","")&amp;IF($K202="","Country is required; ","")&amp;IF(AND($K202&lt;&gt;"",$K202&lt;&gt;"US",$K202&lt;&gt;"CA"),"Country must be US or CA; ","")&amp;IF(AND($K202="US",OR($I202="",LEN($I202&amp;"")&lt;&gt;2)),"Use a 2-letter state code; ","")&amp;IF($J202="","ZIP or postal code is required; ","")&amp;IF(AND($K202="US",$J202&lt;&gt;"",NOT(IFERROR(OR(AND(LEN($J202&amp;"")=5,ISNUMBER(--($J202&amp;""))),AND(LEN($J202&amp;"")=9,ISNUMBER(--($J202&amp;""))),AND(LEN($J202&amp;"")=10,MID($J202&amp;"",6,1)="-",ISNUMBER(--SUBSTITUTE($J202&amp;"","-","")))),FALSE))),"US ZIP must be 5 or 9 digits, with an optional ZIP+4 hyphen; ","")&amp;IF(AND($N202&lt;&gt;"",NOT(IFERROR(AND(ISNUMBER(SEARCH("@",$N202)),ISNUMBER(SEARCH(".",$N202,SEARCH("@",$N202)+2))),FALSE))),"Email format appears invalid; ","")&amp;IF(AND($O202&lt;&gt;"",$B202=""),"Dependent SSN is required for every dependent; ","")&amp;IF(AND($B202&lt;&gt;"",$O202=""),"Dependent Relationship is required when Dependent SSN is entered; ","")&amp;IF(AND($O202&lt;&gt;"",$O202&lt;&gt;"Spouse or Common Law Spouse",$O202&lt;&gt;"Domestic Partner",$O202&lt;&gt;"Child",$O202&lt;&gt;"Other",$O202&lt;&gt;"Estate",$O202&lt;&gt;"Unknown"),"Dependent Relationship must use one of the approved options; ",""))</f>
        <v/>
      </c>
      <c r="Z202">
        <f>IF(COUNTA($A202:$U202)=0,"",IF(AND($A202&lt;&gt;"",NOT(IFERROR(AND(LEN($A202&amp;"")=9,ISNUMBER(--($A202&amp;""))),FALSE))),"Employee SSN must contain exactly 9 digits; ","")&amp;IF(AND($A202&lt;&gt;"",OR($A202="123456789",$A202="987654321",$A202="012345678",$A202=REPT(LEFT($A202&amp;"",1),9))),"Employee SSN appears to be a placeholder; ","")&amp;IF(AND($B202&lt;&gt;"",NOT(IFERROR(AND(LEN($B202&amp;"")=9,ISNUMBER(--($B202&amp;""))),FALSE))),"Dependent SSN must contain exactly 9 digits; ","")&amp;IF(AND($B202&lt;&gt;"",OR($B202="123456789",$B202="987654321",$B202="012345678",$B202=REPT(LEFT($B202&amp;"",1),9))),"Dependent SSN appears to be a placeholder; ","")&amp;IF(AND($A202&lt;&gt;"",$B202&lt;&gt;"",$A202&amp;""=$B202&amp;""),"Dependent SSN cannot match Employee SSN; ","")&amp;IF(AND($W202&lt;&gt;"",OR(COUNTIFS($W$2:$W$501,$W202,$C$2:$C$501,"&lt;&gt;"&amp;$C202)&gt;0,COUNTIFS($W$2:$W$501,$W202,$D$2:$D$501,"&lt;&gt;"&amp;$D202)&gt;0,COUNTIFS($W$2:$W$501,$W202,$L$2:$L$501,"&lt;&gt;"&amp;$L202)&gt;0)),"The same SSN is associated with a different name or birthdate; ",""))</f>
        <v/>
      </c>
      <c r="AA202">
        <f>IF(COUNTA($A202:$U202)=0,"",IF(AND($A202&lt;&gt;"",$S202&lt;&gt;"",COUNTIFS($A$2:$A$501,$A202,$S$2:$S$501,$S202,$B$2:$B$501,"",$O$2:$O$501,"")=0),"Add an employee row for this household and plan; ","")&amp;IF(AND($X202="Dependent",COUNTIFS($A$2:$A202,$A202,$S$2:$S202,$S202,$B$2:$B202,"",$O$2:$O202,"")=0),"Place the employee row before dependent rows for this plan; ","")&amp;IF(AND($X202="Dependent",COUNTIFS($A$2:$A$501,$A202,$S$2:$S$501,$S202,$B$2:$B$501,"",$O$2:$O$501,"")&gt;0,IFERROR(OR($P202&lt;&gt;LOOKUP(2,1/(($A$2:$A$501=$A202)*($S$2:$S$501=$S202)*($B$2:$B$501="")*($O$2:$O$501="")),$P$2:$P$501),$Q202&lt;&gt;LOOKUP(2,1/(($A$2:$A$501=$A202)*($S$2:$S$501=$S202)*($B$2:$B$501="")*($O$2:$O$501="")),$Q$2:$Q$501),$R202&lt;&gt;LOOKUP(2,1/(($A$2:$A$501=$A202)*($S$2:$S$501=$S202)*($B$2:$B$501="")*($O$2:$O$501="")),$R$2:$R$501),$T202&lt;&gt;LOOKUP(2,1/(($A$2:$A$501=$A202)*($S$2:$S$501=$S202)*($B$2:$B$501="")*($O$2:$O$501="")),$T$2:$T$501),$U202&lt;&gt;LOOKUP(2,1/(($A$2:$A$501=$A202)*($S$2:$S$501=$S202)*($B$2:$B$501="")*($O$2:$O$501="")),$U$2:$U$501)),FALSE)),"Dependent row does not match the employee row for eligibility, status, coverage level, or funding; ",""))</f>
        <v/>
      </c>
      <c r="AB202">
        <f>IF(COUNTA($A202:$U202)=0,"",IF($L202="","Birthdate is required; ","")&amp;IF(AND($L202&lt;&gt;"",OR(NOT(ISNUMBER($L202)),$L202&lt;=DATE(1900,1,1),$L202&gt;TODAY())),"Birthdate must be an exact valid past date; ","")&amp;IF($P202="","Eligibility Date is required; ","")&amp;IF(AND($P202&lt;&gt;"",OR(NOT(ISNUMBER($P202)),$P202&lt;=DATE(1900,1,1))),"Eligibility Date must be a valid date; ","")&amp;IF(AND($R202="Terminated",$Q202=""),"Termination Date is required when Status is Terminated; ","")&amp;IF(AND($Q202&lt;&gt;"",OR(NOT(ISNUMBER($Q202)),$Q202&lt;=DATE(1900,1,1))),"Termination Date must be a valid date; ","")&amp;IF(AND(ISNUMBER($P202),ISNUMBER($Q202),$Q202&lt;$P202),"Termination Date cannot be before Eligibility Date; ","")&amp;IF($R202="","Status is required; ","")&amp;IF(AND($R202&lt;&gt;"",$R202&lt;&gt;"Active",$R202&lt;&gt;"Terminated"),"Status must be Active or Terminated; ","")&amp;IF(AND('START HERE'!$C$8="Terminations Only",$R202&lt;&gt;"Terminated"),"Terminations Only files must contain terminated records; ",""))</f>
        <v/>
      </c>
      <c r="AC202">
        <f>IF(COUNTA($A202:$U202)=0,"",IF($S202="","Plan Name is required; ","")&amp;IF($T202="","Benefit Coverage Level is required; ","")&amp;IF(AND($U202&lt;&gt;"",OR(NOT(ISNUMBER($U202)),$U202&lt;0)),"Plan Funding Amount must be a nonnegative number; ","")&amp;IF(AND($A202&lt;&gt;"",$S202&lt;&gt;"",COUNTIFS($A$2:$A$501,$A202,$B$2:$B$501,$B202,$S$2:$S$501,$S202)&gt;1),"Duplicate participant and plan row; ",""))</f>
        <v/>
      </c>
      <c r="AD202">
        <f>IF(COUNTA($A202:$U202)=0,"",IF(AND($X202="Employee",$M202="",$N202=""),"No employee phone or email provided; ","")&amp;IF(AND($R202="Active",$Q202&lt;&gt;""),"Active record includes a Termination Date; confirm this is intentional; ","")&amp;IF(AND($B202&lt;&gt;"",$B202&amp;""&lt;&gt;$A202&amp;"",COUNTIF($A$2:$A$501,$B202)&gt;0),"Dependent SSN also appears as an Employee SSN elsewhere; confirm dual-employee coverage is intentional; ","")&amp;IF(AND($B202&lt;&gt;"",COUNTIF($B$2:$B$501,$B202)&gt;COUNTIFS($A$2:$A$501,$A202,$B$2:$B$501,$B202)),"Dependent SSN appears under more than one employee; confirm duplicate family coverage is intentional; ","")&amp;IF(AND(ROW()&gt;2,$A202&lt;&gt;"",$A202&lt;&gt;$A201,COUNTIF($A$2:$A201,$A202)&gt;0),"This household appears in more than one section of the census; keep the family together; ","")&amp;IF(OR(AND($C202&lt;&gt;"",LEN($C202&amp;"")&lt;&gt;LEN(TRIM($C202&amp;""))),AND($D202&lt;&gt;"",LEN($D202&amp;"")&lt;&gt;LEN(TRIM($D202&amp;""))),AND($E202&lt;&gt;"",LEN($E202&amp;"")&lt;&gt;LEN(TRIM($E202&amp;""))),AND($F202&lt;&gt;"",LEN($F202&amp;"")&lt;&gt;LEN(TRIM($F202&amp;""))),AND($G202&lt;&gt;"",LEN($G202&amp;"")&lt;&gt;LEN(TRIM($G202&amp;""))),AND($H202&lt;&gt;"",LEN($H202&amp;"")&lt;&gt;LEN(TRIM($H202&amp;""))),AND($I202&lt;&gt;"",LEN($I202&amp;"")&lt;&gt;LEN(TRIM($I202&amp;""))),AND($J202&lt;&gt;"",LEN($J202&amp;"")&lt;&gt;LEN(TRIM($J202&amp;""))),AND($K202&lt;&gt;"",LEN($K202&amp;"")&lt;&gt;LEN(TRIM($K202&amp;""))),AND($M202&lt;&gt;"",LEN($M202&amp;"")&lt;&gt;LEN(TRIM($M202&amp;""))),AND($N202&lt;&gt;"",LEN($N202&amp;"")&lt;&gt;LEN(TRIM($N202&amp;""))),AND($O202&lt;&gt;"",LEN($O202&amp;"")&lt;&gt;LEN(TRIM($O202&amp;""))),AND($R202&lt;&gt;"",LEN($R202&amp;"")&lt;&gt;LEN(TRIM($R202&amp;""))),AND($S202&lt;&gt;"",LEN($S202&amp;"")&lt;&gt;LEN(TRIM($S202&amp;""))),AND($T202&lt;&gt;"",LEN($T202&amp;"")&lt;&gt;LEN(TRIM($T202&amp;"")))),"Remove leading or trailing spaces from text fields; ","")&amp;IF(OR(AND(LEN($C202)&gt;1,OR(EXACT($C202,UPPER($C202)),EXACT($C202,LOWER($C202)))),AND(LEN($D202)&gt;1,OR(EXACT($D202,UPPER($D202)),EXACT($D202,LOWER($D202)))),AND(LEN($H202)&gt;1,OR(EXACT($H202,UPPER($H202)),EXACT($H202,LOWER($H202))))),"Review capitalization in First Name, Last Name, or City; ","")&amp;IF(AND($N202&lt;&gt;"",NOT(EXACT($N202,LOWER($N202)))),"Email will be standardized to lowercase in the clean output; ","")&amp;IF(AND(OR('START HERE'!$C$8="Initial Enrollment",'START HERE'!$C$8="Open Enrollment"),$R202="Terminated"),"A terminated row is included in an initial or open enrollment file; confirm this is intentional; ",""))</f>
        <v/>
      </c>
      <c r="AE202">
        <f>IF(COUNTA($A202:$U202)=0,"",IF(OR($A202="",AND($A202&lt;&gt;"",NOT(IFERROR(AND(LEN($A202&amp;"")=9,ISNUMBER(--($A202&amp;""))),FALSE))),AND($A202&lt;&gt;"",OR($A202="123456789",$A202="987654321",$A202="012345678",$A202=REPT(LEFT($A202&amp;"",1),9)))),"Employee SSN, ","")&amp;IF(OR(AND($O202&lt;&gt;"",$B202=""),AND($B202&lt;&gt;"",OR(NOT(IFERROR(AND(LEN($B202&amp;"")=9,ISNUMBER(--($B202&amp;""))),FALSE)),$B202=$A202,$B202="123456789",$B202="987654321",$B202="012345678",$B202=REPT(LEFT($B202&amp;"",1),9)))),"Dependent SSN, ","")&amp;IF(OR($C202="",LEN($C202)&gt;19,AND($C202&lt;&gt;"",SUMPRODUCT(--(ROW($1:$19)&lt;=LEN($C202&amp;"")),--ISERROR(FIND(MID($C202&amp;"",ROW($1:$19),1),"ABCDEFGHIJKLMNOPQRSTUVWXYZabcdefghijklmnopqrstuvwxyz .,")))&gt;0)),"First Name, ","")&amp;IF(OR($D202="",LEN($D202)&gt;26,AND($D202&lt;&gt;"",SUMPRODUCT(--(ROW($1:$26)&lt;=LEN($D202&amp;"")),--ISERROR(FIND(MID($D202&amp;"",ROW($1:$26),1),"ABCDEFGHIJKLMNOPQRSTUVWXYZabcdefghijklmnopqrstuvwxyz .,")))&gt;0)),"Last Name, ","")&amp;IF(OR(LEN($E202)&gt;1,AND($E202&lt;&gt;"",SUMPRODUCT(--(ROW($1:$1)&lt;=LEN($E202&amp;"")),--ISERROR(FIND(MID($E202&amp;"",ROW($1:$1),1),"ABCDEFGHIJKLMNOPQRSTUVWXYZabcdefghijklmnopqrstuvwxyz .,")))&gt;0)),"Middle Initial, ","")&amp;IF(OR($F202="",LEN($F202)&gt;75),"Address, ","")&amp;IF(OR($H202="",LEN($H202)&gt;30),"City, ","")&amp;IF(AND($K202="US",OR($I202="",LEN($I202)&lt;&gt;2)),"State, ","")&amp;IF($J202="","ZIP, ","")&amp;IF(OR($K202="",AND($K202&lt;&gt;"US",$K202&lt;&gt;"CA")),"Country, ","")&amp;IF(OR($L202="",AND($L202&lt;&gt;"",OR(NOT(ISNUMBER($L202)),$L202&lt;=DATE(1900,1,1),$L202&gt;TODAY()))),"Birthdate, ","")&amp;IF(AND($N202&lt;&gt;"",NOT(IFERROR(AND(ISNUMBER(SEARCH("@",$N202)),ISNUMBER(SEARCH(".",$N202,SEARCH("@",$N202)+2))),FALSE))),"Email, ","")&amp;IF(OR(AND($B202&lt;&gt;"",$O202=""),AND($O202&lt;&gt;"",$O202&lt;&gt;"Spouse or Common Law Spouse",$O202&lt;&gt;"Domestic Partner",$O202&lt;&gt;"Child",$O202&lt;&gt;"Other",$O202&lt;&gt;"Estate",$O202&lt;&gt;"Unknown")),"Dependent Relationship, ","")&amp;IF($AA202&lt;&gt;"","Household, ","")&amp;IF(OR($P202="",AND($P202&lt;&gt;"",OR(NOT(ISNUMBER($P202)),$P202&lt;=DATE(1900,1,1)))),"Eligibility Date, ","")&amp;IF(OR(AND($R202="Terminated",$Q202=""),AND($Q202&lt;&gt;"",OR(NOT(ISNUMBER($Q202)),$Q202&lt;=DATE(1900,1,1))),AND(ISNUMBER($P202),ISNUMBER($Q202),$Q202&lt;$P202)),"Termination Date, ","")&amp;IF(OR($R202="",AND($R202&lt;&gt;"Active",$R202&lt;&gt;"Terminated"),AND('START HERE'!$C$8="Terminations Only",$R202&lt;&gt;"Terminated")),"Status, ","")&amp;IF($S202="","Plan Name, ","")&amp;IF($T202="","Coverage Level, ","")&amp;IF(AND($U202&lt;&gt;"",OR(NOT(ISNUMBER($U202)),$U202&lt;0)),"Funding, ","")&amp;IF(AND($A202&lt;&gt;"",$S202&lt;&gt;"",COUNTIFS($A$2:$A$501,$A202,$B$2:$B$501,$B202,$S$2:$S$501,$S202)&gt;1),"Duplicate Row, ",""))</f>
        <v/>
      </c>
      <c r="AF202">
        <f>IF(COUNTA($A202:$U202)=0,"",$Y202&amp;$Z202&amp;$AA202&amp;$AB202&amp;$AC202)</f>
        <v/>
      </c>
      <c r="AG202">
        <f>IF($N202="","",LOWER(TRIM($N202)))</f>
        <v/>
      </c>
      <c r="AH202">
        <f>IF($A202="","",COUNTIFS($A$2:$A$501,$A202,$AI$2:$AI$501,1))</f>
        <v/>
      </c>
      <c r="AI202">
        <f>IF(COUNTA($A202:$U202)=0,"",--($AF202&lt;&gt;""))</f>
        <v/>
      </c>
      <c r="AJ202">
        <f>IF(COUNTA($A202:$U202)=0,"",--($AD202&lt;&gt;""))</f>
        <v/>
      </c>
    </row>
    <row r="203" ht="20" customHeight="1">
      <c r="A203" s="80" t="n"/>
      <c r="B203" s="80" t="n"/>
      <c r="C203" s="81" t="n"/>
      <c r="D203" s="81" t="n"/>
      <c r="E203" s="80" t="n"/>
      <c r="F203" s="81" t="n"/>
      <c r="G203" s="81" t="n"/>
      <c r="H203" s="81" t="n"/>
      <c r="I203" s="80" t="n"/>
      <c r="J203" s="80" t="n"/>
      <c r="K203" s="80" t="n"/>
      <c r="L203" s="82" t="n"/>
      <c r="M203" s="80" t="n"/>
      <c r="N203" s="80" t="n"/>
      <c r="O203" s="80" t="n"/>
      <c r="P203" s="82" t="n"/>
      <c r="Q203" s="82" t="n"/>
      <c r="R203" s="80" t="n"/>
      <c r="S203" s="80" t="n"/>
      <c r="T203" s="80" t="n"/>
      <c r="U203" s="83" t="n"/>
      <c r="V203">
        <f>IF($A203="","",IF($A203=$A202,$V202,IF($V202="",0,1-$V202)))</f>
        <v/>
      </c>
      <c r="W203">
        <f>IF($B203&lt;&gt;"",$B203,$A203)</f>
        <v/>
      </c>
      <c r="X203">
        <f>IF(COUNTA($A203:$U203)=0,"",IF(OR($B203&lt;&gt;"",$O203&lt;&gt;""),"Dependent","Employee"))</f>
        <v/>
      </c>
      <c r="Y203">
        <f>IF(COUNTA($A203:$U203)=0,"",IF($A203="","Employee SSN is required; ","")&amp;IF($C203="","First Name is required; ","")&amp;IF(LEN($C203&amp;"")&gt;19,"First Name exceeds 19 characters; ","")&amp;IF(AND($C203&lt;&gt;"",SUMPRODUCT(--(ROW($1:$19)&lt;=LEN($C203&amp;"")),--ISERROR(FIND(MID($C203&amp;"",ROW($1:$19),1),"ABCDEFGHIJKLMNOPQRSTUVWXYZabcdefghijklmnopqrstuvwxyz .,")))&gt;0),"First Name contains unsupported or encoded characters; use plain A-Z letters only; ","")&amp;IF($D203="","Last Name is required; ","")&amp;IF(LEN($D203&amp;"")&gt;26,"Last Name exceeds 26 characters; ","")&amp;IF(AND($D203&lt;&gt;"",SUMPRODUCT(--(ROW($1:$26)&lt;=LEN($D203&amp;"")),--ISERROR(FIND(MID($D203&amp;"",ROW($1:$26),1),"ABCDEFGHIJKLMNOPQRSTUVWXYZabcdefghijklmnopqrstuvwxyz .,")))&gt;0),"Last Name contains unsupported or encoded characters; use plain A-Z letters only; ","")&amp;IF(LEN($E203&amp;"")&gt;1,"Middle Initial may contain only one character; ","")&amp;IF(AND($E203&lt;&gt;"",SUMPRODUCT(--(ROW($1:$1)&lt;=LEN($E203&amp;"")),--ISERROR(FIND(MID($E203&amp;"",ROW($1:$1),1),"ABCDEFGHIJKLMNOPQRSTUVWXYZabcdefghijklmnopqrstuvwxyz .,")))&gt;0),"Middle Initial must be a plain A-Z letter; ","")&amp;IF($F203="","Address is required; ","")&amp;IF(LEN($F203&amp;"")&gt;75,"Address exceeds 75 characters; ","")&amp;IF(LEN($G203&amp;"")&gt;75,"Address 2 exceeds 75 characters; ","")&amp;IF($H203="","City is required; ","")&amp;IF(LEN($H203&amp;"")&gt;30,"City exceeds 30 characters; ","")&amp;IF($K203="","Country is required; ","")&amp;IF(AND($K203&lt;&gt;"",$K203&lt;&gt;"US",$K203&lt;&gt;"CA"),"Country must be US or CA; ","")&amp;IF(AND($K203="US",OR($I203="",LEN($I203&amp;"")&lt;&gt;2)),"Use a 2-letter state code; ","")&amp;IF($J203="","ZIP or postal code is required; ","")&amp;IF(AND($K203="US",$J203&lt;&gt;"",NOT(IFERROR(OR(AND(LEN($J203&amp;"")=5,ISNUMBER(--($J203&amp;""))),AND(LEN($J203&amp;"")=9,ISNUMBER(--($J203&amp;""))),AND(LEN($J203&amp;"")=10,MID($J203&amp;"",6,1)="-",ISNUMBER(--SUBSTITUTE($J203&amp;"","-","")))),FALSE))),"US ZIP must be 5 or 9 digits, with an optional ZIP+4 hyphen; ","")&amp;IF(AND($N203&lt;&gt;"",NOT(IFERROR(AND(ISNUMBER(SEARCH("@",$N203)),ISNUMBER(SEARCH(".",$N203,SEARCH("@",$N203)+2))),FALSE))),"Email format appears invalid; ","")&amp;IF(AND($O203&lt;&gt;"",$B203=""),"Dependent SSN is required for every dependent; ","")&amp;IF(AND($B203&lt;&gt;"",$O203=""),"Dependent Relationship is required when Dependent SSN is entered; ","")&amp;IF(AND($O203&lt;&gt;"",$O203&lt;&gt;"Spouse or Common Law Spouse",$O203&lt;&gt;"Domestic Partner",$O203&lt;&gt;"Child",$O203&lt;&gt;"Other",$O203&lt;&gt;"Estate",$O203&lt;&gt;"Unknown"),"Dependent Relationship must use one of the approved options; ",""))</f>
        <v/>
      </c>
      <c r="Z203">
        <f>IF(COUNTA($A203:$U203)=0,"",IF(AND($A203&lt;&gt;"",NOT(IFERROR(AND(LEN($A203&amp;"")=9,ISNUMBER(--($A203&amp;""))),FALSE))),"Employee SSN must contain exactly 9 digits; ","")&amp;IF(AND($A203&lt;&gt;"",OR($A203="123456789",$A203="987654321",$A203="012345678",$A203=REPT(LEFT($A203&amp;"",1),9))),"Employee SSN appears to be a placeholder; ","")&amp;IF(AND($B203&lt;&gt;"",NOT(IFERROR(AND(LEN($B203&amp;"")=9,ISNUMBER(--($B203&amp;""))),FALSE))),"Dependent SSN must contain exactly 9 digits; ","")&amp;IF(AND($B203&lt;&gt;"",OR($B203="123456789",$B203="987654321",$B203="012345678",$B203=REPT(LEFT($B203&amp;"",1),9))),"Dependent SSN appears to be a placeholder; ","")&amp;IF(AND($A203&lt;&gt;"",$B203&lt;&gt;"",$A203&amp;""=$B203&amp;""),"Dependent SSN cannot match Employee SSN; ","")&amp;IF(AND($W203&lt;&gt;"",OR(COUNTIFS($W$2:$W$501,$W203,$C$2:$C$501,"&lt;&gt;"&amp;$C203)&gt;0,COUNTIFS($W$2:$W$501,$W203,$D$2:$D$501,"&lt;&gt;"&amp;$D203)&gt;0,COUNTIFS($W$2:$W$501,$W203,$L$2:$L$501,"&lt;&gt;"&amp;$L203)&gt;0)),"The same SSN is associated with a different name or birthdate; ",""))</f>
        <v/>
      </c>
      <c r="AA203">
        <f>IF(COUNTA($A203:$U203)=0,"",IF(AND($A203&lt;&gt;"",$S203&lt;&gt;"",COUNTIFS($A$2:$A$501,$A203,$S$2:$S$501,$S203,$B$2:$B$501,"",$O$2:$O$501,"")=0),"Add an employee row for this household and plan; ","")&amp;IF(AND($X203="Dependent",COUNTIFS($A$2:$A203,$A203,$S$2:$S203,$S203,$B$2:$B203,"",$O$2:$O203,"")=0),"Place the employee row before dependent rows for this plan; ","")&amp;IF(AND($X203="Dependent",COUNTIFS($A$2:$A$501,$A203,$S$2:$S$501,$S203,$B$2:$B$501,"",$O$2:$O$501,"")&gt;0,IFERROR(OR($P203&lt;&gt;LOOKUP(2,1/(($A$2:$A$501=$A203)*($S$2:$S$501=$S203)*($B$2:$B$501="")*($O$2:$O$501="")),$P$2:$P$501),$Q203&lt;&gt;LOOKUP(2,1/(($A$2:$A$501=$A203)*($S$2:$S$501=$S203)*($B$2:$B$501="")*($O$2:$O$501="")),$Q$2:$Q$501),$R203&lt;&gt;LOOKUP(2,1/(($A$2:$A$501=$A203)*($S$2:$S$501=$S203)*($B$2:$B$501="")*($O$2:$O$501="")),$R$2:$R$501),$T203&lt;&gt;LOOKUP(2,1/(($A$2:$A$501=$A203)*($S$2:$S$501=$S203)*($B$2:$B$501="")*($O$2:$O$501="")),$T$2:$T$501),$U203&lt;&gt;LOOKUP(2,1/(($A$2:$A$501=$A203)*($S$2:$S$501=$S203)*($B$2:$B$501="")*($O$2:$O$501="")),$U$2:$U$501)),FALSE)),"Dependent row does not match the employee row for eligibility, status, coverage level, or funding; ",""))</f>
        <v/>
      </c>
      <c r="AB203">
        <f>IF(COUNTA($A203:$U203)=0,"",IF($L203="","Birthdate is required; ","")&amp;IF(AND($L203&lt;&gt;"",OR(NOT(ISNUMBER($L203)),$L203&lt;=DATE(1900,1,1),$L203&gt;TODAY())),"Birthdate must be an exact valid past date; ","")&amp;IF($P203="","Eligibility Date is required; ","")&amp;IF(AND($P203&lt;&gt;"",OR(NOT(ISNUMBER($P203)),$P203&lt;=DATE(1900,1,1))),"Eligibility Date must be a valid date; ","")&amp;IF(AND($R203="Terminated",$Q203=""),"Termination Date is required when Status is Terminated; ","")&amp;IF(AND($Q203&lt;&gt;"",OR(NOT(ISNUMBER($Q203)),$Q203&lt;=DATE(1900,1,1))),"Termination Date must be a valid date; ","")&amp;IF(AND(ISNUMBER($P203),ISNUMBER($Q203),$Q203&lt;$P203),"Termination Date cannot be before Eligibility Date; ","")&amp;IF($R203="","Status is required; ","")&amp;IF(AND($R203&lt;&gt;"",$R203&lt;&gt;"Active",$R203&lt;&gt;"Terminated"),"Status must be Active or Terminated; ","")&amp;IF(AND('START HERE'!$C$8="Terminations Only",$R203&lt;&gt;"Terminated"),"Terminations Only files must contain terminated records; ",""))</f>
        <v/>
      </c>
      <c r="AC203">
        <f>IF(COUNTA($A203:$U203)=0,"",IF($S203="","Plan Name is required; ","")&amp;IF($T203="","Benefit Coverage Level is required; ","")&amp;IF(AND($U203&lt;&gt;"",OR(NOT(ISNUMBER($U203)),$U203&lt;0)),"Plan Funding Amount must be a nonnegative number; ","")&amp;IF(AND($A203&lt;&gt;"",$S203&lt;&gt;"",COUNTIFS($A$2:$A$501,$A203,$B$2:$B$501,$B203,$S$2:$S$501,$S203)&gt;1),"Duplicate participant and plan row; ",""))</f>
        <v/>
      </c>
      <c r="AD203">
        <f>IF(COUNTA($A203:$U203)=0,"",IF(AND($X203="Employee",$M203="",$N203=""),"No employee phone or email provided; ","")&amp;IF(AND($R203="Active",$Q203&lt;&gt;""),"Active record includes a Termination Date; confirm this is intentional; ","")&amp;IF(AND($B203&lt;&gt;"",$B203&amp;""&lt;&gt;$A203&amp;"",COUNTIF($A$2:$A$501,$B203)&gt;0),"Dependent SSN also appears as an Employee SSN elsewhere; confirm dual-employee coverage is intentional; ","")&amp;IF(AND($B203&lt;&gt;"",COUNTIF($B$2:$B$501,$B203)&gt;COUNTIFS($A$2:$A$501,$A203,$B$2:$B$501,$B203)),"Dependent SSN appears under more than one employee; confirm duplicate family coverage is intentional; ","")&amp;IF(AND(ROW()&gt;2,$A203&lt;&gt;"",$A203&lt;&gt;$A202,COUNTIF($A$2:$A202,$A203)&gt;0),"This household appears in more than one section of the census; keep the family together; ","")&amp;IF(OR(AND($C203&lt;&gt;"",LEN($C203&amp;"")&lt;&gt;LEN(TRIM($C203&amp;""))),AND($D203&lt;&gt;"",LEN($D203&amp;"")&lt;&gt;LEN(TRIM($D203&amp;""))),AND($E203&lt;&gt;"",LEN($E203&amp;"")&lt;&gt;LEN(TRIM($E203&amp;""))),AND($F203&lt;&gt;"",LEN($F203&amp;"")&lt;&gt;LEN(TRIM($F203&amp;""))),AND($G203&lt;&gt;"",LEN($G203&amp;"")&lt;&gt;LEN(TRIM($G203&amp;""))),AND($H203&lt;&gt;"",LEN($H203&amp;"")&lt;&gt;LEN(TRIM($H203&amp;""))),AND($I203&lt;&gt;"",LEN($I203&amp;"")&lt;&gt;LEN(TRIM($I203&amp;""))),AND($J203&lt;&gt;"",LEN($J203&amp;"")&lt;&gt;LEN(TRIM($J203&amp;""))),AND($K203&lt;&gt;"",LEN($K203&amp;"")&lt;&gt;LEN(TRIM($K203&amp;""))),AND($M203&lt;&gt;"",LEN($M203&amp;"")&lt;&gt;LEN(TRIM($M203&amp;""))),AND($N203&lt;&gt;"",LEN($N203&amp;"")&lt;&gt;LEN(TRIM($N203&amp;""))),AND($O203&lt;&gt;"",LEN($O203&amp;"")&lt;&gt;LEN(TRIM($O203&amp;""))),AND($R203&lt;&gt;"",LEN($R203&amp;"")&lt;&gt;LEN(TRIM($R203&amp;""))),AND($S203&lt;&gt;"",LEN($S203&amp;"")&lt;&gt;LEN(TRIM($S203&amp;""))),AND($T203&lt;&gt;"",LEN($T203&amp;"")&lt;&gt;LEN(TRIM($T203&amp;"")))),"Remove leading or trailing spaces from text fields; ","")&amp;IF(OR(AND(LEN($C203)&gt;1,OR(EXACT($C203,UPPER($C203)),EXACT($C203,LOWER($C203)))),AND(LEN($D203)&gt;1,OR(EXACT($D203,UPPER($D203)),EXACT($D203,LOWER($D203)))),AND(LEN($H203)&gt;1,OR(EXACT($H203,UPPER($H203)),EXACT($H203,LOWER($H203))))),"Review capitalization in First Name, Last Name, or City; ","")&amp;IF(AND($N203&lt;&gt;"",NOT(EXACT($N203,LOWER($N203)))),"Email will be standardized to lowercase in the clean output; ","")&amp;IF(AND(OR('START HERE'!$C$8="Initial Enrollment",'START HERE'!$C$8="Open Enrollment"),$R203="Terminated"),"A terminated row is included in an initial or open enrollment file; confirm this is intentional; ",""))</f>
        <v/>
      </c>
      <c r="AE203">
        <f>IF(COUNTA($A203:$U203)=0,"",IF(OR($A203="",AND($A203&lt;&gt;"",NOT(IFERROR(AND(LEN($A203&amp;"")=9,ISNUMBER(--($A203&amp;""))),FALSE))),AND($A203&lt;&gt;"",OR($A203="123456789",$A203="987654321",$A203="012345678",$A203=REPT(LEFT($A203&amp;"",1),9)))),"Employee SSN, ","")&amp;IF(OR(AND($O203&lt;&gt;"",$B203=""),AND($B203&lt;&gt;"",OR(NOT(IFERROR(AND(LEN($B203&amp;"")=9,ISNUMBER(--($B203&amp;""))),FALSE)),$B203=$A203,$B203="123456789",$B203="987654321",$B203="012345678",$B203=REPT(LEFT($B203&amp;"",1),9)))),"Dependent SSN, ","")&amp;IF(OR($C203="",LEN($C203)&gt;19,AND($C203&lt;&gt;"",SUMPRODUCT(--(ROW($1:$19)&lt;=LEN($C203&amp;"")),--ISERROR(FIND(MID($C203&amp;"",ROW($1:$19),1),"ABCDEFGHIJKLMNOPQRSTUVWXYZabcdefghijklmnopqrstuvwxyz .,")))&gt;0)),"First Name, ","")&amp;IF(OR($D203="",LEN($D203)&gt;26,AND($D203&lt;&gt;"",SUMPRODUCT(--(ROW($1:$26)&lt;=LEN($D203&amp;"")),--ISERROR(FIND(MID($D203&amp;"",ROW($1:$26),1),"ABCDEFGHIJKLMNOPQRSTUVWXYZabcdefghijklmnopqrstuvwxyz .,")))&gt;0)),"Last Name, ","")&amp;IF(OR(LEN($E203)&gt;1,AND($E203&lt;&gt;"",SUMPRODUCT(--(ROW($1:$1)&lt;=LEN($E203&amp;"")),--ISERROR(FIND(MID($E203&amp;"",ROW($1:$1),1),"ABCDEFGHIJKLMNOPQRSTUVWXYZabcdefghijklmnopqrstuvwxyz .,")))&gt;0)),"Middle Initial, ","")&amp;IF(OR($F203="",LEN($F203)&gt;75),"Address, ","")&amp;IF(OR($H203="",LEN($H203)&gt;30),"City, ","")&amp;IF(AND($K203="US",OR($I203="",LEN($I203)&lt;&gt;2)),"State, ","")&amp;IF($J203="","ZIP, ","")&amp;IF(OR($K203="",AND($K203&lt;&gt;"US",$K203&lt;&gt;"CA")),"Country, ","")&amp;IF(OR($L203="",AND($L203&lt;&gt;"",OR(NOT(ISNUMBER($L203)),$L203&lt;=DATE(1900,1,1),$L203&gt;TODAY()))),"Birthdate, ","")&amp;IF(AND($N203&lt;&gt;"",NOT(IFERROR(AND(ISNUMBER(SEARCH("@",$N203)),ISNUMBER(SEARCH(".",$N203,SEARCH("@",$N203)+2))),FALSE))),"Email, ","")&amp;IF(OR(AND($B203&lt;&gt;"",$O203=""),AND($O203&lt;&gt;"",$O203&lt;&gt;"Spouse or Common Law Spouse",$O203&lt;&gt;"Domestic Partner",$O203&lt;&gt;"Child",$O203&lt;&gt;"Other",$O203&lt;&gt;"Estate",$O203&lt;&gt;"Unknown")),"Dependent Relationship, ","")&amp;IF($AA203&lt;&gt;"","Household, ","")&amp;IF(OR($P203="",AND($P203&lt;&gt;"",OR(NOT(ISNUMBER($P203)),$P203&lt;=DATE(1900,1,1)))),"Eligibility Date, ","")&amp;IF(OR(AND($R203="Terminated",$Q203=""),AND($Q203&lt;&gt;"",OR(NOT(ISNUMBER($Q203)),$Q203&lt;=DATE(1900,1,1))),AND(ISNUMBER($P203),ISNUMBER($Q203),$Q203&lt;$P203)),"Termination Date, ","")&amp;IF(OR($R203="",AND($R203&lt;&gt;"Active",$R203&lt;&gt;"Terminated"),AND('START HERE'!$C$8="Terminations Only",$R203&lt;&gt;"Terminated")),"Status, ","")&amp;IF($S203="","Plan Name, ","")&amp;IF($T203="","Coverage Level, ","")&amp;IF(AND($U203&lt;&gt;"",OR(NOT(ISNUMBER($U203)),$U203&lt;0)),"Funding, ","")&amp;IF(AND($A203&lt;&gt;"",$S203&lt;&gt;"",COUNTIFS($A$2:$A$501,$A203,$B$2:$B$501,$B203,$S$2:$S$501,$S203)&gt;1),"Duplicate Row, ",""))</f>
        <v/>
      </c>
      <c r="AF203">
        <f>IF(COUNTA($A203:$U203)=0,"",$Y203&amp;$Z203&amp;$AA203&amp;$AB203&amp;$AC203)</f>
        <v/>
      </c>
      <c r="AG203">
        <f>IF($N203="","",LOWER(TRIM($N203)))</f>
        <v/>
      </c>
      <c r="AH203">
        <f>IF($A203="","",COUNTIFS($A$2:$A$501,$A203,$AI$2:$AI$501,1))</f>
        <v/>
      </c>
      <c r="AI203">
        <f>IF(COUNTA($A203:$U203)=0,"",--($AF203&lt;&gt;""))</f>
        <v/>
      </c>
      <c r="AJ203">
        <f>IF(COUNTA($A203:$U203)=0,"",--($AD203&lt;&gt;""))</f>
        <v/>
      </c>
    </row>
    <row r="204" ht="20" customHeight="1">
      <c r="A204" s="80" t="n"/>
      <c r="B204" s="80" t="n"/>
      <c r="C204" s="81" t="n"/>
      <c r="D204" s="81" t="n"/>
      <c r="E204" s="80" t="n"/>
      <c r="F204" s="81" t="n"/>
      <c r="G204" s="81" t="n"/>
      <c r="H204" s="81" t="n"/>
      <c r="I204" s="80" t="n"/>
      <c r="J204" s="80" t="n"/>
      <c r="K204" s="80" t="n"/>
      <c r="L204" s="82" t="n"/>
      <c r="M204" s="80" t="n"/>
      <c r="N204" s="80" t="n"/>
      <c r="O204" s="80" t="n"/>
      <c r="P204" s="82" t="n"/>
      <c r="Q204" s="82" t="n"/>
      <c r="R204" s="80" t="n"/>
      <c r="S204" s="80" t="n"/>
      <c r="T204" s="80" t="n"/>
      <c r="U204" s="83" t="n"/>
      <c r="V204">
        <f>IF($A204="","",IF($A204=$A203,$V203,IF($V203="",0,1-$V203)))</f>
        <v/>
      </c>
      <c r="W204">
        <f>IF($B204&lt;&gt;"",$B204,$A204)</f>
        <v/>
      </c>
      <c r="X204">
        <f>IF(COUNTA($A204:$U204)=0,"",IF(OR($B204&lt;&gt;"",$O204&lt;&gt;""),"Dependent","Employee"))</f>
        <v/>
      </c>
      <c r="Y204">
        <f>IF(COUNTA($A204:$U204)=0,"",IF($A204="","Employee SSN is required; ","")&amp;IF($C204="","First Name is required; ","")&amp;IF(LEN($C204&amp;"")&gt;19,"First Name exceeds 19 characters; ","")&amp;IF(AND($C204&lt;&gt;"",SUMPRODUCT(--(ROW($1:$19)&lt;=LEN($C204&amp;"")),--ISERROR(FIND(MID($C204&amp;"",ROW($1:$19),1),"ABCDEFGHIJKLMNOPQRSTUVWXYZabcdefghijklmnopqrstuvwxyz .,")))&gt;0),"First Name contains unsupported or encoded characters; use plain A-Z letters only; ","")&amp;IF($D204="","Last Name is required; ","")&amp;IF(LEN($D204&amp;"")&gt;26,"Last Name exceeds 26 characters; ","")&amp;IF(AND($D204&lt;&gt;"",SUMPRODUCT(--(ROW($1:$26)&lt;=LEN($D204&amp;"")),--ISERROR(FIND(MID($D204&amp;"",ROW($1:$26),1),"ABCDEFGHIJKLMNOPQRSTUVWXYZabcdefghijklmnopqrstuvwxyz .,")))&gt;0),"Last Name contains unsupported or encoded characters; use plain A-Z letters only; ","")&amp;IF(LEN($E204&amp;"")&gt;1,"Middle Initial may contain only one character; ","")&amp;IF(AND($E204&lt;&gt;"",SUMPRODUCT(--(ROW($1:$1)&lt;=LEN($E204&amp;"")),--ISERROR(FIND(MID($E204&amp;"",ROW($1:$1),1),"ABCDEFGHIJKLMNOPQRSTUVWXYZabcdefghijklmnopqrstuvwxyz .,")))&gt;0),"Middle Initial must be a plain A-Z letter; ","")&amp;IF($F204="","Address is required; ","")&amp;IF(LEN($F204&amp;"")&gt;75,"Address exceeds 75 characters; ","")&amp;IF(LEN($G204&amp;"")&gt;75,"Address 2 exceeds 75 characters; ","")&amp;IF($H204="","City is required; ","")&amp;IF(LEN($H204&amp;"")&gt;30,"City exceeds 30 characters; ","")&amp;IF($K204="","Country is required; ","")&amp;IF(AND($K204&lt;&gt;"",$K204&lt;&gt;"US",$K204&lt;&gt;"CA"),"Country must be US or CA; ","")&amp;IF(AND($K204="US",OR($I204="",LEN($I204&amp;"")&lt;&gt;2)),"Use a 2-letter state code; ","")&amp;IF($J204="","ZIP or postal code is required; ","")&amp;IF(AND($K204="US",$J204&lt;&gt;"",NOT(IFERROR(OR(AND(LEN($J204&amp;"")=5,ISNUMBER(--($J204&amp;""))),AND(LEN($J204&amp;"")=9,ISNUMBER(--($J204&amp;""))),AND(LEN($J204&amp;"")=10,MID($J204&amp;"",6,1)="-",ISNUMBER(--SUBSTITUTE($J204&amp;"","-","")))),FALSE))),"US ZIP must be 5 or 9 digits, with an optional ZIP+4 hyphen; ","")&amp;IF(AND($N204&lt;&gt;"",NOT(IFERROR(AND(ISNUMBER(SEARCH("@",$N204)),ISNUMBER(SEARCH(".",$N204,SEARCH("@",$N204)+2))),FALSE))),"Email format appears invalid; ","")&amp;IF(AND($O204&lt;&gt;"",$B204=""),"Dependent SSN is required for every dependent; ","")&amp;IF(AND($B204&lt;&gt;"",$O204=""),"Dependent Relationship is required when Dependent SSN is entered; ","")&amp;IF(AND($O204&lt;&gt;"",$O204&lt;&gt;"Spouse or Common Law Spouse",$O204&lt;&gt;"Domestic Partner",$O204&lt;&gt;"Child",$O204&lt;&gt;"Other",$O204&lt;&gt;"Estate",$O204&lt;&gt;"Unknown"),"Dependent Relationship must use one of the approved options; ",""))</f>
        <v/>
      </c>
      <c r="Z204">
        <f>IF(COUNTA($A204:$U204)=0,"",IF(AND($A204&lt;&gt;"",NOT(IFERROR(AND(LEN($A204&amp;"")=9,ISNUMBER(--($A204&amp;""))),FALSE))),"Employee SSN must contain exactly 9 digits; ","")&amp;IF(AND($A204&lt;&gt;"",OR($A204="123456789",$A204="987654321",$A204="012345678",$A204=REPT(LEFT($A204&amp;"",1),9))),"Employee SSN appears to be a placeholder; ","")&amp;IF(AND($B204&lt;&gt;"",NOT(IFERROR(AND(LEN($B204&amp;"")=9,ISNUMBER(--($B204&amp;""))),FALSE))),"Dependent SSN must contain exactly 9 digits; ","")&amp;IF(AND($B204&lt;&gt;"",OR($B204="123456789",$B204="987654321",$B204="012345678",$B204=REPT(LEFT($B204&amp;"",1),9))),"Dependent SSN appears to be a placeholder; ","")&amp;IF(AND($A204&lt;&gt;"",$B204&lt;&gt;"",$A204&amp;""=$B204&amp;""),"Dependent SSN cannot match Employee SSN; ","")&amp;IF(AND($W204&lt;&gt;"",OR(COUNTIFS($W$2:$W$501,$W204,$C$2:$C$501,"&lt;&gt;"&amp;$C204)&gt;0,COUNTIFS($W$2:$W$501,$W204,$D$2:$D$501,"&lt;&gt;"&amp;$D204)&gt;0,COUNTIFS($W$2:$W$501,$W204,$L$2:$L$501,"&lt;&gt;"&amp;$L204)&gt;0)),"The same SSN is associated with a different name or birthdate; ",""))</f>
        <v/>
      </c>
      <c r="AA204">
        <f>IF(COUNTA($A204:$U204)=0,"",IF(AND($A204&lt;&gt;"",$S204&lt;&gt;"",COUNTIFS($A$2:$A$501,$A204,$S$2:$S$501,$S204,$B$2:$B$501,"",$O$2:$O$501,"")=0),"Add an employee row for this household and plan; ","")&amp;IF(AND($X204="Dependent",COUNTIFS($A$2:$A204,$A204,$S$2:$S204,$S204,$B$2:$B204,"",$O$2:$O204,"")=0),"Place the employee row before dependent rows for this plan; ","")&amp;IF(AND($X204="Dependent",COUNTIFS($A$2:$A$501,$A204,$S$2:$S$501,$S204,$B$2:$B$501,"",$O$2:$O$501,"")&gt;0,IFERROR(OR($P204&lt;&gt;LOOKUP(2,1/(($A$2:$A$501=$A204)*($S$2:$S$501=$S204)*($B$2:$B$501="")*($O$2:$O$501="")),$P$2:$P$501),$Q204&lt;&gt;LOOKUP(2,1/(($A$2:$A$501=$A204)*($S$2:$S$501=$S204)*($B$2:$B$501="")*($O$2:$O$501="")),$Q$2:$Q$501),$R204&lt;&gt;LOOKUP(2,1/(($A$2:$A$501=$A204)*($S$2:$S$501=$S204)*($B$2:$B$501="")*($O$2:$O$501="")),$R$2:$R$501),$T204&lt;&gt;LOOKUP(2,1/(($A$2:$A$501=$A204)*($S$2:$S$501=$S204)*($B$2:$B$501="")*($O$2:$O$501="")),$T$2:$T$501),$U204&lt;&gt;LOOKUP(2,1/(($A$2:$A$501=$A204)*($S$2:$S$501=$S204)*($B$2:$B$501="")*($O$2:$O$501="")),$U$2:$U$501)),FALSE)),"Dependent row does not match the employee row for eligibility, status, coverage level, or funding; ",""))</f>
        <v/>
      </c>
      <c r="AB204">
        <f>IF(COUNTA($A204:$U204)=0,"",IF($L204="","Birthdate is required; ","")&amp;IF(AND($L204&lt;&gt;"",OR(NOT(ISNUMBER($L204)),$L204&lt;=DATE(1900,1,1),$L204&gt;TODAY())),"Birthdate must be an exact valid past date; ","")&amp;IF($P204="","Eligibility Date is required; ","")&amp;IF(AND($P204&lt;&gt;"",OR(NOT(ISNUMBER($P204)),$P204&lt;=DATE(1900,1,1))),"Eligibility Date must be a valid date; ","")&amp;IF(AND($R204="Terminated",$Q204=""),"Termination Date is required when Status is Terminated; ","")&amp;IF(AND($Q204&lt;&gt;"",OR(NOT(ISNUMBER($Q204)),$Q204&lt;=DATE(1900,1,1))),"Termination Date must be a valid date; ","")&amp;IF(AND(ISNUMBER($P204),ISNUMBER($Q204),$Q204&lt;$P204),"Termination Date cannot be before Eligibility Date; ","")&amp;IF($R204="","Status is required; ","")&amp;IF(AND($R204&lt;&gt;"",$R204&lt;&gt;"Active",$R204&lt;&gt;"Terminated"),"Status must be Active or Terminated; ","")&amp;IF(AND('START HERE'!$C$8="Terminations Only",$R204&lt;&gt;"Terminated"),"Terminations Only files must contain terminated records; ",""))</f>
        <v/>
      </c>
      <c r="AC204">
        <f>IF(COUNTA($A204:$U204)=0,"",IF($S204="","Plan Name is required; ","")&amp;IF($T204="","Benefit Coverage Level is required; ","")&amp;IF(AND($U204&lt;&gt;"",OR(NOT(ISNUMBER($U204)),$U204&lt;0)),"Plan Funding Amount must be a nonnegative number; ","")&amp;IF(AND($A204&lt;&gt;"",$S204&lt;&gt;"",COUNTIFS($A$2:$A$501,$A204,$B$2:$B$501,$B204,$S$2:$S$501,$S204)&gt;1),"Duplicate participant and plan row; ",""))</f>
        <v/>
      </c>
      <c r="AD204">
        <f>IF(COUNTA($A204:$U204)=0,"",IF(AND($X204="Employee",$M204="",$N204=""),"No employee phone or email provided; ","")&amp;IF(AND($R204="Active",$Q204&lt;&gt;""),"Active record includes a Termination Date; confirm this is intentional; ","")&amp;IF(AND($B204&lt;&gt;"",$B204&amp;""&lt;&gt;$A204&amp;"",COUNTIF($A$2:$A$501,$B204)&gt;0),"Dependent SSN also appears as an Employee SSN elsewhere; confirm dual-employee coverage is intentional; ","")&amp;IF(AND($B204&lt;&gt;"",COUNTIF($B$2:$B$501,$B204)&gt;COUNTIFS($A$2:$A$501,$A204,$B$2:$B$501,$B204)),"Dependent SSN appears under more than one employee; confirm duplicate family coverage is intentional; ","")&amp;IF(AND(ROW()&gt;2,$A204&lt;&gt;"",$A204&lt;&gt;$A203,COUNTIF($A$2:$A203,$A204)&gt;0),"This household appears in more than one section of the census; keep the family together; ","")&amp;IF(OR(AND($C204&lt;&gt;"",LEN($C204&amp;"")&lt;&gt;LEN(TRIM($C204&amp;""))),AND($D204&lt;&gt;"",LEN($D204&amp;"")&lt;&gt;LEN(TRIM($D204&amp;""))),AND($E204&lt;&gt;"",LEN($E204&amp;"")&lt;&gt;LEN(TRIM($E204&amp;""))),AND($F204&lt;&gt;"",LEN($F204&amp;"")&lt;&gt;LEN(TRIM($F204&amp;""))),AND($G204&lt;&gt;"",LEN($G204&amp;"")&lt;&gt;LEN(TRIM($G204&amp;""))),AND($H204&lt;&gt;"",LEN($H204&amp;"")&lt;&gt;LEN(TRIM($H204&amp;""))),AND($I204&lt;&gt;"",LEN($I204&amp;"")&lt;&gt;LEN(TRIM($I204&amp;""))),AND($J204&lt;&gt;"",LEN($J204&amp;"")&lt;&gt;LEN(TRIM($J204&amp;""))),AND($K204&lt;&gt;"",LEN($K204&amp;"")&lt;&gt;LEN(TRIM($K204&amp;""))),AND($M204&lt;&gt;"",LEN($M204&amp;"")&lt;&gt;LEN(TRIM($M204&amp;""))),AND($N204&lt;&gt;"",LEN($N204&amp;"")&lt;&gt;LEN(TRIM($N204&amp;""))),AND($O204&lt;&gt;"",LEN($O204&amp;"")&lt;&gt;LEN(TRIM($O204&amp;""))),AND($R204&lt;&gt;"",LEN($R204&amp;"")&lt;&gt;LEN(TRIM($R204&amp;""))),AND($S204&lt;&gt;"",LEN($S204&amp;"")&lt;&gt;LEN(TRIM($S204&amp;""))),AND($T204&lt;&gt;"",LEN($T204&amp;"")&lt;&gt;LEN(TRIM($T204&amp;"")))),"Remove leading or trailing spaces from text fields; ","")&amp;IF(OR(AND(LEN($C204)&gt;1,OR(EXACT($C204,UPPER($C204)),EXACT($C204,LOWER($C204)))),AND(LEN($D204)&gt;1,OR(EXACT($D204,UPPER($D204)),EXACT($D204,LOWER($D204)))),AND(LEN($H204)&gt;1,OR(EXACT($H204,UPPER($H204)),EXACT($H204,LOWER($H204))))),"Review capitalization in First Name, Last Name, or City; ","")&amp;IF(AND($N204&lt;&gt;"",NOT(EXACT($N204,LOWER($N204)))),"Email will be standardized to lowercase in the clean output; ","")&amp;IF(AND(OR('START HERE'!$C$8="Initial Enrollment",'START HERE'!$C$8="Open Enrollment"),$R204="Terminated"),"A terminated row is included in an initial or open enrollment file; confirm this is intentional; ",""))</f>
        <v/>
      </c>
      <c r="AE204">
        <f>IF(COUNTA($A204:$U204)=0,"",IF(OR($A204="",AND($A204&lt;&gt;"",NOT(IFERROR(AND(LEN($A204&amp;"")=9,ISNUMBER(--($A204&amp;""))),FALSE))),AND($A204&lt;&gt;"",OR($A204="123456789",$A204="987654321",$A204="012345678",$A204=REPT(LEFT($A204&amp;"",1),9)))),"Employee SSN, ","")&amp;IF(OR(AND($O204&lt;&gt;"",$B204=""),AND($B204&lt;&gt;"",OR(NOT(IFERROR(AND(LEN($B204&amp;"")=9,ISNUMBER(--($B204&amp;""))),FALSE)),$B204=$A204,$B204="123456789",$B204="987654321",$B204="012345678",$B204=REPT(LEFT($B204&amp;"",1),9)))),"Dependent SSN, ","")&amp;IF(OR($C204="",LEN($C204)&gt;19,AND($C204&lt;&gt;"",SUMPRODUCT(--(ROW($1:$19)&lt;=LEN($C204&amp;"")),--ISERROR(FIND(MID($C204&amp;"",ROW($1:$19),1),"ABCDEFGHIJKLMNOPQRSTUVWXYZabcdefghijklmnopqrstuvwxyz .,")))&gt;0)),"First Name, ","")&amp;IF(OR($D204="",LEN($D204)&gt;26,AND($D204&lt;&gt;"",SUMPRODUCT(--(ROW($1:$26)&lt;=LEN($D204&amp;"")),--ISERROR(FIND(MID($D204&amp;"",ROW($1:$26),1),"ABCDEFGHIJKLMNOPQRSTUVWXYZabcdefghijklmnopqrstuvwxyz .,")))&gt;0)),"Last Name, ","")&amp;IF(OR(LEN($E204)&gt;1,AND($E204&lt;&gt;"",SUMPRODUCT(--(ROW($1:$1)&lt;=LEN($E204&amp;"")),--ISERROR(FIND(MID($E204&amp;"",ROW($1:$1),1),"ABCDEFGHIJKLMNOPQRSTUVWXYZabcdefghijklmnopqrstuvwxyz .,")))&gt;0)),"Middle Initial, ","")&amp;IF(OR($F204="",LEN($F204)&gt;75),"Address, ","")&amp;IF(OR($H204="",LEN($H204)&gt;30),"City, ","")&amp;IF(AND($K204="US",OR($I204="",LEN($I204)&lt;&gt;2)),"State, ","")&amp;IF($J204="","ZIP, ","")&amp;IF(OR($K204="",AND($K204&lt;&gt;"US",$K204&lt;&gt;"CA")),"Country, ","")&amp;IF(OR($L204="",AND($L204&lt;&gt;"",OR(NOT(ISNUMBER($L204)),$L204&lt;=DATE(1900,1,1),$L204&gt;TODAY()))),"Birthdate, ","")&amp;IF(AND($N204&lt;&gt;"",NOT(IFERROR(AND(ISNUMBER(SEARCH("@",$N204)),ISNUMBER(SEARCH(".",$N204,SEARCH("@",$N204)+2))),FALSE))),"Email, ","")&amp;IF(OR(AND($B204&lt;&gt;"",$O204=""),AND($O204&lt;&gt;"",$O204&lt;&gt;"Spouse or Common Law Spouse",$O204&lt;&gt;"Domestic Partner",$O204&lt;&gt;"Child",$O204&lt;&gt;"Other",$O204&lt;&gt;"Estate",$O204&lt;&gt;"Unknown")),"Dependent Relationship, ","")&amp;IF($AA204&lt;&gt;"","Household, ","")&amp;IF(OR($P204="",AND($P204&lt;&gt;"",OR(NOT(ISNUMBER($P204)),$P204&lt;=DATE(1900,1,1)))),"Eligibility Date, ","")&amp;IF(OR(AND($R204="Terminated",$Q204=""),AND($Q204&lt;&gt;"",OR(NOT(ISNUMBER($Q204)),$Q204&lt;=DATE(1900,1,1))),AND(ISNUMBER($P204),ISNUMBER($Q204),$Q204&lt;$P204)),"Termination Date, ","")&amp;IF(OR($R204="",AND($R204&lt;&gt;"Active",$R204&lt;&gt;"Terminated"),AND('START HERE'!$C$8="Terminations Only",$R204&lt;&gt;"Terminated")),"Status, ","")&amp;IF($S204="","Plan Name, ","")&amp;IF($T204="","Coverage Level, ","")&amp;IF(AND($U204&lt;&gt;"",OR(NOT(ISNUMBER($U204)),$U204&lt;0)),"Funding, ","")&amp;IF(AND($A204&lt;&gt;"",$S204&lt;&gt;"",COUNTIFS($A$2:$A$501,$A204,$B$2:$B$501,$B204,$S$2:$S$501,$S204)&gt;1),"Duplicate Row, ",""))</f>
        <v/>
      </c>
      <c r="AF204">
        <f>IF(COUNTA($A204:$U204)=0,"",$Y204&amp;$Z204&amp;$AA204&amp;$AB204&amp;$AC204)</f>
        <v/>
      </c>
      <c r="AG204">
        <f>IF($N204="","",LOWER(TRIM($N204)))</f>
        <v/>
      </c>
      <c r="AH204">
        <f>IF($A204="","",COUNTIFS($A$2:$A$501,$A204,$AI$2:$AI$501,1))</f>
        <v/>
      </c>
      <c r="AI204">
        <f>IF(COUNTA($A204:$U204)=0,"",--($AF204&lt;&gt;""))</f>
        <v/>
      </c>
      <c r="AJ204">
        <f>IF(COUNTA($A204:$U204)=0,"",--($AD204&lt;&gt;""))</f>
        <v/>
      </c>
    </row>
    <row r="205" ht="20" customHeight="1">
      <c r="A205" s="80" t="n"/>
      <c r="B205" s="80" t="n"/>
      <c r="C205" s="81" t="n"/>
      <c r="D205" s="81" t="n"/>
      <c r="E205" s="80" t="n"/>
      <c r="F205" s="81" t="n"/>
      <c r="G205" s="81" t="n"/>
      <c r="H205" s="81" t="n"/>
      <c r="I205" s="80" t="n"/>
      <c r="J205" s="80" t="n"/>
      <c r="K205" s="80" t="n"/>
      <c r="L205" s="82" t="n"/>
      <c r="M205" s="80" t="n"/>
      <c r="N205" s="80" t="n"/>
      <c r="O205" s="80" t="n"/>
      <c r="P205" s="82" t="n"/>
      <c r="Q205" s="82" t="n"/>
      <c r="R205" s="80" t="n"/>
      <c r="S205" s="80" t="n"/>
      <c r="T205" s="80" t="n"/>
      <c r="U205" s="83" t="n"/>
      <c r="V205">
        <f>IF($A205="","",IF($A205=$A204,$V204,IF($V204="",0,1-$V204)))</f>
        <v/>
      </c>
      <c r="W205">
        <f>IF($B205&lt;&gt;"",$B205,$A205)</f>
        <v/>
      </c>
      <c r="X205">
        <f>IF(COUNTA($A205:$U205)=0,"",IF(OR($B205&lt;&gt;"",$O205&lt;&gt;""),"Dependent","Employee"))</f>
        <v/>
      </c>
      <c r="Y205">
        <f>IF(COUNTA($A205:$U205)=0,"",IF($A205="","Employee SSN is required; ","")&amp;IF($C205="","First Name is required; ","")&amp;IF(LEN($C205&amp;"")&gt;19,"First Name exceeds 19 characters; ","")&amp;IF(AND($C205&lt;&gt;"",SUMPRODUCT(--(ROW($1:$19)&lt;=LEN($C205&amp;"")),--ISERROR(FIND(MID($C205&amp;"",ROW($1:$19),1),"ABCDEFGHIJKLMNOPQRSTUVWXYZabcdefghijklmnopqrstuvwxyz .,")))&gt;0),"First Name contains unsupported or encoded characters; use plain A-Z letters only; ","")&amp;IF($D205="","Last Name is required; ","")&amp;IF(LEN($D205&amp;"")&gt;26,"Last Name exceeds 26 characters; ","")&amp;IF(AND($D205&lt;&gt;"",SUMPRODUCT(--(ROW($1:$26)&lt;=LEN($D205&amp;"")),--ISERROR(FIND(MID($D205&amp;"",ROW($1:$26),1),"ABCDEFGHIJKLMNOPQRSTUVWXYZabcdefghijklmnopqrstuvwxyz .,")))&gt;0),"Last Name contains unsupported or encoded characters; use plain A-Z letters only; ","")&amp;IF(LEN($E205&amp;"")&gt;1,"Middle Initial may contain only one character; ","")&amp;IF(AND($E205&lt;&gt;"",SUMPRODUCT(--(ROW($1:$1)&lt;=LEN($E205&amp;"")),--ISERROR(FIND(MID($E205&amp;"",ROW($1:$1),1),"ABCDEFGHIJKLMNOPQRSTUVWXYZabcdefghijklmnopqrstuvwxyz .,")))&gt;0),"Middle Initial must be a plain A-Z letter; ","")&amp;IF($F205="","Address is required; ","")&amp;IF(LEN($F205&amp;"")&gt;75,"Address exceeds 75 characters; ","")&amp;IF(LEN($G205&amp;"")&gt;75,"Address 2 exceeds 75 characters; ","")&amp;IF($H205="","City is required; ","")&amp;IF(LEN($H205&amp;"")&gt;30,"City exceeds 30 characters; ","")&amp;IF($K205="","Country is required; ","")&amp;IF(AND($K205&lt;&gt;"",$K205&lt;&gt;"US",$K205&lt;&gt;"CA"),"Country must be US or CA; ","")&amp;IF(AND($K205="US",OR($I205="",LEN($I205&amp;"")&lt;&gt;2)),"Use a 2-letter state code; ","")&amp;IF($J205="","ZIP or postal code is required; ","")&amp;IF(AND($K205="US",$J205&lt;&gt;"",NOT(IFERROR(OR(AND(LEN($J205&amp;"")=5,ISNUMBER(--($J205&amp;""))),AND(LEN($J205&amp;"")=9,ISNUMBER(--($J205&amp;""))),AND(LEN($J205&amp;"")=10,MID($J205&amp;"",6,1)="-",ISNUMBER(--SUBSTITUTE($J205&amp;"","-","")))),FALSE))),"US ZIP must be 5 or 9 digits, with an optional ZIP+4 hyphen; ","")&amp;IF(AND($N205&lt;&gt;"",NOT(IFERROR(AND(ISNUMBER(SEARCH("@",$N205)),ISNUMBER(SEARCH(".",$N205,SEARCH("@",$N205)+2))),FALSE))),"Email format appears invalid; ","")&amp;IF(AND($O205&lt;&gt;"",$B205=""),"Dependent SSN is required for every dependent; ","")&amp;IF(AND($B205&lt;&gt;"",$O205=""),"Dependent Relationship is required when Dependent SSN is entered; ","")&amp;IF(AND($O205&lt;&gt;"",$O205&lt;&gt;"Spouse or Common Law Spouse",$O205&lt;&gt;"Domestic Partner",$O205&lt;&gt;"Child",$O205&lt;&gt;"Other",$O205&lt;&gt;"Estate",$O205&lt;&gt;"Unknown"),"Dependent Relationship must use one of the approved options; ",""))</f>
        <v/>
      </c>
      <c r="Z205">
        <f>IF(COUNTA($A205:$U205)=0,"",IF(AND($A205&lt;&gt;"",NOT(IFERROR(AND(LEN($A205&amp;"")=9,ISNUMBER(--($A205&amp;""))),FALSE))),"Employee SSN must contain exactly 9 digits; ","")&amp;IF(AND($A205&lt;&gt;"",OR($A205="123456789",$A205="987654321",$A205="012345678",$A205=REPT(LEFT($A205&amp;"",1),9))),"Employee SSN appears to be a placeholder; ","")&amp;IF(AND($B205&lt;&gt;"",NOT(IFERROR(AND(LEN($B205&amp;"")=9,ISNUMBER(--($B205&amp;""))),FALSE))),"Dependent SSN must contain exactly 9 digits; ","")&amp;IF(AND($B205&lt;&gt;"",OR($B205="123456789",$B205="987654321",$B205="012345678",$B205=REPT(LEFT($B205&amp;"",1),9))),"Dependent SSN appears to be a placeholder; ","")&amp;IF(AND($A205&lt;&gt;"",$B205&lt;&gt;"",$A205&amp;""=$B205&amp;""),"Dependent SSN cannot match Employee SSN; ","")&amp;IF(AND($W205&lt;&gt;"",OR(COUNTIFS($W$2:$W$501,$W205,$C$2:$C$501,"&lt;&gt;"&amp;$C205)&gt;0,COUNTIFS($W$2:$W$501,$W205,$D$2:$D$501,"&lt;&gt;"&amp;$D205)&gt;0,COUNTIFS($W$2:$W$501,$W205,$L$2:$L$501,"&lt;&gt;"&amp;$L205)&gt;0)),"The same SSN is associated with a different name or birthdate; ",""))</f>
        <v/>
      </c>
      <c r="AA205">
        <f>IF(COUNTA($A205:$U205)=0,"",IF(AND($A205&lt;&gt;"",$S205&lt;&gt;"",COUNTIFS($A$2:$A$501,$A205,$S$2:$S$501,$S205,$B$2:$B$501,"",$O$2:$O$501,"")=0),"Add an employee row for this household and plan; ","")&amp;IF(AND($X205="Dependent",COUNTIFS($A$2:$A205,$A205,$S$2:$S205,$S205,$B$2:$B205,"",$O$2:$O205,"")=0),"Place the employee row before dependent rows for this plan; ","")&amp;IF(AND($X205="Dependent",COUNTIFS($A$2:$A$501,$A205,$S$2:$S$501,$S205,$B$2:$B$501,"",$O$2:$O$501,"")&gt;0,IFERROR(OR($P205&lt;&gt;LOOKUP(2,1/(($A$2:$A$501=$A205)*($S$2:$S$501=$S205)*($B$2:$B$501="")*($O$2:$O$501="")),$P$2:$P$501),$Q205&lt;&gt;LOOKUP(2,1/(($A$2:$A$501=$A205)*($S$2:$S$501=$S205)*($B$2:$B$501="")*($O$2:$O$501="")),$Q$2:$Q$501),$R205&lt;&gt;LOOKUP(2,1/(($A$2:$A$501=$A205)*($S$2:$S$501=$S205)*($B$2:$B$501="")*($O$2:$O$501="")),$R$2:$R$501),$T205&lt;&gt;LOOKUP(2,1/(($A$2:$A$501=$A205)*($S$2:$S$501=$S205)*($B$2:$B$501="")*($O$2:$O$501="")),$T$2:$T$501),$U205&lt;&gt;LOOKUP(2,1/(($A$2:$A$501=$A205)*($S$2:$S$501=$S205)*($B$2:$B$501="")*($O$2:$O$501="")),$U$2:$U$501)),FALSE)),"Dependent row does not match the employee row for eligibility, status, coverage level, or funding; ",""))</f>
        <v/>
      </c>
      <c r="AB205">
        <f>IF(COUNTA($A205:$U205)=0,"",IF($L205="","Birthdate is required; ","")&amp;IF(AND($L205&lt;&gt;"",OR(NOT(ISNUMBER($L205)),$L205&lt;=DATE(1900,1,1),$L205&gt;TODAY())),"Birthdate must be an exact valid past date; ","")&amp;IF($P205="","Eligibility Date is required; ","")&amp;IF(AND($P205&lt;&gt;"",OR(NOT(ISNUMBER($P205)),$P205&lt;=DATE(1900,1,1))),"Eligibility Date must be a valid date; ","")&amp;IF(AND($R205="Terminated",$Q205=""),"Termination Date is required when Status is Terminated; ","")&amp;IF(AND($Q205&lt;&gt;"",OR(NOT(ISNUMBER($Q205)),$Q205&lt;=DATE(1900,1,1))),"Termination Date must be a valid date; ","")&amp;IF(AND(ISNUMBER($P205),ISNUMBER($Q205),$Q205&lt;$P205),"Termination Date cannot be before Eligibility Date; ","")&amp;IF($R205="","Status is required; ","")&amp;IF(AND($R205&lt;&gt;"",$R205&lt;&gt;"Active",$R205&lt;&gt;"Terminated"),"Status must be Active or Terminated; ","")&amp;IF(AND('START HERE'!$C$8="Terminations Only",$R205&lt;&gt;"Terminated"),"Terminations Only files must contain terminated records; ",""))</f>
        <v/>
      </c>
      <c r="AC205">
        <f>IF(COUNTA($A205:$U205)=0,"",IF($S205="","Plan Name is required; ","")&amp;IF($T205="","Benefit Coverage Level is required; ","")&amp;IF(AND($U205&lt;&gt;"",OR(NOT(ISNUMBER($U205)),$U205&lt;0)),"Plan Funding Amount must be a nonnegative number; ","")&amp;IF(AND($A205&lt;&gt;"",$S205&lt;&gt;"",COUNTIFS($A$2:$A$501,$A205,$B$2:$B$501,$B205,$S$2:$S$501,$S205)&gt;1),"Duplicate participant and plan row; ",""))</f>
        <v/>
      </c>
      <c r="AD205">
        <f>IF(COUNTA($A205:$U205)=0,"",IF(AND($X205="Employee",$M205="",$N205=""),"No employee phone or email provided; ","")&amp;IF(AND($R205="Active",$Q205&lt;&gt;""),"Active record includes a Termination Date; confirm this is intentional; ","")&amp;IF(AND($B205&lt;&gt;"",$B205&amp;""&lt;&gt;$A205&amp;"",COUNTIF($A$2:$A$501,$B205)&gt;0),"Dependent SSN also appears as an Employee SSN elsewhere; confirm dual-employee coverage is intentional; ","")&amp;IF(AND($B205&lt;&gt;"",COUNTIF($B$2:$B$501,$B205)&gt;COUNTIFS($A$2:$A$501,$A205,$B$2:$B$501,$B205)),"Dependent SSN appears under more than one employee; confirm duplicate family coverage is intentional; ","")&amp;IF(AND(ROW()&gt;2,$A205&lt;&gt;"",$A205&lt;&gt;$A204,COUNTIF($A$2:$A204,$A205)&gt;0),"This household appears in more than one section of the census; keep the family together; ","")&amp;IF(OR(AND($C205&lt;&gt;"",LEN($C205&amp;"")&lt;&gt;LEN(TRIM($C205&amp;""))),AND($D205&lt;&gt;"",LEN($D205&amp;"")&lt;&gt;LEN(TRIM($D205&amp;""))),AND($E205&lt;&gt;"",LEN($E205&amp;"")&lt;&gt;LEN(TRIM($E205&amp;""))),AND($F205&lt;&gt;"",LEN($F205&amp;"")&lt;&gt;LEN(TRIM($F205&amp;""))),AND($G205&lt;&gt;"",LEN($G205&amp;"")&lt;&gt;LEN(TRIM($G205&amp;""))),AND($H205&lt;&gt;"",LEN($H205&amp;"")&lt;&gt;LEN(TRIM($H205&amp;""))),AND($I205&lt;&gt;"",LEN($I205&amp;"")&lt;&gt;LEN(TRIM($I205&amp;""))),AND($J205&lt;&gt;"",LEN($J205&amp;"")&lt;&gt;LEN(TRIM($J205&amp;""))),AND($K205&lt;&gt;"",LEN($K205&amp;"")&lt;&gt;LEN(TRIM($K205&amp;""))),AND($M205&lt;&gt;"",LEN($M205&amp;"")&lt;&gt;LEN(TRIM($M205&amp;""))),AND($N205&lt;&gt;"",LEN($N205&amp;"")&lt;&gt;LEN(TRIM($N205&amp;""))),AND($O205&lt;&gt;"",LEN($O205&amp;"")&lt;&gt;LEN(TRIM($O205&amp;""))),AND($R205&lt;&gt;"",LEN($R205&amp;"")&lt;&gt;LEN(TRIM($R205&amp;""))),AND($S205&lt;&gt;"",LEN($S205&amp;"")&lt;&gt;LEN(TRIM($S205&amp;""))),AND($T205&lt;&gt;"",LEN($T205&amp;"")&lt;&gt;LEN(TRIM($T205&amp;"")))),"Remove leading or trailing spaces from text fields; ","")&amp;IF(OR(AND(LEN($C205)&gt;1,OR(EXACT($C205,UPPER($C205)),EXACT($C205,LOWER($C205)))),AND(LEN($D205)&gt;1,OR(EXACT($D205,UPPER($D205)),EXACT($D205,LOWER($D205)))),AND(LEN($H205)&gt;1,OR(EXACT($H205,UPPER($H205)),EXACT($H205,LOWER($H205))))),"Review capitalization in First Name, Last Name, or City; ","")&amp;IF(AND($N205&lt;&gt;"",NOT(EXACT($N205,LOWER($N205)))),"Email will be standardized to lowercase in the clean output; ","")&amp;IF(AND(OR('START HERE'!$C$8="Initial Enrollment",'START HERE'!$C$8="Open Enrollment"),$R205="Terminated"),"A terminated row is included in an initial or open enrollment file; confirm this is intentional; ",""))</f>
        <v/>
      </c>
      <c r="AE205">
        <f>IF(COUNTA($A205:$U205)=0,"",IF(OR($A205="",AND($A205&lt;&gt;"",NOT(IFERROR(AND(LEN($A205&amp;"")=9,ISNUMBER(--($A205&amp;""))),FALSE))),AND($A205&lt;&gt;"",OR($A205="123456789",$A205="987654321",$A205="012345678",$A205=REPT(LEFT($A205&amp;"",1),9)))),"Employee SSN, ","")&amp;IF(OR(AND($O205&lt;&gt;"",$B205=""),AND($B205&lt;&gt;"",OR(NOT(IFERROR(AND(LEN($B205&amp;"")=9,ISNUMBER(--($B205&amp;""))),FALSE)),$B205=$A205,$B205="123456789",$B205="987654321",$B205="012345678",$B205=REPT(LEFT($B205&amp;"",1),9)))),"Dependent SSN, ","")&amp;IF(OR($C205="",LEN($C205)&gt;19,AND($C205&lt;&gt;"",SUMPRODUCT(--(ROW($1:$19)&lt;=LEN($C205&amp;"")),--ISERROR(FIND(MID($C205&amp;"",ROW($1:$19),1),"ABCDEFGHIJKLMNOPQRSTUVWXYZabcdefghijklmnopqrstuvwxyz .,")))&gt;0)),"First Name, ","")&amp;IF(OR($D205="",LEN($D205)&gt;26,AND($D205&lt;&gt;"",SUMPRODUCT(--(ROW($1:$26)&lt;=LEN($D205&amp;"")),--ISERROR(FIND(MID($D205&amp;"",ROW($1:$26),1),"ABCDEFGHIJKLMNOPQRSTUVWXYZabcdefghijklmnopqrstuvwxyz .,")))&gt;0)),"Last Name, ","")&amp;IF(OR(LEN($E205)&gt;1,AND($E205&lt;&gt;"",SUMPRODUCT(--(ROW($1:$1)&lt;=LEN($E205&amp;"")),--ISERROR(FIND(MID($E205&amp;"",ROW($1:$1),1),"ABCDEFGHIJKLMNOPQRSTUVWXYZabcdefghijklmnopqrstuvwxyz .,")))&gt;0)),"Middle Initial, ","")&amp;IF(OR($F205="",LEN($F205)&gt;75),"Address, ","")&amp;IF(OR($H205="",LEN($H205)&gt;30),"City, ","")&amp;IF(AND($K205="US",OR($I205="",LEN($I205)&lt;&gt;2)),"State, ","")&amp;IF($J205="","ZIP, ","")&amp;IF(OR($K205="",AND($K205&lt;&gt;"US",$K205&lt;&gt;"CA")),"Country, ","")&amp;IF(OR($L205="",AND($L205&lt;&gt;"",OR(NOT(ISNUMBER($L205)),$L205&lt;=DATE(1900,1,1),$L205&gt;TODAY()))),"Birthdate, ","")&amp;IF(AND($N205&lt;&gt;"",NOT(IFERROR(AND(ISNUMBER(SEARCH("@",$N205)),ISNUMBER(SEARCH(".",$N205,SEARCH("@",$N205)+2))),FALSE))),"Email, ","")&amp;IF(OR(AND($B205&lt;&gt;"",$O205=""),AND($O205&lt;&gt;"",$O205&lt;&gt;"Spouse or Common Law Spouse",$O205&lt;&gt;"Domestic Partner",$O205&lt;&gt;"Child",$O205&lt;&gt;"Other",$O205&lt;&gt;"Estate",$O205&lt;&gt;"Unknown")),"Dependent Relationship, ","")&amp;IF($AA205&lt;&gt;"","Household, ","")&amp;IF(OR($P205="",AND($P205&lt;&gt;"",OR(NOT(ISNUMBER($P205)),$P205&lt;=DATE(1900,1,1)))),"Eligibility Date, ","")&amp;IF(OR(AND($R205="Terminated",$Q205=""),AND($Q205&lt;&gt;"",OR(NOT(ISNUMBER($Q205)),$Q205&lt;=DATE(1900,1,1))),AND(ISNUMBER($P205),ISNUMBER($Q205),$Q205&lt;$P205)),"Termination Date, ","")&amp;IF(OR($R205="",AND($R205&lt;&gt;"Active",$R205&lt;&gt;"Terminated"),AND('START HERE'!$C$8="Terminations Only",$R205&lt;&gt;"Terminated")),"Status, ","")&amp;IF($S205="","Plan Name, ","")&amp;IF($T205="","Coverage Level, ","")&amp;IF(AND($U205&lt;&gt;"",OR(NOT(ISNUMBER($U205)),$U205&lt;0)),"Funding, ","")&amp;IF(AND($A205&lt;&gt;"",$S205&lt;&gt;"",COUNTIFS($A$2:$A$501,$A205,$B$2:$B$501,$B205,$S$2:$S$501,$S205)&gt;1),"Duplicate Row, ",""))</f>
        <v/>
      </c>
      <c r="AF205">
        <f>IF(COUNTA($A205:$U205)=0,"",$Y205&amp;$Z205&amp;$AA205&amp;$AB205&amp;$AC205)</f>
        <v/>
      </c>
      <c r="AG205">
        <f>IF($N205="","",LOWER(TRIM($N205)))</f>
        <v/>
      </c>
      <c r="AH205">
        <f>IF($A205="","",COUNTIFS($A$2:$A$501,$A205,$AI$2:$AI$501,1))</f>
        <v/>
      </c>
      <c r="AI205">
        <f>IF(COUNTA($A205:$U205)=0,"",--($AF205&lt;&gt;""))</f>
        <v/>
      </c>
      <c r="AJ205">
        <f>IF(COUNTA($A205:$U205)=0,"",--($AD205&lt;&gt;""))</f>
        <v/>
      </c>
    </row>
    <row r="206" ht="20" customHeight="1">
      <c r="A206" s="80" t="n"/>
      <c r="B206" s="80" t="n"/>
      <c r="C206" s="81" t="n"/>
      <c r="D206" s="81" t="n"/>
      <c r="E206" s="80" t="n"/>
      <c r="F206" s="81" t="n"/>
      <c r="G206" s="81" t="n"/>
      <c r="H206" s="81" t="n"/>
      <c r="I206" s="80" t="n"/>
      <c r="J206" s="80" t="n"/>
      <c r="K206" s="80" t="n"/>
      <c r="L206" s="82" t="n"/>
      <c r="M206" s="80" t="n"/>
      <c r="N206" s="80" t="n"/>
      <c r="O206" s="80" t="n"/>
      <c r="P206" s="82" t="n"/>
      <c r="Q206" s="82" t="n"/>
      <c r="R206" s="80" t="n"/>
      <c r="S206" s="80" t="n"/>
      <c r="T206" s="80" t="n"/>
      <c r="U206" s="83" t="n"/>
      <c r="V206">
        <f>IF($A206="","",IF($A206=$A205,$V205,IF($V205="",0,1-$V205)))</f>
        <v/>
      </c>
      <c r="W206">
        <f>IF($B206&lt;&gt;"",$B206,$A206)</f>
        <v/>
      </c>
      <c r="X206">
        <f>IF(COUNTA($A206:$U206)=0,"",IF(OR($B206&lt;&gt;"",$O206&lt;&gt;""),"Dependent","Employee"))</f>
        <v/>
      </c>
      <c r="Y206">
        <f>IF(COUNTA($A206:$U206)=0,"",IF($A206="","Employee SSN is required; ","")&amp;IF($C206="","First Name is required; ","")&amp;IF(LEN($C206&amp;"")&gt;19,"First Name exceeds 19 characters; ","")&amp;IF(AND($C206&lt;&gt;"",SUMPRODUCT(--(ROW($1:$19)&lt;=LEN($C206&amp;"")),--ISERROR(FIND(MID($C206&amp;"",ROW($1:$19),1),"ABCDEFGHIJKLMNOPQRSTUVWXYZabcdefghijklmnopqrstuvwxyz .,")))&gt;0),"First Name contains unsupported or encoded characters; use plain A-Z letters only; ","")&amp;IF($D206="","Last Name is required; ","")&amp;IF(LEN($D206&amp;"")&gt;26,"Last Name exceeds 26 characters; ","")&amp;IF(AND($D206&lt;&gt;"",SUMPRODUCT(--(ROW($1:$26)&lt;=LEN($D206&amp;"")),--ISERROR(FIND(MID($D206&amp;"",ROW($1:$26),1),"ABCDEFGHIJKLMNOPQRSTUVWXYZabcdefghijklmnopqrstuvwxyz .,")))&gt;0),"Last Name contains unsupported or encoded characters; use plain A-Z letters only; ","")&amp;IF(LEN($E206&amp;"")&gt;1,"Middle Initial may contain only one character; ","")&amp;IF(AND($E206&lt;&gt;"",SUMPRODUCT(--(ROW($1:$1)&lt;=LEN($E206&amp;"")),--ISERROR(FIND(MID($E206&amp;"",ROW($1:$1),1),"ABCDEFGHIJKLMNOPQRSTUVWXYZabcdefghijklmnopqrstuvwxyz .,")))&gt;0),"Middle Initial must be a plain A-Z letter; ","")&amp;IF($F206="","Address is required; ","")&amp;IF(LEN($F206&amp;"")&gt;75,"Address exceeds 75 characters; ","")&amp;IF(LEN($G206&amp;"")&gt;75,"Address 2 exceeds 75 characters; ","")&amp;IF($H206="","City is required; ","")&amp;IF(LEN($H206&amp;"")&gt;30,"City exceeds 30 characters; ","")&amp;IF($K206="","Country is required; ","")&amp;IF(AND($K206&lt;&gt;"",$K206&lt;&gt;"US",$K206&lt;&gt;"CA"),"Country must be US or CA; ","")&amp;IF(AND($K206="US",OR($I206="",LEN($I206&amp;"")&lt;&gt;2)),"Use a 2-letter state code; ","")&amp;IF($J206="","ZIP or postal code is required; ","")&amp;IF(AND($K206="US",$J206&lt;&gt;"",NOT(IFERROR(OR(AND(LEN($J206&amp;"")=5,ISNUMBER(--($J206&amp;""))),AND(LEN($J206&amp;"")=9,ISNUMBER(--($J206&amp;""))),AND(LEN($J206&amp;"")=10,MID($J206&amp;"",6,1)="-",ISNUMBER(--SUBSTITUTE($J206&amp;"","-","")))),FALSE))),"US ZIP must be 5 or 9 digits, with an optional ZIP+4 hyphen; ","")&amp;IF(AND($N206&lt;&gt;"",NOT(IFERROR(AND(ISNUMBER(SEARCH("@",$N206)),ISNUMBER(SEARCH(".",$N206,SEARCH("@",$N206)+2))),FALSE))),"Email format appears invalid; ","")&amp;IF(AND($O206&lt;&gt;"",$B206=""),"Dependent SSN is required for every dependent; ","")&amp;IF(AND($B206&lt;&gt;"",$O206=""),"Dependent Relationship is required when Dependent SSN is entered; ","")&amp;IF(AND($O206&lt;&gt;"",$O206&lt;&gt;"Spouse or Common Law Spouse",$O206&lt;&gt;"Domestic Partner",$O206&lt;&gt;"Child",$O206&lt;&gt;"Other",$O206&lt;&gt;"Estate",$O206&lt;&gt;"Unknown"),"Dependent Relationship must use one of the approved options; ",""))</f>
        <v/>
      </c>
      <c r="Z206">
        <f>IF(COUNTA($A206:$U206)=0,"",IF(AND($A206&lt;&gt;"",NOT(IFERROR(AND(LEN($A206&amp;"")=9,ISNUMBER(--($A206&amp;""))),FALSE))),"Employee SSN must contain exactly 9 digits; ","")&amp;IF(AND($A206&lt;&gt;"",OR($A206="123456789",$A206="987654321",$A206="012345678",$A206=REPT(LEFT($A206&amp;"",1),9))),"Employee SSN appears to be a placeholder; ","")&amp;IF(AND($B206&lt;&gt;"",NOT(IFERROR(AND(LEN($B206&amp;"")=9,ISNUMBER(--($B206&amp;""))),FALSE))),"Dependent SSN must contain exactly 9 digits; ","")&amp;IF(AND($B206&lt;&gt;"",OR($B206="123456789",$B206="987654321",$B206="012345678",$B206=REPT(LEFT($B206&amp;"",1),9))),"Dependent SSN appears to be a placeholder; ","")&amp;IF(AND($A206&lt;&gt;"",$B206&lt;&gt;"",$A206&amp;""=$B206&amp;""),"Dependent SSN cannot match Employee SSN; ","")&amp;IF(AND($W206&lt;&gt;"",OR(COUNTIFS($W$2:$W$501,$W206,$C$2:$C$501,"&lt;&gt;"&amp;$C206)&gt;0,COUNTIFS($W$2:$W$501,$W206,$D$2:$D$501,"&lt;&gt;"&amp;$D206)&gt;0,COUNTIFS($W$2:$W$501,$W206,$L$2:$L$501,"&lt;&gt;"&amp;$L206)&gt;0)),"The same SSN is associated with a different name or birthdate; ",""))</f>
        <v/>
      </c>
      <c r="AA206">
        <f>IF(COUNTA($A206:$U206)=0,"",IF(AND($A206&lt;&gt;"",$S206&lt;&gt;"",COUNTIFS($A$2:$A$501,$A206,$S$2:$S$501,$S206,$B$2:$B$501,"",$O$2:$O$501,"")=0),"Add an employee row for this household and plan; ","")&amp;IF(AND($X206="Dependent",COUNTIFS($A$2:$A206,$A206,$S$2:$S206,$S206,$B$2:$B206,"",$O$2:$O206,"")=0),"Place the employee row before dependent rows for this plan; ","")&amp;IF(AND($X206="Dependent",COUNTIFS($A$2:$A$501,$A206,$S$2:$S$501,$S206,$B$2:$B$501,"",$O$2:$O$501,"")&gt;0,IFERROR(OR($P206&lt;&gt;LOOKUP(2,1/(($A$2:$A$501=$A206)*($S$2:$S$501=$S206)*($B$2:$B$501="")*($O$2:$O$501="")),$P$2:$P$501),$Q206&lt;&gt;LOOKUP(2,1/(($A$2:$A$501=$A206)*($S$2:$S$501=$S206)*($B$2:$B$501="")*($O$2:$O$501="")),$Q$2:$Q$501),$R206&lt;&gt;LOOKUP(2,1/(($A$2:$A$501=$A206)*($S$2:$S$501=$S206)*($B$2:$B$501="")*($O$2:$O$501="")),$R$2:$R$501),$T206&lt;&gt;LOOKUP(2,1/(($A$2:$A$501=$A206)*($S$2:$S$501=$S206)*($B$2:$B$501="")*($O$2:$O$501="")),$T$2:$T$501),$U206&lt;&gt;LOOKUP(2,1/(($A$2:$A$501=$A206)*($S$2:$S$501=$S206)*($B$2:$B$501="")*($O$2:$O$501="")),$U$2:$U$501)),FALSE)),"Dependent row does not match the employee row for eligibility, status, coverage level, or funding; ",""))</f>
        <v/>
      </c>
      <c r="AB206">
        <f>IF(COUNTA($A206:$U206)=0,"",IF($L206="","Birthdate is required; ","")&amp;IF(AND($L206&lt;&gt;"",OR(NOT(ISNUMBER($L206)),$L206&lt;=DATE(1900,1,1),$L206&gt;TODAY())),"Birthdate must be an exact valid past date; ","")&amp;IF($P206="","Eligibility Date is required; ","")&amp;IF(AND($P206&lt;&gt;"",OR(NOT(ISNUMBER($P206)),$P206&lt;=DATE(1900,1,1))),"Eligibility Date must be a valid date; ","")&amp;IF(AND($R206="Terminated",$Q206=""),"Termination Date is required when Status is Terminated; ","")&amp;IF(AND($Q206&lt;&gt;"",OR(NOT(ISNUMBER($Q206)),$Q206&lt;=DATE(1900,1,1))),"Termination Date must be a valid date; ","")&amp;IF(AND(ISNUMBER($P206),ISNUMBER($Q206),$Q206&lt;$P206),"Termination Date cannot be before Eligibility Date; ","")&amp;IF($R206="","Status is required; ","")&amp;IF(AND($R206&lt;&gt;"",$R206&lt;&gt;"Active",$R206&lt;&gt;"Terminated"),"Status must be Active or Terminated; ","")&amp;IF(AND('START HERE'!$C$8="Terminations Only",$R206&lt;&gt;"Terminated"),"Terminations Only files must contain terminated records; ",""))</f>
        <v/>
      </c>
      <c r="AC206">
        <f>IF(COUNTA($A206:$U206)=0,"",IF($S206="","Plan Name is required; ","")&amp;IF($T206="","Benefit Coverage Level is required; ","")&amp;IF(AND($U206&lt;&gt;"",OR(NOT(ISNUMBER($U206)),$U206&lt;0)),"Plan Funding Amount must be a nonnegative number; ","")&amp;IF(AND($A206&lt;&gt;"",$S206&lt;&gt;"",COUNTIFS($A$2:$A$501,$A206,$B$2:$B$501,$B206,$S$2:$S$501,$S206)&gt;1),"Duplicate participant and plan row; ",""))</f>
        <v/>
      </c>
      <c r="AD206">
        <f>IF(COUNTA($A206:$U206)=0,"",IF(AND($X206="Employee",$M206="",$N206=""),"No employee phone or email provided; ","")&amp;IF(AND($R206="Active",$Q206&lt;&gt;""),"Active record includes a Termination Date; confirm this is intentional; ","")&amp;IF(AND($B206&lt;&gt;"",$B206&amp;""&lt;&gt;$A206&amp;"",COUNTIF($A$2:$A$501,$B206)&gt;0),"Dependent SSN also appears as an Employee SSN elsewhere; confirm dual-employee coverage is intentional; ","")&amp;IF(AND($B206&lt;&gt;"",COUNTIF($B$2:$B$501,$B206)&gt;COUNTIFS($A$2:$A$501,$A206,$B$2:$B$501,$B206)),"Dependent SSN appears under more than one employee; confirm duplicate family coverage is intentional; ","")&amp;IF(AND(ROW()&gt;2,$A206&lt;&gt;"",$A206&lt;&gt;$A205,COUNTIF($A$2:$A205,$A206)&gt;0),"This household appears in more than one section of the census; keep the family together; ","")&amp;IF(OR(AND($C206&lt;&gt;"",LEN($C206&amp;"")&lt;&gt;LEN(TRIM($C206&amp;""))),AND($D206&lt;&gt;"",LEN($D206&amp;"")&lt;&gt;LEN(TRIM($D206&amp;""))),AND($E206&lt;&gt;"",LEN($E206&amp;"")&lt;&gt;LEN(TRIM($E206&amp;""))),AND($F206&lt;&gt;"",LEN($F206&amp;"")&lt;&gt;LEN(TRIM($F206&amp;""))),AND($G206&lt;&gt;"",LEN($G206&amp;"")&lt;&gt;LEN(TRIM($G206&amp;""))),AND($H206&lt;&gt;"",LEN($H206&amp;"")&lt;&gt;LEN(TRIM($H206&amp;""))),AND($I206&lt;&gt;"",LEN($I206&amp;"")&lt;&gt;LEN(TRIM($I206&amp;""))),AND($J206&lt;&gt;"",LEN($J206&amp;"")&lt;&gt;LEN(TRIM($J206&amp;""))),AND($K206&lt;&gt;"",LEN($K206&amp;"")&lt;&gt;LEN(TRIM($K206&amp;""))),AND($M206&lt;&gt;"",LEN($M206&amp;"")&lt;&gt;LEN(TRIM($M206&amp;""))),AND($N206&lt;&gt;"",LEN($N206&amp;"")&lt;&gt;LEN(TRIM($N206&amp;""))),AND($O206&lt;&gt;"",LEN($O206&amp;"")&lt;&gt;LEN(TRIM($O206&amp;""))),AND($R206&lt;&gt;"",LEN($R206&amp;"")&lt;&gt;LEN(TRIM($R206&amp;""))),AND($S206&lt;&gt;"",LEN($S206&amp;"")&lt;&gt;LEN(TRIM($S206&amp;""))),AND($T206&lt;&gt;"",LEN($T206&amp;"")&lt;&gt;LEN(TRIM($T206&amp;"")))),"Remove leading or trailing spaces from text fields; ","")&amp;IF(OR(AND(LEN($C206)&gt;1,OR(EXACT($C206,UPPER($C206)),EXACT($C206,LOWER($C206)))),AND(LEN($D206)&gt;1,OR(EXACT($D206,UPPER($D206)),EXACT($D206,LOWER($D206)))),AND(LEN($H206)&gt;1,OR(EXACT($H206,UPPER($H206)),EXACT($H206,LOWER($H206))))),"Review capitalization in First Name, Last Name, or City; ","")&amp;IF(AND($N206&lt;&gt;"",NOT(EXACT($N206,LOWER($N206)))),"Email will be standardized to lowercase in the clean output; ","")&amp;IF(AND(OR('START HERE'!$C$8="Initial Enrollment",'START HERE'!$C$8="Open Enrollment"),$R206="Terminated"),"A terminated row is included in an initial or open enrollment file; confirm this is intentional; ",""))</f>
        <v/>
      </c>
      <c r="AE206">
        <f>IF(COUNTA($A206:$U206)=0,"",IF(OR($A206="",AND($A206&lt;&gt;"",NOT(IFERROR(AND(LEN($A206&amp;"")=9,ISNUMBER(--($A206&amp;""))),FALSE))),AND($A206&lt;&gt;"",OR($A206="123456789",$A206="987654321",$A206="012345678",$A206=REPT(LEFT($A206&amp;"",1),9)))),"Employee SSN, ","")&amp;IF(OR(AND($O206&lt;&gt;"",$B206=""),AND($B206&lt;&gt;"",OR(NOT(IFERROR(AND(LEN($B206&amp;"")=9,ISNUMBER(--($B206&amp;""))),FALSE)),$B206=$A206,$B206="123456789",$B206="987654321",$B206="012345678",$B206=REPT(LEFT($B206&amp;"",1),9)))),"Dependent SSN, ","")&amp;IF(OR($C206="",LEN($C206)&gt;19,AND($C206&lt;&gt;"",SUMPRODUCT(--(ROW($1:$19)&lt;=LEN($C206&amp;"")),--ISERROR(FIND(MID($C206&amp;"",ROW($1:$19),1),"ABCDEFGHIJKLMNOPQRSTUVWXYZabcdefghijklmnopqrstuvwxyz .,")))&gt;0)),"First Name, ","")&amp;IF(OR($D206="",LEN($D206)&gt;26,AND($D206&lt;&gt;"",SUMPRODUCT(--(ROW($1:$26)&lt;=LEN($D206&amp;"")),--ISERROR(FIND(MID($D206&amp;"",ROW($1:$26),1),"ABCDEFGHIJKLMNOPQRSTUVWXYZabcdefghijklmnopqrstuvwxyz .,")))&gt;0)),"Last Name, ","")&amp;IF(OR(LEN($E206)&gt;1,AND($E206&lt;&gt;"",SUMPRODUCT(--(ROW($1:$1)&lt;=LEN($E206&amp;"")),--ISERROR(FIND(MID($E206&amp;"",ROW($1:$1),1),"ABCDEFGHIJKLMNOPQRSTUVWXYZabcdefghijklmnopqrstuvwxyz .,")))&gt;0)),"Middle Initial, ","")&amp;IF(OR($F206="",LEN($F206)&gt;75),"Address, ","")&amp;IF(OR($H206="",LEN($H206)&gt;30),"City, ","")&amp;IF(AND($K206="US",OR($I206="",LEN($I206)&lt;&gt;2)),"State, ","")&amp;IF($J206="","ZIP, ","")&amp;IF(OR($K206="",AND($K206&lt;&gt;"US",$K206&lt;&gt;"CA")),"Country, ","")&amp;IF(OR($L206="",AND($L206&lt;&gt;"",OR(NOT(ISNUMBER($L206)),$L206&lt;=DATE(1900,1,1),$L206&gt;TODAY()))),"Birthdate, ","")&amp;IF(AND($N206&lt;&gt;"",NOT(IFERROR(AND(ISNUMBER(SEARCH("@",$N206)),ISNUMBER(SEARCH(".",$N206,SEARCH("@",$N206)+2))),FALSE))),"Email, ","")&amp;IF(OR(AND($B206&lt;&gt;"",$O206=""),AND($O206&lt;&gt;"",$O206&lt;&gt;"Spouse or Common Law Spouse",$O206&lt;&gt;"Domestic Partner",$O206&lt;&gt;"Child",$O206&lt;&gt;"Other",$O206&lt;&gt;"Estate",$O206&lt;&gt;"Unknown")),"Dependent Relationship, ","")&amp;IF($AA206&lt;&gt;"","Household, ","")&amp;IF(OR($P206="",AND($P206&lt;&gt;"",OR(NOT(ISNUMBER($P206)),$P206&lt;=DATE(1900,1,1)))),"Eligibility Date, ","")&amp;IF(OR(AND($R206="Terminated",$Q206=""),AND($Q206&lt;&gt;"",OR(NOT(ISNUMBER($Q206)),$Q206&lt;=DATE(1900,1,1))),AND(ISNUMBER($P206),ISNUMBER($Q206),$Q206&lt;$P206)),"Termination Date, ","")&amp;IF(OR($R206="",AND($R206&lt;&gt;"Active",$R206&lt;&gt;"Terminated"),AND('START HERE'!$C$8="Terminations Only",$R206&lt;&gt;"Terminated")),"Status, ","")&amp;IF($S206="","Plan Name, ","")&amp;IF($T206="","Coverage Level, ","")&amp;IF(AND($U206&lt;&gt;"",OR(NOT(ISNUMBER($U206)),$U206&lt;0)),"Funding, ","")&amp;IF(AND($A206&lt;&gt;"",$S206&lt;&gt;"",COUNTIFS($A$2:$A$501,$A206,$B$2:$B$501,$B206,$S$2:$S$501,$S206)&gt;1),"Duplicate Row, ",""))</f>
        <v/>
      </c>
      <c r="AF206">
        <f>IF(COUNTA($A206:$U206)=0,"",$Y206&amp;$Z206&amp;$AA206&amp;$AB206&amp;$AC206)</f>
        <v/>
      </c>
      <c r="AG206">
        <f>IF($N206="","",LOWER(TRIM($N206)))</f>
        <v/>
      </c>
      <c r="AH206">
        <f>IF($A206="","",COUNTIFS($A$2:$A$501,$A206,$AI$2:$AI$501,1))</f>
        <v/>
      </c>
      <c r="AI206">
        <f>IF(COUNTA($A206:$U206)=0,"",--($AF206&lt;&gt;""))</f>
        <v/>
      </c>
      <c r="AJ206">
        <f>IF(COUNTA($A206:$U206)=0,"",--($AD206&lt;&gt;""))</f>
        <v/>
      </c>
    </row>
    <row r="207" ht="20" customHeight="1">
      <c r="A207" s="80" t="n"/>
      <c r="B207" s="80" t="n"/>
      <c r="C207" s="81" t="n"/>
      <c r="D207" s="81" t="n"/>
      <c r="E207" s="80" t="n"/>
      <c r="F207" s="81" t="n"/>
      <c r="G207" s="81" t="n"/>
      <c r="H207" s="81" t="n"/>
      <c r="I207" s="80" t="n"/>
      <c r="J207" s="80" t="n"/>
      <c r="K207" s="80" t="n"/>
      <c r="L207" s="82" t="n"/>
      <c r="M207" s="80" t="n"/>
      <c r="N207" s="80" t="n"/>
      <c r="O207" s="80" t="n"/>
      <c r="P207" s="82" t="n"/>
      <c r="Q207" s="82" t="n"/>
      <c r="R207" s="80" t="n"/>
      <c r="S207" s="80" t="n"/>
      <c r="T207" s="80" t="n"/>
      <c r="U207" s="83" t="n"/>
      <c r="V207">
        <f>IF($A207="","",IF($A207=$A206,$V206,IF($V206="",0,1-$V206)))</f>
        <v/>
      </c>
      <c r="W207">
        <f>IF($B207&lt;&gt;"",$B207,$A207)</f>
        <v/>
      </c>
      <c r="X207">
        <f>IF(COUNTA($A207:$U207)=0,"",IF(OR($B207&lt;&gt;"",$O207&lt;&gt;""),"Dependent","Employee"))</f>
        <v/>
      </c>
      <c r="Y207">
        <f>IF(COUNTA($A207:$U207)=0,"",IF($A207="","Employee SSN is required; ","")&amp;IF($C207="","First Name is required; ","")&amp;IF(LEN($C207&amp;"")&gt;19,"First Name exceeds 19 characters; ","")&amp;IF(AND($C207&lt;&gt;"",SUMPRODUCT(--(ROW($1:$19)&lt;=LEN($C207&amp;"")),--ISERROR(FIND(MID($C207&amp;"",ROW($1:$19),1),"ABCDEFGHIJKLMNOPQRSTUVWXYZabcdefghijklmnopqrstuvwxyz .,")))&gt;0),"First Name contains unsupported or encoded characters; use plain A-Z letters only; ","")&amp;IF($D207="","Last Name is required; ","")&amp;IF(LEN($D207&amp;"")&gt;26,"Last Name exceeds 26 characters; ","")&amp;IF(AND($D207&lt;&gt;"",SUMPRODUCT(--(ROW($1:$26)&lt;=LEN($D207&amp;"")),--ISERROR(FIND(MID($D207&amp;"",ROW($1:$26),1),"ABCDEFGHIJKLMNOPQRSTUVWXYZabcdefghijklmnopqrstuvwxyz .,")))&gt;0),"Last Name contains unsupported or encoded characters; use plain A-Z letters only; ","")&amp;IF(LEN($E207&amp;"")&gt;1,"Middle Initial may contain only one character; ","")&amp;IF(AND($E207&lt;&gt;"",SUMPRODUCT(--(ROW($1:$1)&lt;=LEN($E207&amp;"")),--ISERROR(FIND(MID($E207&amp;"",ROW($1:$1),1),"ABCDEFGHIJKLMNOPQRSTUVWXYZabcdefghijklmnopqrstuvwxyz .,")))&gt;0),"Middle Initial must be a plain A-Z letter; ","")&amp;IF($F207="","Address is required; ","")&amp;IF(LEN($F207&amp;"")&gt;75,"Address exceeds 75 characters; ","")&amp;IF(LEN($G207&amp;"")&gt;75,"Address 2 exceeds 75 characters; ","")&amp;IF($H207="","City is required; ","")&amp;IF(LEN($H207&amp;"")&gt;30,"City exceeds 30 characters; ","")&amp;IF($K207="","Country is required; ","")&amp;IF(AND($K207&lt;&gt;"",$K207&lt;&gt;"US",$K207&lt;&gt;"CA"),"Country must be US or CA; ","")&amp;IF(AND($K207="US",OR($I207="",LEN($I207&amp;"")&lt;&gt;2)),"Use a 2-letter state code; ","")&amp;IF($J207="","ZIP or postal code is required; ","")&amp;IF(AND($K207="US",$J207&lt;&gt;"",NOT(IFERROR(OR(AND(LEN($J207&amp;"")=5,ISNUMBER(--($J207&amp;""))),AND(LEN($J207&amp;"")=9,ISNUMBER(--($J207&amp;""))),AND(LEN($J207&amp;"")=10,MID($J207&amp;"",6,1)="-",ISNUMBER(--SUBSTITUTE($J207&amp;"","-","")))),FALSE))),"US ZIP must be 5 or 9 digits, with an optional ZIP+4 hyphen; ","")&amp;IF(AND($N207&lt;&gt;"",NOT(IFERROR(AND(ISNUMBER(SEARCH("@",$N207)),ISNUMBER(SEARCH(".",$N207,SEARCH("@",$N207)+2))),FALSE))),"Email format appears invalid; ","")&amp;IF(AND($O207&lt;&gt;"",$B207=""),"Dependent SSN is required for every dependent; ","")&amp;IF(AND($B207&lt;&gt;"",$O207=""),"Dependent Relationship is required when Dependent SSN is entered; ","")&amp;IF(AND($O207&lt;&gt;"",$O207&lt;&gt;"Spouse or Common Law Spouse",$O207&lt;&gt;"Domestic Partner",$O207&lt;&gt;"Child",$O207&lt;&gt;"Other",$O207&lt;&gt;"Estate",$O207&lt;&gt;"Unknown"),"Dependent Relationship must use one of the approved options; ",""))</f>
        <v/>
      </c>
      <c r="Z207">
        <f>IF(COUNTA($A207:$U207)=0,"",IF(AND($A207&lt;&gt;"",NOT(IFERROR(AND(LEN($A207&amp;"")=9,ISNUMBER(--($A207&amp;""))),FALSE))),"Employee SSN must contain exactly 9 digits; ","")&amp;IF(AND($A207&lt;&gt;"",OR($A207="123456789",$A207="987654321",$A207="012345678",$A207=REPT(LEFT($A207&amp;"",1),9))),"Employee SSN appears to be a placeholder; ","")&amp;IF(AND($B207&lt;&gt;"",NOT(IFERROR(AND(LEN($B207&amp;"")=9,ISNUMBER(--($B207&amp;""))),FALSE))),"Dependent SSN must contain exactly 9 digits; ","")&amp;IF(AND($B207&lt;&gt;"",OR($B207="123456789",$B207="987654321",$B207="012345678",$B207=REPT(LEFT($B207&amp;"",1),9))),"Dependent SSN appears to be a placeholder; ","")&amp;IF(AND($A207&lt;&gt;"",$B207&lt;&gt;"",$A207&amp;""=$B207&amp;""),"Dependent SSN cannot match Employee SSN; ","")&amp;IF(AND($W207&lt;&gt;"",OR(COUNTIFS($W$2:$W$501,$W207,$C$2:$C$501,"&lt;&gt;"&amp;$C207)&gt;0,COUNTIFS($W$2:$W$501,$W207,$D$2:$D$501,"&lt;&gt;"&amp;$D207)&gt;0,COUNTIFS($W$2:$W$501,$W207,$L$2:$L$501,"&lt;&gt;"&amp;$L207)&gt;0)),"The same SSN is associated with a different name or birthdate; ",""))</f>
        <v/>
      </c>
      <c r="AA207">
        <f>IF(COUNTA($A207:$U207)=0,"",IF(AND($A207&lt;&gt;"",$S207&lt;&gt;"",COUNTIFS($A$2:$A$501,$A207,$S$2:$S$501,$S207,$B$2:$B$501,"",$O$2:$O$501,"")=0),"Add an employee row for this household and plan; ","")&amp;IF(AND($X207="Dependent",COUNTIFS($A$2:$A207,$A207,$S$2:$S207,$S207,$B$2:$B207,"",$O$2:$O207,"")=0),"Place the employee row before dependent rows for this plan; ","")&amp;IF(AND($X207="Dependent",COUNTIFS($A$2:$A$501,$A207,$S$2:$S$501,$S207,$B$2:$B$501,"",$O$2:$O$501,"")&gt;0,IFERROR(OR($P207&lt;&gt;LOOKUP(2,1/(($A$2:$A$501=$A207)*($S$2:$S$501=$S207)*($B$2:$B$501="")*($O$2:$O$501="")),$P$2:$P$501),$Q207&lt;&gt;LOOKUP(2,1/(($A$2:$A$501=$A207)*($S$2:$S$501=$S207)*($B$2:$B$501="")*($O$2:$O$501="")),$Q$2:$Q$501),$R207&lt;&gt;LOOKUP(2,1/(($A$2:$A$501=$A207)*($S$2:$S$501=$S207)*($B$2:$B$501="")*($O$2:$O$501="")),$R$2:$R$501),$T207&lt;&gt;LOOKUP(2,1/(($A$2:$A$501=$A207)*($S$2:$S$501=$S207)*($B$2:$B$501="")*($O$2:$O$501="")),$T$2:$T$501),$U207&lt;&gt;LOOKUP(2,1/(($A$2:$A$501=$A207)*($S$2:$S$501=$S207)*($B$2:$B$501="")*($O$2:$O$501="")),$U$2:$U$501)),FALSE)),"Dependent row does not match the employee row for eligibility, status, coverage level, or funding; ",""))</f>
        <v/>
      </c>
      <c r="AB207">
        <f>IF(COUNTA($A207:$U207)=0,"",IF($L207="","Birthdate is required; ","")&amp;IF(AND($L207&lt;&gt;"",OR(NOT(ISNUMBER($L207)),$L207&lt;=DATE(1900,1,1),$L207&gt;TODAY())),"Birthdate must be an exact valid past date; ","")&amp;IF($P207="","Eligibility Date is required; ","")&amp;IF(AND($P207&lt;&gt;"",OR(NOT(ISNUMBER($P207)),$P207&lt;=DATE(1900,1,1))),"Eligibility Date must be a valid date; ","")&amp;IF(AND($R207="Terminated",$Q207=""),"Termination Date is required when Status is Terminated; ","")&amp;IF(AND($Q207&lt;&gt;"",OR(NOT(ISNUMBER($Q207)),$Q207&lt;=DATE(1900,1,1))),"Termination Date must be a valid date; ","")&amp;IF(AND(ISNUMBER($P207),ISNUMBER($Q207),$Q207&lt;$P207),"Termination Date cannot be before Eligibility Date; ","")&amp;IF($R207="","Status is required; ","")&amp;IF(AND($R207&lt;&gt;"",$R207&lt;&gt;"Active",$R207&lt;&gt;"Terminated"),"Status must be Active or Terminated; ","")&amp;IF(AND('START HERE'!$C$8="Terminations Only",$R207&lt;&gt;"Terminated"),"Terminations Only files must contain terminated records; ",""))</f>
        <v/>
      </c>
      <c r="AC207">
        <f>IF(COUNTA($A207:$U207)=0,"",IF($S207="","Plan Name is required; ","")&amp;IF($T207="","Benefit Coverage Level is required; ","")&amp;IF(AND($U207&lt;&gt;"",OR(NOT(ISNUMBER($U207)),$U207&lt;0)),"Plan Funding Amount must be a nonnegative number; ","")&amp;IF(AND($A207&lt;&gt;"",$S207&lt;&gt;"",COUNTIFS($A$2:$A$501,$A207,$B$2:$B$501,$B207,$S$2:$S$501,$S207)&gt;1),"Duplicate participant and plan row; ",""))</f>
        <v/>
      </c>
      <c r="AD207">
        <f>IF(COUNTA($A207:$U207)=0,"",IF(AND($X207="Employee",$M207="",$N207=""),"No employee phone or email provided; ","")&amp;IF(AND($R207="Active",$Q207&lt;&gt;""),"Active record includes a Termination Date; confirm this is intentional; ","")&amp;IF(AND($B207&lt;&gt;"",$B207&amp;""&lt;&gt;$A207&amp;"",COUNTIF($A$2:$A$501,$B207)&gt;0),"Dependent SSN also appears as an Employee SSN elsewhere; confirm dual-employee coverage is intentional; ","")&amp;IF(AND($B207&lt;&gt;"",COUNTIF($B$2:$B$501,$B207)&gt;COUNTIFS($A$2:$A$501,$A207,$B$2:$B$501,$B207)),"Dependent SSN appears under more than one employee; confirm duplicate family coverage is intentional; ","")&amp;IF(AND(ROW()&gt;2,$A207&lt;&gt;"",$A207&lt;&gt;$A206,COUNTIF($A$2:$A206,$A207)&gt;0),"This household appears in more than one section of the census; keep the family together; ","")&amp;IF(OR(AND($C207&lt;&gt;"",LEN($C207&amp;"")&lt;&gt;LEN(TRIM($C207&amp;""))),AND($D207&lt;&gt;"",LEN($D207&amp;"")&lt;&gt;LEN(TRIM($D207&amp;""))),AND($E207&lt;&gt;"",LEN($E207&amp;"")&lt;&gt;LEN(TRIM($E207&amp;""))),AND($F207&lt;&gt;"",LEN($F207&amp;"")&lt;&gt;LEN(TRIM($F207&amp;""))),AND($G207&lt;&gt;"",LEN($G207&amp;"")&lt;&gt;LEN(TRIM($G207&amp;""))),AND($H207&lt;&gt;"",LEN($H207&amp;"")&lt;&gt;LEN(TRIM($H207&amp;""))),AND($I207&lt;&gt;"",LEN($I207&amp;"")&lt;&gt;LEN(TRIM($I207&amp;""))),AND($J207&lt;&gt;"",LEN($J207&amp;"")&lt;&gt;LEN(TRIM($J207&amp;""))),AND($K207&lt;&gt;"",LEN($K207&amp;"")&lt;&gt;LEN(TRIM($K207&amp;""))),AND($M207&lt;&gt;"",LEN($M207&amp;"")&lt;&gt;LEN(TRIM($M207&amp;""))),AND($N207&lt;&gt;"",LEN($N207&amp;"")&lt;&gt;LEN(TRIM($N207&amp;""))),AND($O207&lt;&gt;"",LEN($O207&amp;"")&lt;&gt;LEN(TRIM($O207&amp;""))),AND($R207&lt;&gt;"",LEN($R207&amp;"")&lt;&gt;LEN(TRIM($R207&amp;""))),AND($S207&lt;&gt;"",LEN($S207&amp;"")&lt;&gt;LEN(TRIM($S207&amp;""))),AND($T207&lt;&gt;"",LEN($T207&amp;"")&lt;&gt;LEN(TRIM($T207&amp;"")))),"Remove leading or trailing spaces from text fields; ","")&amp;IF(OR(AND(LEN($C207)&gt;1,OR(EXACT($C207,UPPER($C207)),EXACT($C207,LOWER($C207)))),AND(LEN($D207)&gt;1,OR(EXACT($D207,UPPER($D207)),EXACT($D207,LOWER($D207)))),AND(LEN($H207)&gt;1,OR(EXACT($H207,UPPER($H207)),EXACT($H207,LOWER($H207))))),"Review capitalization in First Name, Last Name, or City; ","")&amp;IF(AND($N207&lt;&gt;"",NOT(EXACT($N207,LOWER($N207)))),"Email will be standardized to lowercase in the clean output; ","")&amp;IF(AND(OR('START HERE'!$C$8="Initial Enrollment",'START HERE'!$C$8="Open Enrollment"),$R207="Terminated"),"A terminated row is included in an initial or open enrollment file; confirm this is intentional; ",""))</f>
        <v/>
      </c>
      <c r="AE207">
        <f>IF(COUNTA($A207:$U207)=0,"",IF(OR($A207="",AND($A207&lt;&gt;"",NOT(IFERROR(AND(LEN($A207&amp;"")=9,ISNUMBER(--($A207&amp;""))),FALSE))),AND($A207&lt;&gt;"",OR($A207="123456789",$A207="987654321",$A207="012345678",$A207=REPT(LEFT($A207&amp;"",1),9)))),"Employee SSN, ","")&amp;IF(OR(AND($O207&lt;&gt;"",$B207=""),AND($B207&lt;&gt;"",OR(NOT(IFERROR(AND(LEN($B207&amp;"")=9,ISNUMBER(--($B207&amp;""))),FALSE)),$B207=$A207,$B207="123456789",$B207="987654321",$B207="012345678",$B207=REPT(LEFT($B207&amp;"",1),9)))),"Dependent SSN, ","")&amp;IF(OR($C207="",LEN($C207)&gt;19,AND($C207&lt;&gt;"",SUMPRODUCT(--(ROW($1:$19)&lt;=LEN($C207&amp;"")),--ISERROR(FIND(MID($C207&amp;"",ROW($1:$19),1),"ABCDEFGHIJKLMNOPQRSTUVWXYZabcdefghijklmnopqrstuvwxyz .,")))&gt;0)),"First Name, ","")&amp;IF(OR($D207="",LEN($D207)&gt;26,AND($D207&lt;&gt;"",SUMPRODUCT(--(ROW($1:$26)&lt;=LEN($D207&amp;"")),--ISERROR(FIND(MID($D207&amp;"",ROW($1:$26),1),"ABCDEFGHIJKLMNOPQRSTUVWXYZabcdefghijklmnopqrstuvwxyz .,")))&gt;0)),"Last Name, ","")&amp;IF(OR(LEN($E207)&gt;1,AND($E207&lt;&gt;"",SUMPRODUCT(--(ROW($1:$1)&lt;=LEN($E207&amp;"")),--ISERROR(FIND(MID($E207&amp;"",ROW($1:$1),1),"ABCDEFGHIJKLMNOPQRSTUVWXYZabcdefghijklmnopqrstuvwxyz .,")))&gt;0)),"Middle Initial, ","")&amp;IF(OR($F207="",LEN($F207)&gt;75),"Address, ","")&amp;IF(OR($H207="",LEN($H207)&gt;30),"City, ","")&amp;IF(AND($K207="US",OR($I207="",LEN($I207)&lt;&gt;2)),"State, ","")&amp;IF($J207="","ZIP, ","")&amp;IF(OR($K207="",AND($K207&lt;&gt;"US",$K207&lt;&gt;"CA")),"Country, ","")&amp;IF(OR($L207="",AND($L207&lt;&gt;"",OR(NOT(ISNUMBER($L207)),$L207&lt;=DATE(1900,1,1),$L207&gt;TODAY()))),"Birthdate, ","")&amp;IF(AND($N207&lt;&gt;"",NOT(IFERROR(AND(ISNUMBER(SEARCH("@",$N207)),ISNUMBER(SEARCH(".",$N207,SEARCH("@",$N207)+2))),FALSE))),"Email, ","")&amp;IF(OR(AND($B207&lt;&gt;"",$O207=""),AND($O207&lt;&gt;"",$O207&lt;&gt;"Spouse or Common Law Spouse",$O207&lt;&gt;"Domestic Partner",$O207&lt;&gt;"Child",$O207&lt;&gt;"Other",$O207&lt;&gt;"Estate",$O207&lt;&gt;"Unknown")),"Dependent Relationship, ","")&amp;IF($AA207&lt;&gt;"","Household, ","")&amp;IF(OR($P207="",AND($P207&lt;&gt;"",OR(NOT(ISNUMBER($P207)),$P207&lt;=DATE(1900,1,1)))),"Eligibility Date, ","")&amp;IF(OR(AND($R207="Terminated",$Q207=""),AND($Q207&lt;&gt;"",OR(NOT(ISNUMBER($Q207)),$Q207&lt;=DATE(1900,1,1))),AND(ISNUMBER($P207),ISNUMBER($Q207),$Q207&lt;$P207)),"Termination Date, ","")&amp;IF(OR($R207="",AND($R207&lt;&gt;"Active",$R207&lt;&gt;"Terminated"),AND('START HERE'!$C$8="Terminations Only",$R207&lt;&gt;"Terminated")),"Status, ","")&amp;IF($S207="","Plan Name, ","")&amp;IF($T207="","Coverage Level, ","")&amp;IF(AND($U207&lt;&gt;"",OR(NOT(ISNUMBER($U207)),$U207&lt;0)),"Funding, ","")&amp;IF(AND($A207&lt;&gt;"",$S207&lt;&gt;"",COUNTIFS($A$2:$A$501,$A207,$B$2:$B$501,$B207,$S$2:$S$501,$S207)&gt;1),"Duplicate Row, ",""))</f>
        <v/>
      </c>
      <c r="AF207">
        <f>IF(COUNTA($A207:$U207)=0,"",$Y207&amp;$Z207&amp;$AA207&amp;$AB207&amp;$AC207)</f>
        <v/>
      </c>
      <c r="AG207">
        <f>IF($N207="","",LOWER(TRIM($N207)))</f>
        <v/>
      </c>
      <c r="AH207">
        <f>IF($A207="","",COUNTIFS($A$2:$A$501,$A207,$AI$2:$AI$501,1))</f>
        <v/>
      </c>
      <c r="AI207">
        <f>IF(COUNTA($A207:$U207)=0,"",--($AF207&lt;&gt;""))</f>
        <v/>
      </c>
      <c r="AJ207">
        <f>IF(COUNTA($A207:$U207)=0,"",--($AD207&lt;&gt;""))</f>
        <v/>
      </c>
    </row>
    <row r="208" ht="20" customHeight="1">
      <c r="A208" s="80" t="n"/>
      <c r="B208" s="80" t="n"/>
      <c r="C208" s="81" t="n"/>
      <c r="D208" s="81" t="n"/>
      <c r="E208" s="80" t="n"/>
      <c r="F208" s="81" t="n"/>
      <c r="G208" s="81" t="n"/>
      <c r="H208" s="81" t="n"/>
      <c r="I208" s="80" t="n"/>
      <c r="J208" s="80" t="n"/>
      <c r="K208" s="80" t="n"/>
      <c r="L208" s="82" t="n"/>
      <c r="M208" s="80" t="n"/>
      <c r="N208" s="80" t="n"/>
      <c r="O208" s="80" t="n"/>
      <c r="P208" s="82" t="n"/>
      <c r="Q208" s="82" t="n"/>
      <c r="R208" s="80" t="n"/>
      <c r="S208" s="80" t="n"/>
      <c r="T208" s="80" t="n"/>
      <c r="U208" s="83" t="n"/>
      <c r="V208">
        <f>IF($A208="","",IF($A208=$A207,$V207,IF($V207="",0,1-$V207)))</f>
        <v/>
      </c>
      <c r="W208">
        <f>IF($B208&lt;&gt;"",$B208,$A208)</f>
        <v/>
      </c>
      <c r="X208">
        <f>IF(COUNTA($A208:$U208)=0,"",IF(OR($B208&lt;&gt;"",$O208&lt;&gt;""),"Dependent","Employee"))</f>
        <v/>
      </c>
      <c r="Y208">
        <f>IF(COUNTA($A208:$U208)=0,"",IF($A208="","Employee SSN is required; ","")&amp;IF($C208="","First Name is required; ","")&amp;IF(LEN($C208&amp;"")&gt;19,"First Name exceeds 19 characters; ","")&amp;IF(AND($C208&lt;&gt;"",SUMPRODUCT(--(ROW($1:$19)&lt;=LEN($C208&amp;"")),--ISERROR(FIND(MID($C208&amp;"",ROW($1:$19),1),"ABCDEFGHIJKLMNOPQRSTUVWXYZabcdefghijklmnopqrstuvwxyz .,")))&gt;0),"First Name contains unsupported or encoded characters; use plain A-Z letters only; ","")&amp;IF($D208="","Last Name is required; ","")&amp;IF(LEN($D208&amp;"")&gt;26,"Last Name exceeds 26 characters; ","")&amp;IF(AND($D208&lt;&gt;"",SUMPRODUCT(--(ROW($1:$26)&lt;=LEN($D208&amp;"")),--ISERROR(FIND(MID($D208&amp;"",ROW($1:$26),1),"ABCDEFGHIJKLMNOPQRSTUVWXYZabcdefghijklmnopqrstuvwxyz .,")))&gt;0),"Last Name contains unsupported or encoded characters; use plain A-Z letters only; ","")&amp;IF(LEN($E208&amp;"")&gt;1,"Middle Initial may contain only one character; ","")&amp;IF(AND($E208&lt;&gt;"",SUMPRODUCT(--(ROW($1:$1)&lt;=LEN($E208&amp;"")),--ISERROR(FIND(MID($E208&amp;"",ROW($1:$1),1),"ABCDEFGHIJKLMNOPQRSTUVWXYZabcdefghijklmnopqrstuvwxyz .,")))&gt;0),"Middle Initial must be a plain A-Z letter; ","")&amp;IF($F208="","Address is required; ","")&amp;IF(LEN($F208&amp;"")&gt;75,"Address exceeds 75 characters; ","")&amp;IF(LEN($G208&amp;"")&gt;75,"Address 2 exceeds 75 characters; ","")&amp;IF($H208="","City is required; ","")&amp;IF(LEN($H208&amp;"")&gt;30,"City exceeds 30 characters; ","")&amp;IF($K208="","Country is required; ","")&amp;IF(AND($K208&lt;&gt;"",$K208&lt;&gt;"US",$K208&lt;&gt;"CA"),"Country must be US or CA; ","")&amp;IF(AND($K208="US",OR($I208="",LEN($I208&amp;"")&lt;&gt;2)),"Use a 2-letter state code; ","")&amp;IF($J208="","ZIP or postal code is required; ","")&amp;IF(AND($K208="US",$J208&lt;&gt;"",NOT(IFERROR(OR(AND(LEN($J208&amp;"")=5,ISNUMBER(--($J208&amp;""))),AND(LEN($J208&amp;"")=9,ISNUMBER(--($J208&amp;""))),AND(LEN($J208&amp;"")=10,MID($J208&amp;"",6,1)="-",ISNUMBER(--SUBSTITUTE($J208&amp;"","-","")))),FALSE))),"US ZIP must be 5 or 9 digits, with an optional ZIP+4 hyphen; ","")&amp;IF(AND($N208&lt;&gt;"",NOT(IFERROR(AND(ISNUMBER(SEARCH("@",$N208)),ISNUMBER(SEARCH(".",$N208,SEARCH("@",$N208)+2))),FALSE))),"Email format appears invalid; ","")&amp;IF(AND($O208&lt;&gt;"",$B208=""),"Dependent SSN is required for every dependent; ","")&amp;IF(AND($B208&lt;&gt;"",$O208=""),"Dependent Relationship is required when Dependent SSN is entered; ","")&amp;IF(AND($O208&lt;&gt;"",$O208&lt;&gt;"Spouse or Common Law Spouse",$O208&lt;&gt;"Domestic Partner",$O208&lt;&gt;"Child",$O208&lt;&gt;"Other",$O208&lt;&gt;"Estate",$O208&lt;&gt;"Unknown"),"Dependent Relationship must use one of the approved options; ",""))</f>
        <v/>
      </c>
      <c r="Z208">
        <f>IF(COUNTA($A208:$U208)=0,"",IF(AND($A208&lt;&gt;"",NOT(IFERROR(AND(LEN($A208&amp;"")=9,ISNUMBER(--($A208&amp;""))),FALSE))),"Employee SSN must contain exactly 9 digits; ","")&amp;IF(AND($A208&lt;&gt;"",OR($A208="123456789",$A208="987654321",$A208="012345678",$A208=REPT(LEFT($A208&amp;"",1),9))),"Employee SSN appears to be a placeholder; ","")&amp;IF(AND($B208&lt;&gt;"",NOT(IFERROR(AND(LEN($B208&amp;"")=9,ISNUMBER(--($B208&amp;""))),FALSE))),"Dependent SSN must contain exactly 9 digits; ","")&amp;IF(AND($B208&lt;&gt;"",OR($B208="123456789",$B208="987654321",$B208="012345678",$B208=REPT(LEFT($B208&amp;"",1),9))),"Dependent SSN appears to be a placeholder; ","")&amp;IF(AND($A208&lt;&gt;"",$B208&lt;&gt;"",$A208&amp;""=$B208&amp;""),"Dependent SSN cannot match Employee SSN; ","")&amp;IF(AND($W208&lt;&gt;"",OR(COUNTIFS($W$2:$W$501,$W208,$C$2:$C$501,"&lt;&gt;"&amp;$C208)&gt;0,COUNTIFS($W$2:$W$501,$W208,$D$2:$D$501,"&lt;&gt;"&amp;$D208)&gt;0,COUNTIFS($W$2:$W$501,$W208,$L$2:$L$501,"&lt;&gt;"&amp;$L208)&gt;0)),"The same SSN is associated with a different name or birthdate; ",""))</f>
        <v/>
      </c>
      <c r="AA208">
        <f>IF(COUNTA($A208:$U208)=0,"",IF(AND($A208&lt;&gt;"",$S208&lt;&gt;"",COUNTIFS($A$2:$A$501,$A208,$S$2:$S$501,$S208,$B$2:$B$501,"",$O$2:$O$501,"")=0),"Add an employee row for this household and plan; ","")&amp;IF(AND($X208="Dependent",COUNTIFS($A$2:$A208,$A208,$S$2:$S208,$S208,$B$2:$B208,"",$O$2:$O208,"")=0),"Place the employee row before dependent rows for this plan; ","")&amp;IF(AND($X208="Dependent",COUNTIFS($A$2:$A$501,$A208,$S$2:$S$501,$S208,$B$2:$B$501,"",$O$2:$O$501,"")&gt;0,IFERROR(OR($P208&lt;&gt;LOOKUP(2,1/(($A$2:$A$501=$A208)*($S$2:$S$501=$S208)*($B$2:$B$501="")*($O$2:$O$501="")),$P$2:$P$501),$Q208&lt;&gt;LOOKUP(2,1/(($A$2:$A$501=$A208)*($S$2:$S$501=$S208)*($B$2:$B$501="")*($O$2:$O$501="")),$Q$2:$Q$501),$R208&lt;&gt;LOOKUP(2,1/(($A$2:$A$501=$A208)*($S$2:$S$501=$S208)*($B$2:$B$501="")*($O$2:$O$501="")),$R$2:$R$501),$T208&lt;&gt;LOOKUP(2,1/(($A$2:$A$501=$A208)*($S$2:$S$501=$S208)*($B$2:$B$501="")*($O$2:$O$501="")),$T$2:$T$501),$U208&lt;&gt;LOOKUP(2,1/(($A$2:$A$501=$A208)*($S$2:$S$501=$S208)*($B$2:$B$501="")*($O$2:$O$501="")),$U$2:$U$501)),FALSE)),"Dependent row does not match the employee row for eligibility, status, coverage level, or funding; ",""))</f>
        <v/>
      </c>
      <c r="AB208">
        <f>IF(COUNTA($A208:$U208)=0,"",IF($L208="","Birthdate is required; ","")&amp;IF(AND($L208&lt;&gt;"",OR(NOT(ISNUMBER($L208)),$L208&lt;=DATE(1900,1,1),$L208&gt;TODAY())),"Birthdate must be an exact valid past date; ","")&amp;IF($P208="","Eligibility Date is required; ","")&amp;IF(AND($P208&lt;&gt;"",OR(NOT(ISNUMBER($P208)),$P208&lt;=DATE(1900,1,1))),"Eligibility Date must be a valid date; ","")&amp;IF(AND($R208="Terminated",$Q208=""),"Termination Date is required when Status is Terminated; ","")&amp;IF(AND($Q208&lt;&gt;"",OR(NOT(ISNUMBER($Q208)),$Q208&lt;=DATE(1900,1,1))),"Termination Date must be a valid date; ","")&amp;IF(AND(ISNUMBER($P208),ISNUMBER($Q208),$Q208&lt;$P208),"Termination Date cannot be before Eligibility Date; ","")&amp;IF($R208="","Status is required; ","")&amp;IF(AND($R208&lt;&gt;"",$R208&lt;&gt;"Active",$R208&lt;&gt;"Terminated"),"Status must be Active or Terminated; ","")&amp;IF(AND('START HERE'!$C$8="Terminations Only",$R208&lt;&gt;"Terminated"),"Terminations Only files must contain terminated records; ",""))</f>
        <v/>
      </c>
      <c r="AC208">
        <f>IF(COUNTA($A208:$U208)=0,"",IF($S208="","Plan Name is required; ","")&amp;IF($T208="","Benefit Coverage Level is required; ","")&amp;IF(AND($U208&lt;&gt;"",OR(NOT(ISNUMBER($U208)),$U208&lt;0)),"Plan Funding Amount must be a nonnegative number; ","")&amp;IF(AND($A208&lt;&gt;"",$S208&lt;&gt;"",COUNTIFS($A$2:$A$501,$A208,$B$2:$B$501,$B208,$S$2:$S$501,$S208)&gt;1),"Duplicate participant and plan row; ",""))</f>
        <v/>
      </c>
      <c r="AD208">
        <f>IF(COUNTA($A208:$U208)=0,"",IF(AND($X208="Employee",$M208="",$N208=""),"No employee phone or email provided; ","")&amp;IF(AND($R208="Active",$Q208&lt;&gt;""),"Active record includes a Termination Date; confirm this is intentional; ","")&amp;IF(AND($B208&lt;&gt;"",$B208&amp;""&lt;&gt;$A208&amp;"",COUNTIF($A$2:$A$501,$B208)&gt;0),"Dependent SSN also appears as an Employee SSN elsewhere; confirm dual-employee coverage is intentional; ","")&amp;IF(AND($B208&lt;&gt;"",COUNTIF($B$2:$B$501,$B208)&gt;COUNTIFS($A$2:$A$501,$A208,$B$2:$B$501,$B208)),"Dependent SSN appears under more than one employee; confirm duplicate family coverage is intentional; ","")&amp;IF(AND(ROW()&gt;2,$A208&lt;&gt;"",$A208&lt;&gt;$A207,COUNTIF($A$2:$A207,$A208)&gt;0),"This household appears in more than one section of the census; keep the family together; ","")&amp;IF(OR(AND($C208&lt;&gt;"",LEN($C208&amp;"")&lt;&gt;LEN(TRIM($C208&amp;""))),AND($D208&lt;&gt;"",LEN($D208&amp;"")&lt;&gt;LEN(TRIM($D208&amp;""))),AND($E208&lt;&gt;"",LEN($E208&amp;"")&lt;&gt;LEN(TRIM($E208&amp;""))),AND($F208&lt;&gt;"",LEN($F208&amp;"")&lt;&gt;LEN(TRIM($F208&amp;""))),AND($G208&lt;&gt;"",LEN($G208&amp;"")&lt;&gt;LEN(TRIM($G208&amp;""))),AND($H208&lt;&gt;"",LEN($H208&amp;"")&lt;&gt;LEN(TRIM($H208&amp;""))),AND($I208&lt;&gt;"",LEN($I208&amp;"")&lt;&gt;LEN(TRIM($I208&amp;""))),AND($J208&lt;&gt;"",LEN($J208&amp;"")&lt;&gt;LEN(TRIM($J208&amp;""))),AND($K208&lt;&gt;"",LEN($K208&amp;"")&lt;&gt;LEN(TRIM($K208&amp;""))),AND($M208&lt;&gt;"",LEN($M208&amp;"")&lt;&gt;LEN(TRIM($M208&amp;""))),AND($N208&lt;&gt;"",LEN($N208&amp;"")&lt;&gt;LEN(TRIM($N208&amp;""))),AND($O208&lt;&gt;"",LEN($O208&amp;"")&lt;&gt;LEN(TRIM($O208&amp;""))),AND($R208&lt;&gt;"",LEN($R208&amp;"")&lt;&gt;LEN(TRIM($R208&amp;""))),AND($S208&lt;&gt;"",LEN($S208&amp;"")&lt;&gt;LEN(TRIM($S208&amp;""))),AND($T208&lt;&gt;"",LEN($T208&amp;"")&lt;&gt;LEN(TRIM($T208&amp;"")))),"Remove leading or trailing spaces from text fields; ","")&amp;IF(OR(AND(LEN($C208)&gt;1,OR(EXACT($C208,UPPER($C208)),EXACT($C208,LOWER($C208)))),AND(LEN($D208)&gt;1,OR(EXACT($D208,UPPER($D208)),EXACT($D208,LOWER($D208)))),AND(LEN($H208)&gt;1,OR(EXACT($H208,UPPER($H208)),EXACT($H208,LOWER($H208))))),"Review capitalization in First Name, Last Name, or City; ","")&amp;IF(AND($N208&lt;&gt;"",NOT(EXACT($N208,LOWER($N208)))),"Email will be standardized to lowercase in the clean output; ","")&amp;IF(AND(OR('START HERE'!$C$8="Initial Enrollment",'START HERE'!$C$8="Open Enrollment"),$R208="Terminated"),"A terminated row is included in an initial or open enrollment file; confirm this is intentional; ",""))</f>
        <v/>
      </c>
      <c r="AE208">
        <f>IF(COUNTA($A208:$U208)=0,"",IF(OR($A208="",AND($A208&lt;&gt;"",NOT(IFERROR(AND(LEN($A208&amp;"")=9,ISNUMBER(--($A208&amp;""))),FALSE))),AND($A208&lt;&gt;"",OR($A208="123456789",$A208="987654321",$A208="012345678",$A208=REPT(LEFT($A208&amp;"",1),9)))),"Employee SSN, ","")&amp;IF(OR(AND($O208&lt;&gt;"",$B208=""),AND($B208&lt;&gt;"",OR(NOT(IFERROR(AND(LEN($B208&amp;"")=9,ISNUMBER(--($B208&amp;""))),FALSE)),$B208=$A208,$B208="123456789",$B208="987654321",$B208="012345678",$B208=REPT(LEFT($B208&amp;"",1),9)))),"Dependent SSN, ","")&amp;IF(OR($C208="",LEN($C208)&gt;19,AND($C208&lt;&gt;"",SUMPRODUCT(--(ROW($1:$19)&lt;=LEN($C208&amp;"")),--ISERROR(FIND(MID($C208&amp;"",ROW($1:$19),1),"ABCDEFGHIJKLMNOPQRSTUVWXYZabcdefghijklmnopqrstuvwxyz .,")))&gt;0)),"First Name, ","")&amp;IF(OR($D208="",LEN($D208)&gt;26,AND($D208&lt;&gt;"",SUMPRODUCT(--(ROW($1:$26)&lt;=LEN($D208&amp;"")),--ISERROR(FIND(MID($D208&amp;"",ROW($1:$26),1),"ABCDEFGHIJKLMNOPQRSTUVWXYZabcdefghijklmnopqrstuvwxyz .,")))&gt;0)),"Last Name, ","")&amp;IF(OR(LEN($E208)&gt;1,AND($E208&lt;&gt;"",SUMPRODUCT(--(ROW($1:$1)&lt;=LEN($E208&amp;"")),--ISERROR(FIND(MID($E208&amp;"",ROW($1:$1),1),"ABCDEFGHIJKLMNOPQRSTUVWXYZabcdefghijklmnopqrstuvwxyz .,")))&gt;0)),"Middle Initial, ","")&amp;IF(OR($F208="",LEN($F208)&gt;75),"Address, ","")&amp;IF(OR($H208="",LEN($H208)&gt;30),"City, ","")&amp;IF(AND($K208="US",OR($I208="",LEN($I208)&lt;&gt;2)),"State, ","")&amp;IF($J208="","ZIP, ","")&amp;IF(OR($K208="",AND($K208&lt;&gt;"US",$K208&lt;&gt;"CA")),"Country, ","")&amp;IF(OR($L208="",AND($L208&lt;&gt;"",OR(NOT(ISNUMBER($L208)),$L208&lt;=DATE(1900,1,1),$L208&gt;TODAY()))),"Birthdate, ","")&amp;IF(AND($N208&lt;&gt;"",NOT(IFERROR(AND(ISNUMBER(SEARCH("@",$N208)),ISNUMBER(SEARCH(".",$N208,SEARCH("@",$N208)+2))),FALSE))),"Email, ","")&amp;IF(OR(AND($B208&lt;&gt;"",$O208=""),AND($O208&lt;&gt;"",$O208&lt;&gt;"Spouse or Common Law Spouse",$O208&lt;&gt;"Domestic Partner",$O208&lt;&gt;"Child",$O208&lt;&gt;"Other",$O208&lt;&gt;"Estate",$O208&lt;&gt;"Unknown")),"Dependent Relationship, ","")&amp;IF($AA208&lt;&gt;"","Household, ","")&amp;IF(OR($P208="",AND($P208&lt;&gt;"",OR(NOT(ISNUMBER($P208)),$P208&lt;=DATE(1900,1,1)))),"Eligibility Date, ","")&amp;IF(OR(AND($R208="Terminated",$Q208=""),AND($Q208&lt;&gt;"",OR(NOT(ISNUMBER($Q208)),$Q208&lt;=DATE(1900,1,1))),AND(ISNUMBER($P208),ISNUMBER($Q208),$Q208&lt;$P208)),"Termination Date, ","")&amp;IF(OR($R208="",AND($R208&lt;&gt;"Active",$R208&lt;&gt;"Terminated"),AND('START HERE'!$C$8="Terminations Only",$R208&lt;&gt;"Terminated")),"Status, ","")&amp;IF($S208="","Plan Name, ","")&amp;IF($T208="","Coverage Level, ","")&amp;IF(AND($U208&lt;&gt;"",OR(NOT(ISNUMBER($U208)),$U208&lt;0)),"Funding, ","")&amp;IF(AND($A208&lt;&gt;"",$S208&lt;&gt;"",COUNTIFS($A$2:$A$501,$A208,$B$2:$B$501,$B208,$S$2:$S$501,$S208)&gt;1),"Duplicate Row, ",""))</f>
        <v/>
      </c>
      <c r="AF208">
        <f>IF(COUNTA($A208:$U208)=0,"",$Y208&amp;$Z208&amp;$AA208&amp;$AB208&amp;$AC208)</f>
        <v/>
      </c>
      <c r="AG208">
        <f>IF($N208="","",LOWER(TRIM($N208)))</f>
        <v/>
      </c>
      <c r="AH208">
        <f>IF($A208="","",COUNTIFS($A$2:$A$501,$A208,$AI$2:$AI$501,1))</f>
        <v/>
      </c>
      <c r="AI208">
        <f>IF(COUNTA($A208:$U208)=0,"",--($AF208&lt;&gt;""))</f>
        <v/>
      </c>
      <c r="AJ208">
        <f>IF(COUNTA($A208:$U208)=0,"",--($AD208&lt;&gt;""))</f>
        <v/>
      </c>
    </row>
    <row r="209" ht="20" customHeight="1">
      <c r="A209" s="80" t="n"/>
      <c r="B209" s="80" t="n"/>
      <c r="C209" s="81" t="n"/>
      <c r="D209" s="81" t="n"/>
      <c r="E209" s="80" t="n"/>
      <c r="F209" s="81" t="n"/>
      <c r="G209" s="81" t="n"/>
      <c r="H209" s="81" t="n"/>
      <c r="I209" s="80" t="n"/>
      <c r="J209" s="80" t="n"/>
      <c r="K209" s="80" t="n"/>
      <c r="L209" s="82" t="n"/>
      <c r="M209" s="80" t="n"/>
      <c r="N209" s="80" t="n"/>
      <c r="O209" s="80" t="n"/>
      <c r="P209" s="82" t="n"/>
      <c r="Q209" s="82" t="n"/>
      <c r="R209" s="80" t="n"/>
      <c r="S209" s="80" t="n"/>
      <c r="T209" s="80" t="n"/>
      <c r="U209" s="83" t="n"/>
      <c r="V209">
        <f>IF($A209="","",IF($A209=$A208,$V208,IF($V208="",0,1-$V208)))</f>
        <v/>
      </c>
      <c r="W209">
        <f>IF($B209&lt;&gt;"",$B209,$A209)</f>
        <v/>
      </c>
      <c r="X209">
        <f>IF(COUNTA($A209:$U209)=0,"",IF(OR($B209&lt;&gt;"",$O209&lt;&gt;""),"Dependent","Employee"))</f>
        <v/>
      </c>
      <c r="Y209">
        <f>IF(COUNTA($A209:$U209)=0,"",IF($A209="","Employee SSN is required; ","")&amp;IF($C209="","First Name is required; ","")&amp;IF(LEN($C209&amp;"")&gt;19,"First Name exceeds 19 characters; ","")&amp;IF(AND($C209&lt;&gt;"",SUMPRODUCT(--(ROW($1:$19)&lt;=LEN($C209&amp;"")),--ISERROR(FIND(MID($C209&amp;"",ROW($1:$19),1),"ABCDEFGHIJKLMNOPQRSTUVWXYZabcdefghijklmnopqrstuvwxyz .,")))&gt;0),"First Name contains unsupported or encoded characters; use plain A-Z letters only; ","")&amp;IF($D209="","Last Name is required; ","")&amp;IF(LEN($D209&amp;"")&gt;26,"Last Name exceeds 26 characters; ","")&amp;IF(AND($D209&lt;&gt;"",SUMPRODUCT(--(ROW($1:$26)&lt;=LEN($D209&amp;"")),--ISERROR(FIND(MID($D209&amp;"",ROW($1:$26),1),"ABCDEFGHIJKLMNOPQRSTUVWXYZabcdefghijklmnopqrstuvwxyz .,")))&gt;0),"Last Name contains unsupported or encoded characters; use plain A-Z letters only; ","")&amp;IF(LEN($E209&amp;"")&gt;1,"Middle Initial may contain only one character; ","")&amp;IF(AND($E209&lt;&gt;"",SUMPRODUCT(--(ROW($1:$1)&lt;=LEN($E209&amp;"")),--ISERROR(FIND(MID($E209&amp;"",ROW($1:$1),1),"ABCDEFGHIJKLMNOPQRSTUVWXYZabcdefghijklmnopqrstuvwxyz .,")))&gt;0),"Middle Initial must be a plain A-Z letter; ","")&amp;IF($F209="","Address is required; ","")&amp;IF(LEN($F209&amp;"")&gt;75,"Address exceeds 75 characters; ","")&amp;IF(LEN($G209&amp;"")&gt;75,"Address 2 exceeds 75 characters; ","")&amp;IF($H209="","City is required; ","")&amp;IF(LEN($H209&amp;"")&gt;30,"City exceeds 30 characters; ","")&amp;IF($K209="","Country is required; ","")&amp;IF(AND($K209&lt;&gt;"",$K209&lt;&gt;"US",$K209&lt;&gt;"CA"),"Country must be US or CA; ","")&amp;IF(AND($K209="US",OR($I209="",LEN($I209&amp;"")&lt;&gt;2)),"Use a 2-letter state code; ","")&amp;IF($J209="","ZIP or postal code is required; ","")&amp;IF(AND($K209="US",$J209&lt;&gt;"",NOT(IFERROR(OR(AND(LEN($J209&amp;"")=5,ISNUMBER(--($J209&amp;""))),AND(LEN($J209&amp;"")=9,ISNUMBER(--($J209&amp;""))),AND(LEN($J209&amp;"")=10,MID($J209&amp;"",6,1)="-",ISNUMBER(--SUBSTITUTE($J209&amp;"","-","")))),FALSE))),"US ZIP must be 5 or 9 digits, with an optional ZIP+4 hyphen; ","")&amp;IF(AND($N209&lt;&gt;"",NOT(IFERROR(AND(ISNUMBER(SEARCH("@",$N209)),ISNUMBER(SEARCH(".",$N209,SEARCH("@",$N209)+2))),FALSE))),"Email format appears invalid; ","")&amp;IF(AND($O209&lt;&gt;"",$B209=""),"Dependent SSN is required for every dependent; ","")&amp;IF(AND($B209&lt;&gt;"",$O209=""),"Dependent Relationship is required when Dependent SSN is entered; ","")&amp;IF(AND($O209&lt;&gt;"",$O209&lt;&gt;"Spouse or Common Law Spouse",$O209&lt;&gt;"Domestic Partner",$O209&lt;&gt;"Child",$O209&lt;&gt;"Other",$O209&lt;&gt;"Estate",$O209&lt;&gt;"Unknown"),"Dependent Relationship must use one of the approved options; ",""))</f>
        <v/>
      </c>
      <c r="Z209">
        <f>IF(COUNTA($A209:$U209)=0,"",IF(AND($A209&lt;&gt;"",NOT(IFERROR(AND(LEN($A209&amp;"")=9,ISNUMBER(--($A209&amp;""))),FALSE))),"Employee SSN must contain exactly 9 digits; ","")&amp;IF(AND($A209&lt;&gt;"",OR($A209="123456789",$A209="987654321",$A209="012345678",$A209=REPT(LEFT($A209&amp;"",1),9))),"Employee SSN appears to be a placeholder; ","")&amp;IF(AND($B209&lt;&gt;"",NOT(IFERROR(AND(LEN($B209&amp;"")=9,ISNUMBER(--($B209&amp;""))),FALSE))),"Dependent SSN must contain exactly 9 digits; ","")&amp;IF(AND($B209&lt;&gt;"",OR($B209="123456789",$B209="987654321",$B209="012345678",$B209=REPT(LEFT($B209&amp;"",1),9))),"Dependent SSN appears to be a placeholder; ","")&amp;IF(AND($A209&lt;&gt;"",$B209&lt;&gt;"",$A209&amp;""=$B209&amp;""),"Dependent SSN cannot match Employee SSN; ","")&amp;IF(AND($W209&lt;&gt;"",OR(COUNTIFS($W$2:$W$501,$W209,$C$2:$C$501,"&lt;&gt;"&amp;$C209)&gt;0,COUNTIFS($W$2:$W$501,$W209,$D$2:$D$501,"&lt;&gt;"&amp;$D209)&gt;0,COUNTIFS($W$2:$W$501,$W209,$L$2:$L$501,"&lt;&gt;"&amp;$L209)&gt;0)),"The same SSN is associated with a different name or birthdate; ",""))</f>
        <v/>
      </c>
      <c r="AA209">
        <f>IF(COUNTA($A209:$U209)=0,"",IF(AND($A209&lt;&gt;"",$S209&lt;&gt;"",COUNTIFS($A$2:$A$501,$A209,$S$2:$S$501,$S209,$B$2:$B$501,"",$O$2:$O$501,"")=0),"Add an employee row for this household and plan; ","")&amp;IF(AND($X209="Dependent",COUNTIFS($A$2:$A209,$A209,$S$2:$S209,$S209,$B$2:$B209,"",$O$2:$O209,"")=0),"Place the employee row before dependent rows for this plan; ","")&amp;IF(AND($X209="Dependent",COUNTIFS($A$2:$A$501,$A209,$S$2:$S$501,$S209,$B$2:$B$501,"",$O$2:$O$501,"")&gt;0,IFERROR(OR($P209&lt;&gt;LOOKUP(2,1/(($A$2:$A$501=$A209)*($S$2:$S$501=$S209)*($B$2:$B$501="")*($O$2:$O$501="")),$P$2:$P$501),$Q209&lt;&gt;LOOKUP(2,1/(($A$2:$A$501=$A209)*($S$2:$S$501=$S209)*($B$2:$B$501="")*($O$2:$O$501="")),$Q$2:$Q$501),$R209&lt;&gt;LOOKUP(2,1/(($A$2:$A$501=$A209)*($S$2:$S$501=$S209)*($B$2:$B$501="")*($O$2:$O$501="")),$R$2:$R$501),$T209&lt;&gt;LOOKUP(2,1/(($A$2:$A$501=$A209)*($S$2:$S$501=$S209)*($B$2:$B$501="")*($O$2:$O$501="")),$T$2:$T$501),$U209&lt;&gt;LOOKUP(2,1/(($A$2:$A$501=$A209)*($S$2:$S$501=$S209)*($B$2:$B$501="")*($O$2:$O$501="")),$U$2:$U$501)),FALSE)),"Dependent row does not match the employee row for eligibility, status, coverage level, or funding; ",""))</f>
        <v/>
      </c>
      <c r="AB209">
        <f>IF(COUNTA($A209:$U209)=0,"",IF($L209="","Birthdate is required; ","")&amp;IF(AND($L209&lt;&gt;"",OR(NOT(ISNUMBER($L209)),$L209&lt;=DATE(1900,1,1),$L209&gt;TODAY())),"Birthdate must be an exact valid past date; ","")&amp;IF($P209="","Eligibility Date is required; ","")&amp;IF(AND($P209&lt;&gt;"",OR(NOT(ISNUMBER($P209)),$P209&lt;=DATE(1900,1,1))),"Eligibility Date must be a valid date; ","")&amp;IF(AND($R209="Terminated",$Q209=""),"Termination Date is required when Status is Terminated; ","")&amp;IF(AND($Q209&lt;&gt;"",OR(NOT(ISNUMBER($Q209)),$Q209&lt;=DATE(1900,1,1))),"Termination Date must be a valid date; ","")&amp;IF(AND(ISNUMBER($P209),ISNUMBER($Q209),$Q209&lt;$P209),"Termination Date cannot be before Eligibility Date; ","")&amp;IF($R209="","Status is required; ","")&amp;IF(AND($R209&lt;&gt;"",$R209&lt;&gt;"Active",$R209&lt;&gt;"Terminated"),"Status must be Active or Terminated; ","")&amp;IF(AND('START HERE'!$C$8="Terminations Only",$R209&lt;&gt;"Terminated"),"Terminations Only files must contain terminated records; ",""))</f>
        <v/>
      </c>
      <c r="AC209">
        <f>IF(COUNTA($A209:$U209)=0,"",IF($S209="","Plan Name is required; ","")&amp;IF($T209="","Benefit Coverage Level is required; ","")&amp;IF(AND($U209&lt;&gt;"",OR(NOT(ISNUMBER($U209)),$U209&lt;0)),"Plan Funding Amount must be a nonnegative number; ","")&amp;IF(AND($A209&lt;&gt;"",$S209&lt;&gt;"",COUNTIFS($A$2:$A$501,$A209,$B$2:$B$501,$B209,$S$2:$S$501,$S209)&gt;1),"Duplicate participant and plan row; ",""))</f>
        <v/>
      </c>
      <c r="AD209">
        <f>IF(COUNTA($A209:$U209)=0,"",IF(AND($X209="Employee",$M209="",$N209=""),"No employee phone or email provided; ","")&amp;IF(AND($R209="Active",$Q209&lt;&gt;""),"Active record includes a Termination Date; confirm this is intentional; ","")&amp;IF(AND($B209&lt;&gt;"",$B209&amp;""&lt;&gt;$A209&amp;"",COUNTIF($A$2:$A$501,$B209)&gt;0),"Dependent SSN also appears as an Employee SSN elsewhere; confirm dual-employee coverage is intentional; ","")&amp;IF(AND($B209&lt;&gt;"",COUNTIF($B$2:$B$501,$B209)&gt;COUNTIFS($A$2:$A$501,$A209,$B$2:$B$501,$B209)),"Dependent SSN appears under more than one employee; confirm duplicate family coverage is intentional; ","")&amp;IF(AND(ROW()&gt;2,$A209&lt;&gt;"",$A209&lt;&gt;$A208,COUNTIF($A$2:$A208,$A209)&gt;0),"This household appears in more than one section of the census; keep the family together; ","")&amp;IF(OR(AND($C209&lt;&gt;"",LEN($C209&amp;"")&lt;&gt;LEN(TRIM($C209&amp;""))),AND($D209&lt;&gt;"",LEN($D209&amp;"")&lt;&gt;LEN(TRIM($D209&amp;""))),AND($E209&lt;&gt;"",LEN($E209&amp;"")&lt;&gt;LEN(TRIM($E209&amp;""))),AND($F209&lt;&gt;"",LEN($F209&amp;"")&lt;&gt;LEN(TRIM($F209&amp;""))),AND($G209&lt;&gt;"",LEN($G209&amp;"")&lt;&gt;LEN(TRIM($G209&amp;""))),AND($H209&lt;&gt;"",LEN($H209&amp;"")&lt;&gt;LEN(TRIM($H209&amp;""))),AND($I209&lt;&gt;"",LEN($I209&amp;"")&lt;&gt;LEN(TRIM($I209&amp;""))),AND($J209&lt;&gt;"",LEN($J209&amp;"")&lt;&gt;LEN(TRIM($J209&amp;""))),AND($K209&lt;&gt;"",LEN($K209&amp;"")&lt;&gt;LEN(TRIM($K209&amp;""))),AND($M209&lt;&gt;"",LEN($M209&amp;"")&lt;&gt;LEN(TRIM($M209&amp;""))),AND($N209&lt;&gt;"",LEN($N209&amp;"")&lt;&gt;LEN(TRIM($N209&amp;""))),AND($O209&lt;&gt;"",LEN($O209&amp;"")&lt;&gt;LEN(TRIM($O209&amp;""))),AND($R209&lt;&gt;"",LEN($R209&amp;"")&lt;&gt;LEN(TRIM($R209&amp;""))),AND($S209&lt;&gt;"",LEN($S209&amp;"")&lt;&gt;LEN(TRIM($S209&amp;""))),AND($T209&lt;&gt;"",LEN($T209&amp;"")&lt;&gt;LEN(TRIM($T209&amp;"")))),"Remove leading or trailing spaces from text fields; ","")&amp;IF(OR(AND(LEN($C209)&gt;1,OR(EXACT($C209,UPPER($C209)),EXACT($C209,LOWER($C209)))),AND(LEN($D209)&gt;1,OR(EXACT($D209,UPPER($D209)),EXACT($D209,LOWER($D209)))),AND(LEN($H209)&gt;1,OR(EXACT($H209,UPPER($H209)),EXACT($H209,LOWER($H209))))),"Review capitalization in First Name, Last Name, or City; ","")&amp;IF(AND($N209&lt;&gt;"",NOT(EXACT($N209,LOWER($N209)))),"Email will be standardized to lowercase in the clean output; ","")&amp;IF(AND(OR('START HERE'!$C$8="Initial Enrollment",'START HERE'!$C$8="Open Enrollment"),$R209="Terminated"),"A terminated row is included in an initial or open enrollment file; confirm this is intentional; ",""))</f>
        <v/>
      </c>
      <c r="AE209">
        <f>IF(COUNTA($A209:$U209)=0,"",IF(OR($A209="",AND($A209&lt;&gt;"",NOT(IFERROR(AND(LEN($A209&amp;"")=9,ISNUMBER(--($A209&amp;""))),FALSE))),AND($A209&lt;&gt;"",OR($A209="123456789",$A209="987654321",$A209="012345678",$A209=REPT(LEFT($A209&amp;"",1),9)))),"Employee SSN, ","")&amp;IF(OR(AND($O209&lt;&gt;"",$B209=""),AND($B209&lt;&gt;"",OR(NOT(IFERROR(AND(LEN($B209&amp;"")=9,ISNUMBER(--($B209&amp;""))),FALSE)),$B209=$A209,$B209="123456789",$B209="987654321",$B209="012345678",$B209=REPT(LEFT($B209&amp;"",1),9)))),"Dependent SSN, ","")&amp;IF(OR($C209="",LEN($C209)&gt;19,AND($C209&lt;&gt;"",SUMPRODUCT(--(ROW($1:$19)&lt;=LEN($C209&amp;"")),--ISERROR(FIND(MID($C209&amp;"",ROW($1:$19),1),"ABCDEFGHIJKLMNOPQRSTUVWXYZabcdefghijklmnopqrstuvwxyz .,")))&gt;0)),"First Name, ","")&amp;IF(OR($D209="",LEN($D209)&gt;26,AND($D209&lt;&gt;"",SUMPRODUCT(--(ROW($1:$26)&lt;=LEN($D209&amp;"")),--ISERROR(FIND(MID($D209&amp;"",ROW($1:$26),1),"ABCDEFGHIJKLMNOPQRSTUVWXYZabcdefghijklmnopqrstuvwxyz .,")))&gt;0)),"Last Name, ","")&amp;IF(OR(LEN($E209)&gt;1,AND($E209&lt;&gt;"",SUMPRODUCT(--(ROW($1:$1)&lt;=LEN($E209&amp;"")),--ISERROR(FIND(MID($E209&amp;"",ROW($1:$1),1),"ABCDEFGHIJKLMNOPQRSTUVWXYZabcdefghijklmnopqrstuvwxyz .,")))&gt;0)),"Middle Initial, ","")&amp;IF(OR($F209="",LEN($F209)&gt;75),"Address, ","")&amp;IF(OR($H209="",LEN($H209)&gt;30),"City, ","")&amp;IF(AND($K209="US",OR($I209="",LEN($I209)&lt;&gt;2)),"State, ","")&amp;IF($J209="","ZIP, ","")&amp;IF(OR($K209="",AND($K209&lt;&gt;"US",$K209&lt;&gt;"CA")),"Country, ","")&amp;IF(OR($L209="",AND($L209&lt;&gt;"",OR(NOT(ISNUMBER($L209)),$L209&lt;=DATE(1900,1,1),$L209&gt;TODAY()))),"Birthdate, ","")&amp;IF(AND($N209&lt;&gt;"",NOT(IFERROR(AND(ISNUMBER(SEARCH("@",$N209)),ISNUMBER(SEARCH(".",$N209,SEARCH("@",$N209)+2))),FALSE))),"Email, ","")&amp;IF(OR(AND($B209&lt;&gt;"",$O209=""),AND($O209&lt;&gt;"",$O209&lt;&gt;"Spouse or Common Law Spouse",$O209&lt;&gt;"Domestic Partner",$O209&lt;&gt;"Child",$O209&lt;&gt;"Other",$O209&lt;&gt;"Estate",$O209&lt;&gt;"Unknown")),"Dependent Relationship, ","")&amp;IF($AA209&lt;&gt;"","Household, ","")&amp;IF(OR($P209="",AND($P209&lt;&gt;"",OR(NOT(ISNUMBER($P209)),$P209&lt;=DATE(1900,1,1)))),"Eligibility Date, ","")&amp;IF(OR(AND($R209="Terminated",$Q209=""),AND($Q209&lt;&gt;"",OR(NOT(ISNUMBER($Q209)),$Q209&lt;=DATE(1900,1,1))),AND(ISNUMBER($P209),ISNUMBER($Q209),$Q209&lt;$P209)),"Termination Date, ","")&amp;IF(OR($R209="",AND($R209&lt;&gt;"Active",$R209&lt;&gt;"Terminated"),AND('START HERE'!$C$8="Terminations Only",$R209&lt;&gt;"Terminated")),"Status, ","")&amp;IF($S209="","Plan Name, ","")&amp;IF($T209="","Coverage Level, ","")&amp;IF(AND($U209&lt;&gt;"",OR(NOT(ISNUMBER($U209)),$U209&lt;0)),"Funding, ","")&amp;IF(AND($A209&lt;&gt;"",$S209&lt;&gt;"",COUNTIFS($A$2:$A$501,$A209,$B$2:$B$501,$B209,$S$2:$S$501,$S209)&gt;1),"Duplicate Row, ",""))</f>
        <v/>
      </c>
      <c r="AF209">
        <f>IF(COUNTA($A209:$U209)=0,"",$Y209&amp;$Z209&amp;$AA209&amp;$AB209&amp;$AC209)</f>
        <v/>
      </c>
      <c r="AG209">
        <f>IF($N209="","",LOWER(TRIM($N209)))</f>
        <v/>
      </c>
      <c r="AH209">
        <f>IF($A209="","",COUNTIFS($A$2:$A$501,$A209,$AI$2:$AI$501,1))</f>
        <v/>
      </c>
      <c r="AI209">
        <f>IF(COUNTA($A209:$U209)=0,"",--($AF209&lt;&gt;""))</f>
        <v/>
      </c>
      <c r="AJ209">
        <f>IF(COUNTA($A209:$U209)=0,"",--($AD209&lt;&gt;""))</f>
        <v/>
      </c>
    </row>
    <row r="210" ht="20" customHeight="1">
      <c r="A210" s="80" t="n"/>
      <c r="B210" s="80" t="n"/>
      <c r="C210" s="81" t="n"/>
      <c r="D210" s="81" t="n"/>
      <c r="E210" s="80" t="n"/>
      <c r="F210" s="81" t="n"/>
      <c r="G210" s="81" t="n"/>
      <c r="H210" s="81" t="n"/>
      <c r="I210" s="80" t="n"/>
      <c r="J210" s="80" t="n"/>
      <c r="K210" s="80" t="n"/>
      <c r="L210" s="82" t="n"/>
      <c r="M210" s="80" t="n"/>
      <c r="N210" s="80" t="n"/>
      <c r="O210" s="80" t="n"/>
      <c r="P210" s="82" t="n"/>
      <c r="Q210" s="82" t="n"/>
      <c r="R210" s="80" t="n"/>
      <c r="S210" s="80" t="n"/>
      <c r="T210" s="80" t="n"/>
      <c r="U210" s="83" t="n"/>
      <c r="V210">
        <f>IF($A210="","",IF($A210=$A209,$V209,IF($V209="",0,1-$V209)))</f>
        <v/>
      </c>
      <c r="W210">
        <f>IF($B210&lt;&gt;"",$B210,$A210)</f>
        <v/>
      </c>
      <c r="X210">
        <f>IF(COUNTA($A210:$U210)=0,"",IF(OR($B210&lt;&gt;"",$O210&lt;&gt;""),"Dependent","Employee"))</f>
        <v/>
      </c>
      <c r="Y210">
        <f>IF(COUNTA($A210:$U210)=0,"",IF($A210="","Employee SSN is required; ","")&amp;IF($C210="","First Name is required; ","")&amp;IF(LEN($C210&amp;"")&gt;19,"First Name exceeds 19 characters; ","")&amp;IF(AND($C210&lt;&gt;"",SUMPRODUCT(--(ROW($1:$19)&lt;=LEN($C210&amp;"")),--ISERROR(FIND(MID($C210&amp;"",ROW($1:$19),1),"ABCDEFGHIJKLMNOPQRSTUVWXYZabcdefghijklmnopqrstuvwxyz .,")))&gt;0),"First Name contains unsupported or encoded characters; use plain A-Z letters only; ","")&amp;IF($D210="","Last Name is required; ","")&amp;IF(LEN($D210&amp;"")&gt;26,"Last Name exceeds 26 characters; ","")&amp;IF(AND($D210&lt;&gt;"",SUMPRODUCT(--(ROW($1:$26)&lt;=LEN($D210&amp;"")),--ISERROR(FIND(MID($D210&amp;"",ROW($1:$26),1),"ABCDEFGHIJKLMNOPQRSTUVWXYZabcdefghijklmnopqrstuvwxyz .,")))&gt;0),"Last Name contains unsupported or encoded characters; use plain A-Z letters only; ","")&amp;IF(LEN($E210&amp;"")&gt;1,"Middle Initial may contain only one character; ","")&amp;IF(AND($E210&lt;&gt;"",SUMPRODUCT(--(ROW($1:$1)&lt;=LEN($E210&amp;"")),--ISERROR(FIND(MID($E210&amp;"",ROW($1:$1),1),"ABCDEFGHIJKLMNOPQRSTUVWXYZabcdefghijklmnopqrstuvwxyz .,")))&gt;0),"Middle Initial must be a plain A-Z letter; ","")&amp;IF($F210="","Address is required; ","")&amp;IF(LEN($F210&amp;"")&gt;75,"Address exceeds 75 characters; ","")&amp;IF(LEN($G210&amp;"")&gt;75,"Address 2 exceeds 75 characters; ","")&amp;IF($H210="","City is required; ","")&amp;IF(LEN($H210&amp;"")&gt;30,"City exceeds 30 characters; ","")&amp;IF($K210="","Country is required; ","")&amp;IF(AND($K210&lt;&gt;"",$K210&lt;&gt;"US",$K210&lt;&gt;"CA"),"Country must be US or CA; ","")&amp;IF(AND($K210="US",OR($I210="",LEN($I210&amp;"")&lt;&gt;2)),"Use a 2-letter state code; ","")&amp;IF($J210="","ZIP or postal code is required; ","")&amp;IF(AND($K210="US",$J210&lt;&gt;"",NOT(IFERROR(OR(AND(LEN($J210&amp;"")=5,ISNUMBER(--($J210&amp;""))),AND(LEN($J210&amp;"")=9,ISNUMBER(--($J210&amp;""))),AND(LEN($J210&amp;"")=10,MID($J210&amp;"",6,1)="-",ISNUMBER(--SUBSTITUTE($J210&amp;"","-","")))),FALSE))),"US ZIP must be 5 or 9 digits, with an optional ZIP+4 hyphen; ","")&amp;IF(AND($N210&lt;&gt;"",NOT(IFERROR(AND(ISNUMBER(SEARCH("@",$N210)),ISNUMBER(SEARCH(".",$N210,SEARCH("@",$N210)+2))),FALSE))),"Email format appears invalid; ","")&amp;IF(AND($O210&lt;&gt;"",$B210=""),"Dependent SSN is required for every dependent; ","")&amp;IF(AND($B210&lt;&gt;"",$O210=""),"Dependent Relationship is required when Dependent SSN is entered; ","")&amp;IF(AND($O210&lt;&gt;"",$O210&lt;&gt;"Spouse or Common Law Spouse",$O210&lt;&gt;"Domestic Partner",$O210&lt;&gt;"Child",$O210&lt;&gt;"Other",$O210&lt;&gt;"Estate",$O210&lt;&gt;"Unknown"),"Dependent Relationship must use one of the approved options; ",""))</f>
        <v/>
      </c>
      <c r="Z210">
        <f>IF(COUNTA($A210:$U210)=0,"",IF(AND($A210&lt;&gt;"",NOT(IFERROR(AND(LEN($A210&amp;"")=9,ISNUMBER(--($A210&amp;""))),FALSE))),"Employee SSN must contain exactly 9 digits; ","")&amp;IF(AND($A210&lt;&gt;"",OR($A210="123456789",$A210="987654321",$A210="012345678",$A210=REPT(LEFT($A210&amp;"",1),9))),"Employee SSN appears to be a placeholder; ","")&amp;IF(AND($B210&lt;&gt;"",NOT(IFERROR(AND(LEN($B210&amp;"")=9,ISNUMBER(--($B210&amp;""))),FALSE))),"Dependent SSN must contain exactly 9 digits; ","")&amp;IF(AND($B210&lt;&gt;"",OR($B210="123456789",$B210="987654321",$B210="012345678",$B210=REPT(LEFT($B210&amp;"",1),9))),"Dependent SSN appears to be a placeholder; ","")&amp;IF(AND($A210&lt;&gt;"",$B210&lt;&gt;"",$A210&amp;""=$B210&amp;""),"Dependent SSN cannot match Employee SSN; ","")&amp;IF(AND($W210&lt;&gt;"",OR(COUNTIFS($W$2:$W$501,$W210,$C$2:$C$501,"&lt;&gt;"&amp;$C210)&gt;0,COUNTIFS($W$2:$W$501,$W210,$D$2:$D$501,"&lt;&gt;"&amp;$D210)&gt;0,COUNTIFS($W$2:$W$501,$W210,$L$2:$L$501,"&lt;&gt;"&amp;$L210)&gt;0)),"The same SSN is associated with a different name or birthdate; ",""))</f>
        <v/>
      </c>
      <c r="AA210">
        <f>IF(COUNTA($A210:$U210)=0,"",IF(AND($A210&lt;&gt;"",$S210&lt;&gt;"",COUNTIFS($A$2:$A$501,$A210,$S$2:$S$501,$S210,$B$2:$B$501,"",$O$2:$O$501,"")=0),"Add an employee row for this household and plan; ","")&amp;IF(AND($X210="Dependent",COUNTIFS($A$2:$A210,$A210,$S$2:$S210,$S210,$B$2:$B210,"",$O$2:$O210,"")=0),"Place the employee row before dependent rows for this plan; ","")&amp;IF(AND($X210="Dependent",COUNTIFS($A$2:$A$501,$A210,$S$2:$S$501,$S210,$B$2:$B$501,"",$O$2:$O$501,"")&gt;0,IFERROR(OR($P210&lt;&gt;LOOKUP(2,1/(($A$2:$A$501=$A210)*($S$2:$S$501=$S210)*($B$2:$B$501="")*($O$2:$O$501="")),$P$2:$P$501),$Q210&lt;&gt;LOOKUP(2,1/(($A$2:$A$501=$A210)*($S$2:$S$501=$S210)*($B$2:$B$501="")*($O$2:$O$501="")),$Q$2:$Q$501),$R210&lt;&gt;LOOKUP(2,1/(($A$2:$A$501=$A210)*($S$2:$S$501=$S210)*($B$2:$B$501="")*($O$2:$O$501="")),$R$2:$R$501),$T210&lt;&gt;LOOKUP(2,1/(($A$2:$A$501=$A210)*($S$2:$S$501=$S210)*($B$2:$B$501="")*($O$2:$O$501="")),$T$2:$T$501),$U210&lt;&gt;LOOKUP(2,1/(($A$2:$A$501=$A210)*($S$2:$S$501=$S210)*($B$2:$B$501="")*($O$2:$O$501="")),$U$2:$U$501)),FALSE)),"Dependent row does not match the employee row for eligibility, status, coverage level, or funding; ",""))</f>
        <v/>
      </c>
      <c r="AB210">
        <f>IF(COUNTA($A210:$U210)=0,"",IF($L210="","Birthdate is required; ","")&amp;IF(AND($L210&lt;&gt;"",OR(NOT(ISNUMBER($L210)),$L210&lt;=DATE(1900,1,1),$L210&gt;TODAY())),"Birthdate must be an exact valid past date; ","")&amp;IF($P210="","Eligibility Date is required; ","")&amp;IF(AND($P210&lt;&gt;"",OR(NOT(ISNUMBER($P210)),$P210&lt;=DATE(1900,1,1))),"Eligibility Date must be a valid date; ","")&amp;IF(AND($R210="Terminated",$Q210=""),"Termination Date is required when Status is Terminated; ","")&amp;IF(AND($Q210&lt;&gt;"",OR(NOT(ISNUMBER($Q210)),$Q210&lt;=DATE(1900,1,1))),"Termination Date must be a valid date; ","")&amp;IF(AND(ISNUMBER($P210),ISNUMBER($Q210),$Q210&lt;$P210),"Termination Date cannot be before Eligibility Date; ","")&amp;IF($R210="","Status is required; ","")&amp;IF(AND($R210&lt;&gt;"",$R210&lt;&gt;"Active",$R210&lt;&gt;"Terminated"),"Status must be Active or Terminated; ","")&amp;IF(AND('START HERE'!$C$8="Terminations Only",$R210&lt;&gt;"Terminated"),"Terminations Only files must contain terminated records; ",""))</f>
        <v/>
      </c>
      <c r="AC210">
        <f>IF(COUNTA($A210:$U210)=0,"",IF($S210="","Plan Name is required; ","")&amp;IF($T210="","Benefit Coverage Level is required; ","")&amp;IF(AND($U210&lt;&gt;"",OR(NOT(ISNUMBER($U210)),$U210&lt;0)),"Plan Funding Amount must be a nonnegative number; ","")&amp;IF(AND($A210&lt;&gt;"",$S210&lt;&gt;"",COUNTIFS($A$2:$A$501,$A210,$B$2:$B$501,$B210,$S$2:$S$501,$S210)&gt;1),"Duplicate participant and plan row; ",""))</f>
        <v/>
      </c>
      <c r="AD210">
        <f>IF(COUNTA($A210:$U210)=0,"",IF(AND($X210="Employee",$M210="",$N210=""),"No employee phone or email provided; ","")&amp;IF(AND($R210="Active",$Q210&lt;&gt;""),"Active record includes a Termination Date; confirm this is intentional; ","")&amp;IF(AND($B210&lt;&gt;"",$B210&amp;""&lt;&gt;$A210&amp;"",COUNTIF($A$2:$A$501,$B210)&gt;0),"Dependent SSN also appears as an Employee SSN elsewhere; confirm dual-employee coverage is intentional; ","")&amp;IF(AND($B210&lt;&gt;"",COUNTIF($B$2:$B$501,$B210)&gt;COUNTIFS($A$2:$A$501,$A210,$B$2:$B$501,$B210)),"Dependent SSN appears under more than one employee; confirm duplicate family coverage is intentional; ","")&amp;IF(AND(ROW()&gt;2,$A210&lt;&gt;"",$A210&lt;&gt;$A209,COUNTIF($A$2:$A209,$A210)&gt;0),"This household appears in more than one section of the census; keep the family together; ","")&amp;IF(OR(AND($C210&lt;&gt;"",LEN($C210&amp;"")&lt;&gt;LEN(TRIM($C210&amp;""))),AND($D210&lt;&gt;"",LEN($D210&amp;"")&lt;&gt;LEN(TRIM($D210&amp;""))),AND($E210&lt;&gt;"",LEN($E210&amp;"")&lt;&gt;LEN(TRIM($E210&amp;""))),AND($F210&lt;&gt;"",LEN($F210&amp;"")&lt;&gt;LEN(TRIM($F210&amp;""))),AND($G210&lt;&gt;"",LEN($G210&amp;"")&lt;&gt;LEN(TRIM($G210&amp;""))),AND($H210&lt;&gt;"",LEN($H210&amp;"")&lt;&gt;LEN(TRIM($H210&amp;""))),AND($I210&lt;&gt;"",LEN($I210&amp;"")&lt;&gt;LEN(TRIM($I210&amp;""))),AND($J210&lt;&gt;"",LEN($J210&amp;"")&lt;&gt;LEN(TRIM($J210&amp;""))),AND($K210&lt;&gt;"",LEN($K210&amp;"")&lt;&gt;LEN(TRIM($K210&amp;""))),AND($M210&lt;&gt;"",LEN($M210&amp;"")&lt;&gt;LEN(TRIM($M210&amp;""))),AND($N210&lt;&gt;"",LEN($N210&amp;"")&lt;&gt;LEN(TRIM($N210&amp;""))),AND($O210&lt;&gt;"",LEN($O210&amp;"")&lt;&gt;LEN(TRIM($O210&amp;""))),AND($R210&lt;&gt;"",LEN($R210&amp;"")&lt;&gt;LEN(TRIM($R210&amp;""))),AND($S210&lt;&gt;"",LEN($S210&amp;"")&lt;&gt;LEN(TRIM($S210&amp;""))),AND($T210&lt;&gt;"",LEN($T210&amp;"")&lt;&gt;LEN(TRIM($T210&amp;"")))),"Remove leading or trailing spaces from text fields; ","")&amp;IF(OR(AND(LEN($C210)&gt;1,OR(EXACT($C210,UPPER($C210)),EXACT($C210,LOWER($C210)))),AND(LEN($D210)&gt;1,OR(EXACT($D210,UPPER($D210)),EXACT($D210,LOWER($D210)))),AND(LEN($H210)&gt;1,OR(EXACT($H210,UPPER($H210)),EXACT($H210,LOWER($H210))))),"Review capitalization in First Name, Last Name, or City; ","")&amp;IF(AND($N210&lt;&gt;"",NOT(EXACT($N210,LOWER($N210)))),"Email will be standardized to lowercase in the clean output; ","")&amp;IF(AND(OR('START HERE'!$C$8="Initial Enrollment",'START HERE'!$C$8="Open Enrollment"),$R210="Terminated"),"A terminated row is included in an initial or open enrollment file; confirm this is intentional; ",""))</f>
        <v/>
      </c>
      <c r="AE210">
        <f>IF(COUNTA($A210:$U210)=0,"",IF(OR($A210="",AND($A210&lt;&gt;"",NOT(IFERROR(AND(LEN($A210&amp;"")=9,ISNUMBER(--($A210&amp;""))),FALSE))),AND($A210&lt;&gt;"",OR($A210="123456789",$A210="987654321",$A210="012345678",$A210=REPT(LEFT($A210&amp;"",1),9)))),"Employee SSN, ","")&amp;IF(OR(AND($O210&lt;&gt;"",$B210=""),AND($B210&lt;&gt;"",OR(NOT(IFERROR(AND(LEN($B210&amp;"")=9,ISNUMBER(--($B210&amp;""))),FALSE)),$B210=$A210,$B210="123456789",$B210="987654321",$B210="012345678",$B210=REPT(LEFT($B210&amp;"",1),9)))),"Dependent SSN, ","")&amp;IF(OR($C210="",LEN($C210)&gt;19,AND($C210&lt;&gt;"",SUMPRODUCT(--(ROW($1:$19)&lt;=LEN($C210&amp;"")),--ISERROR(FIND(MID($C210&amp;"",ROW($1:$19),1),"ABCDEFGHIJKLMNOPQRSTUVWXYZabcdefghijklmnopqrstuvwxyz .,")))&gt;0)),"First Name, ","")&amp;IF(OR($D210="",LEN($D210)&gt;26,AND($D210&lt;&gt;"",SUMPRODUCT(--(ROW($1:$26)&lt;=LEN($D210&amp;"")),--ISERROR(FIND(MID($D210&amp;"",ROW($1:$26),1),"ABCDEFGHIJKLMNOPQRSTUVWXYZabcdefghijklmnopqrstuvwxyz .,")))&gt;0)),"Last Name, ","")&amp;IF(OR(LEN($E210)&gt;1,AND($E210&lt;&gt;"",SUMPRODUCT(--(ROW($1:$1)&lt;=LEN($E210&amp;"")),--ISERROR(FIND(MID($E210&amp;"",ROW($1:$1),1),"ABCDEFGHIJKLMNOPQRSTUVWXYZabcdefghijklmnopqrstuvwxyz .,")))&gt;0)),"Middle Initial, ","")&amp;IF(OR($F210="",LEN($F210)&gt;75),"Address, ","")&amp;IF(OR($H210="",LEN($H210)&gt;30),"City, ","")&amp;IF(AND($K210="US",OR($I210="",LEN($I210)&lt;&gt;2)),"State, ","")&amp;IF($J210="","ZIP, ","")&amp;IF(OR($K210="",AND($K210&lt;&gt;"US",$K210&lt;&gt;"CA")),"Country, ","")&amp;IF(OR($L210="",AND($L210&lt;&gt;"",OR(NOT(ISNUMBER($L210)),$L210&lt;=DATE(1900,1,1),$L210&gt;TODAY()))),"Birthdate, ","")&amp;IF(AND($N210&lt;&gt;"",NOT(IFERROR(AND(ISNUMBER(SEARCH("@",$N210)),ISNUMBER(SEARCH(".",$N210,SEARCH("@",$N210)+2))),FALSE))),"Email, ","")&amp;IF(OR(AND($B210&lt;&gt;"",$O210=""),AND($O210&lt;&gt;"",$O210&lt;&gt;"Spouse or Common Law Spouse",$O210&lt;&gt;"Domestic Partner",$O210&lt;&gt;"Child",$O210&lt;&gt;"Other",$O210&lt;&gt;"Estate",$O210&lt;&gt;"Unknown")),"Dependent Relationship, ","")&amp;IF($AA210&lt;&gt;"","Household, ","")&amp;IF(OR($P210="",AND($P210&lt;&gt;"",OR(NOT(ISNUMBER($P210)),$P210&lt;=DATE(1900,1,1)))),"Eligibility Date, ","")&amp;IF(OR(AND($R210="Terminated",$Q210=""),AND($Q210&lt;&gt;"",OR(NOT(ISNUMBER($Q210)),$Q210&lt;=DATE(1900,1,1))),AND(ISNUMBER($P210),ISNUMBER($Q210),$Q210&lt;$P210)),"Termination Date, ","")&amp;IF(OR($R210="",AND($R210&lt;&gt;"Active",$R210&lt;&gt;"Terminated"),AND('START HERE'!$C$8="Terminations Only",$R210&lt;&gt;"Terminated")),"Status, ","")&amp;IF($S210="","Plan Name, ","")&amp;IF($T210="","Coverage Level, ","")&amp;IF(AND($U210&lt;&gt;"",OR(NOT(ISNUMBER($U210)),$U210&lt;0)),"Funding, ","")&amp;IF(AND($A210&lt;&gt;"",$S210&lt;&gt;"",COUNTIFS($A$2:$A$501,$A210,$B$2:$B$501,$B210,$S$2:$S$501,$S210)&gt;1),"Duplicate Row, ",""))</f>
        <v/>
      </c>
      <c r="AF210">
        <f>IF(COUNTA($A210:$U210)=0,"",$Y210&amp;$Z210&amp;$AA210&amp;$AB210&amp;$AC210)</f>
        <v/>
      </c>
      <c r="AG210">
        <f>IF($N210="","",LOWER(TRIM($N210)))</f>
        <v/>
      </c>
      <c r="AH210">
        <f>IF($A210="","",COUNTIFS($A$2:$A$501,$A210,$AI$2:$AI$501,1))</f>
        <v/>
      </c>
      <c r="AI210">
        <f>IF(COUNTA($A210:$U210)=0,"",--($AF210&lt;&gt;""))</f>
        <v/>
      </c>
      <c r="AJ210">
        <f>IF(COUNTA($A210:$U210)=0,"",--($AD210&lt;&gt;""))</f>
        <v/>
      </c>
    </row>
    <row r="211" ht="20" customHeight="1">
      <c r="A211" s="80" t="n"/>
      <c r="B211" s="80" t="n"/>
      <c r="C211" s="81" t="n"/>
      <c r="D211" s="81" t="n"/>
      <c r="E211" s="80" t="n"/>
      <c r="F211" s="81" t="n"/>
      <c r="G211" s="81" t="n"/>
      <c r="H211" s="81" t="n"/>
      <c r="I211" s="80" t="n"/>
      <c r="J211" s="80" t="n"/>
      <c r="K211" s="80" t="n"/>
      <c r="L211" s="82" t="n"/>
      <c r="M211" s="80" t="n"/>
      <c r="N211" s="80" t="n"/>
      <c r="O211" s="80" t="n"/>
      <c r="P211" s="82" t="n"/>
      <c r="Q211" s="82" t="n"/>
      <c r="R211" s="80" t="n"/>
      <c r="S211" s="80" t="n"/>
      <c r="T211" s="80" t="n"/>
      <c r="U211" s="83" t="n"/>
      <c r="V211">
        <f>IF($A211="","",IF($A211=$A210,$V210,IF($V210="",0,1-$V210)))</f>
        <v/>
      </c>
      <c r="W211">
        <f>IF($B211&lt;&gt;"",$B211,$A211)</f>
        <v/>
      </c>
      <c r="X211">
        <f>IF(COUNTA($A211:$U211)=0,"",IF(OR($B211&lt;&gt;"",$O211&lt;&gt;""),"Dependent","Employee"))</f>
        <v/>
      </c>
      <c r="Y211">
        <f>IF(COUNTA($A211:$U211)=0,"",IF($A211="","Employee SSN is required; ","")&amp;IF($C211="","First Name is required; ","")&amp;IF(LEN($C211&amp;"")&gt;19,"First Name exceeds 19 characters; ","")&amp;IF(AND($C211&lt;&gt;"",SUMPRODUCT(--(ROW($1:$19)&lt;=LEN($C211&amp;"")),--ISERROR(FIND(MID($C211&amp;"",ROW($1:$19),1),"ABCDEFGHIJKLMNOPQRSTUVWXYZabcdefghijklmnopqrstuvwxyz .,")))&gt;0),"First Name contains unsupported or encoded characters; use plain A-Z letters only; ","")&amp;IF($D211="","Last Name is required; ","")&amp;IF(LEN($D211&amp;"")&gt;26,"Last Name exceeds 26 characters; ","")&amp;IF(AND($D211&lt;&gt;"",SUMPRODUCT(--(ROW($1:$26)&lt;=LEN($D211&amp;"")),--ISERROR(FIND(MID($D211&amp;"",ROW($1:$26),1),"ABCDEFGHIJKLMNOPQRSTUVWXYZabcdefghijklmnopqrstuvwxyz .,")))&gt;0),"Last Name contains unsupported or encoded characters; use plain A-Z letters only; ","")&amp;IF(LEN($E211&amp;"")&gt;1,"Middle Initial may contain only one character; ","")&amp;IF(AND($E211&lt;&gt;"",SUMPRODUCT(--(ROW($1:$1)&lt;=LEN($E211&amp;"")),--ISERROR(FIND(MID($E211&amp;"",ROW($1:$1),1),"ABCDEFGHIJKLMNOPQRSTUVWXYZabcdefghijklmnopqrstuvwxyz .,")))&gt;0),"Middle Initial must be a plain A-Z letter; ","")&amp;IF($F211="","Address is required; ","")&amp;IF(LEN($F211&amp;"")&gt;75,"Address exceeds 75 characters; ","")&amp;IF(LEN($G211&amp;"")&gt;75,"Address 2 exceeds 75 characters; ","")&amp;IF($H211="","City is required; ","")&amp;IF(LEN($H211&amp;"")&gt;30,"City exceeds 30 characters; ","")&amp;IF($K211="","Country is required; ","")&amp;IF(AND($K211&lt;&gt;"",$K211&lt;&gt;"US",$K211&lt;&gt;"CA"),"Country must be US or CA; ","")&amp;IF(AND($K211="US",OR($I211="",LEN($I211&amp;"")&lt;&gt;2)),"Use a 2-letter state code; ","")&amp;IF($J211="","ZIP or postal code is required; ","")&amp;IF(AND($K211="US",$J211&lt;&gt;"",NOT(IFERROR(OR(AND(LEN($J211&amp;"")=5,ISNUMBER(--($J211&amp;""))),AND(LEN($J211&amp;"")=9,ISNUMBER(--($J211&amp;""))),AND(LEN($J211&amp;"")=10,MID($J211&amp;"",6,1)="-",ISNUMBER(--SUBSTITUTE($J211&amp;"","-","")))),FALSE))),"US ZIP must be 5 or 9 digits, with an optional ZIP+4 hyphen; ","")&amp;IF(AND($N211&lt;&gt;"",NOT(IFERROR(AND(ISNUMBER(SEARCH("@",$N211)),ISNUMBER(SEARCH(".",$N211,SEARCH("@",$N211)+2))),FALSE))),"Email format appears invalid; ","")&amp;IF(AND($O211&lt;&gt;"",$B211=""),"Dependent SSN is required for every dependent; ","")&amp;IF(AND($B211&lt;&gt;"",$O211=""),"Dependent Relationship is required when Dependent SSN is entered; ","")&amp;IF(AND($O211&lt;&gt;"",$O211&lt;&gt;"Spouse or Common Law Spouse",$O211&lt;&gt;"Domestic Partner",$O211&lt;&gt;"Child",$O211&lt;&gt;"Other",$O211&lt;&gt;"Estate",$O211&lt;&gt;"Unknown"),"Dependent Relationship must use one of the approved options; ",""))</f>
        <v/>
      </c>
      <c r="Z211">
        <f>IF(COUNTA($A211:$U211)=0,"",IF(AND($A211&lt;&gt;"",NOT(IFERROR(AND(LEN($A211&amp;"")=9,ISNUMBER(--($A211&amp;""))),FALSE))),"Employee SSN must contain exactly 9 digits; ","")&amp;IF(AND($A211&lt;&gt;"",OR($A211="123456789",$A211="987654321",$A211="012345678",$A211=REPT(LEFT($A211&amp;"",1),9))),"Employee SSN appears to be a placeholder; ","")&amp;IF(AND($B211&lt;&gt;"",NOT(IFERROR(AND(LEN($B211&amp;"")=9,ISNUMBER(--($B211&amp;""))),FALSE))),"Dependent SSN must contain exactly 9 digits; ","")&amp;IF(AND($B211&lt;&gt;"",OR($B211="123456789",$B211="987654321",$B211="012345678",$B211=REPT(LEFT($B211&amp;"",1),9))),"Dependent SSN appears to be a placeholder; ","")&amp;IF(AND($A211&lt;&gt;"",$B211&lt;&gt;"",$A211&amp;""=$B211&amp;""),"Dependent SSN cannot match Employee SSN; ","")&amp;IF(AND($W211&lt;&gt;"",OR(COUNTIFS($W$2:$W$501,$W211,$C$2:$C$501,"&lt;&gt;"&amp;$C211)&gt;0,COUNTIFS($W$2:$W$501,$W211,$D$2:$D$501,"&lt;&gt;"&amp;$D211)&gt;0,COUNTIFS($W$2:$W$501,$W211,$L$2:$L$501,"&lt;&gt;"&amp;$L211)&gt;0)),"The same SSN is associated with a different name or birthdate; ",""))</f>
        <v/>
      </c>
      <c r="AA211">
        <f>IF(COUNTA($A211:$U211)=0,"",IF(AND($A211&lt;&gt;"",$S211&lt;&gt;"",COUNTIFS($A$2:$A$501,$A211,$S$2:$S$501,$S211,$B$2:$B$501,"",$O$2:$O$501,"")=0),"Add an employee row for this household and plan; ","")&amp;IF(AND($X211="Dependent",COUNTIFS($A$2:$A211,$A211,$S$2:$S211,$S211,$B$2:$B211,"",$O$2:$O211,"")=0),"Place the employee row before dependent rows for this plan; ","")&amp;IF(AND($X211="Dependent",COUNTIFS($A$2:$A$501,$A211,$S$2:$S$501,$S211,$B$2:$B$501,"",$O$2:$O$501,"")&gt;0,IFERROR(OR($P211&lt;&gt;LOOKUP(2,1/(($A$2:$A$501=$A211)*($S$2:$S$501=$S211)*($B$2:$B$501="")*($O$2:$O$501="")),$P$2:$P$501),$Q211&lt;&gt;LOOKUP(2,1/(($A$2:$A$501=$A211)*($S$2:$S$501=$S211)*($B$2:$B$501="")*($O$2:$O$501="")),$Q$2:$Q$501),$R211&lt;&gt;LOOKUP(2,1/(($A$2:$A$501=$A211)*($S$2:$S$501=$S211)*($B$2:$B$501="")*($O$2:$O$501="")),$R$2:$R$501),$T211&lt;&gt;LOOKUP(2,1/(($A$2:$A$501=$A211)*($S$2:$S$501=$S211)*($B$2:$B$501="")*($O$2:$O$501="")),$T$2:$T$501),$U211&lt;&gt;LOOKUP(2,1/(($A$2:$A$501=$A211)*($S$2:$S$501=$S211)*($B$2:$B$501="")*($O$2:$O$501="")),$U$2:$U$501)),FALSE)),"Dependent row does not match the employee row for eligibility, status, coverage level, or funding; ",""))</f>
        <v/>
      </c>
      <c r="AB211">
        <f>IF(COUNTA($A211:$U211)=0,"",IF($L211="","Birthdate is required; ","")&amp;IF(AND($L211&lt;&gt;"",OR(NOT(ISNUMBER($L211)),$L211&lt;=DATE(1900,1,1),$L211&gt;TODAY())),"Birthdate must be an exact valid past date; ","")&amp;IF($P211="","Eligibility Date is required; ","")&amp;IF(AND($P211&lt;&gt;"",OR(NOT(ISNUMBER($P211)),$P211&lt;=DATE(1900,1,1))),"Eligibility Date must be a valid date; ","")&amp;IF(AND($R211="Terminated",$Q211=""),"Termination Date is required when Status is Terminated; ","")&amp;IF(AND($Q211&lt;&gt;"",OR(NOT(ISNUMBER($Q211)),$Q211&lt;=DATE(1900,1,1))),"Termination Date must be a valid date; ","")&amp;IF(AND(ISNUMBER($P211),ISNUMBER($Q211),$Q211&lt;$P211),"Termination Date cannot be before Eligibility Date; ","")&amp;IF($R211="","Status is required; ","")&amp;IF(AND($R211&lt;&gt;"",$R211&lt;&gt;"Active",$R211&lt;&gt;"Terminated"),"Status must be Active or Terminated; ","")&amp;IF(AND('START HERE'!$C$8="Terminations Only",$R211&lt;&gt;"Terminated"),"Terminations Only files must contain terminated records; ",""))</f>
        <v/>
      </c>
      <c r="AC211">
        <f>IF(COUNTA($A211:$U211)=0,"",IF($S211="","Plan Name is required; ","")&amp;IF($T211="","Benefit Coverage Level is required; ","")&amp;IF(AND($U211&lt;&gt;"",OR(NOT(ISNUMBER($U211)),$U211&lt;0)),"Plan Funding Amount must be a nonnegative number; ","")&amp;IF(AND($A211&lt;&gt;"",$S211&lt;&gt;"",COUNTIFS($A$2:$A$501,$A211,$B$2:$B$501,$B211,$S$2:$S$501,$S211)&gt;1),"Duplicate participant and plan row; ",""))</f>
        <v/>
      </c>
      <c r="AD211">
        <f>IF(COUNTA($A211:$U211)=0,"",IF(AND($X211="Employee",$M211="",$N211=""),"No employee phone or email provided; ","")&amp;IF(AND($R211="Active",$Q211&lt;&gt;""),"Active record includes a Termination Date; confirm this is intentional; ","")&amp;IF(AND($B211&lt;&gt;"",$B211&amp;""&lt;&gt;$A211&amp;"",COUNTIF($A$2:$A$501,$B211)&gt;0),"Dependent SSN also appears as an Employee SSN elsewhere; confirm dual-employee coverage is intentional; ","")&amp;IF(AND($B211&lt;&gt;"",COUNTIF($B$2:$B$501,$B211)&gt;COUNTIFS($A$2:$A$501,$A211,$B$2:$B$501,$B211)),"Dependent SSN appears under more than one employee; confirm duplicate family coverage is intentional; ","")&amp;IF(AND(ROW()&gt;2,$A211&lt;&gt;"",$A211&lt;&gt;$A210,COUNTIF($A$2:$A210,$A211)&gt;0),"This household appears in more than one section of the census; keep the family together; ","")&amp;IF(OR(AND($C211&lt;&gt;"",LEN($C211&amp;"")&lt;&gt;LEN(TRIM($C211&amp;""))),AND($D211&lt;&gt;"",LEN($D211&amp;"")&lt;&gt;LEN(TRIM($D211&amp;""))),AND($E211&lt;&gt;"",LEN($E211&amp;"")&lt;&gt;LEN(TRIM($E211&amp;""))),AND($F211&lt;&gt;"",LEN($F211&amp;"")&lt;&gt;LEN(TRIM($F211&amp;""))),AND($G211&lt;&gt;"",LEN($G211&amp;"")&lt;&gt;LEN(TRIM($G211&amp;""))),AND($H211&lt;&gt;"",LEN($H211&amp;"")&lt;&gt;LEN(TRIM($H211&amp;""))),AND($I211&lt;&gt;"",LEN($I211&amp;"")&lt;&gt;LEN(TRIM($I211&amp;""))),AND($J211&lt;&gt;"",LEN($J211&amp;"")&lt;&gt;LEN(TRIM($J211&amp;""))),AND($K211&lt;&gt;"",LEN($K211&amp;"")&lt;&gt;LEN(TRIM($K211&amp;""))),AND($M211&lt;&gt;"",LEN($M211&amp;"")&lt;&gt;LEN(TRIM($M211&amp;""))),AND($N211&lt;&gt;"",LEN($N211&amp;"")&lt;&gt;LEN(TRIM($N211&amp;""))),AND($O211&lt;&gt;"",LEN($O211&amp;"")&lt;&gt;LEN(TRIM($O211&amp;""))),AND($R211&lt;&gt;"",LEN($R211&amp;"")&lt;&gt;LEN(TRIM($R211&amp;""))),AND($S211&lt;&gt;"",LEN($S211&amp;"")&lt;&gt;LEN(TRIM($S211&amp;""))),AND($T211&lt;&gt;"",LEN($T211&amp;"")&lt;&gt;LEN(TRIM($T211&amp;"")))),"Remove leading or trailing spaces from text fields; ","")&amp;IF(OR(AND(LEN($C211)&gt;1,OR(EXACT($C211,UPPER($C211)),EXACT($C211,LOWER($C211)))),AND(LEN($D211)&gt;1,OR(EXACT($D211,UPPER($D211)),EXACT($D211,LOWER($D211)))),AND(LEN($H211)&gt;1,OR(EXACT($H211,UPPER($H211)),EXACT($H211,LOWER($H211))))),"Review capitalization in First Name, Last Name, or City; ","")&amp;IF(AND($N211&lt;&gt;"",NOT(EXACT($N211,LOWER($N211)))),"Email will be standardized to lowercase in the clean output; ","")&amp;IF(AND(OR('START HERE'!$C$8="Initial Enrollment",'START HERE'!$C$8="Open Enrollment"),$R211="Terminated"),"A terminated row is included in an initial or open enrollment file; confirm this is intentional; ",""))</f>
        <v/>
      </c>
      <c r="AE211">
        <f>IF(COUNTA($A211:$U211)=0,"",IF(OR($A211="",AND($A211&lt;&gt;"",NOT(IFERROR(AND(LEN($A211&amp;"")=9,ISNUMBER(--($A211&amp;""))),FALSE))),AND($A211&lt;&gt;"",OR($A211="123456789",$A211="987654321",$A211="012345678",$A211=REPT(LEFT($A211&amp;"",1),9)))),"Employee SSN, ","")&amp;IF(OR(AND($O211&lt;&gt;"",$B211=""),AND($B211&lt;&gt;"",OR(NOT(IFERROR(AND(LEN($B211&amp;"")=9,ISNUMBER(--($B211&amp;""))),FALSE)),$B211=$A211,$B211="123456789",$B211="987654321",$B211="012345678",$B211=REPT(LEFT($B211&amp;"",1),9)))),"Dependent SSN, ","")&amp;IF(OR($C211="",LEN($C211)&gt;19,AND($C211&lt;&gt;"",SUMPRODUCT(--(ROW($1:$19)&lt;=LEN($C211&amp;"")),--ISERROR(FIND(MID($C211&amp;"",ROW($1:$19),1),"ABCDEFGHIJKLMNOPQRSTUVWXYZabcdefghijklmnopqrstuvwxyz .,")))&gt;0)),"First Name, ","")&amp;IF(OR($D211="",LEN($D211)&gt;26,AND($D211&lt;&gt;"",SUMPRODUCT(--(ROW($1:$26)&lt;=LEN($D211&amp;"")),--ISERROR(FIND(MID($D211&amp;"",ROW($1:$26),1),"ABCDEFGHIJKLMNOPQRSTUVWXYZabcdefghijklmnopqrstuvwxyz .,")))&gt;0)),"Last Name, ","")&amp;IF(OR(LEN($E211)&gt;1,AND($E211&lt;&gt;"",SUMPRODUCT(--(ROW($1:$1)&lt;=LEN($E211&amp;"")),--ISERROR(FIND(MID($E211&amp;"",ROW($1:$1),1),"ABCDEFGHIJKLMNOPQRSTUVWXYZabcdefghijklmnopqrstuvwxyz .,")))&gt;0)),"Middle Initial, ","")&amp;IF(OR($F211="",LEN($F211)&gt;75),"Address, ","")&amp;IF(OR($H211="",LEN($H211)&gt;30),"City, ","")&amp;IF(AND($K211="US",OR($I211="",LEN($I211)&lt;&gt;2)),"State, ","")&amp;IF($J211="","ZIP, ","")&amp;IF(OR($K211="",AND($K211&lt;&gt;"US",$K211&lt;&gt;"CA")),"Country, ","")&amp;IF(OR($L211="",AND($L211&lt;&gt;"",OR(NOT(ISNUMBER($L211)),$L211&lt;=DATE(1900,1,1),$L211&gt;TODAY()))),"Birthdate, ","")&amp;IF(AND($N211&lt;&gt;"",NOT(IFERROR(AND(ISNUMBER(SEARCH("@",$N211)),ISNUMBER(SEARCH(".",$N211,SEARCH("@",$N211)+2))),FALSE))),"Email, ","")&amp;IF(OR(AND($B211&lt;&gt;"",$O211=""),AND($O211&lt;&gt;"",$O211&lt;&gt;"Spouse or Common Law Spouse",$O211&lt;&gt;"Domestic Partner",$O211&lt;&gt;"Child",$O211&lt;&gt;"Other",$O211&lt;&gt;"Estate",$O211&lt;&gt;"Unknown")),"Dependent Relationship, ","")&amp;IF($AA211&lt;&gt;"","Household, ","")&amp;IF(OR($P211="",AND($P211&lt;&gt;"",OR(NOT(ISNUMBER($P211)),$P211&lt;=DATE(1900,1,1)))),"Eligibility Date, ","")&amp;IF(OR(AND($R211="Terminated",$Q211=""),AND($Q211&lt;&gt;"",OR(NOT(ISNUMBER($Q211)),$Q211&lt;=DATE(1900,1,1))),AND(ISNUMBER($P211),ISNUMBER($Q211),$Q211&lt;$P211)),"Termination Date, ","")&amp;IF(OR($R211="",AND($R211&lt;&gt;"Active",$R211&lt;&gt;"Terminated"),AND('START HERE'!$C$8="Terminations Only",$R211&lt;&gt;"Terminated")),"Status, ","")&amp;IF($S211="","Plan Name, ","")&amp;IF($T211="","Coverage Level, ","")&amp;IF(AND($U211&lt;&gt;"",OR(NOT(ISNUMBER($U211)),$U211&lt;0)),"Funding, ","")&amp;IF(AND($A211&lt;&gt;"",$S211&lt;&gt;"",COUNTIFS($A$2:$A$501,$A211,$B$2:$B$501,$B211,$S$2:$S$501,$S211)&gt;1),"Duplicate Row, ",""))</f>
        <v/>
      </c>
      <c r="AF211">
        <f>IF(COUNTA($A211:$U211)=0,"",$Y211&amp;$Z211&amp;$AA211&amp;$AB211&amp;$AC211)</f>
        <v/>
      </c>
      <c r="AG211">
        <f>IF($N211="","",LOWER(TRIM($N211)))</f>
        <v/>
      </c>
      <c r="AH211">
        <f>IF($A211="","",COUNTIFS($A$2:$A$501,$A211,$AI$2:$AI$501,1))</f>
        <v/>
      </c>
      <c r="AI211">
        <f>IF(COUNTA($A211:$U211)=0,"",--($AF211&lt;&gt;""))</f>
        <v/>
      </c>
      <c r="AJ211">
        <f>IF(COUNTA($A211:$U211)=0,"",--($AD211&lt;&gt;""))</f>
        <v/>
      </c>
    </row>
    <row r="212" ht="20" customHeight="1">
      <c r="A212" s="80" t="n"/>
      <c r="B212" s="80" t="n"/>
      <c r="C212" s="81" t="n"/>
      <c r="D212" s="81" t="n"/>
      <c r="E212" s="80" t="n"/>
      <c r="F212" s="81" t="n"/>
      <c r="G212" s="81" t="n"/>
      <c r="H212" s="81" t="n"/>
      <c r="I212" s="80" t="n"/>
      <c r="J212" s="80" t="n"/>
      <c r="K212" s="80" t="n"/>
      <c r="L212" s="82" t="n"/>
      <c r="M212" s="80" t="n"/>
      <c r="N212" s="80" t="n"/>
      <c r="O212" s="80" t="n"/>
      <c r="P212" s="82" t="n"/>
      <c r="Q212" s="82" t="n"/>
      <c r="R212" s="80" t="n"/>
      <c r="S212" s="80" t="n"/>
      <c r="T212" s="80" t="n"/>
      <c r="U212" s="83" t="n"/>
      <c r="V212">
        <f>IF($A212="","",IF($A212=$A211,$V211,IF($V211="",0,1-$V211)))</f>
        <v/>
      </c>
      <c r="W212">
        <f>IF($B212&lt;&gt;"",$B212,$A212)</f>
        <v/>
      </c>
      <c r="X212">
        <f>IF(COUNTA($A212:$U212)=0,"",IF(OR($B212&lt;&gt;"",$O212&lt;&gt;""),"Dependent","Employee"))</f>
        <v/>
      </c>
      <c r="Y212">
        <f>IF(COUNTA($A212:$U212)=0,"",IF($A212="","Employee SSN is required; ","")&amp;IF($C212="","First Name is required; ","")&amp;IF(LEN($C212&amp;"")&gt;19,"First Name exceeds 19 characters; ","")&amp;IF(AND($C212&lt;&gt;"",SUMPRODUCT(--(ROW($1:$19)&lt;=LEN($C212&amp;"")),--ISERROR(FIND(MID($C212&amp;"",ROW($1:$19),1),"ABCDEFGHIJKLMNOPQRSTUVWXYZabcdefghijklmnopqrstuvwxyz .,")))&gt;0),"First Name contains unsupported or encoded characters; use plain A-Z letters only; ","")&amp;IF($D212="","Last Name is required; ","")&amp;IF(LEN($D212&amp;"")&gt;26,"Last Name exceeds 26 characters; ","")&amp;IF(AND($D212&lt;&gt;"",SUMPRODUCT(--(ROW($1:$26)&lt;=LEN($D212&amp;"")),--ISERROR(FIND(MID($D212&amp;"",ROW($1:$26),1),"ABCDEFGHIJKLMNOPQRSTUVWXYZabcdefghijklmnopqrstuvwxyz .,")))&gt;0),"Last Name contains unsupported or encoded characters; use plain A-Z letters only; ","")&amp;IF(LEN($E212&amp;"")&gt;1,"Middle Initial may contain only one character; ","")&amp;IF(AND($E212&lt;&gt;"",SUMPRODUCT(--(ROW($1:$1)&lt;=LEN($E212&amp;"")),--ISERROR(FIND(MID($E212&amp;"",ROW($1:$1),1),"ABCDEFGHIJKLMNOPQRSTUVWXYZabcdefghijklmnopqrstuvwxyz .,")))&gt;0),"Middle Initial must be a plain A-Z letter; ","")&amp;IF($F212="","Address is required; ","")&amp;IF(LEN($F212&amp;"")&gt;75,"Address exceeds 75 characters; ","")&amp;IF(LEN($G212&amp;"")&gt;75,"Address 2 exceeds 75 characters; ","")&amp;IF($H212="","City is required; ","")&amp;IF(LEN($H212&amp;"")&gt;30,"City exceeds 30 characters; ","")&amp;IF($K212="","Country is required; ","")&amp;IF(AND($K212&lt;&gt;"",$K212&lt;&gt;"US",$K212&lt;&gt;"CA"),"Country must be US or CA; ","")&amp;IF(AND($K212="US",OR($I212="",LEN($I212&amp;"")&lt;&gt;2)),"Use a 2-letter state code; ","")&amp;IF($J212="","ZIP or postal code is required; ","")&amp;IF(AND($K212="US",$J212&lt;&gt;"",NOT(IFERROR(OR(AND(LEN($J212&amp;"")=5,ISNUMBER(--($J212&amp;""))),AND(LEN($J212&amp;"")=9,ISNUMBER(--($J212&amp;""))),AND(LEN($J212&amp;"")=10,MID($J212&amp;"",6,1)="-",ISNUMBER(--SUBSTITUTE($J212&amp;"","-","")))),FALSE))),"US ZIP must be 5 or 9 digits, with an optional ZIP+4 hyphen; ","")&amp;IF(AND($N212&lt;&gt;"",NOT(IFERROR(AND(ISNUMBER(SEARCH("@",$N212)),ISNUMBER(SEARCH(".",$N212,SEARCH("@",$N212)+2))),FALSE))),"Email format appears invalid; ","")&amp;IF(AND($O212&lt;&gt;"",$B212=""),"Dependent SSN is required for every dependent; ","")&amp;IF(AND($B212&lt;&gt;"",$O212=""),"Dependent Relationship is required when Dependent SSN is entered; ","")&amp;IF(AND($O212&lt;&gt;"",$O212&lt;&gt;"Spouse or Common Law Spouse",$O212&lt;&gt;"Domestic Partner",$O212&lt;&gt;"Child",$O212&lt;&gt;"Other",$O212&lt;&gt;"Estate",$O212&lt;&gt;"Unknown"),"Dependent Relationship must use one of the approved options; ",""))</f>
        <v/>
      </c>
      <c r="Z212">
        <f>IF(COUNTA($A212:$U212)=0,"",IF(AND($A212&lt;&gt;"",NOT(IFERROR(AND(LEN($A212&amp;"")=9,ISNUMBER(--($A212&amp;""))),FALSE))),"Employee SSN must contain exactly 9 digits; ","")&amp;IF(AND($A212&lt;&gt;"",OR($A212="123456789",$A212="987654321",$A212="012345678",$A212=REPT(LEFT($A212&amp;"",1),9))),"Employee SSN appears to be a placeholder; ","")&amp;IF(AND($B212&lt;&gt;"",NOT(IFERROR(AND(LEN($B212&amp;"")=9,ISNUMBER(--($B212&amp;""))),FALSE))),"Dependent SSN must contain exactly 9 digits; ","")&amp;IF(AND($B212&lt;&gt;"",OR($B212="123456789",$B212="987654321",$B212="012345678",$B212=REPT(LEFT($B212&amp;"",1),9))),"Dependent SSN appears to be a placeholder; ","")&amp;IF(AND($A212&lt;&gt;"",$B212&lt;&gt;"",$A212&amp;""=$B212&amp;""),"Dependent SSN cannot match Employee SSN; ","")&amp;IF(AND($W212&lt;&gt;"",OR(COUNTIFS($W$2:$W$501,$W212,$C$2:$C$501,"&lt;&gt;"&amp;$C212)&gt;0,COUNTIFS($W$2:$W$501,$W212,$D$2:$D$501,"&lt;&gt;"&amp;$D212)&gt;0,COUNTIFS($W$2:$W$501,$W212,$L$2:$L$501,"&lt;&gt;"&amp;$L212)&gt;0)),"The same SSN is associated with a different name or birthdate; ",""))</f>
        <v/>
      </c>
      <c r="AA212">
        <f>IF(COUNTA($A212:$U212)=0,"",IF(AND($A212&lt;&gt;"",$S212&lt;&gt;"",COUNTIFS($A$2:$A$501,$A212,$S$2:$S$501,$S212,$B$2:$B$501,"",$O$2:$O$501,"")=0),"Add an employee row for this household and plan; ","")&amp;IF(AND($X212="Dependent",COUNTIFS($A$2:$A212,$A212,$S$2:$S212,$S212,$B$2:$B212,"",$O$2:$O212,"")=0),"Place the employee row before dependent rows for this plan; ","")&amp;IF(AND($X212="Dependent",COUNTIFS($A$2:$A$501,$A212,$S$2:$S$501,$S212,$B$2:$B$501,"",$O$2:$O$501,"")&gt;0,IFERROR(OR($P212&lt;&gt;LOOKUP(2,1/(($A$2:$A$501=$A212)*($S$2:$S$501=$S212)*($B$2:$B$501="")*($O$2:$O$501="")),$P$2:$P$501),$Q212&lt;&gt;LOOKUP(2,1/(($A$2:$A$501=$A212)*($S$2:$S$501=$S212)*($B$2:$B$501="")*($O$2:$O$501="")),$Q$2:$Q$501),$R212&lt;&gt;LOOKUP(2,1/(($A$2:$A$501=$A212)*($S$2:$S$501=$S212)*($B$2:$B$501="")*($O$2:$O$501="")),$R$2:$R$501),$T212&lt;&gt;LOOKUP(2,1/(($A$2:$A$501=$A212)*($S$2:$S$501=$S212)*($B$2:$B$501="")*($O$2:$O$501="")),$T$2:$T$501),$U212&lt;&gt;LOOKUP(2,1/(($A$2:$A$501=$A212)*($S$2:$S$501=$S212)*($B$2:$B$501="")*($O$2:$O$501="")),$U$2:$U$501)),FALSE)),"Dependent row does not match the employee row for eligibility, status, coverage level, or funding; ",""))</f>
        <v/>
      </c>
      <c r="AB212">
        <f>IF(COUNTA($A212:$U212)=0,"",IF($L212="","Birthdate is required; ","")&amp;IF(AND($L212&lt;&gt;"",OR(NOT(ISNUMBER($L212)),$L212&lt;=DATE(1900,1,1),$L212&gt;TODAY())),"Birthdate must be an exact valid past date; ","")&amp;IF($P212="","Eligibility Date is required; ","")&amp;IF(AND($P212&lt;&gt;"",OR(NOT(ISNUMBER($P212)),$P212&lt;=DATE(1900,1,1))),"Eligibility Date must be a valid date; ","")&amp;IF(AND($R212="Terminated",$Q212=""),"Termination Date is required when Status is Terminated; ","")&amp;IF(AND($Q212&lt;&gt;"",OR(NOT(ISNUMBER($Q212)),$Q212&lt;=DATE(1900,1,1))),"Termination Date must be a valid date; ","")&amp;IF(AND(ISNUMBER($P212),ISNUMBER($Q212),$Q212&lt;$P212),"Termination Date cannot be before Eligibility Date; ","")&amp;IF($R212="","Status is required; ","")&amp;IF(AND($R212&lt;&gt;"",$R212&lt;&gt;"Active",$R212&lt;&gt;"Terminated"),"Status must be Active or Terminated; ","")&amp;IF(AND('START HERE'!$C$8="Terminations Only",$R212&lt;&gt;"Terminated"),"Terminations Only files must contain terminated records; ",""))</f>
        <v/>
      </c>
      <c r="AC212">
        <f>IF(COUNTA($A212:$U212)=0,"",IF($S212="","Plan Name is required; ","")&amp;IF($T212="","Benefit Coverage Level is required; ","")&amp;IF(AND($U212&lt;&gt;"",OR(NOT(ISNUMBER($U212)),$U212&lt;0)),"Plan Funding Amount must be a nonnegative number; ","")&amp;IF(AND($A212&lt;&gt;"",$S212&lt;&gt;"",COUNTIFS($A$2:$A$501,$A212,$B$2:$B$501,$B212,$S$2:$S$501,$S212)&gt;1),"Duplicate participant and plan row; ",""))</f>
        <v/>
      </c>
      <c r="AD212">
        <f>IF(COUNTA($A212:$U212)=0,"",IF(AND($X212="Employee",$M212="",$N212=""),"No employee phone or email provided; ","")&amp;IF(AND($R212="Active",$Q212&lt;&gt;""),"Active record includes a Termination Date; confirm this is intentional; ","")&amp;IF(AND($B212&lt;&gt;"",$B212&amp;""&lt;&gt;$A212&amp;"",COUNTIF($A$2:$A$501,$B212)&gt;0),"Dependent SSN also appears as an Employee SSN elsewhere; confirm dual-employee coverage is intentional; ","")&amp;IF(AND($B212&lt;&gt;"",COUNTIF($B$2:$B$501,$B212)&gt;COUNTIFS($A$2:$A$501,$A212,$B$2:$B$501,$B212)),"Dependent SSN appears under more than one employee; confirm duplicate family coverage is intentional; ","")&amp;IF(AND(ROW()&gt;2,$A212&lt;&gt;"",$A212&lt;&gt;$A211,COUNTIF($A$2:$A211,$A212)&gt;0),"This household appears in more than one section of the census; keep the family together; ","")&amp;IF(OR(AND($C212&lt;&gt;"",LEN($C212&amp;"")&lt;&gt;LEN(TRIM($C212&amp;""))),AND($D212&lt;&gt;"",LEN($D212&amp;"")&lt;&gt;LEN(TRIM($D212&amp;""))),AND($E212&lt;&gt;"",LEN($E212&amp;"")&lt;&gt;LEN(TRIM($E212&amp;""))),AND($F212&lt;&gt;"",LEN($F212&amp;"")&lt;&gt;LEN(TRIM($F212&amp;""))),AND($G212&lt;&gt;"",LEN($G212&amp;"")&lt;&gt;LEN(TRIM($G212&amp;""))),AND($H212&lt;&gt;"",LEN($H212&amp;"")&lt;&gt;LEN(TRIM($H212&amp;""))),AND($I212&lt;&gt;"",LEN($I212&amp;"")&lt;&gt;LEN(TRIM($I212&amp;""))),AND($J212&lt;&gt;"",LEN($J212&amp;"")&lt;&gt;LEN(TRIM($J212&amp;""))),AND($K212&lt;&gt;"",LEN($K212&amp;"")&lt;&gt;LEN(TRIM($K212&amp;""))),AND($M212&lt;&gt;"",LEN($M212&amp;"")&lt;&gt;LEN(TRIM($M212&amp;""))),AND($N212&lt;&gt;"",LEN($N212&amp;"")&lt;&gt;LEN(TRIM($N212&amp;""))),AND($O212&lt;&gt;"",LEN($O212&amp;"")&lt;&gt;LEN(TRIM($O212&amp;""))),AND($R212&lt;&gt;"",LEN($R212&amp;"")&lt;&gt;LEN(TRIM($R212&amp;""))),AND($S212&lt;&gt;"",LEN($S212&amp;"")&lt;&gt;LEN(TRIM($S212&amp;""))),AND($T212&lt;&gt;"",LEN($T212&amp;"")&lt;&gt;LEN(TRIM($T212&amp;"")))),"Remove leading or trailing spaces from text fields; ","")&amp;IF(OR(AND(LEN($C212)&gt;1,OR(EXACT($C212,UPPER($C212)),EXACT($C212,LOWER($C212)))),AND(LEN($D212)&gt;1,OR(EXACT($D212,UPPER($D212)),EXACT($D212,LOWER($D212)))),AND(LEN($H212)&gt;1,OR(EXACT($H212,UPPER($H212)),EXACT($H212,LOWER($H212))))),"Review capitalization in First Name, Last Name, or City; ","")&amp;IF(AND($N212&lt;&gt;"",NOT(EXACT($N212,LOWER($N212)))),"Email will be standardized to lowercase in the clean output; ","")&amp;IF(AND(OR('START HERE'!$C$8="Initial Enrollment",'START HERE'!$C$8="Open Enrollment"),$R212="Terminated"),"A terminated row is included in an initial or open enrollment file; confirm this is intentional; ",""))</f>
        <v/>
      </c>
      <c r="AE212">
        <f>IF(COUNTA($A212:$U212)=0,"",IF(OR($A212="",AND($A212&lt;&gt;"",NOT(IFERROR(AND(LEN($A212&amp;"")=9,ISNUMBER(--($A212&amp;""))),FALSE))),AND($A212&lt;&gt;"",OR($A212="123456789",$A212="987654321",$A212="012345678",$A212=REPT(LEFT($A212&amp;"",1),9)))),"Employee SSN, ","")&amp;IF(OR(AND($O212&lt;&gt;"",$B212=""),AND($B212&lt;&gt;"",OR(NOT(IFERROR(AND(LEN($B212&amp;"")=9,ISNUMBER(--($B212&amp;""))),FALSE)),$B212=$A212,$B212="123456789",$B212="987654321",$B212="012345678",$B212=REPT(LEFT($B212&amp;"",1),9)))),"Dependent SSN, ","")&amp;IF(OR($C212="",LEN($C212)&gt;19,AND($C212&lt;&gt;"",SUMPRODUCT(--(ROW($1:$19)&lt;=LEN($C212&amp;"")),--ISERROR(FIND(MID($C212&amp;"",ROW($1:$19),1),"ABCDEFGHIJKLMNOPQRSTUVWXYZabcdefghijklmnopqrstuvwxyz .,")))&gt;0)),"First Name, ","")&amp;IF(OR($D212="",LEN($D212)&gt;26,AND($D212&lt;&gt;"",SUMPRODUCT(--(ROW($1:$26)&lt;=LEN($D212&amp;"")),--ISERROR(FIND(MID($D212&amp;"",ROW($1:$26),1),"ABCDEFGHIJKLMNOPQRSTUVWXYZabcdefghijklmnopqrstuvwxyz .,")))&gt;0)),"Last Name, ","")&amp;IF(OR(LEN($E212)&gt;1,AND($E212&lt;&gt;"",SUMPRODUCT(--(ROW($1:$1)&lt;=LEN($E212&amp;"")),--ISERROR(FIND(MID($E212&amp;"",ROW($1:$1),1),"ABCDEFGHIJKLMNOPQRSTUVWXYZabcdefghijklmnopqrstuvwxyz .,")))&gt;0)),"Middle Initial, ","")&amp;IF(OR($F212="",LEN($F212)&gt;75),"Address, ","")&amp;IF(OR($H212="",LEN($H212)&gt;30),"City, ","")&amp;IF(AND($K212="US",OR($I212="",LEN($I212)&lt;&gt;2)),"State, ","")&amp;IF($J212="","ZIP, ","")&amp;IF(OR($K212="",AND($K212&lt;&gt;"US",$K212&lt;&gt;"CA")),"Country, ","")&amp;IF(OR($L212="",AND($L212&lt;&gt;"",OR(NOT(ISNUMBER($L212)),$L212&lt;=DATE(1900,1,1),$L212&gt;TODAY()))),"Birthdate, ","")&amp;IF(AND($N212&lt;&gt;"",NOT(IFERROR(AND(ISNUMBER(SEARCH("@",$N212)),ISNUMBER(SEARCH(".",$N212,SEARCH("@",$N212)+2))),FALSE))),"Email, ","")&amp;IF(OR(AND($B212&lt;&gt;"",$O212=""),AND($O212&lt;&gt;"",$O212&lt;&gt;"Spouse or Common Law Spouse",$O212&lt;&gt;"Domestic Partner",$O212&lt;&gt;"Child",$O212&lt;&gt;"Other",$O212&lt;&gt;"Estate",$O212&lt;&gt;"Unknown")),"Dependent Relationship, ","")&amp;IF($AA212&lt;&gt;"","Household, ","")&amp;IF(OR($P212="",AND($P212&lt;&gt;"",OR(NOT(ISNUMBER($P212)),$P212&lt;=DATE(1900,1,1)))),"Eligibility Date, ","")&amp;IF(OR(AND($R212="Terminated",$Q212=""),AND($Q212&lt;&gt;"",OR(NOT(ISNUMBER($Q212)),$Q212&lt;=DATE(1900,1,1))),AND(ISNUMBER($P212),ISNUMBER($Q212),$Q212&lt;$P212)),"Termination Date, ","")&amp;IF(OR($R212="",AND($R212&lt;&gt;"Active",$R212&lt;&gt;"Terminated"),AND('START HERE'!$C$8="Terminations Only",$R212&lt;&gt;"Terminated")),"Status, ","")&amp;IF($S212="","Plan Name, ","")&amp;IF($T212="","Coverage Level, ","")&amp;IF(AND($U212&lt;&gt;"",OR(NOT(ISNUMBER($U212)),$U212&lt;0)),"Funding, ","")&amp;IF(AND($A212&lt;&gt;"",$S212&lt;&gt;"",COUNTIFS($A$2:$A$501,$A212,$B$2:$B$501,$B212,$S$2:$S$501,$S212)&gt;1),"Duplicate Row, ",""))</f>
        <v/>
      </c>
      <c r="AF212">
        <f>IF(COUNTA($A212:$U212)=0,"",$Y212&amp;$Z212&amp;$AA212&amp;$AB212&amp;$AC212)</f>
        <v/>
      </c>
      <c r="AG212">
        <f>IF($N212="","",LOWER(TRIM($N212)))</f>
        <v/>
      </c>
      <c r="AH212">
        <f>IF($A212="","",COUNTIFS($A$2:$A$501,$A212,$AI$2:$AI$501,1))</f>
        <v/>
      </c>
      <c r="AI212">
        <f>IF(COUNTA($A212:$U212)=0,"",--($AF212&lt;&gt;""))</f>
        <v/>
      </c>
      <c r="AJ212">
        <f>IF(COUNTA($A212:$U212)=0,"",--($AD212&lt;&gt;""))</f>
        <v/>
      </c>
    </row>
    <row r="213" ht="20" customHeight="1">
      <c r="A213" s="80" t="n"/>
      <c r="B213" s="80" t="n"/>
      <c r="C213" s="81" t="n"/>
      <c r="D213" s="81" t="n"/>
      <c r="E213" s="80" t="n"/>
      <c r="F213" s="81" t="n"/>
      <c r="G213" s="81" t="n"/>
      <c r="H213" s="81" t="n"/>
      <c r="I213" s="80" t="n"/>
      <c r="J213" s="80" t="n"/>
      <c r="K213" s="80" t="n"/>
      <c r="L213" s="82" t="n"/>
      <c r="M213" s="80" t="n"/>
      <c r="N213" s="80" t="n"/>
      <c r="O213" s="80" t="n"/>
      <c r="P213" s="82" t="n"/>
      <c r="Q213" s="82" t="n"/>
      <c r="R213" s="80" t="n"/>
      <c r="S213" s="80" t="n"/>
      <c r="T213" s="80" t="n"/>
      <c r="U213" s="83" t="n"/>
      <c r="V213">
        <f>IF($A213="","",IF($A213=$A212,$V212,IF($V212="",0,1-$V212)))</f>
        <v/>
      </c>
      <c r="W213">
        <f>IF($B213&lt;&gt;"",$B213,$A213)</f>
        <v/>
      </c>
      <c r="X213">
        <f>IF(COUNTA($A213:$U213)=0,"",IF(OR($B213&lt;&gt;"",$O213&lt;&gt;""),"Dependent","Employee"))</f>
        <v/>
      </c>
      <c r="Y213">
        <f>IF(COUNTA($A213:$U213)=0,"",IF($A213="","Employee SSN is required; ","")&amp;IF($C213="","First Name is required; ","")&amp;IF(LEN($C213&amp;"")&gt;19,"First Name exceeds 19 characters; ","")&amp;IF(AND($C213&lt;&gt;"",SUMPRODUCT(--(ROW($1:$19)&lt;=LEN($C213&amp;"")),--ISERROR(FIND(MID($C213&amp;"",ROW($1:$19),1),"ABCDEFGHIJKLMNOPQRSTUVWXYZabcdefghijklmnopqrstuvwxyz .,")))&gt;0),"First Name contains unsupported or encoded characters; use plain A-Z letters only; ","")&amp;IF($D213="","Last Name is required; ","")&amp;IF(LEN($D213&amp;"")&gt;26,"Last Name exceeds 26 characters; ","")&amp;IF(AND($D213&lt;&gt;"",SUMPRODUCT(--(ROW($1:$26)&lt;=LEN($D213&amp;"")),--ISERROR(FIND(MID($D213&amp;"",ROW($1:$26),1),"ABCDEFGHIJKLMNOPQRSTUVWXYZabcdefghijklmnopqrstuvwxyz .,")))&gt;0),"Last Name contains unsupported or encoded characters; use plain A-Z letters only; ","")&amp;IF(LEN($E213&amp;"")&gt;1,"Middle Initial may contain only one character; ","")&amp;IF(AND($E213&lt;&gt;"",SUMPRODUCT(--(ROW($1:$1)&lt;=LEN($E213&amp;"")),--ISERROR(FIND(MID($E213&amp;"",ROW($1:$1),1),"ABCDEFGHIJKLMNOPQRSTUVWXYZabcdefghijklmnopqrstuvwxyz .,")))&gt;0),"Middle Initial must be a plain A-Z letter; ","")&amp;IF($F213="","Address is required; ","")&amp;IF(LEN($F213&amp;"")&gt;75,"Address exceeds 75 characters; ","")&amp;IF(LEN($G213&amp;"")&gt;75,"Address 2 exceeds 75 characters; ","")&amp;IF($H213="","City is required; ","")&amp;IF(LEN($H213&amp;"")&gt;30,"City exceeds 30 characters; ","")&amp;IF($K213="","Country is required; ","")&amp;IF(AND($K213&lt;&gt;"",$K213&lt;&gt;"US",$K213&lt;&gt;"CA"),"Country must be US or CA; ","")&amp;IF(AND($K213="US",OR($I213="",LEN($I213&amp;"")&lt;&gt;2)),"Use a 2-letter state code; ","")&amp;IF($J213="","ZIP or postal code is required; ","")&amp;IF(AND($K213="US",$J213&lt;&gt;"",NOT(IFERROR(OR(AND(LEN($J213&amp;"")=5,ISNUMBER(--($J213&amp;""))),AND(LEN($J213&amp;"")=9,ISNUMBER(--($J213&amp;""))),AND(LEN($J213&amp;"")=10,MID($J213&amp;"",6,1)="-",ISNUMBER(--SUBSTITUTE($J213&amp;"","-","")))),FALSE))),"US ZIP must be 5 or 9 digits, with an optional ZIP+4 hyphen; ","")&amp;IF(AND($N213&lt;&gt;"",NOT(IFERROR(AND(ISNUMBER(SEARCH("@",$N213)),ISNUMBER(SEARCH(".",$N213,SEARCH("@",$N213)+2))),FALSE))),"Email format appears invalid; ","")&amp;IF(AND($O213&lt;&gt;"",$B213=""),"Dependent SSN is required for every dependent; ","")&amp;IF(AND($B213&lt;&gt;"",$O213=""),"Dependent Relationship is required when Dependent SSN is entered; ","")&amp;IF(AND($O213&lt;&gt;"",$O213&lt;&gt;"Spouse or Common Law Spouse",$O213&lt;&gt;"Domestic Partner",$O213&lt;&gt;"Child",$O213&lt;&gt;"Other",$O213&lt;&gt;"Estate",$O213&lt;&gt;"Unknown"),"Dependent Relationship must use one of the approved options; ",""))</f>
        <v/>
      </c>
      <c r="Z213">
        <f>IF(COUNTA($A213:$U213)=0,"",IF(AND($A213&lt;&gt;"",NOT(IFERROR(AND(LEN($A213&amp;"")=9,ISNUMBER(--($A213&amp;""))),FALSE))),"Employee SSN must contain exactly 9 digits; ","")&amp;IF(AND($A213&lt;&gt;"",OR($A213="123456789",$A213="987654321",$A213="012345678",$A213=REPT(LEFT($A213&amp;"",1),9))),"Employee SSN appears to be a placeholder; ","")&amp;IF(AND($B213&lt;&gt;"",NOT(IFERROR(AND(LEN($B213&amp;"")=9,ISNUMBER(--($B213&amp;""))),FALSE))),"Dependent SSN must contain exactly 9 digits; ","")&amp;IF(AND($B213&lt;&gt;"",OR($B213="123456789",$B213="987654321",$B213="012345678",$B213=REPT(LEFT($B213&amp;"",1),9))),"Dependent SSN appears to be a placeholder; ","")&amp;IF(AND($A213&lt;&gt;"",$B213&lt;&gt;"",$A213&amp;""=$B213&amp;""),"Dependent SSN cannot match Employee SSN; ","")&amp;IF(AND($W213&lt;&gt;"",OR(COUNTIFS($W$2:$W$501,$W213,$C$2:$C$501,"&lt;&gt;"&amp;$C213)&gt;0,COUNTIFS($W$2:$W$501,$W213,$D$2:$D$501,"&lt;&gt;"&amp;$D213)&gt;0,COUNTIFS($W$2:$W$501,$W213,$L$2:$L$501,"&lt;&gt;"&amp;$L213)&gt;0)),"The same SSN is associated with a different name or birthdate; ",""))</f>
        <v/>
      </c>
      <c r="AA213">
        <f>IF(COUNTA($A213:$U213)=0,"",IF(AND($A213&lt;&gt;"",$S213&lt;&gt;"",COUNTIFS($A$2:$A$501,$A213,$S$2:$S$501,$S213,$B$2:$B$501,"",$O$2:$O$501,"")=0),"Add an employee row for this household and plan; ","")&amp;IF(AND($X213="Dependent",COUNTIFS($A$2:$A213,$A213,$S$2:$S213,$S213,$B$2:$B213,"",$O$2:$O213,"")=0),"Place the employee row before dependent rows for this plan; ","")&amp;IF(AND($X213="Dependent",COUNTIFS($A$2:$A$501,$A213,$S$2:$S$501,$S213,$B$2:$B$501,"",$O$2:$O$501,"")&gt;0,IFERROR(OR($P213&lt;&gt;LOOKUP(2,1/(($A$2:$A$501=$A213)*($S$2:$S$501=$S213)*($B$2:$B$501="")*($O$2:$O$501="")),$P$2:$P$501),$Q213&lt;&gt;LOOKUP(2,1/(($A$2:$A$501=$A213)*($S$2:$S$501=$S213)*($B$2:$B$501="")*($O$2:$O$501="")),$Q$2:$Q$501),$R213&lt;&gt;LOOKUP(2,1/(($A$2:$A$501=$A213)*($S$2:$S$501=$S213)*($B$2:$B$501="")*($O$2:$O$501="")),$R$2:$R$501),$T213&lt;&gt;LOOKUP(2,1/(($A$2:$A$501=$A213)*($S$2:$S$501=$S213)*($B$2:$B$501="")*($O$2:$O$501="")),$T$2:$T$501),$U213&lt;&gt;LOOKUP(2,1/(($A$2:$A$501=$A213)*($S$2:$S$501=$S213)*($B$2:$B$501="")*($O$2:$O$501="")),$U$2:$U$501)),FALSE)),"Dependent row does not match the employee row for eligibility, status, coverage level, or funding; ",""))</f>
        <v/>
      </c>
      <c r="AB213">
        <f>IF(COUNTA($A213:$U213)=0,"",IF($L213="","Birthdate is required; ","")&amp;IF(AND($L213&lt;&gt;"",OR(NOT(ISNUMBER($L213)),$L213&lt;=DATE(1900,1,1),$L213&gt;TODAY())),"Birthdate must be an exact valid past date; ","")&amp;IF($P213="","Eligibility Date is required; ","")&amp;IF(AND($P213&lt;&gt;"",OR(NOT(ISNUMBER($P213)),$P213&lt;=DATE(1900,1,1))),"Eligibility Date must be a valid date; ","")&amp;IF(AND($R213="Terminated",$Q213=""),"Termination Date is required when Status is Terminated; ","")&amp;IF(AND($Q213&lt;&gt;"",OR(NOT(ISNUMBER($Q213)),$Q213&lt;=DATE(1900,1,1))),"Termination Date must be a valid date; ","")&amp;IF(AND(ISNUMBER($P213),ISNUMBER($Q213),$Q213&lt;$P213),"Termination Date cannot be before Eligibility Date; ","")&amp;IF($R213="","Status is required; ","")&amp;IF(AND($R213&lt;&gt;"",$R213&lt;&gt;"Active",$R213&lt;&gt;"Terminated"),"Status must be Active or Terminated; ","")&amp;IF(AND('START HERE'!$C$8="Terminations Only",$R213&lt;&gt;"Terminated"),"Terminations Only files must contain terminated records; ",""))</f>
        <v/>
      </c>
      <c r="AC213">
        <f>IF(COUNTA($A213:$U213)=0,"",IF($S213="","Plan Name is required; ","")&amp;IF($T213="","Benefit Coverage Level is required; ","")&amp;IF(AND($U213&lt;&gt;"",OR(NOT(ISNUMBER($U213)),$U213&lt;0)),"Plan Funding Amount must be a nonnegative number; ","")&amp;IF(AND($A213&lt;&gt;"",$S213&lt;&gt;"",COUNTIFS($A$2:$A$501,$A213,$B$2:$B$501,$B213,$S$2:$S$501,$S213)&gt;1),"Duplicate participant and plan row; ",""))</f>
        <v/>
      </c>
      <c r="AD213">
        <f>IF(COUNTA($A213:$U213)=0,"",IF(AND($X213="Employee",$M213="",$N213=""),"No employee phone or email provided; ","")&amp;IF(AND($R213="Active",$Q213&lt;&gt;""),"Active record includes a Termination Date; confirm this is intentional; ","")&amp;IF(AND($B213&lt;&gt;"",$B213&amp;""&lt;&gt;$A213&amp;"",COUNTIF($A$2:$A$501,$B213)&gt;0),"Dependent SSN also appears as an Employee SSN elsewhere; confirm dual-employee coverage is intentional; ","")&amp;IF(AND($B213&lt;&gt;"",COUNTIF($B$2:$B$501,$B213)&gt;COUNTIFS($A$2:$A$501,$A213,$B$2:$B$501,$B213)),"Dependent SSN appears under more than one employee; confirm duplicate family coverage is intentional; ","")&amp;IF(AND(ROW()&gt;2,$A213&lt;&gt;"",$A213&lt;&gt;$A212,COUNTIF($A$2:$A212,$A213)&gt;0),"This household appears in more than one section of the census; keep the family together; ","")&amp;IF(OR(AND($C213&lt;&gt;"",LEN($C213&amp;"")&lt;&gt;LEN(TRIM($C213&amp;""))),AND($D213&lt;&gt;"",LEN($D213&amp;"")&lt;&gt;LEN(TRIM($D213&amp;""))),AND($E213&lt;&gt;"",LEN($E213&amp;"")&lt;&gt;LEN(TRIM($E213&amp;""))),AND($F213&lt;&gt;"",LEN($F213&amp;"")&lt;&gt;LEN(TRIM($F213&amp;""))),AND($G213&lt;&gt;"",LEN($G213&amp;"")&lt;&gt;LEN(TRIM($G213&amp;""))),AND($H213&lt;&gt;"",LEN($H213&amp;"")&lt;&gt;LEN(TRIM($H213&amp;""))),AND($I213&lt;&gt;"",LEN($I213&amp;"")&lt;&gt;LEN(TRIM($I213&amp;""))),AND($J213&lt;&gt;"",LEN($J213&amp;"")&lt;&gt;LEN(TRIM($J213&amp;""))),AND($K213&lt;&gt;"",LEN($K213&amp;"")&lt;&gt;LEN(TRIM($K213&amp;""))),AND($M213&lt;&gt;"",LEN($M213&amp;"")&lt;&gt;LEN(TRIM($M213&amp;""))),AND($N213&lt;&gt;"",LEN($N213&amp;"")&lt;&gt;LEN(TRIM($N213&amp;""))),AND($O213&lt;&gt;"",LEN($O213&amp;"")&lt;&gt;LEN(TRIM($O213&amp;""))),AND($R213&lt;&gt;"",LEN($R213&amp;"")&lt;&gt;LEN(TRIM($R213&amp;""))),AND($S213&lt;&gt;"",LEN($S213&amp;"")&lt;&gt;LEN(TRIM($S213&amp;""))),AND($T213&lt;&gt;"",LEN($T213&amp;"")&lt;&gt;LEN(TRIM($T213&amp;"")))),"Remove leading or trailing spaces from text fields; ","")&amp;IF(OR(AND(LEN($C213)&gt;1,OR(EXACT($C213,UPPER($C213)),EXACT($C213,LOWER($C213)))),AND(LEN($D213)&gt;1,OR(EXACT($D213,UPPER($D213)),EXACT($D213,LOWER($D213)))),AND(LEN($H213)&gt;1,OR(EXACT($H213,UPPER($H213)),EXACT($H213,LOWER($H213))))),"Review capitalization in First Name, Last Name, or City; ","")&amp;IF(AND($N213&lt;&gt;"",NOT(EXACT($N213,LOWER($N213)))),"Email will be standardized to lowercase in the clean output; ","")&amp;IF(AND(OR('START HERE'!$C$8="Initial Enrollment",'START HERE'!$C$8="Open Enrollment"),$R213="Terminated"),"A terminated row is included in an initial or open enrollment file; confirm this is intentional; ",""))</f>
        <v/>
      </c>
      <c r="AE213">
        <f>IF(COUNTA($A213:$U213)=0,"",IF(OR($A213="",AND($A213&lt;&gt;"",NOT(IFERROR(AND(LEN($A213&amp;"")=9,ISNUMBER(--($A213&amp;""))),FALSE))),AND($A213&lt;&gt;"",OR($A213="123456789",$A213="987654321",$A213="012345678",$A213=REPT(LEFT($A213&amp;"",1),9)))),"Employee SSN, ","")&amp;IF(OR(AND($O213&lt;&gt;"",$B213=""),AND($B213&lt;&gt;"",OR(NOT(IFERROR(AND(LEN($B213&amp;"")=9,ISNUMBER(--($B213&amp;""))),FALSE)),$B213=$A213,$B213="123456789",$B213="987654321",$B213="012345678",$B213=REPT(LEFT($B213&amp;"",1),9)))),"Dependent SSN, ","")&amp;IF(OR($C213="",LEN($C213)&gt;19,AND($C213&lt;&gt;"",SUMPRODUCT(--(ROW($1:$19)&lt;=LEN($C213&amp;"")),--ISERROR(FIND(MID($C213&amp;"",ROW($1:$19),1),"ABCDEFGHIJKLMNOPQRSTUVWXYZabcdefghijklmnopqrstuvwxyz .,")))&gt;0)),"First Name, ","")&amp;IF(OR($D213="",LEN($D213)&gt;26,AND($D213&lt;&gt;"",SUMPRODUCT(--(ROW($1:$26)&lt;=LEN($D213&amp;"")),--ISERROR(FIND(MID($D213&amp;"",ROW($1:$26),1),"ABCDEFGHIJKLMNOPQRSTUVWXYZabcdefghijklmnopqrstuvwxyz .,")))&gt;0)),"Last Name, ","")&amp;IF(OR(LEN($E213)&gt;1,AND($E213&lt;&gt;"",SUMPRODUCT(--(ROW($1:$1)&lt;=LEN($E213&amp;"")),--ISERROR(FIND(MID($E213&amp;"",ROW($1:$1),1),"ABCDEFGHIJKLMNOPQRSTUVWXYZabcdefghijklmnopqrstuvwxyz .,")))&gt;0)),"Middle Initial, ","")&amp;IF(OR($F213="",LEN($F213)&gt;75),"Address, ","")&amp;IF(OR($H213="",LEN($H213)&gt;30),"City, ","")&amp;IF(AND($K213="US",OR($I213="",LEN($I213)&lt;&gt;2)),"State, ","")&amp;IF($J213="","ZIP, ","")&amp;IF(OR($K213="",AND($K213&lt;&gt;"US",$K213&lt;&gt;"CA")),"Country, ","")&amp;IF(OR($L213="",AND($L213&lt;&gt;"",OR(NOT(ISNUMBER($L213)),$L213&lt;=DATE(1900,1,1),$L213&gt;TODAY()))),"Birthdate, ","")&amp;IF(AND($N213&lt;&gt;"",NOT(IFERROR(AND(ISNUMBER(SEARCH("@",$N213)),ISNUMBER(SEARCH(".",$N213,SEARCH("@",$N213)+2))),FALSE))),"Email, ","")&amp;IF(OR(AND($B213&lt;&gt;"",$O213=""),AND($O213&lt;&gt;"",$O213&lt;&gt;"Spouse or Common Law Spouse",$O213&lt;&gt;"Domestic Partner",$O213&lt;&gt;"Child",$O213&lt;&gt;"Other",$O213&lt;&gt;"Estate",$O213&lt;&gt;"Unknown")),"Dependent Relationship, ","")&amp;IF($AA213&lt;&gt;"","Household, ","")&amp;IF(OR($P213="",AND($P213&lt;&gt;"",OR(NOT(ISNUMBER($P213)),$P213&lt;=DATE(1900,1,1)))),"Eligibility Date, ","")&amp;IF(OR(AND($R213="Terminated",$Q213=""),AND($Q213&lt;&gt;"",OR(NOT(ISNUMBER($Q213)),$Q213&lt;=DATE(1900,1,1))),AND(ISNUMBER($P213),ISNUMBER($Q213),$Q213&lt;$P213)),"Termination Date, ","")&amp;IF(OR($R213="",AND($R213&lt;&gt;"Active",$R213&lt;&gt;"Terminated"),AND('START HERE'!$C$8="Terminations Only",$R213&lt;&gt;"Terminated")),"Status, ","")&amp;IF($S213="","Plan Name, ","")&amp;IF($T213="","Coverage Level, ","")&amp;IF(AND($U213&lt;&gt;"",OR(NOT(ISNUMBER($U213)),$U213&lt;0)),"Funding, ","")&amp;IF(AND($A213&lt;&gt;"",$S213&lt;&gt;"",COUNTIFS($A$2:$A$501,$A213,$B$2:$B$501,$B213,$S$2:$S$501,$S213)&gt;1),"Duplicate Row, ",""))</f>
        <v/>
      </c>
      <c r="AF213">
        <f>IF(COUNTA($A213:$U213)=0,"",$Y213&amp;$Z213&amp;$AA213&amp;$AB213&amp;$AC213)</f>
        <v/>
      </c>
      <c r="AG213">
        <f>IF($N213="","",LOWER(TRIM($N213)))</f>
        <v/>
      </c>
      <c r="AH213">
        <f>IF($A213="","",COUNTIFS($A$2:$A$501,$A213,$AI$2:$AI$501,1))</f>
        <v/>
      </c>
      <c r="AI213">
        <f>IF(COUNTA($A213:$U213)=0,"",--($AF213&lt;&gt;""))</f>
        <v/>
      </c>
      <c r="AJ213">
        <f>IF(COUNTA($A213:$U213)=0,"",--($AD213&lt;&gt;""))</f>
        <v/>
      </c>
    </row>
    <row r="214" ht="20" customHeight="1">
      <c r="A214" s="80" t="n"/>
      <c r="B214" s="80" t="n"/>
      <c r="C214" s="81" t="n"/>
      <c r="D214" s="81" t="n"/>
      <c r="E214" s="80" t="n"/>
      <c r="F214" s="81" t="n"/>
      <c r="G214" s="81" t="n"/>
      <c r="H214" s="81" t="n"/>
      <c r="I214" s="80" t="n"/>
      <c r="J214" s="80" t="n"/>
      <c r="K214" s="80" t="n"/>
      <c r="L214" s="82" t="n"/>
      <c r="M214" s="80" t="n"/>
      <c r="N214" s="80" t="n"/>
      <c r="O214" s="80" t="n"/>
      <c r="P214" s="82" t="n"/>
      <c r="Q214" s="82" t="n"/>
      <c r="R214" s="80" t="n"/>
      <c r="S214" s="80" t="n"/>
      <c r="T214" s="80" t="n"/>
      <c r="U214" s="83" t="n"/>
      <c r="V214">
        <f>IF($A214="","",IF($A214=$A213,$V213,IF($V213="",0,1-$V213)))</f>
        <v/>
      </c>
      <c r="W214">
        <f>IF($B214&lt;&gt;"",$B214,$A214)</f>
        <v/>
      </c>
      <c r="X214">
        <f>IF(COUNTA($A214:$U214)=0,"",IF(OR($B214&lt;&gt;"",$O214&lt;&gt;""),"Dependent","Employee"))</f>
        <v/>
      </c>
      <c r="Y214">
        <f>IF(COUNTA($A214:$U214)=0,"",IF($A214="","Employee SSN is required; ","")&amp;IF($C214="","First Name is required; ","")&amp;IF(LEN($C214&amp;"")&gt;19,"First Name exceeds 19 characters; ","")&amp;IF(AND($C214&lt;&gt;"",SUMPRODUCT(--(ROW($1:$19)&lt;=LEN($C214&amp;"")),--ISERROR(FIND(MID($C214&amp;"",ROW($1:$19),1),"ABCDEFGHIJKLMNOPQRSTUVWXYZabcdefghijklmnopqrstuvwxyz .,")))&gt;0),"First Name contains unsupported or encoded characters; use plain A-Z letters only; ","")&amp;IF($D214="","Last Name is required; ","")&amp;IF(LEN($D214&amp;"")&gt;26,"Last Name exceeds 26 characters; ","")&amp;IF(AND($D214&lt;&gt;"",SUMPRODUCT(--(ROW($1:$26)&lt;=LEN($D214&amp;"")),--ISERROR(FIND(MID($D214&amp;"",ROW($1:$26),1),"ABCDEFGHIJKLMNOPQRSTUVWXYZabcdefghijklmnopqrstuvwxyz .,")))&gt;0),"Last Name contains unsupported or encoded characters; use plain A-Z letters only; ","")&amp;IF(LEN($E214&amp;"")&gt;1,"Middle Initial may contain only one character; ","")&amp;IF(AND($E214&lt;&gt;"",SUMPRODUCT(--(ROW($1:$1)&lt;=LEN($E214&amp;"")),--ISERROR(FIND(MID($E214&amp;"",ROW($1:$1),1),"ABCDEFGHIJKLMNOPQRSTUVWXYZabcdefghijklmnopqrstuvwxyz .,")))&gt;0),"Middle Initial must be a plain A-Z letter; ","")&amp;IF($F214="","Address is required; ","")&amp;IF(LEN($F214&amp;"")&gt;75,"Address exceeds 75 characters; ","")&amp;IF(LEN($G214&amp;"")&gt;75,"Address 2 exceeds 75 characters; ","")&amp;IF($H214="","City is required; ","")&amp;IF(LEN($H214&amp;"")&gt;30,"City exceeds 30 characters; ","")&amp;IF($K214="","Country is required; ","")&amp;IF(AND($K214&lt;&gt;"",$K214&lt;&gt;"US",$K214&lt;&gt;"CA"),"Country must be US or CA; ","")&amp;IF(AND($K214="US",OR($I214="",LEN($I214&amp;"")&lt;&gt;2)),"Use a 2-letter state code; ","")&amp;IF($J214="","ZIP or postal code is required; ","")&amp;IF(AND($K214="US",$J214&lt;&gt;"",NOT(IFERROR(OR(AND(LEN($J214&amp;"")=5,ISNUMBER(--($J214&amp;""))),AND(LEN($J214&amp;"")=9,ISNUMBER(--($J214&amp;""))),AND(LEN($J214&amp;"")=10,MID($J214&amp;"",6,1)="-",ISNUMBER(--SUBSTITUTE($J214&amp;"","-","")))),FALSE))),"US ZIP must be 5 or 9 digits, with an optional ZIP+4 hyphen; ","")&amp;IF(AND($N214&lt;&gt;"",NOT(IFERROR(AND(ISNUMBER(SEARCH("@",$N214)),ISNUMBER(SEARCH(".",$N214,SEARCH("@",$N214)+2))),FALSE))),"Email format appears invalid; ","")&amp;IF(AND($O214&lt;&gt;"",$B214=""),"Dependent SSN is required for every dependent; ","")&amp;IF(AND($B214&lt;&gt;"",$O214=""),"Dependent Relationship is required when Dependent SSN is entered; ","")&amp;IF(AND($O214&lt;&gt;"",$O214&lt;&gt;"Spouse or Common Law Spouse",$O214&lt;&gt;"Domestic Partner",$O214&lt;&gt;"Child",$O214&lt;&gt;"Other",$O214&lt;&gt;"Estate",$O214&lt;&gt;"Unknown"),"Dependent Relationship must use one of the approved options; ",""))</f>
        <v/>
      </c>
      <c r="Z214">
        <f>IF(COUNTA($A214:$U214)=0,"",IF(AND($A214&lt;&gt;"",NOT(IFERROR(AND(LEN($A214&amp;"")=9,ISNUMBER(--($A214&amp;""))),FALSE))),"Employee SSN must contain exactly 9 digits; ","")&amp;IF(AND($A214&lt;&gt;"",OR($A214="123456789",$A214="987654321",$A214="012345678",$A214=REPT(LEFT($A214&amp;"",1),9))),"Employee SSN appears to be a placeholder; ","")&amp;IF(AND($B214&lt;&gt;"",NOT(IFERROR(AND(LEN($B214&amp;"")=9,ISNUMBER(--($B214&amp;""))),FALSE))),"Dependent SSN must contain exactly 9 digits; ","")&amp;IF(AND($B214&lt;&gt;"",OR($B214="123456789",$B214="987654321",$B214="012345678",$B214=REPT(LEFT($B214&amp;"",1),9))),"Dependent SSN appears to be a placeholder; ","")&amp;IF(AND($A214&lt;&gt;"",$B214&lt;&gt;"",$A214&amp;""=$B214&amp;""),"Dependent SSN cannot match Employee SSN; ","")&amp;IF(AND($W214&lt;&gt;"",OR(COUNTIFS($W$2:$W$501,$W214,$C$2:$C$501,"&lt;&gt;"&amp;$C214)&gt;0,COUNTIFS($W$2:$W$501,$W214,$D$2:$D$501,"&lt;&gt;"&amp;$D214)&gt;0,COUNTIFS($W$2:$W$501,$W214,$L$2:$L$501,"&lt;&gt;"&amp;$L214)&gt;0)),"The same SSN is associated with a different name or birthdate; ",""))</f>
        <v/>
      </c>
      <c r="AA214">
        <f>IF(COUNTA($A214:$U214)=0,"",IF(AND($A214&lt;&gt;"",$S214&lt;&gt;"",COUNTIFS($A$2:$A$501,$A214,$S$2:$S$501,$S214,$B$2:$B$501,"",$O$2:$O$501,"")=0),"Add an employee row for this household and plan; ","")&amp;IF(AND($X214="Dependent",COUNTIFS($A$2:$A214,$A214,$S$2:$S214,$S214,$B$2:$B214,"",$O$2:$O214,"")=0),"Place the employee row before dependent rows for this plan; ","")&amp;IF(AND($X214="Dependent",COUNTIFS($A$2:$A$501,$A214,$S$2:$S$501,$S214,$B$2:$B$501,"",$O$2:$O$501,"")&gt;0,IFERROR(OR($P214&lt;&gt;LOOKUP(2,1/(($A$2:$A$501=$A214)*($S$2:$S$501=$S214)*($B$2:$B$501="")*($O$2:$O$501="")),$P$2:$P$501),$Q214&lt;&gt;LOOKUP(2,1/(($A$2:$A$501=$A214)*($S$2:$S$501=$S214)*($B$2:$B$501="")*($O$2:$O$501="")),$Q$2:$Q$501),$R214&lt;&gt;LOOKUP(2,1/(($A$2:$A$501=$A214)*($S$2:$S$501=$S214)*($B$2:$B$501="")*($O$2:$O$501="")),$R$2:$R$501),$T214&lt;&gt;LOOKUP(2,1/(($A$2:$A$501=$A214)*($S$2:$S$501=$S214)*($B$2:$B$501="")*($O$2:$O$501="")),$T$2:$T$501),$U214&lt;&gt;LOOKUP(2,1/(($A$2:$A$501=$A214)*($S$2:$S$501=$S214)*($B$2:$B$501="")*($O$2:$O$501="")),$U$2:$U$501)),FALSE)),"Dependent row does not match the employee row for eligibility, status, coverage level, or funding; ",""))</f>
        <v/>
      </c>
      <c r="AB214">
        <f>IF(COUNTA($A214:$U214)=0,"",IF($L214="","Birthdate is required; ","")&amp;IF(AND($L214&lt;&gt;"",OR(NOT(ISNUMBER($L214)),$L214&lt;=DATE(1900,1,1),$L214&gt;TODAY())),"Birthdate must be an exact valid past date; ","")&amp;IF($P214="","Eligibility Date is required; ","")&amp;IF(AND($P214&lt;&gt;"",OR(NOT(ISNUMBER($P214)),$P214&lt;=DATE(1900,1,1))),"Eligibility Date must be a valid date; ","")&amp;IF(AND($R214="Terminated",$Q214=""),"Termination Date is required when Status is Terminated; ","")&amp;IF(AND($Q214&lt;&gt;"",OR(NOT(ISNUMBER($Q214)),$Q214&lt;=DATE(1900,1,1))),"Termination Date must be a valid date; ","")&amp;IF(AND(ISNUMBER($P214),ISNUMBER($Q214),$Q214&lt;$P214),"Termination Date cannot be before Eligibility Date; ","")&amp;IF($R214="","Status is required; ","")&amp;IF(AND($R214&lt;&gt;"",$R214&lt;&gt;"Active",$R214&lt;&gt;"Terminated"),"Status must be Active or Terminated; ","")&amp;IF(AND('START HERE'!$C$8="Terminations Only",$R214&lt;&gt;"Terminated"),"Terminations Only files must contain terminated records; ",""))</f>
        <v/>
      </c>
      <c r="AC214">
        <f>IF(COUNTA($A214:$U214)=0,"",IF($S214="","Plan Name is required; ","")&amp;IF($T214="","Benefit Coverage Level is required; ","")&amp;IF(AND($U214&lt;&gt;"",OR(NOT(ISNUMBER($U214)),$U214&lt;0)),"Plan Funding Amount must be a nonnegative number; ","")&amp;IF(AND($A214&lt;&gt;"",$S214&lt;&gt;"",COUNTIFS($A$2:$A$501,$A214,$B$2:$B$501,$B214,$S$2:$S$501,$S214)&gt;1),"Duplicate participant and plan row; ",""))</f>
        <v/>
      </c>
      <c r="AD214">
        <f>IF(COUNTA($A214:$U214)=0,"",IF(AND($X214="Employee",$M214="",$N214=""),"No employee phone or email provided; ","")&amp;IF(AND($R214="Active",$Q214&lt;&gt;""),"Active record includes a Termination Date; confirm this is intentional; ","")&amp;IF(AND($B214&lt;&gt;"",$B214&amp;""&lt;&gt;$A214&amp;"",COUNTIF($A$2:$A$501,$B214)&gt;0),"Dependent SSN also appears as an Employee SSN elsewhere; confirm dual-employee coverage is intentional; ","")&amp;IF(AND($B214&lt;&gt;"",COUNTIF($B$2:$B$501,$B214)&gt;COUNTIFS($A$2:$A$501,$A214,$B$2:$B$501,$B214)),"Dependent SSN appears under more than one employee; confirm duplicate family coverage is intentional; ","")&amp;IF(AND(ROW()&gt;2,$A214&lt;&gt;"",$A214&lt;&gt;$A213,COUNTIF($A$2:$A213,$A214)&gt;0),"This household appears in more than one section of the census; keep the family together; ","")&amp;IF(OR(AND($C214&lt;&gt;"",LEN($C214&amp;"")&lt;&gt;LEN(TRIM($C214&amp;""))),AND($D214&lt;&gt;"",LEN($D214&amp;"")&lt;&gt;LEN(TRIM($D214&amp;""))),AND($E214&lt;&gt;"",LEN($E214&amp;"")&lt;&gt;LEN(TRIM($E214&amp;""))),AND($F214&lt;&gt;"",LEN($F214&amp;"")&lt;&gt;LEN(TRIM($F214&amp;""))),AND($G214&lt;&gt;"",LEN($G214&amp;"")&lt;&gt;LEN(TRIM($G214&amp;""))),AND($H214&lt;&gt;"",LEN($H214&amp;"")&lt;&gt;LEN(TRIM($H214&amp;""))),AND($I214&lt;&gt;"",LEN($I214&amp;"")&lt;&gt;LEN(TRIM($I214&amp;""))),AND($J214&lt;&gt;"",LEN($J214&amp;"")&lt;&gt;LEN(TRIM($J214&amp;""))),AND($K214&lt;&gt;"",LEN($K214&amp;"")&lt;&gt;LEN(TRIM($K214&amp;""))),AND($M214&lt;&gt;"",LEN($M214&amp;"")&lt;&gt;LEN(TRIM($M214&amp;""))),AND($N214&lt;&gt;"",LEN($N214&amp;"")&lt;&gt;LEN(TRIM($N214&amp;""))),AND($O214&lt;&gt;"",LEN($O214&amp;"")&lt;&gt;LEN(TRIM($O214&amp;""))),AND($R214&lt;&gt;"",LEN($R214&amp;"")&lt;&gt;LEN(TRIM($R214&amp;""))),AND($S214&lt;&gt;"",LEN($S214&amp;"")&lt;&gt;LEN(TRIM($S214&amp;""))),AND($T214&lt;&gt;"",LEN($T214&amp;"")&lt;&gt;LEN(TRIM($T214&amp;"")))),"Remove leading or trailing spaces from text fields; ","")&amp;IF(OR(AND(LEN($C214)&gt;1,OR(EXACT($C214,UPPER($C214)),EXACT($C214,LOWER($C214)))),AND(LEN($D214)&gt;1,OR(EXACT($D214,UPPER($D214)),EXACT($D214,LOWER($D214)))),AND(LEN($H214)&gt;1,OR(EXACT($H214,UPPER($H214)),EXACT($H214,LOWER($H214))))),"Review capitalization in First Name, Last Name, or City; ","")&amp;IF(AND($N214&lt;&gt;"",NOT(EXACT($N214,LOWER($N214)))),"Email will be standardized to lowercase in the clean output; ","")&amp;IF(AND(OR('START HERE'!$C$8="Initial Enrollment",'START HERE'!$C$8="Open Enrollment"),$R214="Terminated"),"A terminated row is included in an initial or open enrollment file; confirm this is intentional; ",""))</f>
        <v/>
      </c>
      <c r="AE214">
        <f>IF(COUNTA($A214:$U214)=0,"",IF(OR($A214="",AND($A214&lt;&gt;"",NOT(IFERROR(AND(LEN($A214&amp;"")=9,ISNUMBER(--($A214&amp;""))),FALSE))),AND($A214&lt;&gt;"",OR($A214="123456789",$A214="987654321",$A214="012345678",$A214=REPT(LEFT($A214&amp;"",1),9)))),"Employee SSN, ","")&amp;IF(OR(AND($O214&lt;&gt;"",$B214=""),AND($B214&lt;&gt;"",OR(NOT(IFERROR(AND(LEN($B214&amp;"")=9,ISNUMBER(--($B214&amp;""))),FALSE)),$B214=$A214,$B214="123456789",$B214="987654321",$B214="012345678",$B214=REPT(LEFT($B214&amp;"",1),9)))),"Dependent SSN, ","")&amp;IF(OR($C214="",LEN($C214)&gt;19,AND($C214&lt;&gt;"",SUMPRODUCT(--(ROW($1:$19)&lt;=LEN($C214&amp;"")),--ISERROR(FIND(MID($C214&amp;"",ROW($1:$19),1),"ABCDEFGHIJKLMNOPQRSTUVWXYZabcdefghijklmnopqrstuvwxyz .,")))&gt;0)),"First Name, ","")&amp;IF(OR($D214="",LEN($D214)&gt;26,AND($D214&lt;&gt;"",SUMPRODUCT(--(ROW($1:$26)&lt;=LEN($D214&amp;"")),--ISERROR(FIND(MID($D214&amp;"",ROW($1:$26),1),"ABCDEFGHIJKLMNOPQRSTUVWXYZabcdefghijklmnopqrstuvwxyz .,")))&gt;0)),"Last Name, ","")&amp;IF(OR(LEN($E214)&gt;1,AND($E214&lt;&gt;"",SUMPRODUCT(--(ROW($1:$1)&lt;=LEN($E214&amp;"")),--ISERROR(FIND(MID($E214&amp;"",ROW($1:$1),1),"ABCDEFGHIJKLMNOPQRSTUVWXYZabcdefghijklmnopqrstuvwxyz .,")))&gt;0)),"Middle Initial, ","")&amp;IF(OR($F214="",LEN($F214)&gt;75),"Address, ","")&amp;IF(OR($H214="",LEN($H214)&gt;30),"City, ","")&amp;IF(AND($K214="US",OR($I214="",LEN($I214)&lt;&gt;2)),"State, ","")&amp;IF($J214="","ZIP, ","")&amp;IF(OR($K214="",AND($K214&lt;&gt;"US",$K214&lt;&gt;"CA")),"Country, ","")&amp;IF(OR($L214="",AND($L214&lt;&gt;"",OR(NOT(ISNUMBER($L214)),$L214&lt;=DATE(1900,1,1),$L214&gt;TODAY()))),"Birthdate, ","")&amp;IF(AND($N214&lt;&gt;"",NOT(IFERROR(AND(ISNUMBER(SEARCH("@",$N214)),ISNUMBER(SEARCH(".",$N214,SEARCH("@",$N214)+2))),FALSE))),"Email, ","")&amp;IF(OR(AND($B214&lt;&gt;"",$O214=""),AND($O214&lt;&gt;"",$O214&lt;&gt;"Spouse or Common Law Spouse",$O214&lt;&gt;"Domestic Partner",$O214&lt;&gt;"Child",$O214&lt;&gt;"Other",$O214&lt;&gt;"Estate",$O214&lt;&gt;"Unknown")),"Dependent Relationship, ","")&amp;IF($AA214&lt;&gt;"","Household, ","")&amp;IF(OR($P214="",AND($P214&lt;&gt;"",OR(NOT(ISNUMBER($P214)),$P214&lt;=DATE(1900,1,1)))),"Eligibility Date, ","")&amp;IF(OR(AND($R214="Terminated",$Q214=""),AND($Q214&lt;&gt;"",OR(NOT(ISNUMBER($Q214)),$Q214&lt;=DATE(1900,1,1))),AND(ISNUMBER($P214),ISNUMBER($Q214),$Q214&lt;$P214)),"Termination Date, ","")&amp;IF(OR($R214="",AND($R214&lt;&gt;"Active",$R214&lt;&gt;"Terminated"),AND('START HERE'!$C$8="Terminations Only",$R214&lt;&gt;"Terminated")),"Status, ","")&amp;IF($S214="","Plan Name, ","")&amp;IF($T214="","Coverage Level, ","")&amp;IF(AND($U214&lt;&gt;"",OR(NOT(ISNUMBER($U214)),$U214&lt;0)),"Funding, ","")&amp;IF(AND($A214&lt;&gt;"",$S214&lt;&gt;"",COUNTIFS($A$2:$A$501,$A214,$B$2:$B$501,$B214,$S$2:$S$501,$S214)&gt;1),"Duplicate Row, ",""))</f>
        <v/>
      </c>
      <c r="AF214">
        <f>IF(COUNTA($A214:$U214)=0,"",$Y214&amp;$Z214&amp;$AA214&amp;$AB214&amp;$AC214)</f>
        <v/>
      </c>
      <c r="AG214">
        <f>IF($N214="","",LOWER(TRIM($N214)))</f>
        <v/>
      </c>
      <c r="AH214">
        <f>IF($A214="","",COUNTIFS($A$2:$A$501,$A214,$AI$2:$AI$501,1))</f>
        <v/>
      </c>
      <c r="AI214">
        <f>IF(COUNTA($A214:$U214)=0,"",--($AF214&lt;&gt;""))</f>
        <v/>
      </c>
      <c r="AJ214">
        <f>IF(COUNTA($A214:$U214)=0,"",--($AD214&lt;&gt;""))</f>
        <v/>
      </c>
    </row>
    <row r="215" ht="20" customHeight="1">
      <c r="A215" s="80" t="n"/>
      <c r="B215" s="80" t="n"/>
      <c r="C215" s="81" t="n"/>
      <c r="D215" s="81" t="n"/>
      <c r="E215" s="80" t="n"/>
      <c r="F215" s="81" t="n"/>
      <c r="G215" s="81" t="n"/>
      <c r="H215" s="81" t="n"/>
      <c r="I215" s="80" t="n"/>
      <c r="J215" s="80" t="n"/>
      <c r="K215" s="80" t="n"/>
      <c r="L215" s="82" t="n"/>
      <c r="M215" s="80" t="n"/>
      <c r="N215" s="80" t="n"/>
      <c r="O215" s="80" t="n"/>
      <c r="P215" s="82" t="n"/>
      <c r="Q215" s="82" t="n"/>
      <c r="R215" s="80" t="n"/>
      <c r="S215" s="80" t="n"/>
      <c r="T215" s="80" t="n"/>
      <c r="U215" s="83" t="n"/>
      <c r="V215">
        <f>IF($A215="","",IF($A215=$A214,$V214,IF($V214="",0,1-$V214)))</f>
        <v/>
      </c>
      <c r="W215">
        <f>IF($B215&lt;&gt;"",$B215,$A215)</f>
        <v/>
      </c>
      <c r="X215">
        <f>IF(COUNTA($A215:$U215)=0,"",IF(OR($B215&lt;&gt;"",$O215&lt;&gt;""),"Dependent","Employee"))</f>
        <v/>
      </c>
      <c r="Y215">
        <f>IF(COUNTA($A215:$U215)=0,"",IF($A215="","Employee SSN is required; ","")&amp;IF($C215="","First Name is required; ","")&amp;IF(LEN($C215&amp;"")&gt;19,"First Name exceeds 19 characters; ","")&amp;IF(AND($C215&lt;&gt;"",SUMPRODUCT(--(ROW($1:$19)&lt;=LEN($C215&amp;"")),--ISERROR(FIND(MID($C215&amp;"",ROW($1:$19),1),"ABCDEFGHIJKLMNOPQRSTUVWXYZabcdefghijklmnopqrstuvwxyz .,")))&gt;0),"First Name contains unsupported or encoded characters; use plain A-Z letters only; ","")&amp;IF($D215="","Last Name is required; ","")&amp;IF(LEN($D215&amp;"")&gt;26,"Last Name exceeds 26 characters; ","")&amp;IF(AND($D215&lt;&gt;"",SUMPRODUCT(--(ROW($1:$26)&lt;=LEN($D215&amp;"")),--ISERROR(FIND(MID($D215&amp;"",ROW($1:$26),1),"ABCDEFGHIJKLMNOPQRSTUVWXYZabcdefghijklmnopqrstuvwxyz .,")))&gt;0),"Last Name contains unsupported or encoded characters; use plain A-Z letters only; ","")&amp;IF(LEN($E215&amp;"")&gt;1,"Middle Initial may contain only one character; ","")&amp;IF(AND($E215&lt;&gt;"",SUMPRODUCT(--(ROW($1:$1)&lt;=LEN($E215&amp;"")),--ISERROR(FIND(MID($E215&amp;"",ROW($1:$1),1),"ABCDEFGHIJKLMNOPQRSTUVWXYZabcdefghijklmnopqrstuvwxyz .,")))&gt;0),"Middle Initial must be a plain A-Z letter; ","")&amp;IF($F215="","Address is required; ","")&amp;IF(LEN($F215&amp;"")&gt;75,"Address exceeds 75 characters; ","")&amp;IF(LEN($G215&amp;"")&gt;75,"Address 2 exceeds 75 characters; ","")&amp;IF($H215="","City is required; ","")&amp;IF(LEN($H215&amp;"")&gt;30,"City exceeds 30 characters; ","")&amp;IF($K215="","Country is required; ","")&amp;IF(AND($K215&lt;&gt;"",$K215&lt;&gt;"US",$K215&lt;&gt;"CA"),"Country must be US or CA; ","")&amp;IF(AND($K215="US",OR($I215="",LEN($I215&amp;"")&lt;&gt;2)),"Use a 2-letter state code; ","")&amp;IF($J215="","ZIP or postal code is required; ","")&amp;IF(AND($K215="US",$J215&lt;&gt;"",NOT(IFERROR(OR(AND(LEN($J215&amp;"")=5,ISNUMBER(--($J215&amp;""))),AND(LEN($J215&amp;"")=9,ISNUMBER(--($J215&amp;""))),AND(LEN($J215&amp;"")=10,MID($J215&amp;"",6,1)="-",ISNUMBER(--SUBSTITUTE($J215&amp;"","-","")))),FALSE))),"US ZIP must be 5 or 9 digits, with an optional ZIP+4 hyphen; ","")&amp;IF(AND($N215&lt;&gt;"",NOT(IFERROR(AND(ISNUMBER(SEARCH("@",$N215)),ISNUMBER(SEARCH(".",$N215,SEARCH("@",$N215)+2))),FALSE))),"Email format appears invalid; ","")&amp;IF(AND($O215&lt;&gt;"",$B215=""),"Dependent SSN is required for every dependent; ","")&amp;IF(AND($B215&lt;&gt;"",$O215=""),"Dependent Relationship is required when Dependent SSN is entered; ","")&amp;IF(AND($O215&lt;&gt;"",$O215&lt;&gt;"Spouse or Common Law Spouse",$O215&lt;&gt;"Domestic Partner",$O215&lt;&gt;"Child",$O215&lt;&gt;"Other",$O215&lt;&gt;"Estate",$O215&lt;&gt;"Unknown"),"Dependent Relationship must use one of the approved options; ",""))</f>
        <v/>
      </c>
      <c r="Z215">
        <f>IF(COUNTA($A215:$U215)=0,"",IF(AND($A215&lt;&gt;"",NOT(IFERROR(AND(LEN($A215&amp;"")=9,ISNUMBER(--($A215&amp;""))),FALSE))),"Employee SSN must contain exactly 9 digits; ","")&amp;IF(AND($A215&lt;&gt;"",OR($A215="123456789",$A215="987654321",$A215="012345678",$A215=REPT(LEFT($A215&amp;"",1),9))),"Employee SSN appears to be a placeholder; ","")&amp;IF(AND($B215&lt;&gt;"",NOT(IFERROR(AND(LEN($B215&amp;"")=9,ISNUMBER(--($B215&amp;""))),FALSE))),"Dependent SSN must contain exactly 9 digits; ","")&amp;IF(AND($B215&lt;&gt;"",OR($B215="123456789",$B215="987654321",$B215="012345678",$B215=REPT(LEFT($B215&amp;"",1),9))),"Dependent SSN appears to be a placeholder; ","")&amp;IF(AND($A215&lt;&gt;"",$B215&lt;&gt;"",$A215&amp;""=$B215&amp;""),"Dependent SSN cannot match Employee SSN; ","")&amp;IF(AND($W215&lt;&gt;"",OR(COUNTIFS($W$2:$W$501,$W215,$C$2:$C$501,"&lt;&gt;"&amp;$C215)&gt;0,COUNTIFS($W$2:$W$501,$W215,$D$2:$D$501,"&lt;&gt;"&amp;$D215)&gt;0,COUNTIFS($W$2:$W$501,$W215,$L$2:$L$501,"&lt;&gt;"&amp;$L215)&gt;0)),"The same SSN is associated with a different name or birthdate; ",""))</f>
        <v/>
      </c>
      <c r="AA215">
        <f>IF(COUNTA($A215:$U215)=0,"",IF(AND($A215&lt;&gt;"",$S215&lt;&gt;"",COUNTIFS($A$2:$A$501,$A215,$S$2:$S$501,$S215,$B$2:$B$501,"",$O$2:$O$501,"")=0),"Add an employee row for this household and plan; ","")&amp;IF(AND($X215="Dependent",COUNTIFS($A$2:$A215,$A215,$S$2:$S215,$S215,$B$2:$B215,"",$O$2:$O215,"")=0),"Place the employee row before dependent rows for this plan; ","")&amp;IF(AND($X215="Dependent",COUNTIFS($A$2:$A$501,$A215,$S$2:$S$501,$S215,$B$2:$B$501,"",$O$2:$O$501,"")&gt;0,IFERROR(OR($P215&lt;&gt;LOOKUP(2,1/(($A$2:$A$501=$A215)*($S$2:$S$501=$S215)*($B$2:$B$501="")*($O$2:$O$501="")),$P$2:$P$501),$Q215&lt;&gt;LOOKUP(2,1/(($A$2:$A$501=$A215)*($S$2:$S$501=$S215)*($B$2:$B$501="")*($O$2:$O$501="")),$Q$2:$Q$501),$R215&lt;&gt;LOOKUP(2,1/(($A$2:$A$501=$A215)*($S$2:$S$501=$S215)*($B$2:$B$501="")*($O$2:$O$501="")),$R$2:$R$501),$T215&lt;&gt;LOOKUP(2,1/(($A$2:$A$501=$A215)*($S$2:$S$501=$S215)*($B$2:$B$501="")*($O$2:$O$501="")),$T$2:$T$501),$U215&lt;&gt;LOOKUP(2,1/(($A$2:$A$501=$A215)*($S$2:$S$501=$S215)*($B$2:$B$501="")*($O$2:$O$501="")),$U$2:$U$501)),FALSE)),"Dependent row does not match the employee row for eligibility, status, coverage level, or funding; ",""))</f>
        <v/>
      </c>
      <c r="AB215">
        <f>IF(COUNTA($A215:$U215)=0,"",IF($L215="","Birthdate is required; ","")&amp;IF(AND($L215&lt;&gt;"",OR(NOT(ISNUMBER($L215)),$L215&lt;=DATE(1900,1,1),$L215&gt;TODAY())),"Birthdate must be an exact valid past date; ","")&amp;IF($P215="","Eligibility Date is required; ","")&amp;IF(AND($P215&lt;&gt;"",OR(NOT(ISNUMBER($P215)),$P215&lt;=DATE(1900,1,1))),"Eligibility Date must be a valid date; ","")&amp;IF(AND($R215="Terminated",$Q215=""),"Termination Date is required when Status is Terminated; ","")&amp;IF(AND($Q215&lt;&gt;"",OR(NOT(ISNUMBER($Q215)),$Q215&lt;=DATE(1900,1,1))),"Termination Date must be a valid date; ","")&amp;IF(AND(ISNUMBER($P215),ISNUMBER($Q215),$Q215&lt;$P215),"Termination Date cannot be before Eligibility Date; ","")&amp;IF($R215="","Status is required; ","")&amp;IF(AND($R215&lt;&gt;"",$R215&lt;&gt;"Active",$R215&lt;&gt;"Terminated"),"Status must be Active or Terminated; ","")&amp;IF(AND('START HERE'!$C$8="Terminations Only",$R215&lt;&gt;"Terminated"),"Terminations Only files must contain terminated records; ",""))</f>
        <v/>
      </c>
      <c r="AC215">
        <f>IF(COUNTA($A215:$U215)=0,"",IF($S215="","Plan Name is required; ","")&amp;IF($T215="","Benefit Coverage Level is required; ","")&amp;IF(AND($U215&lt;&gt;"",OR(NOT(ISNUMBER($U215)),$U215&lt;0)),"Plan Funding Amount must be a nonnegative number; ","")&amp;IF(AND($A215&lt;&gt;"",$S215&lt;&gt;"",COUNTIFS($A$2:$A$501,$A215,$B$2:$B$501,$B215,$S$2:$S$501,$S215)&gt;1),"Duplicate participant and plan row; ",""))</f>
        <v/>
      </c>
      <c r="AD215">
        <f>IF(COUNTA($A215:$U215)=0,"",IF(AND($X215="Employee",$M215="",$N215=""),"No employee phone or email provided; ","")&amp;IF(AND($R215="Active",$Q215&lt;&gt;""),"Active record includes a Termination Date; confirm this is intentional; ","")&amp;IF(AND($B215&lt;&gt;"",$B215&amp;""&lt;&gt;$A215&amp;"",COUNTIF($A$2:$A$501,$B215)&gt;0),"Dependent SSN also appears as an Employee SSN elsewhere; confirm dual-employee coverage is intentional; ","")&amp;IF(AND($B215&lt;&gt;"",COUNTIF($B$2:$B$501,$B215)&gt;COUNTIFS($A$2:$A$501,$A215,$B$2:$B$501,$B215)),"Dependent SSN appears under more than one employee; confirm duplicate family coverage is intentional; ","")&amp;IF(AND(ROW()&gt;2,$A215&lt;&gt;"",$A215&lt;&gt;$A214,COUNTIF($A$2:$A214,$A215)&gt;0),"This household appears in more than one section of the census; keep the family together; ","")&amp;IF(OR(AND($C215&lt;&gt;"",LEN($C215&amp;"")&lt;&gt;LEN(TRIM($C215&amp;""))),AND($D215&lt;&gt;"",LEN($D215&amp;"")&lt;&gt;LEN(TRIM($D215&amp;""))),AND($E215&lt;&gt;"",LEN($E215&amp;"")&lt;&gt;LEN(TRIM($E215&amp;""))),AND($F215&lt;&gt;"",LEN($F215&amp;"")&lt;&gt;LEN(TRIM($F215&amp;""))),AND($G215&lt;&gt;"",LEN($G215&amp;"")&lt;&gt;LEN(TRIM($G215&amp;""))),AND($H215&lt;&gt;"",LEN($H215&amp;"")&lt;&gt;LEN(TRIM($H215&amp;""))),AND($I215&lt;&gt;"",LEN($I215&amp;"")&lt;&gt;LEN(TRIM($I215&amp;""))),AND($J215&lt;&gt;"",LEN($J215&amp;"")&lt;&gt;LEN(TRIM($J215&amp;""))),AND($K215&lt;&gt;"",LEN($K215&amp;"")&lt;&gt;LEN(TRIM($K215&amp;""))),AND($M215&lt;&gt;"",LEN($M215&amp;"")&lt;&gt;LEN(TRIM($M215&amp;""))),AND($N215&lt;&gt;"",LEN($N215&amp;"")&lt;&gt;LEN(TRIM($N215&amp;""))),AND($O215&lt;&gt;"",LEN($O215&amp;"")&lt;&gt;LEN(TRIM($O215&amp;""))),AND($R215&lt;&gt;"",LEN($R215&amp;"")&lt;&gt;LEN(TRIM($R215&amp;""))),AND($S215&lt;&gt;"",LEN($S215&amp;"")&lt;&gt;LEN(TRIM($S215&amp;""))),AND($T215&lt;&gt;"",LEN($T215&amp;"")&lt;&gt;LEN(TRIM($T215&amp;"")))),"Remove leading or trailing spaces from text fields; ","")&amp;IF(OR(AND(LEN($C215)&gt;1,OR(EXACT($C215,UPPER($C215)),EXACT($C215,LOWER($C215)))),AND(LEN($D215)&gt;1,OR(EXACT($D215,UPPER($D215)),EXACT($D215,LOWER($D215)))),AND(LEN($H215)&gt;1,OR(EXACT($H215,UPPER($H215)),EXACT($H215,LOWER($H215))))),"Review capitalization in First Name, Last Name, or City; ","")&amp;IF(AND($N215&lt;&gt;"",NOT(EXACT($N215,LOWER($N215)))),"Email will be standardized to lowercase in the clean output; ","")&amp;IF(AND(OR('START HERE'!$C$8="Initial Enrollment",'START HERE'!$C$8="Open Enrollment"),$R215="Terminated"),"A terminated row is included in an initial or open enrollment file; confirm this is intentional; ",""))</f>
        <v/>
      </c>
      <c r="AE215">
        <f>IF(COUNTA($A215:$U215)=0,"",IF(OR($A215="",AND($A215&lt;&gt;"",NOT(IFERROR(AND(LEN($A215&amp;"")=9,ISNUMBER(--($A215&amp;""))),FALSE))),AND($A215&lt;&gt;"",OR($A215="123456789",$A215="987654321",$A215="012345678",$A215=REPT(LEFT($A215&amp;"",1),9)))),"Employee SSN, ","")&amp;IF(OR(AND($O215&lt;&gt;"",$B215=""),AND($B215&lt;&gt;"",OR(NOT(IFERROR(AND(LEN($B215&amp;"")=9,ISNUMBER(--($B215&amp;""))),FALSE)),$B215=$A215,$B215="123456789",$B215="987654321",$B215="012345678",$B215=REPT(LEFT($B215&amp;"",1),9)))),"Dependent SSN, ","")&amp;IF(OR($C215="",LEN($C215)&gt;19,AND($C215&lt;&gt;"",SUMPRODUCT(--(ROW($1:$19)&lt;=LEN($C215&amp;"")),--ISERROR(FIND(MID($C215&amp;"",ROW($1:$19),1),"ABCDEFGHIJKLMNOPQRSTUVWXYZabcdefghijklmnopqrstuvwxyz .,")))&gt;0)),"First Name, ","")&amp;IF(OR($D215="",LEN($D215)&gt;26,AND($D215&lt;&gt;"",SUMPRODUCT(--(ROW($1:$26)&lt;=LEN($D215&amp;"")),--ISERROR(FIND(MID($D215&amp;"",ROW($1:$26),1),"ABCDEFGHIJKLMNOPQRSTUVWXYZabcdefghijklmnopqrstuvwxyz .,")))&gt;0)),"Last Name, ","")&amp;IF(OR(LEN($E215)&gt;1,AND($E215&lt;&gt;"",SUMPRODUCT(--(ROW($1:$1)&lt;=LEN($E215&amp;"")),--ISERROR(FIND(MID($E215&amp;"",ROW($1:$1),1),"ABCDEFGHIJKLMNOPQRSTUVWXYZabcdefghijklmnopqrstuvwxyz .,")))&gt;0)),"Middle Initial, ","")&amp;IF(OR($F215="",LEN($F215)&gt;75),"Address, ","")&amp;IF(OR($H215="",LEN($H215)&gt;30),"City, ","")&amp;IF(AND($K215="US",OR($I215="",LEN($I215)&lt;&gt;2)),"State, ","")&amp;IF($J215="","ZIP, ","")&amp;IF(OR($K215="",AND($K215&lt;&gt;"US",$K215&lt;&gt;"CA")),"Country, ","")&amp;IF(OR($L215="",AND($L215&lt;&gt;"",OR(NOT(ISNUMBER($L215)),$L215&lt;=DATE(1900,1,1),$L215&gt;TODAY()))),"Birthdate, ","")&amp;IF(AND($N215&lt;&gt;"",NOT(IFERROR(AND(ISNUMBER(SEARCH("@",$N215)),ISNUMBER(SEARCH(".",$N215,SEARCH("@",$N215)+2))),FALSE))),"Email, ","")&amp;IF(OR(AND($B215&lt;&gt;"",$O215=""),AND($O215&lt;&gt;"",$O215&lt;&gt;"Spouse or Common Law Spouse",$O215&lt;&gt;"Domestic Partner",$O215&lt;&gt;"Child",$O215&lt;&gt;"Other",$O215&lt;&gt;"Estate",$O215&lt;&gt;"Unknown")),"Dependent Relationship, ","")&amp;IF($AA215&lt;&gt;"","Household, ","")&amp;IF(OR($P215="",AND($P215&lt;&gt;"",OR(NOT(ISNUMBER($P215)),$P215&lt;=DATE(1900,1,1)))),"Eligibility Date, ","")&amp;IF(OR(AND($R215="Terminated",$Q215=""),AND($Q215&lt;&gt;"",OR(NOT(ISNUMBER($Q215)),$Q215&lt;=DATE(1900,1,1))),AND(ISNUMBER($P215),ISNUMBER($Q215),$Q215&lt;$P215)),"Termination Date, ","")&amp;IF(OR($R215="",AND($R215&lt;&gt;"Active",$R215&lt;&gt;"Terminated"),AND('START HERE'!$C$8="Terminations Only",$R215&lt;&gt;"Terminated")),"Status, ","")&amp;IF($S215="","Plan Name, ","")&amp;IF($T215="","Coverage Level, ","")&amp;IF(AND($U215&lt;&gt;"",OR(NOT(ISNUMBER($U215)),$U215&lt;0)),"Funding, ","")&amp;IF(AND($A215&lt;&gt;"",$S215&lt;&gt;"",COUNTIFS($A$2:$A$501,$A215,$B$2:$B$501,$B215,$S$2:$S$501,$S215)&gt;1),"Duplicate Row, ",""))</f>
        <v/>
      </c>
      <c r="AF215">
        <f>IF(COUNTA($A215:$U215)=0,"",$Y215&amp;$Z215&amp;$AA215&amp;$AB215&amp;$AC215)</f>
        <v/>
      </c>
      <c r="AG215">
        <f>IF($N215="","",LOWER(TRIM($N215)))</f>
        <v/>
      </c>
      <c r="AH215">
        <f>IF($A215="","",COUNTIFS($A$2:$A$501,$A215,$AI$2:$AI$501,1))</f>
        <v/>
      </c>
      <c r="AI215">
        <f>IF(COUNTA($A215:$U215)=0,"",--($AF215&lt;&gt;""))</f>
        <v/>
      </c>
      <c r="AJ215">
        <f>IF(COUNTA($A215:$U215)=0,"",--($AD215&lt;&gt;""))</f>
        <v/>
      </c>
    </row>
    <row r="216" ht="20" customHeight="1">
      <c r="A216" s="80" t="n"/>
      <c r="B216" s="80" t="n"/>
      <c r="C216" s="81" t="n"/>
      <c r="D216" s="81" t="n"/>
      <c r="E216" s="80" t="n"/>
      <c r="F216" s="81" t="n"/>
      <c r="G216" s="81" t="n"/>
      <c r="H216" s="81" t="n"/>
      <c r="I216" s="80" t="n"/>
      <c r="J216" s="80" t="n"/>
      <c r="K216" s="80" t="n"/>
      <c r="L216" s="82" t="n"/>
      <c r="M216" s="80" t="n"/>
      <c r="N216" s="80" t="n"/>
      <c r="O216" s="80" t="n"/>
      <c r="P216" s="82" t="n"/>
      <c r="Q216" s="82" t="n"/>
      <c r="R216" s="80" t="n"/>
      <c r="S216" s="80" t="n"/>
      <c r="T216" s="80" t="n"/>
      <c r="U216" s="83" t="n"/>
      <c r="V216">
        <f>IF($A216="","",IF($A216=$A215,$V215,IF($V215="",0,1-$V215)))</f>
        <v/>
      </c>
      <c r="W216">
        <f>IF($B216&lt;&gt;"",$B216,$A216)</f>
        <v/>
      </c>
      <c r="X216">
        <f>IF(COUNTA($A216:$U216)=0,"",IF(OR($B216&lt;&gt;"",$O216&lt;&gt;""),"Dependent","Employee"))</f>
        <v/>
      </c>
      <c r="Y216">
        <f>IF(COUNTA($A216:$U216)=0,"",IF($A216="","Employee SSN is required; ","")&amp;IF($C216="","First Name is required; ","")&amp;IF(LEN($C216&amp;"")&gt;19,"First Name exceeds 19 characters; ","")&amp;IF(AND($C216&lt;&gt;"",SUMPRODUCT(--(ROW($1:$19)&lt;=LEN($C216&amp;"")),--ISERROR(FIND(MID($C216&amp;"",ROW($1:$19),1),"ABCDEFGHIJKLMNOPQRSTUVWXYZabcdefghijklmnopqrstuvwxyz .,")))&gt;0),"First Name contains unsupported or encoded characters; use plain A-Z letters only; ","")&amp;IF($D216="","Last Name is required; ","")&amp;IF(LEN($D216&amp;"")&gt;26,"Last Name exceeds 26 characters; ","")&amp;IF(AND($D216&lt;&gt;"",SUMPRODUCT(--(ROW($1:$26)&lt;=LEN($D216&amp;"")),--ISERROR(FIND(MID($D216&amp;"",ROW($1:$26),1),"ABCDEFGHIJKLMNOPQRSTUVWXYZabcdefghijklmnopqrstuvwxyz .,")))&gt;0),"Last Name contains unsupported or encoded characters; use plain A-Z letters only; ","")&amp;IF(LEN($E216&amp;"")&gt;1,"Middle Initial may contain only one character; ","")&amp;IF(AND($E216&lt;&gt;"",SUMPRODUCT(--(ROW($1:$1)&lt;=LEN($E216&amp;"")),--ISERROR(FIND(MID($E216&amp;"",ROW($1:$1),1),"ABCDEFGHIJKLMNOPQRSTUVWXYZabcdefghijklmnopqrstuvwxyz .,")))&gt;0),"Middle Initial must be a plain A-Z letter; ","")&amp;IF($F216="","Address is required; ","")&amp;IF(LEN($F216&amp;"")&gt;75,"Address exceeds 75 characters; ","")&amp;IF(LEN($G216&amp;"")&gt;75,"Address 2 exceeds 75 characters; ","")&amp;IF($H216="","City is required; ","")&amp;IF(LEN($H216&amp;"")&gt;30,"City exceeds 30 characters; ","")&amp;IF($K216="","Country is required; ","")&amp;IF(AND($K216&lt;&gt;"",$K216&lt;&gt;"US",$K216&lt;&gt;"CA"),"Country must be US or CA; ","")&amp;IF(AND($K216="US",OR($I216="",LEN($I216&amp;"")&lt;&gt;2)),"Use a 2-letter state code; ","")&amp;IF($J216="","ZIP or postal code is required; ","")&amp;IF(AND($K216="US",$J216&lt;&gt;"",NOT(IFERROR(OR(AND(LEN($J216&amp;"")=5,ISNUMBER(--($J216&amp;""))),AND(LEN($J216&amp;"")=9,ISNUMBER(--($J216&amp;""))),AND(LEN($J216&amp;"")=10,MID($J216&amp;"",6,1)="-",ISNUMBER(--SUBSTITUTE($J216&amp;"","-","")))),FALSE))),"US ZIP must be 5 or 9 digits, with an optional ZIP+4 hyphen; ","")&amp;IF(AND($N216&lt;&gt;"",NOT(IFERROR(AND(ISNUMBER(SEARCH("@",$N216)),ISNUMBER(SEARCH(".",$N216,SEARCH("@",$N216)+2))),FALSE))),"Email format appears invalid; ","")&amp;IF(AND($O216&lt;&gt;"",$B216=""),"Dependent SSN is required for every dependent; ","")&amp;IF(AND($B216&lt;&gt;"",$O216=""),"Dependent Relationship is required when Dependent SSN is entered; ","")&amp;IF(AND($O216&lt;&gt;"",$O216&lt;&gt;"Spouse or Common Law Spouse",$O216&lt;&gt;"Domestic Partner",$O216&lt;&gt;"Child",$O216&lt;&gt;"Other",$O216&lt;&gt;"Estate",$O216&lt;&gt;"Unknown"),"Dependent Relationship must use one of the approved options; ",""))</f>
        <v/>
      </c>
      <c r="Z216">
        <f>IF(COUNTA($A216:$U216)=0,"",IF(AND($A216&lt;&gt;"",NOT(IFERROR(AND(LEN($A216&amp;"")=9,ISNUMBER(--($A216&amp;""))),FALSE))),"Employee SSN must contain exactly 9 digits; ","")&amp;IF(AND($A216&lt;&gt;"",OR($A216="123456789",$A216="987654321",$A216="012345678",$A216=REPT(LEFT($A216&amp;"",1),9))),"Employee SSN appears to be a placeholder; ","")&amp;IF(AND($B216&lt;&gt;"",NOT(IFERROR(AND(LEN($B216&amp;"")=9,ISNUMBER(--($B216&amp;""))),FALSE))),"Dependent SSN must contain exactly 9 digits; ","")&amp;IF(AND($B216&lt;&gt;"",OR($B216="123456789",$B216="987654321",$B216="012345678",$B216=REPT(LEFT($B216&amp;"",1),9))),"Dependent SSN appears to be a placeholder; ","")&amp;IF(AND($A216&lt;&gt;"",$B216&lt;&gt;"",$A216&amp;""=$B216&amp;""),"Dependent SSN cannot match Employee SSN; ","")&amp;IF(AND($W216&lt;&gt;"",OR(COUNTIFS($W$2:$W$501,$W216,$C$2:$C$501,"&lt;&gt;"&amp;$C216)&gt;0,COUNTIFS($W$2:$W$501,$W216,$D$2:$D$501,"&lt;&gt;"&amp;$D216)&gt;0,COUNTIFS($W$2:$W$501,$W216,$L$2:$L$501,"&lt;&gt;"&amp;$L216)&gt;0)),"The same SSN is associated with a different name or birthdate; ",""))</f>
        <v/>
      </c>
      <c r="AA216">
        <f>IF(COUNTA($A216:$U216)=0,"",IF(AND($A216&lt;&gt;"",$S216&lt;&gt;"",COUNTIFS($A$2:$A$501,$A216,$S$2:$S$501,$S216,$B$2:$B$501,"",$O$2:$O$501,"")=0),"Add an employee row for this household and plan; ","")&amp;IF(AND($X216="Dependent",COUNTIFS($A$2:$A216,$A216,$S$2:$S216,$S216,$B$2:$B216,"",$O$2:$O216,"")=0),"Place the employee row before dependent rows for this plan; ","")&amp;IF(AND($X216="Dependent",COUNTIFS($A$2:$A$501,$A216,$S$2:$S$501,$S216,$B$2:$B$501,"",$O$2:$O$501,"")&gt;0,IFERROR(OR($P216&lt;&gt;LOOKUP(2,1/(($A$2:$A$501=$A216)*($S$2:$S$501=$S216)*($B$2:$B$501="")*($O$2:$O$501="")),$P$2:$P$501),$Q216&lt;&gt;LOOKUP(2,1/(($A$2:$A$501=$A216)*($S$2:$S$501=$S216)*($B$2:$B$501="")*($O$2:$O$501="")),$Q$2:$Q$501),$R216&lt;&gt;LOOKUP(2,1/(($A$2:$A$501=$A216)*($S$2:$S$501=$S216)*($B$2:$B$501="")*($O$2:$O$501="")),$R$2:$R$501),$T216&lt;&gt;LOOKUP(2,1/(($A$2:$A$501=$A216)*($S$2:$S$501=$S216)*($B$2:$B$501="")*($O$2:$O$501="")),$T$2:$T$501),$U216&lt;&gt;LOOKUP(2,1/(($A$2:$A$501=$A216)*($S$2:$S$501=$S216)*($B$2:$B$501="")*($O$2:$O$501="")),$U$2:$U$501)),FALSE)),"Dependent row does not match the employee row for eligibility, status, coverage level, or funding; ",""))</f>
        <v/>
      </c>
      <c r="AB216">
        <f>IF(COUNTA($A216:$U216)=0,"",IF($L216="","Birthdate is required; ","")&amp;IF(AND($L216&lt;&gt;"",OR(NOT(ISNUMBER($L216)),$L216&lt;=DATE(1900,1,1),$L216&gt;TODAY())),"Birthdate must be an exact valid past date; ","")&amp;IF($P216="","Eligibility Date is required; ","")&amp;IF(AND($P216&lt;&gt;"",OR(NOT(ISNUMBER($P216)),$P216&lt;=DATE(1900,1,1))),"Eligibility Date must be a valid date; ","")&amp;IF(AND($R216="Terminated",$Q216=""),"Termination Date is required when Status is Terminated; ","")&amp;IF(AND($Q216&lt;&gt;"",OR(NOT(ISNUMBER($Q216)),$Q216&lt;=DATE(1900,1,1))),"Termination Date must be a valid date; ","")&amp;IF(AND(ISNUMBER($P216),ISNUMBER($Q216),$Q216&lt;$P216),"Termination Date cannot be before Eligibility Date; ","")&amp;IF($R216="","Status is required; ","")&amp;IF(AND($R216&lt;&gt;"",$R216&lt;&gt;"Active",$R216&lt;&gt;"Terminated"),"Status must be Active or Terminated; ","")&amp;IF(AND('START HERE'!$C$8="Terminations Only",$R216&lt;&gt;"Terminated"),"Terminations Only files must contain terminated records; ",""))</f>
        <v/>
      </c>
      <c r="AC216">
        <f>IF(COUNTA($A216:$U216)=0,"",IF($S216="","Plan Name is required; ","")&amp;IF($T216="","Benefit Coverage Level is required; ","")&amp;IF(AND($U216&lt;&gt;"",OR(NOT(ISNUMBER($U216)),$U216&lt;0)),"Plan Funding Amount must be a nonnegative number; ","")&amp;IF(AND($A216&lt;&gt;"",$S216&lt;&gt;"",COUNTIFS($A$2:$A$501,$A216,$B$2:$B$501,$B216,$S$2:$S$501,$S216)&gt;1),"Duplicate participant and plan row; ",""))</f>
        <v/>
      </c>
      <c r="AD216">
        <f>IF(COUNTA($A216:$U216)=0,"",IF(AND($X216="Employee",$M216="",$N216=""),"No employee phone or email provided; ","")&amp;IF(AND($R216="Active",$Q216&lt;&gt;""),"Active record includes a Termination Date; confirm this is intentional; ","")&amp;IF(AND($B216&lt;&gt;"",$B216&amp;""&lt;&gt;$A216&amp;"",COUNTIF($A$2:$A$501,$B216)&gt;0),"Dependent SSN also appears as an Employee SSN elsewhere; confirm dual-employee coverage is intentional; ","")&amp;IF(AND($B216&lt;&gt;"",COUNTIF($B$2:$B$501,$B216)&gt;COUNTIFS($A$2:$A$501,$A216,$B$2:$B$501,$B216)),"Dependent SSN appears under more than one employee; confirm duplicate family coverage is intentional; ","")&amp;IF(AND(ROW()&gt;2,$A216&lt;&gt;"",$A216&lt;&gt;$A215,COUNTIF($A$2:$A215,$A216)&gt;0),"This household appears in more than one section of the census; keep the family together; ","")&amp;IF(OR(AND($C216&lt;&gt;"",LEN($C216&amp;"")&lt;&gt;LEN(TRIM($C216&amp;""))),AND($D216&lt;&gt;"",LEN($D216&amp;"")&lt;&gt;LEN(TRIM($D216&amp;""))),AND($E216&lt;&gt;"",LEN($E216&amp;"")&lt;&gt;LEN(TRIM($E216&amp;""))),AND($F216&lt;&gt;"",LEN($F216&amp;"")&lt;&gt;LEN(TRIM($F216&amp;""))),AND($G216&lt;&gt;"",LEN($G216&amp;"")&lt;&gt;LEN(TRIM($G216&amp;""))),AND($H216&lt;&gt;"",LEN($H216&amp;"")&lt;&gt;LEN(TRIM($H216&amp;""))),AND($I216&lt;&gt;"",LEN($I216&amp;"")&lt;&gt;LEN(TRIM($I216&amp;""))),AND($J216&lt;&gt;"",LEN($J216&amp;"")&lt;&gt;LEN(TRIM($J216&amp;""))),AND($K216&lt;&gt;"",LEN($K216&amp;"")&lt;&gt;LEN(TRIM($K216&amp;""))),AND($M216&lt;&gt;"",LEN($M216&amp;"")&lt;&gt;LEN(TRIM($M216&amp;""))),AND($N216&lt;&gt;"",LEN($N216&amp;"")&lt;&gt;LEN(TRIM($N216&amp;""))),AND($O216&lt;&gt;"",LEN($O216&amp;"")&lt;&gt;LEN(TRIM($O216&amp;""))),AND($R216&lt;&gt;"",LEN($R216&amp;"")&lt;&gt;LEN(TRIM($R216&amp;""))),AND($S216&lt;&gt;"",LEN($S216&amp;"")&lt;&gt;LEN(TRIM($S216&amp;""))),AND($T216&lt;&gt;"",LEN($T216&amp;"")&lt;&gt;LEN(TRIM($T216&amp;"")))),"Remove leading or trailing spaces from text fields; ","")&amp;IF(OR(AND(LEN($C216)&gt;1,OR(EXACT($C216,UPPER($C216)),EXACT($C216,LOWER($C216)))),AND(LEN($D216)&gt;1,OR(EXACT($D216,UPPER($D216)),EXACT($D216,LOWER($D216)))),AND(LEN($H216)&gt;1,OR(EXACT($H216,UPPER($H216)),EXACT($H216,LOWER($H216))))),"Review capitalization in First Name, Last Name, or City; ","")&amp;IF(AND($N216&lt;&gt;"",NOT(EXACT($N216,LOWER($N216)))),"Email will be standardized to lowercase in the clean output; ","")&amp;IF(AND(OR('START HERE'!$C$8="Initial Enrollment",'START HERE'!$C$8="Open Enrollment"),$R216="Terminated"),"A terminated row is included in an initial or open enrollment file; confirm this is intentional; ",""))</f>
        <v/>
      </c>
      <c r="AE216">
        <f>IF(COUNTA($A216:$U216)=0,"",IF(OR($A216="",AND($A216&lt;&gt;"",NOT(IFERROR(AND(LEN($A216&amp;"")=9,ISNUMBER(--($A216&amp;""))),FALSE))),AND($A216&lt;&gt;"",OR($A216="123456789",$A216="987654321",$A216="012345678",$A216=REPT(LEFT($A216&amp;"",1),9)))),"Employee SSN, ","")&amp;IF(OR(AND($O216&lt;&gt;"",$B216=""),AND($B216&lt;&gt;"",OR(NOT(IFERROR(AND(LEN($B216&amp;"")=9,ISNUMBER(--($B216&amp;""))),FALSE)),$B216=$A216,$B216="123456789",$B216="987654321",$B216="012345678",$B216=REPT(LEFT($B216&amp;"",1),9)))),"Dependent SSN, ","")&amp;IF(OR($C216="",LEN($C216)&gt;19,AND($C216&lt;&gt;"",SUMPRODUCT(--(ROW($1:$19)&lt;=LEN($C216&amp;"")),--ISERROR(FIND(MID($C216&amp;"",ROW($1:$19),1),"ABCDEFGHIJKLMNOPQRSTUVWXYZabcdefghijklmnopqrstuvwxyz .,")))&gt;0)),"First Name, ","")&amp;IF(OR($D216="",LEN($D216)&gt;26,AND($D216&lt;&gt;"",SUMPRODUCT(--(ROW($1:$26)&lt;=LEN($D216&amp;"")),--ISERROR(FIND(MID($D216&amp;"",ROW($1:$26),1),"ABCDEFGHIJKLMNOPQRSTUVWXYZabcdefghijklmnopqrstuvwxyz .,")))&gt;0)),"Last Name, ","")&amp;IF(OR(LEN($E216)&gt;1,AND($E216&lt;&gt;"",SUMPRODUCT(--(ROW($1:$1)&lt;=LEN($E216&amp;"")),--ISERROR(FIND(MID($E216&amp;"",ROW($1:$1),1),"ABCDEFGHIJKLMNOPQRSTUVWXYZabcdefghijklmnopqrstuvwxyz .,")))&gt;0)),"Middle Initial, ","")&amp;IF(OR($F216="",LEN($F216)&gt;75),"Address, ","")&amp;IF(OR($H216="",LEN($H216)&gt;30),"City, ","")&amp;IF(AND($K216="US",OR($I216="",LEN($I216)&lt;&gt;2)),"State, ","")&amp;IF($J216="","ZIP, ","")&amp;IF(OR($K216="",AND($K216&lt;&gt;"US",$K216&lt;&gt;"CA")),"Country, ","")&amp;IF(OR($L216="",AND($L216&lt;&gt;"",OR(NOT(ISNUMBER($L216)),$L216&lt;=DATE(1900,1,1),$L216&gt;TODAY()))),"Birthdate, ","")&amp;IF(AND($N216&lt;&gt;"",NOT(IFERROR(AND(ISNUMBER(SEARCH("@",$N216)),ISNUMBER(SEARCH(".",$N216,SEARCH("@",$N216)+2))),FALSE))),"Email, ","")&amp;IF(OR(AND($B216&lt;&gt;"",$O216=""),AND($O216&lt;&gt;"",$O216&lt;&gt;"Spouse or Common Law Spouse",$O216&lt;&gt;"Domestic Partner",$O216&lt;&gt;"Child",$O216&lt;&gt;"Other",$O216&lt;&gt;"Estate",$O216&lt;&gt;"Unknown")),"Dependent Relationship, ","")&amp;IF($AA216&lt;&gt;"","Household, ","")&amp;IF(OR($P216="",AND($P216&lt;&gt;"",OR(NOT(ISNUMBER($P216)),$P216&lt;=DATE(1900,1,1)))),"Eligibility Date, ","")&amp;IF(OR(AND($R216="Terminated",$Q216=""),AND($Q216&lt;&gt;"",OR(NOT(ISNUMBER($Q216)),$Q216&lt;=DATE(1900,1,1))),AND(ISNUMBER($P216),ISNUMBER($Q216),$Q216&lt;$P216)),"Termination Date, ","")&amp;IF(OR($R216="",AND($R216&lt;&gt;"Active",$R216&lt;&gt;"Terminated"),AND('START HERE'!$C$8="Terminations Only",$R216&lt;&gt;"Terminated")),"Status, ","")&amp;IF($S216="","Plan Name, ","")&amp;IF($T216="","Coverage Level, ","")&amp;IF(AND($U216&lt;&gt;"",OR(NOT(ISNUMBER($U216)),$U216&lt;0)),"Funding, ","")&amp;IF(AND($A216&lt;&gt;"",$S216&lt;&gt;"",COUNTIFS($A$2:$A$501,$A216,$B$2:$B$501,$B216,$S$2:$S$501,$S216)&gt;1),"Duplicate Row, ",""))</f>
        <v/>
      </c>
      <c r="AF216">
        <f>IF(COUNTA($A216:$U216)=0,"",$Y216&amp;$Z216&amp;$AA216&amp;$AB216&amp;$AC216)</f>
        <v/>
      </c>
      <c r="AG216">
        <f>IF($N216="","",LOWER(TRIM($N216)))</f>
        <v/>
      </c>
      <c r="AH216">
        <f>IF($A216="","",COUNTIFS($A$2:$A$501,$A216,$AI$2:$AI$501,1))</f>
        <v/>
      </c>
      <c r="AI216">
        <f>IF(COUNTA($A216:$U216)=0,"",--($AF216&lt;&gt;""))</f>
        <v/>
      </c>
      <c r="AJ216">
        <f>IF(COUNTA($A216:$U216)=0,"",--($AD216&lt;&gt;""))</f>
        <v/>
      </c>
    </row>
    <row r="217" ht="20" customHeight="1">
      <c r="A217" s="80" t="n"/>
      <c r="B217" s="80" t="n"/>
      <c r="C217" s="81" t="n"/>
      <c r="D217" s="81" t="n"/>
      <c r="E217" s="80" t="n"/>
      <c r="F217" s="81" t="n"/>
      <c r="G217" s="81" t="n"/>
      <c r="H217" s="81" t="n"/>
      <c r="I217" s="80" t="n"/>
      <c r="J217" s="80" t="n"/>
      <c r="K217" s="80" t="n"/>
      <c r="L217" s="82" t="n"/>
      <c r="M217" s="80" t="n"/>
      <c r="N217" s="80" t="n"/>
      <c r="O217" s="80" t="n"/>
      <c r="P217" s="82" t="n"/>
      <c r="Q217" s="82" t="n"/>
      <c r="R217" s="80" t="n"/>
      <c r="S217" s="80" t="n"/>
      <c r="T217" s="80" t="n"/>
      <c r="U217" s="83" t="n"/>
      <c r="V217">
        <f>IF($A217="","",IF($A217=$A216,$V216,IF($V216="",0,1-$V216)))</f>
        <v/>
      </c>
      <c r="W217">
        <f>IF($B217&lt;&gt;"",$B217,$A217)</f>
        <v/>
      </c>
      <c r="X217">
        <f>IF(COUNTA($A217:$U217)=0,"",IF(OR($B217&lt;&gt;"",$O217&lt;&gt;""),"Dependent","Employee"))</f>
        <v/>
      </c>
      <c r="Y217">
        <f>IF(COUNTA($A217:$U217)=0,"",IF($A217="","Employee SSN is required; ","")&amp;IF($C217="","First Name is required; ","")&amp;IF(LEN($C217&amp;"")&gt;19,"First Name exceeds 19 characters; ","")&amp;IF(AND($C217&lt;&gt;"",SUMPRODUCT(--(ROW($1:$19)&lt;=LEN($C217&amp;"")),--ISERROR(FIND(MID($C217&amp;"",ROW($1:$19),1),"ABCDEFGHIJKLMNOPQRSTUVWXYZabcdefghijklmnopqrstuvwxyz .,")))&gt;0),"First Name contains unsupported or encoded characters; use plain A-Z letters only; ","")&amp;IF($D217="","Last Name is required; ","")&amp;IF(LEN($D217&amp;"")&gt;26,"Last Name exceeds 26 characters; ","")&amp;IF(AND($D217&lt;&gt;"",SUMPRODUCT(--(ROW($1:$26)&lt;=LEN($D217&amp;"")),--ISERROR(FIND(MID($D217&amp;"",ROW($1:$26),1),"ABCDEFGHIJKLMNOPQRSTUVWXYZabcdefghijklmnopqrstuvwxyz .,")))&gt;0),"Last Name contains unsupported or encoded characters; use plain A-Z letters only; ","")&amp;IF(LEN($E217&amp;"")&gt;1,"Middle Initial may contain only one character; ","")&amp;IF(AND($E217&lt;&gt;"",SUMPRODUCT(--(ROW($1:$1)&lt;=LEN($E217&amp;"")),--ISERROR(FIND(MID($E217&amp;"",ROW($1:$1),1),"ABCDEFGHIJKLMNOPQRSTUVWXYZabcdefghijklmnopqrstuvwxyz .,")))&gt;0),"Middle Initial must be a plain A-Z letter; ","")&amp;IF($F217="","Address is required; ","")&amp;IF(LEN($F217&amp;"")&gt;75,"Address exceeds 75 characters; ","")&amp;IF(LEN($G217&amp;"")&gt;75,"Address 2 exceeds 75 characters; ","")&amp;IF($H217="","City is required; ","")&amp;IF(LEN($H217&amp;"")&gt;30,"City exceeds 30 characters; ","")&amp;IF($K217="","Country is required; ","")&amp;IF(AND($K217&lt;&gt;"",$K217&lt;&gt;"US",$K217&lt;&gt;"CA"),"Country must be US or CA; ","")&amp;IF(AND($K217="US",OR($I217="",LEN($I217&amp;"")&lt;&gt;2)),"Use a 2-letter state code; ","")&amp;IF($J217="","ZIP or postal code is required; ","")&amp;IF(AND($K217="US",$J217&lt;&gt;"",NOT(IFERROR(OR(AND(LEN($J217&amp;"")=5,ISNUMBER(--($J217&amp;""))),AND(LEN($J217&amp;"")=9,ISNUMBER(--($J217&amp;""))),AND(LEN($J217&amp;"")=10,MID($J217&amp;"",6,1)="-",ISNUMBER(--SUBSTITUTE($J217&amp;"","-","")))),FALSE))),"US ZIP must be 5 or 9 digits, with an optional ZIP+4 hyphen; ","")&amp;IF(AND($N217&lt;&gt;"",NOT(IFERROR(AND(ISNUMBER(SEARCH("@",$N217)),ISNUMBER(SEARCH(".",$N217,SEARCH("@",$N217)+2))),FALSE))),"Email format appears invalid; ","")&amp;IF(AND($O217&lt;&gt;"",$B217=""),"Dependent SSN is required for every dependent; ","")&amp;IF(AND($B217&lt;&gt;"",$O217=""),"Dependent Relationship is required when Dependent SSN is entered; ","")&amp;IF(AND($O217&lt;&gt;"",$O217&lt;&gt;"Spouse or Common Law Spouse",$O217&lt;&gt;"Domestic Partner",$O217&lt;&gt;"Child",$O217&lt;&gt;"Other",$O217&lt;&gt;"Estate",$O217&lt;&gt;"Unknown"),"Dependent Relationship must use one of the approved options; ",""))</f>
        <v/>
      </c>
      <c r="Z217">
        <f>IF(COUNTA($A217:$U217)=0,"",IF(AND($A217&lt;&gt;"",NOT(IFERROR(AND(LEN($A217&amp;"")=9,ISNUMBER(--($A217&amp;""))),FALSE))),"Employee SSN must contain exactly 9 digits; ","")&amp;IF(AND($A217&lt;&gt;"",OR($A217="123456789",$A217="987654321",$A217="012345678",$A217=REPT(LEFT($A217&amp;"",1),9))),"Employee SSN appears to be a placeholder; ","")&amp;IF(AND($B217&lt;&gt;"",NOT(IFERROR(AND(LEN($B217&amp;"")=9,ISNUMBER(--($B217&amp;""))),FALSE))),"Dependent SSN must contain exactly 9 digits; ","")&amp;IF(AND($B217&lt;&gt;"",OR($B217="123456789",$B217="987654321",$B217="012345678",$B217=REPT(LEFT($B217&amp;"",1),9))),"Dependent SSN appears to be a placeholder; ","")&amp;IF(AND($A217&lt;&gt;"",$B217&lt;&gt;"",$A217&amp;""=$B217&amp;""),"Dependent SSN cannot match Employee SSN; ","")&amp;IF(AND($W217&lt;&gt;"",OR(COUNTIFS($W$2:$W$501,$W217,$C$2:$C$501,"&lt;&gt;"&amp;$C217)&gt;0,COUNTIFS($W$2:$W$501,$W217,$D$2:$D$501,"&lt;&gt;"&amp;$D217)&gt;0,COUNTIFS($W$2:$W$501,$W217,$L$2:$L$501,"&lt;&gt;"&amp;$L217)&gt;0)),"The same SSN is associated with a different name or birthdate; ",""))</f>
        <v/>
      </c>
      <c r="AA217">
        <f>IF(COUNTA($A217:$U217)=0,"",IF(AND($A217&lt;&gt;"",$S217&lt;&gt;"",COUNTIFS($A$2:$A$501,$A217,$S$2:$S$501,$S217,$B$2:$B$501,"",$O$2:$O$501,"")=0),"Add an employee row for this household and plan; ","")&amp;IF(AND($X217="Dependent",COUNTIFS($A$2:$A217,$A217,$S$2:$S217,$S217,$B$2:$B217,"",$O$2:$O217,"")=0),"Place the employee row before dependent rows for this plan; ","")&amp;IF(AND($X217="Dependent",COUNTIFS($A$2:$A$501,$A217,$S$2:$S$501,$S217,$B$2:$B$501,"",$O$2:$O$501,"")&gt;0,IFERROR(OR($P217&lt;&gt;LOOKUP(2,1/(($A$2:$A$501=$A217)*($S$2:$S$501=$S217)*($B$2:$B$501="")*($O$2:$O$501="")),$P$2:$P$501),$Q217&lt;&gt;LOOKUP(2,1/(($A$2:$A$501=$A217)*($S$2:$S$501=$S217)*($B$2:$B$501="")*($O$2:$O$501="")),$Q$2:$Q$501),$R217&lt;&gt;LOOKUP(2,1/(($A$2:$A$501=$A217)*($S$2:$S$501=$S217)*($B$2:$B$501="")*($O$2:$O$501="")),$R$2:$R$501),$T217&lt;&gt;LOOKUP(2,1/(($A$2:$A$501=$A217)*($S$2:$S$501=$S217)*($B$2:$B$501="")*($O$2:$O$501="")),$T$2:$T$501),$U217&lt;&gt;LOOKUP(2,1/(($A$2:$A$501=$A217)*($S$2:$S$501=$S217)*($B$2:$B$501="")*($O$2:$O$501="")),$U$2:$U$501)),FALSE)),"Dependent row does not match the employee row for eligibility, status, coverage level, or funding; ",""))</f>
        <v/>
      </c>
      <c r="AB217">
        <f>IF(COUNTA($A217:$U217)=0,"",IF($L217="","Birthdate is required; ","")&amp;IF(AND($L217&lt;&gt;"",OR(NOT(ISNUMBER($L217)),$L217&lt;=DATE(1900,1,1),$L217&gt;TODAY())),"Birthdate must be an exact valid past date; ","")&amp;IF($P217="","Eligibility Date is required; ","")&amp;IF(AND($P217&lt;&gt;"",OR(NOT(ISNUMBER($P217)),$P217&lt;=DATE(1900,1,1))),"Eligibility Date must be a valid date; ","")&amp;IF(AND($R217="Terminated",$Q217=""),"Termination Date is required when Status is Terminated; ","")&amp;IF(AND($Q217&lt;&gt;"",OR(NOT(ISNUMBER($Q217)),$Q217&lt;=DATE(1900,1,1))),"Termination Date must be a valid date; ","")&amp;IF(AND(ISNUMBER($P217),ISNUMBER($Q217),$Q217&lt;$P217),"Termination Date cannot be before Eligibility Date; ","")&amp;IF($R217="","Status is required; ","")&amp;IF(AND($R217&lt;&gt;"",$R217&lt;&gt;"Active",$R217&lt;&gt;"Terminated"),"Status must be Active or Terminated; ","")&amp;IF(AND('START HERE'!$C$8="Terminations Only",$R217&lt;&gt;"Terminated"),"Terminations Only files must contain terminated records; ",""))</f>
        <v/>
      </c>
      <c r="AC217">
        <f>IF(COUNTA($A217:$U217)=0,"",IF($S217="","Plan Name is required; ","")&amp;IF($T217="","Benefit Coverage Level is required; ","")&amp;IF(AND($U217&lt;&gt;"",OR(NOT(ISNUMBER($U217)),$U217&lt;0)),"Plan Funding Amount must be a nonnegative number; ","")&amp;IF(AND($A217&lt;&gt;"",$S217&lt;&gt;"",COUNTIFS($A$2:$A$501,$A217,$B$2:$B$501,$B217,$S$2:$S$501,$S217)&gt;1),"Duplicate participant and plan row; ",""))</f>
        <v/>
      </c>
      <c r="AD217">
        <f>IF(COUNTA($A217:$U217)=0,"",IF(AND($X217="Employee",$M217="",$N217=""),"No employee phone or email provided; ","")&amp;IF(AND($R217="Active",$Q217&lt;&gt;""),"Active record includes a Termination Date; confirm this is intentional; ","")&amp;IF(AND($B217&lt;&gt;"",$B217&amp;""&lt;&gt;$A217&amp;"",COUNTIF($A$2:$A$501,$B217)&gt;0),"Dependent SSN also appears as an Employee SSN elsewhere; confirm dual-employee coverage is intentional; ","")&amp;IF(AND($B217&lt;&gt;"",COUNTIF($B$2:$B$501,$B217)&gt;COUNTIFS($A$2:$A$501,$A217,$B$2:$B$501,$B217)),"Dependent SSN appears under more than one employee; confirm duplicate family coverage is intentional; ","")&amp;IF(AND(ROW()&gt;2,$A217&lt;&gt;"",$A217&lt;&gt;$A216,COUNTIF($A$2:$A216,$A217)&gt;0),"This household appears in more than one section of the census; keep the family together; ","")&amp;IF(OR(AND($C217&lt;&gt;"",LEN($C217&amp;"")&lt;&gt;LEN(TRIM($C217&amp;""))),AND($D217&lt;&gt;"",LEN($D217&amp;"")&lt;&gt;LEN(TRIM($D217&amp;""))),AND($E217&lt;&gt;"",LEN($E217&amp;"")&lt;&gt;LEN(TRIM($E217&amp;""))),AND($F217&lt;&gt;"",LEN($F217&amp;"")&lt;&gt;LEN(TRIM($F217&amp;""))),AND($G217&lt;&gt;"",LEN($G217&amp;"")&lt;&gt;LEN(TRIM($G217&amp;""))),AND($H217&lt;&gt;"",LEN($H217&amp;"")&lt;&gt;LEN(TRIM($H217&amp;""))),AND($I217&lt;&gt;"",LEN($I217&amp;"")&lt;&gt;LEN(TRIM($I217&amp;""))),AND($J217&lt;&gt;"",LEN($J217&amp;"")&lt;&gt;LEN(TRIM($J217&amp;""))),AND($K217&lt;&gt;"",LEN($K217&amp;"")&lt;&gt;LEN(TRIM($K217&amp;""))),AND($M217&lt;&gt;"",LEN($M217&amp;"")&lt;&gt;LEN(TRIM($M217&amp;""))),AND($N217&lt;&gt;"",LEN($N217&amp;"")&lt;&gt;LEN(TRIM($N217&amp;""))),AND($O217&lt;&gt;"",LEN($O217&amp;"")&lt;&gt;LEN(TRIM($O217&amp;""))),AND($R217&lt;&gt;"",LEN($R217&amp;"")&lt;&gt;LEN(TRIM($R217&amp;""))),AND($S217&lt;&gt;"",LEN($S217&amp;"")&lt;&gt;LEN(TRIM($S217&amp;""))),AND($T217&lt;&gt;"",LEN($T217&amp;"")&lt;&gt;LEN(TRIM($T217&amp;"")))),"Remove leading or trailing spaces from text fields; ","")&amp;IF(OR(AND(LEN($C217)&gt;1,OR(EXACT($C217,UPPER($C217)),EXACT($C217,LOWER($C217)))),AND(LEN($D217)&gt;1,OR(EXACT($D217,UPPER($D217)),EXACT($D217,LOWER($D217)))),AND(LEN($H217)&gt;1,OR(EXACT($H217,UPPER($H217)),EXACT($H217,LOWER($H217))))),"Review capitalization in First Name, Last Name, or City; ","")&amp;IF(AND($N217&lt;&gt;"",NOT(EXACT($N217,LOWER($N217)))),"Email will be standardized to lowercase in the clean output; ","")&amp;IF(AND(OR('START HERE'!$C$8="Initial Enrollment",'START HERE'!$C$8="Open Enrollment"),$R217="Terminated"),"A terminated row is included in an initial or open enrollment file; confirm this is intentional; ",""))</f>
        <v/>
      </c>
      <c r="AE217">
        <f>IF(COUNTA($A217:$U217)=0,"",IF(OR($A217="",AND($A217&lt;&gt;"",NOT(IFERROR(AND(LEN($A217&amp;"")=9,ISNUMBER(--($A217&amp;""))),FALSE))),AND($A217&lt;&gt;"",OR($A217="123456789",$A217="987654321",$A217="012345678",$A217=REPT(LEFT($A217&amp;"",1),9)))),"Employee SSN, ","")&amp;IF(OR(AND($O217&lt;&gt;"",$B217=""),AND($B217&lt;&gt;"",OR(NOT(IFERROR(AND(LEN($B217&amp;"")=9,ISNUMBER(--($B217&amp;""))),FALSE)),$B217=$A217,$B217="123456789",$B217="987654321",$B217="012345678",$B217=REPT(LEFT($B217&amp;"",1),9)))),"Dependent SSN, ","")&amp;IF(OR($C217="",LEN($C217)&gt;19,AND($C217&lt;&gt;"",SUMPRODUCT(--(ROW($1:$19)&lt;=LEN($C217&amp;"")),--ISERROR(FIND(MID($C217&amp;"",ROW($1:$19),1),"ABCDEFGHIJKLMNOPQRSTUVWXYZabcdefghijklmnopqrstuvwxyz .,")))&gt;0)),"First Name, ","")&amp;IF(OR($D217="",LEN($D217)&gt;26,AND($D217&lt;&gt;"",SUMPRODUCT(--(ROW($1:$26)&lt;=LEN($D217&amp;"")),--ISERROR(FIND(MID($D217&amp;"",ROW($1:$26),1),"ABCDEFGHIJKLMNOPQRSTUVWXYZabcdefghijklmnopqrstuvwxyz .,")))&gt;0)),"Last Name, ","")&amp;IF(OR(LEN($E217)&gt;1,AND($E217&lt;&gt;"",SUMPRODUCT(--(ROW($1:$1)&lt;=LEN($E217&amp;"")),--ISERROR(FIND(MID($E217&amp;"",ROW($1:$1),1),"ABCDEFGHIJKLMNOPQRSTUVWXYZabcdefghijklmnopqrstuvwxyz .,")))&gt;0)),"Middle Initial, ","")&amp;IF(OR($F217="",LEN($F217)&gt;75),"Address, ","")&amp;IF(OR($H217="",LEN($H217)&gt;30),"City, ","")&amp;IF(AND($K217="US",OR($I217="",LEN($I217)&lt;&gt;2)),"State, ","")&amp;IF($J217="","ZIP, ","")&amp;IF(OR($K217="",AND($K217&lt;&gt;"US",$K217&lt;&gt;"CA")),"Country, ","")&amp;IF(OR($L217="",AND($L217&lt;&gt;"",OR(NOT(ISNUMBER($L217)),$L217&lt;=DATE(1900,1,1),$L217&gt;TODAY()))),"Birthdate, ","")&amp;IF(AND($N217&lt;&gt;"",NOT(IFERROR(AND(ISNUMBER(SEARCH("@",$N217)),ISNUMBER(SEARCH(".",$N217,SEARCH("@",$N217)+2))),FALSE))),"Email, ","")&amp;IF(OR(AND($B217&lt;&gt;"",$O217=""),AND($O217&lt;&gt;"",$O217&lt;&gt;"Spouse or Common Law Spouse",$O217&lt;&gt;"Domestic Partner",$O217&lt;&gt;"Child",$O217&lt;&gt;"Other",$O217&lt;&gt;"Estate",$O217&lt;&gt;"Unknown")),"Dependent Relationship, ","")&amp;IF($AA217&lt;&gt;"","Household, ","")&amp;IF(OR($P217="",AND($P217&lt;&gt;"",OR(NOT(ISNUMBER($P217)),$P217&lt;=DATE(1900,1,1)))),"Eligibility Date, ","")&amp;IF(OR(AND($R217="Terminated",$Q217=""),AND($Q217&lt;&gt;"",OR(NOT(ISNUMBER($Q217)),$Q217&lt;=DATE(1900,1,1))),AND(ISNUMBER($P217),ISNUMBER($Q217),$Q217&lt;$P217)),"Termination Date, ","")&amp;IF(OR($R217="",AND($R217&lt;&gt;"Active",$R217&lt;&gt;"Terminated"),AND('START HERE'!$C$8="Terminations Only",$R217&lt;&gt;"Terminated")),"Status, ","")&amp;IF($S217="","Plan Name, ","")&amp;IF($T217="","Coverage Level, ","")&amp;IF(AND($U217&lt;&gt;"",OR(NOT(ISNUMBER($U217)),$U217&lt;0)),"Funding, ","")&amp;IF(AND($A217&lt;&gt;"",$S217&lt;&gt;"",COUNTIFS($A$2:$A$501,$A217,$B$2:$B$501,$B217,$S$2:$S$501,$S217)&gt;1),"Duplicate Row, ",""))</f>
        <v/>
      </c>
      <c r="AF217">
        <f>IF(COUNTA($A217:$U217)=0,"",$Y217&amp;$Z217&amp;$AA217&amp;$AB217&amp;$AC217)</f>
        <v/>
      </c>
      <c r="AG217">
        <f>IF($N217="","",LOWER(TRIM($N217)))</f>
        <v/>
      </c>
      <c r="AH217">
        <f>IF($A217="","",COUNTIFS($A$2:$A$501,$A217,$AI$2:$AI$501,1))</f>
        <v/>
      </c>
      <c r="AI217">
        <f>IF(COUNTA($A217:$U217)=0,"",--($AF217&lt;&gt;""))</f>
        <v/>
      </c>
      <c r="AJ217">
        <f>IF(COUNTA($A217:$U217)=0,"",--($AD217&lt;&gt;""))</f>
        <v/>
      </c>
    </row>
    <row r="218" ht="20" customHeight="1">
      <c r="A218" s="80" t="n"/>
      <c r="B218" s="80" t="n"/>
      <c r="C218" s="81" t="n"/>
      <c r="D218" s="81" t="n"/>
      <c r="E218" s="80" t="n"/>
      <c r="F218" s="81" t="n"/>
      <c r="G218" s="81" t="n"/>
      <c r="H218" s="81" t="n"/>
      <c r="I218" s="80" t="n"/>
      <c r="J218" s="80" t="n"/>
      <c r="K218" s="80" t="n"/>
      <c r="L218" s="82" t="n"/>
      <c r="M218" s="80" t="n"/>
      <c r="N218" s="80" t="n"/>
      <c r="O218" s="80" t="n"/>
      <c r="P218" s="82" t="n"/>
      <c r="Q218" s="82" t="n"/>
      <c r="R218" s="80" t="n"/>
      <c r="S218" s="80" t="n"/>
      <c r="T218" s="80" t="n"/>
      <c r="U218" s="83" t="n"/>
      <c r="V218">
        <f>IF($A218="","",IF($A218=$A217,$V217,IF($V217="",0,1-$V217)))</f>
        <v/>
      </c>
      <c r="W218">
        <f>IF($B218&lt;&gt;"",$B218,$A218)</f>
        <v/>
      </c>
      <c r="X218">
        <f>IF(COUNTA($A218:$U218)=0,"",IF(OR($B218&lt;&gt;"",$O218&lt;&gt;""),"Dependent","Employee"))</f>
        <v/>
      </c>
      <c r="Y218">
        <f>IF(COUNTA($A218:$U218)=0,"",IF($A218="","Employee SSN is required; ","")&amp;IF($C218="","First Name is required; ","")&amp;IF(LEN($C218&amp;"")&gt;19,"First Name exceeds 19 characters; ","")&amp;IF(AND($C218&lt;&gt;"",SUMPRODUCT(--(ROW($1:$19)&lt;=LEN($C218&amp;"")),--ISERROR(FIND(MID($C218&amp;"",ROW($1:$19),1),"ABCDEFGHIJKLMNOPQRSTUVWXYZabcdefghijklmnopqrstuvwxyz .,")))&gt;0),"First Name contains unsupported or encoded characters; use plain A-Z letters only; ","")&amp;IF($D218="","Last Name is required; ","")&amp;IF(LEN($D218&amp;"")&gt;26,"Last Name exceeds 26 characters; ","")&amp;IF(AND($D218&lt;&gt;"",SUMPRODUCT(--(ROW($1:$26)&lt;=LEN($D218&amp;"")),--ISERROR(FIND(MID($D218&amp;"",ROW($1:$26),1),"ABCDEFGHIJKLMNOPQRSTUVWXYZabcdefghijklmnopqrstuvwxyz .,")))&gt;0),"Last Name contains unsupported or encoded characters; use plain A-Z letters only; ","")&amp;IF(LEN($E218&amp;"")&gt;1,"Middle Initial may contain only one character; ","")&amp;IF(AND($E218&lt;&gt;"",SUMPRODUCT(--(ROW($1:$1)&lt;=LEN($E218&amp;"")),--ISERROR(FIND(MID($E218&amp;"",ROW($1:$1),1),"ABCDEFGHIJKLMNOPQRSTUVWXYZabcdefghijklmnopqrstuvwxyz .,")))&gt;0),"Middle Initial must be a plain A-Z letter; ","")&amp;IF($F218="","Address is required; ","")&amp;IF(LEN($F218&amp;"")&gt;75,"Address exceeds 75 characters; ","")&amp;IF(LEN($G218&amp;"")&gt;75,"Address 2 exceeds 75 characters; ","")&amp;IF($H218="","City is required; ","")&amp;IF(LEN($H218&amp;"")&gt;30,"City exceeds 30 characters; ","")&amp;IF($K218="","Country is required; ","")&amp;IF(AND($K218&lt;&gt;"",$K218&lt;&gt;"US",$K218&lt;&gt;"CA"),"Country must be US or CA; ","")&amp;IF(AND($K218="US",OR($I218="",LEN($I218&amp;"")&lt;&gt;2)),"Use a 2-letter state code; ","")&amp;IF($J218="","ZIP or postal code is required; ","")&amp;IF(AND($K218="US",$J218&lt;&gt;"",NOT(IFERROR(OR(AND(LEN($J218&amp;"")=5,ISNUMBER(--($J218&amp;""))),AND(LEN($J218&amp;"")=9,ISNUMBER(--($J218&amp;""))),AND(LEN($J218&amp;"")=10,MID($J218&amp;"",6,1)="-",ISNUMBER(--SUBSTITUTE($J218&amp;"","-","")))),FALSE))),"US ZIP must be 5 or 9 digits, with an optional ZIP+4 hyphen; ","")&amp;IF(AND($N218&lt;&gt;"",NOT(IFERROR(AND(ISNUMBER(SEARCH("@",$N218)),ISNUMBER(SEARCH(".",$N218,SEARCH("@",$N218)+2))),FALSE))),"Email format appears invalid; ","")&amp;IF(AND($O218&lt;&gt;"",$B218=""),"Dependent SSN is required for every dependent; ","")&amp;IF(AND($B218&lt;&gt;"",$O218=""),"Dependent Relationship is required when Dependent SSN is entered; ","")&amp;IF(AND($O218&lt;&gt;"",$O218&lt;&gt;"Spouse or Common Law Spouse",$O218&lt;&gt;"Domestic Partner",$O218&lt;&gt;"Child",$O218&lt;&gt;"Other",$O218&lt;&gt;"Estate",$O218&lt;&gt;"Unknown"),"Dependent Relationship must use one of the approved options; ",""))</f>
        <v/>
      </c>
      <c r="Z218">
        <f>IF(COUNTA($A218:$U218)=0,"",IF(AND($A218&lt;&gt;"",NOT(IFERROR(AND(LEN($A218&amp;"")=9,ISNUMBER(--($A218&amp;""))),FALSE))),"Employee SSN must contain exactly 9 digits; ","")&amp;IF(AND($A218&lt;&gt;"",OR($A218="123456789",$A218="987654321",$A218="012345678",$A218=REPT(LEFT($A218&amp;"",1),9))),"Employee SSN appears to be a placeholder; ","")&amp;IF(AND($B218&lt;&gt;"",NOT(IFERROR(AND(LEN($B218&amp;"")=9,ISNUMBER(--($B218&amp;""))),FALSE))),"Dependent SSN must contain exactly 9 digits; ","")&amp;IF(AND($B218&lt;&gt;"",OR($B218="123456789",$B218="987654321",$B218="012345678",$B218=REPT(LEFT($B218&amp;"",1),9))),"Dependent SSN appears to be a placeholder; ","")&amp;IF(AND($A218&lt;&gt;"",$B218&lt;&gt;"",$A218&amp;""=$B218&amp;""),"Dependent SSN cannot match Employee SSN; ","")&amp;IF(AND($W218&lt;&gt;"",OR(COUNTIFS($W$2:$W$501,$W218,$C$2:$C$501,"&lt;&gt;"&amp;$C218)&gt;0,COUNTIFS($W$2:$W$501,$W218,$D$2:$D$501,"&lt;&gt;"&amp;$D218)&gt;0,COUNTIFS($W$2:$W$501,$W218,$L$2:$L$501,"&lt;&gt;"&amp;$L218)&gt;0)),"The same SSN is associated with a different name or birthdate; ",""))</f>
        <v/>
      </c>
      <c r="AA218">
        <f>IF(COUNTA($A218:$U218)=0,"",IF(AND($A218&lt;&gt;"",$S218&lt;&gt;"",COUNTIFS($A$2:$A$501,$A218,$S$2:$S$501,$S218,$B$2:$B$501,"",$O$2:$O$501,"")=0),"Add an employee row for this household and plan; ","")&amp;IF(AND($X218="Dependent",COUNTIFS($A$2:$A218,$A218,$S$2:$S218,$S218,$B$2:$B218,"",$O$2:$O218,"")=0),"Place the employee row before dependent rows for this plan; ","")&amp;IF(AND($X218="Dependent",COUNTIFS($A$2:$A$501,$A218,$S$2:$S$501,$S218,$B$2:$B$501,"",$O$2:$O$501,"")&gt;0,IFERROR(OR($P218&lt;&gt;LOOKUP(2,1/(($A$2:$A$501=$A218)*($S$2:$S$501=$S218)*($B$2:$B$501="")*($O$2:$O$501="")),$P$2:$P$501),$Q218&lt;&gt;LOOKUP(2,1/(($A$2:$A$501=$A218)*($S$2:$S$501=$S218)*($B$2:$B$501="")*($O$2:$O$501="")),$Q$2:$Q$501),$R218&lt;&gt;LOOKUP(2,1/(($A$2:$A$501=$A218)*($S$2:$S$501=$S218)*($B$2:$B$501="")*($O$2:$O$501="")),$R$2:$R$501),$T218&lt;&gt;LOOKUP(2,1/(($A$2:$A$501=$A218)*($S$2:$S$501=$S218)*($B$2:$B$501="")*($O$2:$O$501="")),$T$2:$T$501),$U218&lt;&gt;LOOKUP(2,1/(($A$2:$A$501=$A218)*($S$2:$S$501=$S218)*($B$2:$B$501="")*($O$2:$O$501="")),$U$2:$U$501)),FALSE)),"Dependent row does not match the employee row for eligibility, status, coverage level, or funding; ",""))</f>
        <v/>
      </c>
      <c r="AB218">
        <f>IF(COUNTA($A218:$U218)=0,"",IF($L218="","Birthdate is required; ","")&amp;IF(AND($L218&lt;&gt;"",OR(NOT(ISNUMBER($L218)),$L218&lt;=DATE(1900,1,1),$L218&gt;TODAY())),"Birthdate must be an exact valid past date; ","")&amp;IF($P218="","Eligibility Date is required; ","")&amp;IF(AND($P218&lt;&gt;"",OR(NOT(ISNUMBER($P218)),$P218&lt;=DATE(1900,1,1))),"Eligibility Date must be a valid date; ","")&amp;IF(AND($R218="Terminated",$Q218=""),"Termination Date is required when Status is Terminated; ","")&amp;IF(AND($Q218&lt;&gt;"",OR(NOT(ISNUMBER($Q218)),$Q218&lt;=DATE(1900,1,1))),"Termination Date must be a valid date; ","")&amp;IF(AND(ISNUMBER($P218),ISNUMBER($Q218),$Q218&lt;$P218),"Termination Date cannot be before Eligibility Date; ","")&amp;IF($R218="","Status is required; ","")&amp;IF(AND($R218&lt;&gt;"",$R218&lt;&gt;"Active",$R218&lt;&gt;"Terminated"),"Status must be Active or Terminated; ","")&amp;IF(AND('START HERE'!$C$8="Terminations Only",$R218&lt;&gt;"Terminated"),"Terminations Only files must contain terminated records; ",""))</f>
        <v/>
      </c>
      <c r="AC218">
        <f>IF(COUNTA($A218:$U218)=0,"",IF($S218="","Plan Name is required; ","")&amp;IF($T218="","Benefit Coverage Level is required; ","")&amp;IF(AND($U218&lt;&gt;"",OR(NOT(ISNUMBER($U218)),$U218&lt;0)),"Plan Funding Amount must be a nonnegative number; ","")&amp;IF(AND($A218&lt;&gt;"",$S218&lt;&gt;"",COUNTIFS($A$2:$A$501,$A218,$B$2:$B$501,$B218,$S$2:$S$501,$S218)&gt;1),"Duplicate participant and plan row; ",""))</f>
        <v/>
      </c>
      <c r="AD218">
        <f>IF(COUNTA($A218:$U218)=0,"",IF(AND($X218="Employee",$M218="",$N218=""),"No employee phone or email provided; ","")&amp;IF(AND($R218="Active",$Q218&lt;&gt;""),"Active record includes a Termination Date; confirm this is intentional; ","")&amp;IF(AND($B218&lt;&gt;"",$B218&amp;""&lt;&gt;$A218&amp;"",COUNTIF($A$2:$A$501,$B218)&gt;0),"Dependent SSN also appears as an Employee SSN elsewhere; confirm dual-employee coverage is intentional; ","")&amp;IF(AND($B218&lt;&gt;"",COUNTIF($B$2:$B$501,$B218)&gt;COUNTIFS($A$2:$A$501,$A218,$B$2:$B$501,$B218)),"Dependent SSN appears under more than one employee; confirm duplicate family coverage is intentional; ","")&amp;IF(AND(ROW()&gt;2,$A218&lt;&gt;"",$A218&lt;&gt;$A217,COUNTIF($A$2:$A217,$A218)&gt;0),"This household appears in more than one section of the census; keep the family together; ","")&amp;IF(OR(AND($C218&lt;&gt;"",LEN($C218&amp;"")&lt;&gt;LEN(TRIM($C218&amp;""))),AND($D218&lt;&gt;"",LEN($D218&amp;"")&lt;&gt;LEN(TRIM($D218&amp;""))),AND($E218&lt;&gt;"",LEN($E218&amp;"")&lt;&gt;LEN(TRIM($E218&amp;""))),AND($F218&lt;&gt;"",LEN($F218&amp;"")&lt;&gt;LEN(TRIM($F218&amp;""))),AND($G218&lt;&gt;"",LEN($G218&amp;"")&lt;&gt;LEN(TRIM($G218&amp;""))),AND($H218&lt;&gt;"",LEN($H218&amp;"")&lt;&gt;LEN(TRIM($H218&amp;""))),AND($I218&lt;&gt;"",LEN($I218&amp;"")&lt;&gt;LEN(TRIM($I218&amp;""))),AND($J218&lt;&gt;"",LEN($J218&amp;"")&lt;&gt;LEN(TRIM($J218&amp;""))),AND($K218&lt;&gt;"",LEN($K218&amp;"")&lt;&gt;LEN(TRIM($K218&amp;""))),AND($M218&lt;&gt;"",LEN($M218&amp;"")&lt;&gt;LEN(TRIM($M218&amp;""))),AND($N218&lt;&gt;"",LEN($N218&amp;"")&lt;&gt;LEN(TRIM($N218&amp;""))),AND($O218&lt;&gt;"",LEN($O218&amp;"")&lt;&gt;LEN(TRIM($O218&amp;""))),AND($R218&lt;&gt;"",LEN($R218&amp;"")&lt;&gt;LEN(TRIM($R218&amp;""))),AND($S218&lt;&gt;"",LEN($S218&amp;"")&lt;&gt;LEN(TRIM($S218&amp;""))),AND($T218&lt;&gt;"",LEN($T218&amp;"")&lt;&gt;LEN(TRIM($T218&amp;"")))),"Remove leading or trailing spaces from text fields; ","")&amp;IF(OR(AND(LEN($C218)&gt;1,OR(EXACT($C218,UPPER($C218)),EXACT($C218,LOWER($C218)))),AND(LEN($D218)&gt;1,OR(EXACT($D218,UPPER($D218)),EXACT($D218,LOWER($D218)))),AND(LEN($H218)&gt;1,OR(EXACT($H218,UPPER($H218)),EXACT($H218,LOWER($H218))))),"Review capitalization in First Name, Last Name, or City; ","")&amp;IF(AND($N218&lt;&gt;"",NOT(EXACT($N218,LOWER($N218)))),"Email will be standardized to lowercase in the clean output; ","")&amp;IF(AND(OR('START HERE'!$C$8="Initial Enrollment",'START HERE'!$C$8="Open Enrollment"),$R218="Terminated"),"A terminated row is included in an initial or open enrollment file; confirm this is intentional; ",""))</f>
        <v/>
      </c>
      <c r="AE218">
        <f>IF(COUNTA($A218:$U218)=0,"",IF(OR($A218="",AND($A218&lt;&gt;"",NOT(IFERROR(AND(LEN($A218&amp;"")=9,ISNUMBER(--($A218&amp;""))),FALSE))),AND($A218&lt;&gt;"",OR($A218="123456789",$A218="987654321",$A218="012345678",$A218=REPT(LEFT($A218&amp;"",1),9)))),"Employee SSN, ","")&amp;IF(OR(AND($O218&lt;&gt;"",$B218=""),AND($B218&lt;&gt;"",OR(NOT(IFERROR(AND(LEN($B218&amp;"")=9,ISNUMBER(--($B218&amp;""))),FALSE)),$B218=$A218,$B218="123456789",$B218="987654321",$B218="012345678",$B218=REPT(LEFT($B218&amp;"",1),9)))),"Dependent SSN, ","")&amp;IF(OR($C218="",LEN($C218)&gt;19,AND($C218&lt;&gt;"",SUMPRODUCT(--(ROW($1:$19)&lt;=LEN($C218&amp;"")),--ISERROR(FIND(MID($C218&amp;"",ROW($1:$19),1),"ABCDEFGHIJKLMNOPQRSTUVWXYZabcdefghijklmnopqrstuvwxyz .,")))&gt;0)),"First Name, ","")&amp;IF(OR($D218="",LEN($D218)&gt;26,AND($D218&lt;&gt;"",SUMPRODUCT(--(ROW($1:$26)&lt;=LEN($D218&amp;"")),--ISERROR(FIND(MID($D218&amp;"",ROW($1:$26),1),"ABCDEFGHIJKLMNOPQRSTUVWXYZabcdefghijklmnopqrstuvwxyz .,")))&gt;0)),"Last Name, ","")&amp;IF(OR(LEN($E218)&gt;1,AND($E218&lt;&gt;"",SUMPRODUCT(--(ROW($1:$1)&lt;=LEN($E218&amp;"")),--ISERROR(FIND(MID($E218&amp;"",ROW($1:$1),1),"ABCDEFGHIJKLMNOPQRSTUVWXYZabcdefghijklmnopqrstuvwxyz .,")))&gt;0)),"Middle Initial, ","")&amp;IF(OR($F218="",LEN($F218)&gt;75),"Address, ","")&amp;IF(OR($H218="",LEN($H218)&gt;30),"City, ","")&amp;IF(AND($K218="US",OR($I218="",LEN($I218)&lt;&gt;2)),"State, ","")&amp;IF($J218="","ZIP, ","")&amp;IF(OR($K218="",AND($K218&lt;&gt;"US",$K218&lt;&gt;"CA")),"Country, ","")&amp;IF(OR($L218="",AND($L218&lt;&gt;"",OR(NOT(ISNUMBER($L218)),$L218&lt;=DATE(1900,1,1),$L218&gt;TODAY()))),"Birthdate, ","")&amp;IF(AND($N218&lt;&gt;"",NOT(IFERROR(AND(ISNUMBER(SEARCH("@",$N218)),ISNUMBER(SEARCH(".",$N218,SEARCH("@",$N218)+2))),FALSE))),"Email, ","")&amp;IF(OR(AND($B218&lt;&gt;"",$O218=""),AND($O218&lt;&gt;"",$O218&lt;&gt;"Spouse or Common Law Spouse",$O218&lt;&gt;"Domestic Partner",$O218&lt;&gt;"Child",$O218&lt;&gt;"Other",$O218&lt;&gt;"Estate",$O218&lt;&gt;"Unknown")),"Dependent Relationship, ","")&amp;IF($AA218&lt;&gt;"","Household, ","")&amp;IF(OR($P218="",AND($P218&lt;&gt;"",OR(NOT(ISNUMBER($P218)),$P218&lt;=DATE(1900,1,1)))),"Eligibility Date, ","")&amp;IF(OR(AND($R218="Terminated",$Q218=""),AND($Q218&lt;&gt;"",OR(NOT(ISNUMBER($Q218)),$Q218&lt;=DATE(1900,1,1))),AND(ISNUMBER($P218),ISNUMBER($Q218),$Q218&lt;$P218)),"Termination Date, ","")&amp;IF(OR($R218="",AND($R218&lt;&gt;"Active",$R218&lt;&gt;"Terminated"),AND('START HERE'!$C$8="Terminations Only",$R218&lt;&gt;"Terminated")),"Status, ","")&amp;IF($S218="","Plan Name, ","")&amp;IF($T218="","Coverage Level, ","")&amp;IF(AND($U218&lt;&gt;"",OR(NOT(ISNUMBER($U218)),$U218&lt;0)),"Funding, ","")&amp;IF(AND($A218&lt;&gt;"",$S218&lt;&gt;"",COUNTIFS($A$2:$A$501,$A218,$B$2:$B$501,$B218,$S$2:$S$501,$S218)&gt;1),"Duplicate Row, ",""))</f>
        <v/>
      </c>
      <c r="AF218">
        <f>IF(COUNTA($A218:$U218)=0,"",$Y218&amp;$Z218&amp;$AA218&amp;$AB218&amp;$AC218)</f>
        <v/>
      </c>
      <c r="AG218">
        <f>IF($N218="","",LOWER(TRIM($N218)))</f>
        <v/>
      </c>
      <c r="AH218">
        <f>IF($A218="","",COUNTIFS($A$2:$A$501,$A218,$AI$2:$AI$501,1))</f>
        <v/>
      </c>
      <c r="AI218">
        <f>IF(COUNTA($A218:$U218)=0,"",--($AF218&lt;&gt;""))</f>
        <v/>
      </c>
      <c r="AJ218">
        <f>IF(COUNTA($A218:$U218)=0,"",--($AD218&lt;&gt;""))</f>
        <v/>
      </c>
    </row>
    <row r="219" ht="20" customHeight="1">
      <c r="A219" s="80" t="n"/>
      <c r="B219" s="80" t="n"/>
      <c r="C219" s="81" t="n"/>
      <c r="D219" s="81" t="n"/>
      <c r="E219" s="80" t="n"/>
      <c r="F219" s="81" t="n"/>
      <c r="G219" s="81" t="n"/>
      <c r="H219" s="81" t="n"/>
      <c r="I219" s="80" t="n"/>
      <c r="J219" s="80" t="n"/>
      <c r="K219" s="80" t="n"/>
      <c r="L219" s="82" t="n"/>
      <c r="M219" s="80" t="n"/>
      <c r="N219" s="80" t="n"/>
      <c r="O219" s="80" t="n"/>
      <c r="P219" s="82" t="n"/>
      <c r="Q219" s="82" t="n"/>
      <c r="R219" s="80" t="n"/>
      <c r="S219" s="80" t="n"/>
      <c r="T219" s="80" t="n"/>
      <c r="U219" s="83" t="n"/>
      <c r="V219">
        <f>IF($A219="","",IF($A219=$A218,$V218,IF($V218="",0,1-$V218)))</f>
        <v/>
      </c>
      <c r="W219">
        <f>IF($B219&lt;&gt;"",$B219,$A219)</f>
        <v/>
      </c>
      <c r="X219">
        <f>IF(COUNTA($A219:$U219)=0,"",IF(OR($B219&lt;&gt;"",$O219&lt;&gt;""),"Dependent","Employee"))</f>
        <v/>
      </c>
      <c r="Y219">
        <f>IF(COUNTA($A219:$U219)=0,"",IF($A219="","Employee SSN is required; ","")&amp;IF($C219="","First Name is required; ","")&amp;IF(LEN($C219&amp;"")&gt;19,"First Name exceeds 19 characters; ","")&amp;IF(AND($C219&lt;&gt;"",SUMPRODUCT(--(ROW($1:$19)&lt;=LEN($C219&amp;"")),--ISERROR(FIND(MID($C219&amp;"",ROW($1:$19),1),"ABCDEFGHIJKLMNOPQRSTUVWXYZabcdefghijklmnopqrstuvwxyz .,")))&gt;0),"First Name contains unsupported or encoded characters; use plain A-Z letters only; ","")&amp;IF($D219="","Last Name is required; ","")&amp;IF(LEN($D219&amp;"")&gt;26,"Last Name exceeds 26 characters; ","")&amp;IF(AND($D219&lt;&gt;"",SUMPRODUCT(--(ROW($1:$26)&lt;=LEN($D219&amp;"")),--ISERROR(FIND(MID($D219&amp;"",ROW($1:$26),1),"ABCDEFGHIJKLMNOPQRSTUVWXYZabcdefghijklmnopqrstuvwxyz .,")))&gt;0),"Last Name contains unsupported or encoded characters; use plain A-Z letters only; ","")&amp;IF(LEN($E219&amp;"")&gt;1,"Middle Initial may contain only one character; ","")&amp;IF(AND($E219&lt;&gt;"",SUMPRODUCT(--(ROW($1:$1)&lt;=LEN($E219&amp;"")),--ISERROR(FIND(MID($E219&amp;"",ROW($1:$1),1),"ABCDEFGHIJKLMNOPQRSTUVWXYZabcdefghijklmnopqrstuvwxyz .,")))&gt;0),"Middle Initial must be a plain A-Z letter; ","")&amp;IF($F219="","Address is required; ","")&amp;IF(LEN($F219&amp;"")&gt;75,"Address exceeds 75 characters; ","")&amp;IF(LEN($G219&amp;"")&gt;75,"Address 2 exceeds 75 characters; ","")&amp;IF($H219="","City is required; ","")&amp;IF(LEN($H219&amp;"")&gt;30,"City exceeds 30 characters; ","")&amp;IF($K219="","Country is required; ","")&amp;IF(AND($K219&lt;&gt;"",$K219&lt;&gt;"US",$K219&lt;&gt;"CA"),"Country must be US or CA; ","")&amp;IF(AND($K219="US",OR($I219="",LEN($I219&amp;"")&lt;&gt;2)),"Use a 2-letter state code; ","")&amp;IF($J219="","ZIP or postal code is required; ","")&amp;IF(AND($K219="US",$J219&lt;&gt;"",NOT(IFERROR(OR(AND(LEN($J219&amp;"")=5,ISNUMBER(--($J219&amp;""))),AND(LEN($J219&amp;"")=9,ISNUMBER(--($J219&amp;""))),AND(LEN($J219&amp;"")=10,MID($J219&amp;"",6,1)="-",ISNUMBER(--SUBSTITUTE($J219&amp;"","-","")))),FALSE))),"US ZIP must be 5 or 9 digits, with an optional ZIP+4 hyphen; ","")&amp;IF(AND($N219&lt;&gt;"",NOT(IFERROR(AND(ISNUMBER(SEARCH("@",$N219)),ISNUMBER(SEARCH(".",$N219,SEARCH("@",$N219)+2))),FALSE))),"Email format appears invalid; ","")&amp;IF(AND($O219&lt;&gt;"",$B219=""),"Dependent SSN is required for every dependent; ","")&amp;IF(AND($B219&lt;&gt;"",$O219=""),"Dependent Relationship is required when Dependent SSN is entered; ","")&amp;IF(AND($O219&lt;&gt;"",$O219&lt;&gt;"Spouse or Common Law Spouse",$O219&lt;&gt;"Domestic Partner",$O219&lt;&gt;"Child",$O219&lt;&gt;"Other",$O219&lt;&gt;"Estate",$O219&lt;&gt;"Unknown"),"Dependent Relationship must use one of the approved options; ",""))</f>
        <v/>
      </c>
      <c r="Z219">
        <f>IF(COUNTA($A219:$U219)=0,"",IF(AND($A219&lt;&gt;"",NOT(IFERROR(AND(LEN($A219&amp;"")=9,ISNUMBER(--($A219&amp;""))),FALSE))),"Employee SSN must contain exactly 9 digits; ","")&amp;IF(AND($A219&lt;&gt;"",OR($A219="123456789",$A219="987654321",$A219="012345678",$A219=REPT(LEFT($A219&amp;"",1),9))),"Employee SSN appears to be a placeholder; ","")&amp;IF(AND($B219&lt;&gt;"",NOT(IFERROR(AND(LEN($B219&amp;"")=9,ISNUMBER(--($B219&amp;""))),FALSE))),"Dependent SSN must contain exactly 9 digits; ","")&amp;IF(AND($B219&lt;&gt;"",OR($B219="123456789",$B219="987654321",$B219="012345678",$B219=REPT(LEFT($B219&amp;"",1),9))),"Dependent SSN appears to be a placeholder; ","")&amp;IF(AND($A219&lt;&gt;"",$B219&lt;&gt;"",$A219&amp;""=$B219&amp;""),"Dependent SSN cannot match Employee SSN; ","")&amp;IF(AND($W219&lt;&gt;"",OR(COUNTIFS($W$2:$W$501,$W219,$C$2:$C$501,"&lt;&gt;"&amp;$C219)&gt;0,COUNTIFS($W$2:$W$501,$W219,$D$2:$D$501,"&lt;&gt;"&amp;$D219)&gt;0,COUNTIFS($W$2:$W$501,$W219,$L$2:$L$501,"&lt;&gt;"&amp;$L219)&gt;0)),"The same SSN is associated with a different name or birthdate; ",""))</f>
        <v/>
      </c>
      <c r="AA219">
        <f>IF(COUNTA($A219:$U219)=0,"",IF(AND($A219&lt;&gt;"",$S219&lt;&gt;"",COUNTIFS($A$2:$A$501,$A219,$S$2:$S$501,$S219,$B$2:$B$501,"",$O$2:$O$501,"")=0),"Add an employee row for this household and plan; ","")&amp;IF(AND($X219="Dependent",COUNTIFS($A$2:$A219,$A219,$S$2:$S219,$S219,$B$2:$B219,"",$O$2:$O219,"")=0),"Place the employee row before dependent rows for this plan; ","")&amp;IF(AND($X219="Dependent",COUNTIFS($A$2:$A$501,$A219,$S$2:$S$501,$S219,$B$2:$B$501,"",$O$2:$O$501,"")&gt;0,IFERROR(OR($P219&lt;&gt;LOOKUP(2,1/(($A$2:$A$501=$A219)*($S$2:$S$501=$S219)*($B$2:$B$501="")*($O$2:$O$501="")),$P$2:$P$501),$Q219&lt;&gt;LOOKUP(2,1/(($A$2:$A$501=$A219)*($S$2:$S$501=$S219)*($B$2:$B$501="")*($O$2:$O$501="")),$Q$2:$Q$501),$R219&lt;&gt;LOOKUP(2,1/(($A$2:$A$501=$A219)*($S$2:$S$501=$S219)*($B$2:$B$501="")*($O$2:$O$501="")),$R$2:$R$501),$T219&lt;&gt;LOOKUP(2,1/(($A$2:$A$501=$A219)*($S$2:$S$501=$S219)*($B$2:$B$501="")*($O$2:$O$501="")),$T$2:$T$501),$U219&lt;&gt;LOOKUP(2,1/(($A$2:$A$501=$A219)*($S$2:$S$501=$S219)*($B$2:$B$501="")*($O$2:$O$501="")),$U$2:$U$501)),FALSE)),"Dependent row does not match the employee row for eligibility, status, coverage level, or funding; ",""))</f>
        <v/>
      </c>
      <c r="AB219">
        <f>IF(COUNTA($A219:$U219)=0,"",IF($L219="","Birthdate is required; ","")&amp;IF(AND($L219&lt;&gt;"",OR(NOT(ISNUMBER($L219)),$L219&lt;=DATE(1900,1,1),$L219&gt;TODAY())),"Birthdate must be an exact valid past date; ","")&amp;IF($P219="","Eligibility Date is required; ","")&amp;IF(AND($P219&lt;&gt;"",OR(NOT(ISNUMBER($P219)),$P219&lt;=DATE(1900,1,1))),"Eligibility Date must be a valid date; ","")&amp;IF(AND($R219="Terminated",$Q219=""),"Termination Date is required when Status is Terminated; ","")&amp;IF(AND($Q219&lt;&gt;"",OR(NOT(ISNUMBER($Q219)),$Q219&lt;=DATE(1900,1,1))),"Termination Date must be a valid date; ","")&amp;IF(AND(ISNUMBER($P219),ISNUMBER($Q219),$Q219&lt;$P219),"Termination Date cannot be before Eligibility Date; ","")&amp;IF($R219="","Status is required; ","")&amp;IF(AND($R219&lt;&gt;"",$R219&lt;&gt;"Active",$R219&lt;&gt;"Terminated"),"Status must be Active or Terminated; ","")&amp;IF(AND('START HERE'!$C$8="Terminations Only",$R219&lt;&gt;"Terminated"),"Terminations Only files must contain terminated records; ",""))</f>
        <v/>
      </c>
      <c r="AC219">
        <f>IF(COUNTA($A219:$U219)=0,"",IF($S219="","Plan Name is required; ","")&amp;IF($T219="","Benefit Coverage Level is required; ","")&amp;IF(AND($U219&lt;&gt;"",OR(NOT(ISNUMBER($U219)),$U219&lt;0)),"Plan Funding Amount must be a nonnegative number; ","")&amp;IF(AND($A219&lt;&gt;"",$S219&lt;&gt;"",COUNTIFS($A$2:$A$501,$A219,$B$2:$B$501,$B219,$S$2:$S$501,$S219)&gt;1),"Duplicate participant and plan row; ",""))</f>
        <v/>
      </c>
      <c r="AD219">
        <f>IF(COUNTA($A219:$U219)=0,"",IF(AND($X219="Employee",$M219="",$N219=""),"No employee phone or email provided; ","")&amp;IF(AND($R219="Active",$Q219&lt;&gt;""),"Active record includes a Termination Date; confirm this is intentional; ","")&amp;IF(AND($B219&lt;&gt;"",$B219&amp;""&lt;&gt;$A219&amp;"",COUNTIF($A$2:$A$501,$B219)&gt;0),"Dependent SSN also appears as an Employee SSN elsewhere; confirm dual-employee coverage is intentional; ","")&amp;IF(AND($B219&lt;&gt;"",COUNTIF($B$2:$B$501,$B219)&gt;COUNTIFS($A$2:$A$501,$A219,$B$2:$B$501,$B219)),"Dependent SSN appears under more than one employee; confirm duplicate family coverage is intentional; ","")&amp;IF(AND(ROW()&gt;2,$A219&lt;&gt;"",$A219&lt;&gt;$A218,COUNTIF($A$2:$A218,$A219)&gt;0),"This household appears in more than one section of the census; keep the family together; ","")&amp;IF(OR(AND($C219&lt;&gt;"",LEN($C219&amp;"")&lt;&gt;LEN(TRIM($C219&amp;""))),AND($D219&lt;&gt;"",LEN($D219&amp;"")&lt;&gt;LEN(TRIM($D219&amp;""))),AND($E219&lt;&gt;"",LEN($E219&amp;"")&lt;&gt;LEN(TRIM($E219&amp;""))),AND($F219&lt;&gt;"",LEN($F219&amp;"")&lt;&gt;LEN(TRIM($F219&amp;""))),AND($G219&lt;&gt;"",LEN($G219&amp;"")&lt;&gt;LEN(TRIM($G219&amp;""))),AND($H219&lt;&gt;"",LEN($H219&amp;"")&lt;&gt;LEN(TRIM($H219&amp;""))),AND($I219&lt;&gt;"",LEN($I219&amp;"")&lt;&gt;LEN(TRIM($I219&amp;""))),AND($J219&lt;&gt;"",LEN($J219&amp;"")&lt;&gt;LEN(TRIM($J219&amp;""))),AND($K219&lt;&gt;"",LEN($K219&amp;"")&lt;&gt;LEN(TRIM($K219&amp;""))),AND($M219&lt;&gt;"",LEN($M219&amp;"")&lt;&gt;LEN(TRIM($M219&amp;""))),AND($N219&lt;&gt;"",LEN($N219&amp;"")&lt;&gt;LEN(TRIM($N219&amp;""))),AND($O219&lt;&gt;"",LEN($O219&amp;"")&lt;&gt;LEN(TRIM($O219&amp;""))),AND($R219&lt;&gt;"",LEN($R219&amp;"")&lt;&gt;LEN(TRIM($R219&amp;""))),AND($S219&lt;&gt;"",LEN($S219&amp;"")&lt;&gt;LEN(TRIM($S219&amp;""))),AND($T219&lt;&gt;"",LEN($T219&amp;"")&lt;&gt;LEN(TRIM($T219&amp;"")))),"Remove leading or trailing spaces from text fields; ","")&amp;IF(OR(AND(LEN($C219)&gt;1,OR(EXACT($C219,UPPER($C219)),EXACT($C219,LOWER($C219)))),AND(LEN($D219)&gt;1,OR(EXACT($D219,UPPER($D219)),EXACT($D219,LOWER($D219)))),AND(LEN($H219)&gt;1,OR(EXACT($H219,UPPER($H219)),EXACT($H219,LOWER($H219))))),"Review capitalization in First Name, Last Name, or City; ","")&amp;IF(AND($N219&lt;&gt;"",NOT(EXACT($N219,LOWER($N219)))),"Email will be standardized to lowercase in the clean output; ","")&amp;IF(AND(OR('START HERE'!$C$8="Initial Enrollment",'START HERE'!$C$8="Open Enrollment"),$R219="Terminated"),"A terminated row is included in an initial or open enrollment file; confirm this is intentional; ",""))</f>
        <v/>
      </c>
      <c r="AE219">
        <f>IF(COUNTA($A219:$U219)=0,"",IF(OR($A219="",AND($A219&lt;&gt;"",NOT(IFERROR(AND(LEN($A219&amp;"")=9,ISNUMBER(--($A219&amp;""))),FALSE))),AND($A219&lt;&gt;"",OR($A219="123456789",$A219="987654321",$A219="012345678",$A219=REPT(LEFT($A219&amp;"",1),9)))),"Employee SSN, ","")&amp;IF(OR(AND($O219&lt;&gt;"",$B219=""),AND($B219&lt;&gt;"",OR(NOT(IFERROR(AND(LEN($B219&amp;"")=9,ISNUMBER(--($B219&amp;""))),FALSE)),$B219=$A219,$B219="123456789",$B219="987654321",$B219="012345678",$B219=REPT(LEFT($B219&amp;"",1),9)))),"Dependent SSN, ","")&amp;IF(OR($C219="",LEN($C219)&gt;19,AND($C219&lt;&gt;"",SUMPRODUCT(--(ROW($1:$19)&lt;=LEN($C219&amp;"")),--ISERROR(FIND(MID($C219&amp;"",ROW($1:$19),1),"ABCDEFGHIJKLMNOPQRSTUVWXYZabcdefghijklmnopqrstuvwxyz .,")))&gt;0)),"First Name, ","")&amp;IF(OR($D219="",LEN($D219)&gt;26,AND($D219&lt;&gt;"",SUMPRODUCT(--(ROW($1:$26)&lt;=LEN($D219&amp;"")),--ISERROR(FIND(MID($D219&amp;"",ROW($1:$26),1),"ABCDEFGHIJKLMNOPQRSTUVWXYZabcdefghijklmnopqrstuvwxyz .,")))&gt;0)),"Last Name, ","")&amp;IF(OR(LEN($E219)&gt;1,AND($E219&lt;&gt;"",SUMPRODUCT(--(ROW($1:$1)&lt;=LEN($E219&amp;"")),--ISERROR(FIND(MID($E219&amp;"",ROW($1:$1),1),"ABCDEFGHIJKLMNOPQRSTUVWXYZabcdefghijklmnopqrstuvwxyz .,")))&gt;0)),"Middle Initial, ","")&amp;IF(OR($F219="",LEN($F219)&gt;75),"Address, ","")&amp;IF(OR($H219="",LEN($H219)&gt;30),"City, ","")&amp;IF(AND($K219="US",OR($I219="",LEN($I219)&lt;&gt;2)),"State, ","")&amp;IF($J219="","ZIP, ","")&amp;IF(OR($K219="",AND($K219&lt;&gt;"US",$K219&lt;&gt;"CA")),"Country, ","")&amp;IF(OR($L219="",AND($L219&lt;&gt;"",OR(NOT(ISNUMBER($L219)),$L219&lt;=DATE(1900,1,1),$L219&gt;TODAY()))),"Birthdate, ","")&amp;IF(AND($N219&lt;&gt;"",NOT(IFERROR(AND(ISNUMBER(SEARCH("@",$N219)),ISNUMBER(SEARCH(".",$N219,SEARCH("@",$N219)+2))),FALSE))),"Email, ","")&amp;IF(OR(AND($B219&lt;&gt;"",$O219=""),AND($O219&lt;&gt;"",$O219&lt;&gt;"Spouse or Common Law Spouse",$O219&lt;&gt;"Domestic Partner",$O219&lt;&gt;"Child",$O219&lt;&gt;"Other",$O219&lt;&gt;"Estate",$O219&lt;&gt;"Unknown")),"Dependent Relationship, ","")&amp;IF($AA219&lt;&gt;"","Household, ","")&amp;IF(OR($P219="",AND($P219&lt;&gt;"",OR(NOT(ISNUMBER($P219)),$P219&lt;=DATE(1900,1,1)))),"Eligibility Date, ","")&amp;IF(OR(AND($R219="Terminated",$Q219=""),AND($Q219&lt;&gt;"",OR(NOT(ISNUMBER($Q219)),$Q219&lt;=DATE(1900,1,1))),AND(ISNUMBER($P219),ISNUMBER($Q219),$Q219&lt;$P219)),"Termination Date, ","")&amp;IF(OR($R219="",AND($R219&lt;&gt;"Active",$R219&lt;&gt;"Terminated"),AND('START HERE'!$C$8="Terminations Only",$R219&lt;&gt;"Terminated")),"Status, ","")&amp;IF($S219="","Plan Name, ","")&amp;IF($T219="","Coverage Level, ","")&amp;IF(AND($U219&lt;&gt;"",OR(NOT(ISNUMBER($U219)),$U219&lt;0)),"Funding, ","")&amp;IF(AND($A219&lt;&gt;"",$S219&lt;&gt;"",COUNTIFS($A$2:$A$501,$A219,$B$2:$B$501,$B219,$S$2:$S$501,$S219)&gt;1),"Duplicate Row, ",""))</f>
        <v/>
      </c>
      <c r="AF219">
        <f>IF(COUNTA($A219:$U219)=0,"",$Y219&amp;$Z219&amp;$AA219&amp;$AB219&amp;$AC219)</f>
        <v/>
      </c>
      <c r="AG219">
        <f>IF($N219="","",LOWER(TRIM($N219)))</f>
        <v/>
      </c>
      <c r="AH219">
        <f>IF($A219="","",COUNTIFS($A$2:$A$501,$A219,$AI$2:$AI$501,1))</f>
        <v/>
      </c>
      <c r="AI219">
        <f>IF(COUNTA($A219:$U219)=0,"",--($AF219&lt;&gt;""))</f>
        <v/>
      </c>
      <c r="AJ219">
        <f>IF(COUNTA($A219:$U219)=0,"",--($AD219&lt;&gt;""))</f>
        <v/>
      </c>
    </row>
    <row r="220" ht="20" customHeight="1">
      <c r="A220" s="80" t="n"/>
      <c r="B220" s="80" t="n"/>
      <c r="C220" s="81" t="n"/>
      <c r="D220" s="81" t="n"/>
      <c r="E220" s="80" t="n"/>
      <c r="F220" s="81" t="n"/>
      <c r="G220" s="81" t="n"/>
      <c r="H220" s="81" t="n"/>
      <c r="I220" s="80" t="n"/>
      <c r="J220" s="80" t="n"/>
      <c r="K220" s="80" t="n"/>
      <c r="L220" s="82" t="n"/>
      <c r="M220" s="80" t="n"/>
      <c r="N220" s="80" t="n"/>
      <c r="O220" s="80" t="n"/>
      <c r="P220" s="82" t="n"/>
      <c r="Q220" s="82" t="n"/>
      <c r="R220" s="80" t="n"/>
      <c r="S220" s="80" t="n"/>
      <c r="T220" s="80" t="n"/>
      <c r="U220" s="83" t="n"/>
      <c r="V220">
        <f>IF($A220="","",IF($A220=$A219,$V219,IF($V219="",0,1-$V219)))</f>
        <v/>
      </c>
      <c r="W220">
        <f>IF($B220&lt;&gt;"",$B220,$A220)</f>
        <v/>
      </c>
      <c r="X220">
        <f>IF(COUNTA($A220:$U220)=0,"",IF(OR($B220&lt;&gt;"",$O220&lt;&gt;""),"Dependent","Employee"))</f>
        <v/>
      </c>
      <c r="Y220">
        <f>IF(COUNTA($A220:$U220)=0,"",IF($A220="","Employee SSN is required; ","")&amp;IF($C220="","First Name is required; ","")&amp;IF(LEN($C220&amp;"")&gt;19,"First Name exceeds 19 characters; ","")&amp;IF(AND($C220&lt;&gt;"",SUMPRODUCT(--(ROW($1:$19)&lt;=LEN($C220&amp;"")),--ISERROR(FIND(MID($C220&amp;"",ROW($1:$19),1),"ABCDEFGHIJKLMNOPQRSTUVWXYZabcdefghijklmnopqrstuvwxyz .,")))&gt;0),"First Name contains unsupported or encoded characters; use plain A-Z letters only; ","")&amp;IF($D220="","Last Name is required; ","")&amp;IF(LEN($D220&amp;"")&gt;26,"Last Name exceeds 26 characters; ","")&amp;IF(AND($D220&lt;&gt;"",SUMPRODUCT(--(ROW($1:$26)&lt;=LEN($D220&amp;"")),--ISERROR(FIND(MID($D220&amp;"",ROW($1:$26),1),"ABCDEFGHIJKLMNOPQRSTUVWXYZabcdefghijklmnopqrstuvwxyz .,")))&gt;0),"Last Name contains unsupported or encoded characters; use plain A-Z letters only; ","")&amp;IF(LEN($E220&amp;"")&gt;1,"Middle Initial may contain only one character; ","")&amp;IF(AND($E220&lt;&gt;"",SUMPRODUCT(--(ROW($1:$1)&lt;=LEN($E220&amp;"")),--ISERROR(FIND(MID($E220&amp;"",ROW($1:$1),1),"ABCDEFGHIJKLMNOPQRSTUVWXYZabcdefghijklmnopqrstuvwxyz .,")))&gt;0),"Middle Initial must be a plain A-Z letter; ","")&amp;IF($F220="","Address is required; ","")&amp;IF(LEN($F220&amp;"")&gt;75,"Address exceeds 75 characters; ","")&amp;IF(LEN($G220&amp;"")&gt;75,"Address 2 exceeds 75 characters; ","")&amp;IF($H220="","City is required; ","")&amp;IF(LEN($H220&amp;"")&gt;30,"City exceeds 30 characters; ","")&amp;IF($K220="","Country is required; ","")&amp;IF(AND($K220&lt;&gt;"",$K220&lt;&gt;"US",$K220&lt;&gt;"CA"),"Country must be US or CA; ","")&amp;IF(AND($K220="US",OR($I220="",LEN($I220&amp;"")&lt;&gt;2)),"Use a 2-letter state code; ","")&amp;IF($J220="","ZIP or postal code is required; ","")&amp;IF(AND($K220="US",$J220&lt;&gt;"",NOT(IFERROR(OR(AND(LEN($J220&amp;"")=5,ISNUMBER(--($J220&amp;""))),AND(LEN($J220&amp;"")=9,ISNUMBER(--($J220&amp;""))),AND(LEN($J220&amp;"")=10,MID($J220&amp;"",6,1)="-",ISNUMBER(--SUBSTITUTE($J220&amp;"","-","")))),FALSE))),"US ZIP must be 5 or 9 digits, with an optional ZIP+4 hyphen; ","")&amp;IF(AND($N220&lt;&gt;"",NOT(IFERROR(AND(ISNUMBER(SEARCH("@",$N220)),ISNUMBER(SEARCH(".",$N220,SEARCH("@",$N220)+2))),FALSE))),"Email format appears invalid; ","")&amp;IF(AND($O220&lt;&gt;"",$B220=""),"Dependent SSN is required for every dependent; ","")&amp;IF(AND($B220&lt;&gt;"",$O220=""),"Dependent Relationship is required when Dependent SSN is entered; ","")&amp;IF(AND($O220&lt;&gt;"",$O220&lt;&gt;"Spouse or Common Law Spouse",$O220&lt;&gt;"Domestic Partner",$O220&lt;&gt;"Child",$O220&lt;&gt;"Other",$O220&lt;&gt;"Estate",$O220&lt;&gt;"Unknown"),"Dependent Relationship must use one of the approved options; ",""))</f>
        <v/>
      </c>
      <c r="Z220">
        <f>IF(COUNTA($A220:$U220)=0,"",IF(AND($A220&lt;&gt;"",NOT(IFERROR(AND(LEN($A220&amp;"")=9,ISNUMBER(--($A220&amp;""))),FALSE))),"Employee SSN must contain exactly 9 digits; ","")&amp;IF(AND($A220&lt;&gt;"",OR($A220="123456789",$A220="987654321",$A220="012345678",$A220=REPT(LEFT($A220&amp;"",1),9))),"Employee SSN appears to be a placeholder; ","")&amp;IF(AND($B220&lt;&gt;"",NOT(IFERROR(AND(LEN($B220&amp;"")=9,ISNUMBER(--($B220&amp;""))),FALSE))),"Dependent SSN must contain exactly 9 digits; ","")&amp;IF(AND($B220&lt;&gt;"",OR($B220="123456789",$B220="987654321",$B220="012345678",$B220=REPT(LEFT($B220&amp;"",1),9))),"Dependent SSN appears to be a placeholder; ","")&amp;IF(AND($A220&lt;&gt;"",$B220&lt;&gt;"",$A220&amp;""=$B220&amp;""),"Dependent SSN cannot match Employee SSN; ","")&amp;IF(AND($W220&lt;&gt;"",OR(COUNTIFS($W$2:$W$501,$W220,$C$2:$C$501,"&lt;&gt;"&amp;$C220)&gt;0,COUNTIFS($W$2:$W$501,$W220,$D$2:$D$501,"&lt;&gt;"&amp;$D220)&gt;0,COUNTIFS($W$2:$W$501,$W220,$L$2:$L$501,"&lt;&gt;"&amp;$L220)&gt;0)),"The same SSN is associated with a different name or birthdate; ",""))</f>
        <v/>
      </c>
      <c r="AA220">
        <f>IF(COUNTA($A220:$U220)=0,"",IF(AND($A220&lt;&gt;"",$S220&lt;&gt;"",COUNTIFS($A$2:$A$501,$A220,$S$2:$S$501,$S220,$B$2:$B$501,"",$O$2:$O$501,"")=0),"Add an employee row for this household and plan; ","")&amp;IF(AND($X220="Dependent",COUNTIFS($A$2:$A220,$A220,$S$2:$S220,$S220,$B$2:$B220,"",$O$2:$O220,"")=0),"Place the employee row before dependent rows for this plan; ","")&amp;IF(AND($X220="Dependent",COUNTIFS($A$2:$A$501,$A220,$S$2:$S$501,$S220,$B$2:$B$501,"",$O$2:$O$501,"")&gt;0,IFERROR(OR($P220&lt;&gt;LOOKUP(2,1/(($A$2:$A$501=$A220)*($S$2:$S$501=$S220)*($B$2:$B$501="")*($O$2:$O$501="")),$P$2:$P$501),$Q220&lt;&gt;LOOKUP(2,1/(($A$2:$A$501=$A220)*($S$2:$S$501=$S220)*($B$2:$B$501="")*($O$2:$O$501="")),$Q$2:$Q$501),$R220&lt;&gt;LOOKUP(2,1/(($A$2:$A$501=$A220)*($S$2:$S$501=$S220)*($B$2:$B$501="")*($O$2:$O$501="")),$R$2:$R$501),$T220&lt;&gt;LOOKUP(2,1/(($A$2:$A$501=$A220)*($S$2:$S$501=$S220)*($B$2:$B$501="")*($O$2:$O$501="")),$T$2:$T$501),$U220&lt;&gt;LOOKUP(2,1/(($A$2:$A$501=$A220)*($S$2:$S$501=$S220)*($B$2:$B$501="")*($O$2:$O$501="")),$U$2:$U$501)),FALSE)),"Dependent row does not match the employee row for eligibility, status, coverage level, or funding; ",""))</f>
        <v/>
      </c>
      <c r="AB220">
        <f>IF(COUNTA($A220:$U220)=0,"",IF($L220="","Birthdate is required; ","")&amp;IF(AND($L220&lt;&gt;"",OR(NOT(ISNUMBER($L220)),$L220&lt;=DATE(1900,1,1),$L220&gt;TODAY())),"Birthdate must be an exact valid past date; ","")&amp;IF($P220="","Eligibility Date is required; ","")&amp;IF(AND($P220&lt;&gt;"",OR(NOT(ISNUMBER($P220)),$P220&lt;=DATE(1900,1,1))),"Eligibility Date must be a valid date; ","")&amp;IF(AND($R220="Terminated",$Q220=""),"Termination Date is required when Status is Terminated; ","")&amp;IF(AND($Q220&lt;&gt;"",OR(NOT(ISNUMBER($Q220)),$Q220&lt;=DATE(1900,1,1))),"Termination Date must be a valid date; ","")&amp;IF(AND(ISNUMBER($P220),ISNUMBER($Q220),$Q220&lt;$P220),"Termination Date cannot be before Eligibility Date; ","")&amp;IF($R220="","Status is required; ","")&amp;IF(AND($R220&lt;&gt;"",$R220&lt;&gt;"Active",$R220&lt;&gt;"Terminated"),"Status must be Active or Terminated; ","")&amp;IF(AND('START HERE'!$C$8="Terminations Only",$R220&lt;&gt;"Terminated"),"Terminations Only files must contain terminated records; ",""))</f>
        <v/>
      </c>
      <c r="AC220">
        <f>IF(COUNTA($A220:$U220)=0,"",IF($S220="","Plan Name is required; ","")&amp;IF($T220="","Benefit Coverage Level is required; ","")&amp;IF(AND($U220&lt;&gt;"",OR(NOT(ISNUMBER($U220)),$U220&lt;0)),"Plan Funding Amount must be a nonnegative number; ","")&amp;IF(AND($A220&lt;&gt;"",$S220&lt;&gt;"",COUNTIFS($A$2:$A$501,$A220,$B$2:$B$501,$B220,$S$2:$S$501,$S220)&gt;1),"Duplicate participant and plan row; ",""))</f>
        <v/>
      </c>
      <c r="AD220">
        <f>IF(COUNTA($A220:$U220)=0,"",IF(AND($X220="Employee",$M220="",$N220=""),"No employee phone or email provided; ","")&amp;IF(AND($R220="Active",$Q220&lt;&gt;""),"Active record includes a Termination Date; confirm this is intentional; ","")&amp;IF(AND($B220&lt;&gt;"",$B220&amp;""&lt;&gt;$A220&amp;"",COUNTIF($A$2:$A$501,$B220)&gt;0),"Dependent SSN also appears as an Employee SSN elsewhere; confirm dual-employee coverage is intentional; ","")&amp;IF(AND($B220&lt;&gt;"",COUNTIF($B$2:$B$501,$B220)&gt;COUNTIFS($A$2:$A$501,$A220,$B$2:$B$501,$B220)),"Dependent SSN appears under more than one employee; confirm duplicate family coverage is intentional; ","")&amp;IF(AND(ROW()&gt;2,$A220&lt;&gt;"",$A220&lt;&gt;$A219,COUNTIF($A$2:$A219,$A220)&gt;0),"This household appears in more than one section of the census; keep the family together; ","")&amp;IF(OR(AND($C220&lt;&gt;"",LEN($C220&amp;"")&lt;&gt;LEN(TRIM($C220&amp;""))),AND($D220&lt;&gt;"",LEN($D220&amp;"")&lt;&gt;LEN(TRIM($D220&amp;""))),AND($E220&lt;&gt;"",LEN($E220&amp;"")&lt;&gt;LEN(TRIM($E220&amp;""))),AND($F220&lt;&gt;"",LEN($F220&amp;"")&lt;&gt;LEN(TRIM($F220&amp;""))),AND($G220&lt;&gt;"",LEN($G220&amp;"")&lt;&gt;LEN(TRIM($G220&amp;""))),AND($H220&lt;&gt;"",LEN($H220&amp;"")&lt;&gt;LEN(TRIM($H220&amp;""))),AND($I220&lt;&gt;"",LEN($I220&amp;"")&lt;&gt;LEN(TRIM($I220&amp;""))),AND($J220&lt;&gt;"",LEN($J220&amp;"")&lt;&gt;LEN(TRIM($J220&amp;""))),AND($K220&lt;&gt;"",LEN($K220&amp;"")&lt;&gt;LEN(TRIM($K220&amp;""))),AND($M220&lt;&gt;"",LEN($M220&amp;"")&lt;&gt;LEN(TRIM($M220&amp;""))),AND($N220&lt;&gt;"",LEN($N220&amp;"")&lt;&gt;LEN(TRIM($N220&amp;""))),AND($O220&lt;&gt;"",LEN($O220&amp;"")&lt;&gt;LEN(TRIM($O220&amp;""))),AND($R220&lt;&gt;"",LEN($R220&amp;"")&lt;&gt;LEN(TRIM($R220&amp;""))),AND($S220&lt;&gt;"",LEN($S220&amp;"")&lt;&gt;LEN(TRIM($S220&amp;""))),AND($T220&lt;&gt;"",LEN($T220&amp;"")&lt;&gt;LEN(TRIM($T220&amp;"")))),"Remove leading or trailing spaces from text fields; ","")&amp;IF(OR(AND(LEN($C220)&gt;1,OR(EXACT($C220,UPPER($C220)),EXACT($C220,LOWER($C220)))),AND(LEN($D220)&gt;1,OR(EXACT($D220,UPPER($D220)),EXACT($D220,LOWER($D220)))),AND(LEN($H220)&gt;1,OR(EXACT($H220,UPPER($H220)),EXACT($H220,LOWER($H220))))),"Review capitalization in First Name, Last Name, or City; ","")&amp;IF(AND($N220&lt;&gt;"",NOT(EXACT($N220,LOWER($N220)))),"Email will be standardized to lowercase in the clean output; ","")&amp;IF(AND(OR('START HERE'!$C$8="Initial Enrollment",'START HERE'!$C$8="Open Enrollment"),$R220="Terminated"),"A terminated row is included in an initial or open enrollment file; confirm this is intentional; ",""))</f>
        <v/>
      </c>
      <c r="AE220">
        <f>IF(COUNTA($A220:$U220)=0,"",IF(OR($A220="",AND($A220&lt;&gt;"",NOT(IFERROR(AND(LEN($A220&amp;"")=9,ISNUMBER(--($A220&amp;""))),FALSE))),AND($A220&lt;&gt;"",OR($A220="123456789",$A220="987654321",$A220="012345678",$A220=REPT(LEFT($A220&amp;"",1),9)))),"Employee SSN, ","")&amp;IF(OR(AND($O220&lt;&gt;"",$B220=""),AND($B220&lt;&gt;"",OR(NOT(IFERROR(AND(LEN($B220&amp;"")=9,ISNUMBER(--($B220&amp;""))),FALSE)),$B220=$A220,$B220="123456789",$B220="987654321",$B220="012345678",$B220=REPT(LEFT($B220&amp;"",1),9)))),"Dependent SSN, ","")&amp;IF(OR($C220="",LEN($C220)&gt;19,AND($C220&lt;&gt;"",SUMPRODUCT(--(ROW($1:$19)&lt;=LEN($C220&amp;"")),--ISERROR(FIND(MID($C220&amp;"",ROW($1:$19),1),"ABCDEFGHIJKLMNOPQRSTUVWXYZabcdefghijklmnopqrstuvwxyz .,")))&gt;0)),"First Name, ","")&amp;IF(OR($D220="",LEN($D220)&gt;26,AND($D220&lt;&gt;"",SUMPRODUCT(--(ROW($1:$26)&lt;=LEN($D220&amp;"")),--ISERROR(FIND(MID($D220&amp;"",ROW($1:$26),1),"ABCDEFGHIJKLMNOPQRSTUVWXYZabcdefghijklmnopqrstuvwxyz .,")))&gt;0)),"Last Name, ","")&amp;IF(OR(LEN($E220)&gt;1,AND($E220&lt;&gt;"",SUMPRODUCT(--(ROW($1:$1)&lt;=LEN($E220&amp;"")),--ISERROR(FIND(MID($E220&amp;"",ROW($1:$1),1),"ABCDEFGHIJKLMNOPQRSTUVWXYZabcdefghijklmnopqrstuvwxyz .,")))&gt;0)),"Middle Initial, ","")&amp;IF(OR($F220="",LEN($F220)&gt;75),"Address, ","")&amp;IF(OR($H220="",LEN($H220)&gt;30),"City, ","")&amp;IF(AND($K220="US",OR($I220="",LEN($I220)&lt;&gt;2)),"State, ","")&amp;IF($J220="","ZIP, ","")&amp;IF(OR($K220="",AND($K220&lt;&gt;"US",$K220&lt;&gt;"CA")),"Country, ","")&amp;IF(OR($L220="",AND($L220&lt;&gt;"",OR(NOT(ISNUMBER($L220)),$L220&lt;=DATE(1900,1,1),$L220&gt;TODAY()))),"Birthdate, ","")&amp;IF(AND($N220&lt;&gt;"",NOT(IFERROR(AND(ISNUMBER(SEARCH("@",$N220)),ISNUMBER(SEARCH(".",$N220,SEARCH("@",$N220)+2))),FALSE))),"Email, ","")&amp;IF(OR(AND($B220&lt;&gt;"",$O220=""),AND($O220&lt;&gt;"",$O220&lt;&gt;"Spouse or Common Law Spouse",$O220&lt;&gt;"Domestic Partner",$O220&lt;&gt;"Child",$O220&lt;&gt;"Other",$O220&lt;&gt;"Estate",$O220&lt;&gt;"Unknown")),"Dependent Relationship, ","")&amp;IF($AA220&lt;&gt;"","Household, ","")&amp;IF(OR($P220="",AND($P220&lt;&gt;"",OR(NOT(ISNUMBER($P220)),$P220&lt;=DATE(1900,1,1)))),"Eligibility Date, ","")&amp;IF(OR(AND($R220="Terminated",$Q220=""),AND($Q220&lt;&gt;"",OR(NOT(ISNUMBER($Q220)),$Q220&lt;=DATE(1900,1,1))),AND(ISNUMBER($P220),ISNUMBER($Q220),$Q220&lt;$P220)),"Termination Date, ","")&amp;IF(OR($R220="",AND($R220&lt;&gt;"Active",$R220&lt;&gt;"Terminated"),AND('START HERE'!$C$8="Terminations Only",$R220&lt;&gt;"Terminated")),"Status, ","")&amp;IF($S220="","Plan Name, ","")&amp;IF($T220="","Coverage Level, ","")&amp;IF(AND($U220&lt;&gt;"",OR(NOT(ISNUMBER($U220)),$U220&lt;0)),"Funding, ","")&amp;IF(AND($A220&lt;&gt;"",$S220&lt;&gt;"",COUNTIFS($A$2:$A$501,$A220,$B$2:$B$501,$B220,$S$2:$S$501,$S220)&gt;1),"Duplicate Row, ",""))</f>
        <v/>
      </c>
      <c r="AF220">
        <f>IF(COUNTA($A220:$U220)=0,"",$Y220&amp;$Z220&amp;$AA220&amp;$AB220&amp;$AC220)</f>
        <v/>
      </c>
      <c r="AG220">
        <f>IF($N220="","",LOWER(TRIM($N220)))</f>
        <v/>
      </c>
      <c r="AH220">
        <f>IF($A220="","",COUNTIFS($A$2:$A$501,$A220,$AI$2:$AI$501,1))</f>
        <v/>
      </c>
      <c r="AI220">
        <f>IF(COUNTA($A220:$U220)=0,"",--($AF220&lt;&gt;""))</f>
        <v/>
      </c>
      <c r="AJ220">
        <f>IF(COUNTA($A220:$U220)=0,"",--($AD220&lt;&gt;""))</f>
        <v/>
      </c>
    </row>
    <row r="221" ht="20" customHeight="1">
      <c r="A221" s="80" t="n"/>
      <c r="B221" s="80" t="n"/>
      <c r="C221" s="81" t="n"/>
      <c r="D221" s="81" t="n"/>
      <c r="E221" s="80" t="n"/>
      <c r="F221" s="81" t="n"/>
      <c r="G221" s="81" t="n"/>
      <c r="H221" s="81" t="n"/>
      <c r="I221" s="80" t="n"/>
      <c r="J221" s="80" t="n"/>
      <c r="K221" s="80" t="n"/>
      <c r="L221" s="82" t="n"/>
      <c r="M221" s="80" t="n"/>
      <c r="N221" s="80" t="n"/>
      <c r="O221" s="80" t="n"/>
      <c r="P221" s="82" t="n"/>
      <c r="Q221" s="82" t="n"/>
      <c r="R221" s="80" t="n"/>
      <c r="S221" s="80" t="n"/>
      <c r="T221" s="80" t="n"/>
      <c r="U221" s="83" t="n"/>
      <c r="V221">
        <f>IF($A221="","",IF($A221=$A220,$V220,IF($V220="",0,1-$V220)))</f>
        <v/>
      </c>
      <c r="W221">
        <f>IF($B221&lt;&gt;"",$B221,$A221)</f>
        <v/>
      </c>
      <c r="X221">
        <f>IF(COUNTA($A221:$U221)=0,"",IF(OR($B221&lt;&gt;"",$O221&lt;&gt;""),"Dependent","Employee"))</f>
        <v/>
      </c>
      <c r="Y221">
        <f>IF(COUNTA($A221:$U221)=0,"",IF($A221="","Employee SSN is required; ","")&amp;IF($C221="","First Name is required; ","")&amp;IF(LEN($C221&amp;"")&gt;19,"First Name exceeds 19 characters; ","")&amp;IF(AND($C221&lt;&gt;"",SUMPRODUCT(--(ROW($1:$19)&lt;=LEN($C221&amp;"")),--ISERROR(FIND(MID($C221&amp;"",ROW($1:$19),1),"ABCDEFGHIJKLMNOPQRSTUVWXYZabcdefghijklmnopqrstuvwxyz .,")))&gt;0),"First Name contains unsupported or encoded characters; use plain A-Z letters only; ","")&amp;IF($D221="","Last Name is required; ","")&amp;IF(LEN($D221&amp;"")&gt;26,"Last Name exceeds 26 characters; ","")&amp;IF(AND($D221&lt;&gt;"",SUMPRODUCT(--(ROW($1:$26)&lt;=LEN($D221&amp;"")),--ISERROR(FIND(MID($D221&amp;"",ROW($1:$26),1),"ABCDEFGHIJKLMNOPQRSTUVWXYZabcdefghijklmnopqrstuvwxyz .,")))&gt;0),"Last Name contains unsupported or encoded characters; use plain A-Z letters only; ","")&amp;IF(LEN($E221&amp;"")&gt;1,"Middle Initial may contain only one character; ","")&amp;IF(AND($E221&lt;&gt;"",SUMPRODUCT(--(ROW($1:$1)&lt;=LEN($E221&amp;"")),--ISERROR(FIND(MID($E221&amp;"",ROW($1:$1),1),"ABCDEFGHIJKLMNOPQRSTUVWXYZabcdefghijklmnopqrstuvwxyz .,")))&gt;0),"Middle Initial must be a plain A-Z letter; ","")&amp;IF($F221="","Address is required; ","")&amp;IF(LEN($F221&amp;"")&gt;75,"Address exceeds 75 characters; ","")&amp;IF(LEN($G221&amp;"")&gt;75,"Address 2 exceeds 75 characters; ","")&amp;IF($H221="","City is required; ","")&amp;IF(LEN($H221&amp;"")&gt;30,"City exceeds 30 characters; ","")&amp;IF($K221="","Country is required; ","")&amp;IF(AND($K221&lt;&gt;"",$K221&lt;&gt;"US",$K221&lt;&gt;"CA"),"Country must be US or CA; ","")&amp;IF(AND($K221="US",OR($I221="",LEN($I221&amp;"")&lt;&gt;2)),"Use a 2-letter state code; ","")&amp;IF($J221="","ZIP or postal code is required; ","")&amp;IF(AND($K221="US",$J221&lt;&gt;"",NOT(IFERROR(OR(AND(LEN($J221&amp;"")=5,ISNUMBER(--($J221&amp;""))),AND(LEN($J221&amp;"")=9,ISNUMBER(--($J221&amp;""))),AND(LEN($J221&amp;"")=10,MID($J221&amp;"",6,1)="-",ISNUMBER(--SUBSTITUTE($J221&amp;"","-","")))),FALSE))),"US ZIP must be 5 or 9 digits, with an optional ZIP+4 hyphen; ","")&amp;IF(AND($N221&lt;&gt;"",NOT(IFERROR(AND(ISNUMBER(SEARCH("@",$N221)),ISNUMBER(SEARCH(".",$N221,SEARCH("@",$N221)+2))),FALSE))),"Email format appears invalid; ","")&amp;IF(AND($O221&lt;&gt;"",$B221=""),"Dependent SSN is required for every dependent; ","")&amp;IF(AND($B221&lt;&gt;"",$O221=""),"Dependent Relationship is required when Dependent SSN is entered; ","")&amp;IF(AND($O221&lt;&gt;"",$O221&lt;&gt;"Spouse or Common Law Spouse",$O221&lt;&gt;"Domestic Partner",$O221&lt;&gt;"Child",$O221&lt;&gt;"Other",$O221&lt;&gt;"Estate",$O221&lt;&gt;"Unknown"),"Dependent Relationship must use one of the approved options; ",""))</f>
        <v/>
      </c>
      <c r="Z221">
        <f>IF(COUNTA($A221:$U221)=0,"",IF(AND($A221&lt;&gt;"",NOT(IFERROR(AND(LEN($A221&amp;"")=9,ISNUMBER(--($A221&amp;""))),FALSE))),"Employee SSN must contain exactly 9 digits; ","")&amp;IF(AND($A221&lt;&gt;"",OR($A221="123456789",$A221="987654321",$A221="012345678",$A221=REPT(LEFT($A221&amp;"",1),9))),"Employee SSN appears to be a placeholder; ","")&amp;IF(AND($B221&lt;&gt;"",NOT(IFERROR(AND(LEN($B221&amp;"")=9,ISNUMBER(--($B221&amp;""))),FALSE))),"Dependent SSN must contain exactly 9 digits; ","")&amp;IF(AND($B221&lt;&gt;"",OR($B221="123456789",$B221="987654321",$B221="012345678",$B221=REPT(LEFT($B221&amp;"",1),9))),"Dependent SSN appears to be a placeholder; ","")&amp;IF(AND($A221&lt;&gt;"",$B221&lt;&gt;"",$A221&amp;""=$B221&amp;""),"Dependent SSN cannot match Employee SSN; ","")&amp;IF(AND($W221&lt;&gt;"",OR(COUNTIFS($W$2:$W$501,$W221,$C$2:$C$501,"&lt;&gt;"&amp;$C221)&gt;0,COUNTIFS($W$2:$W$501,$W221,$D$2:$D$501,"&lt;&gt;"&amp;$D221)&gt;0,COUNTIFS($W$2:$W$501,$W221,$L$2:$L$501,"&lt;&gt;"&amp;$L221)&gt;0)),"The same SSN is associated with a different name or birthdate; ",""))</f>
        <v/>
      </c>
      <c r="AA221">
        <f>IF(COUNTA($A221:$U221)=0,"",IF(AND($A221&lt;&gt;"",$S221&lt;&gt;"",COUNTIFS($A$2:$A$501,$A221,$S$2:$S$501,$S221,$B$2:$B$501,"",$O$2:$O$501,"")=0),"Add an employee row for this household and plan; ","")&amp;IF(AND($X221="Dependent",COUNTIFS($A$2:$A221,$A221,$S$2:$S221,$S221,$B$2:$B221,"",$O$2:$O221,"")=0),"Place the employee row before dependent rows for this plan; ","")&amp;IF(AND($X221="Dependent",COUNTIFS($A$2:$A$501,$A221,$S$2:$S$501,$S221,$B$2:$B$501,"",$O$2:$O$501,"")&gt;0,IFERROR(OR($P221&lt;&gt;LOOKUP(2,1/(($A$2:$A$501=$A221)*($S$2:$S$501=$S221)*($B$2:$B$501="")*($O$2:$O$501="")),$P$2:$P$501),$Q221&lt;&gt;LOOKUP(2,1/(($A$2:$A$501=$A221)*($S$2:$S$501=$S221)*($B$2:$B$501="")*($O$2:$O$501="")),$Q$2:$Q$501),$R221&lt;&gt;LOOKUP(2,1/(($A$2:$A$501=$A221)*($S$2:$S$501=$S221)*($B$2:$B$501="")*($O$2:$O$501="")),$R$2:$R$501),$T221&lt;&gt;LOOKUP(2,1/(($A$2:$A$501=$A221)*($S$2:$S$501=$S221)*($B$2:$B$501="")*($O$2:$O$501="")),$T$2:$T$501),$U221&lt;&gt;LOOKUP(2,1/(($A$2:$A$501=$A221)*($S$2:$S$501=$S221)*($B$2:$B$501="")*($O$2:$O$501="")),$U$2:$U$501)),FALSE)),"Dependent row does not match the employee row for eligibility, status, coverage level, or funding; ",""))</f>
        <v/>
      </c>
      <c r="AB221">
        <f>IF(COUNTA($A221:$U221)=0,"",IF($L221="","Birthdate is required; ","")&amp;IF(AND($L221&lt;&gt;"",OR(NOT(ISNUMBER($L221)),$L221&lt;=DATE(1900,1,1),$L221&gt;TODAY())),"Birthdate must be an exact valid past date; ","")&amp;IF($P221="","Eligibility Date is required; ","")&amp;IF(AND($P221&lt;&gt;"",OR(NOT(ISNUMBER($P221)),$P221&lt;=DATE(1900,1,1))),"Eligibility Date must be a valid date; ","")&amp;IF(AND($R221="Terminated",$Q221=""),"Termination Date is required when Status is Terminated; ","")&amp;IF(AND($Q221&lt;&gt;"",OR(NOT(ISNUMBER($Q221)),$Q221&lt;=DATE(1900,1,1))),"Termination Date must be a valid date; ","")&amp;IF(AND(ISNUMBER($P221),ISNUMBER($Q221),$Q221&lt;$P221),"Termination Date cannot be before Eligibility Date; ","")&amp;IF($R221="","Status is required; ","")&amp;IF(AND($R221&lt;&gt;"",$R221&lt;&gt;"Active",$R221&lt;&gt;"Terminated"),"Status must be Active or Terminated; ","")&amp;IF(AND('START HERE'!$C$8="Terminations Only",$R221&lt;&gt;"Terminated"),"Terminations Only files must contain terminated records; ",""))</f>
        <v/>
      </c>
      <c r="AC221">
        <f>IF(COUNTA($A221:$U221)=0,"",IF($S221="","Plan Name is required; ","")&amp;IF($T221="","Benefit Coverage Level is required; ","")&amp;IF(AND($U221&lt;&gt;"",OR(NOT(ISNUMBER($U221)),$U221&lt;0)),"Plan Funding Amount must be a nonnegative number; ","")&amp;IF(AND($A221&lt;&gt;"",$S221&lt;&gt;"",COUNTIFS($A$2:$A$501,$A221,$B$2:$B$501,$B221,$S$2:$S$501,$S221)&gt;1),"Duplicate participant and plan row; ",""))</f>
        <v/>
      </c>
      <c r="AD221">
        <f>IF(COUNTA($A221:$U221)=0,"",IF(AND($X221="Employee",$M221="",$N221=""),"No employee phone or email provided; ","")&amp;IF(AND($R221="Active",$Q221&lt;&gt;""),"Active record includes a Termination Date; confirm this is intentional; ","")&amp;IF(AND($B221&lt;&gt;"",$B221&amp;""&lt;&gt;$A221&amp;"",COUNTIF($A$2:$A$501,$B221)&gt;0),"Dependent SSN also appears as an Employee SSN elsewhere; confirm dual-employee coverage is intentional; ","")&amp;IF(AND($B221&lt;&gt;"",COUNTIF($B$2:$B$501,$B221)&gt;COUNTIFS($A$2:$A$501,$A221,$B$2:$B$501,$B221)),"Dependent SSN appears under more than one employee; confirm duplicate family coverage is intentional; ","")&amp;IF(AND(ROW()&gt;2,$A221&lt;&gt;"",$A221&lt;&gt;$A220,COUNTIF($A$2:$A220,$A221)&gt;0),"This household appears in more than one section of the census; keep the family together; ","")&amp;IF(OR(AND($C221&lt;&gt;"",LEN($C221&amp;"")&lt;&gt;LEN(TRIM($C221&amp;""))),AND($D221&lt;&gt;"",LEN($D221&amp;"")&lt;&gt;LEN(TRIM($D221&amp;""))),AND($E221&lt;&gt;"",LEN($E221&amp;"")&lt;&gt;LEN(TRIM($E221&amp;""))),AND($F221&lt;&gt;"",LEN($F221&amp;"")&lt;&gt;LEN(TRIM($F221&amp;""))),AND($G221&lt;&gt;"",LEN($G221&amp;"")&lt;&gt;LEN(TRIM($G221&amp;""))),AND($H221&lt;&gt;"",LEN($H221&amp;"")&lt;&gt;LEN(TRIM($H221&amp;""))),AND($I221&lt;&gt;"",LEN($I221&amp;"")&lt;&gt;LEN(TRIM($I221&amp;""))),AND($J221&lt;&gt;"",LEN($J221&amp;"")&lt;&gt;LEN(TRIM($J221&amp;""))),AND($K221&lt;&gt;"",LEN($K221&amp;"")&lt;&gt;LEN(TRIM($K221&amp;""))),AND($M221&lt;&gt;"",LEN($M221&amp;"")&lt;&gt;LEN(TRIM($M221&amp;""))),AND($N221&lt;&gt;"",LEN($N221&amp;"")&lt;&gt;LEN(TRIM($N221&amp;""))),AND($O221&lt;&gt;"",LEN($O221&amp;"")&lt;&gt;LEN(TRIM($O221&amp;""))),AND($R221&lt;&gt;"",LEN($R221&amp;"")&lt;&gt;LEN(TRIM($R221&amp;""))),AND($S221&lt;&gt;"",LEN($S221&amp;"")&lt;&gt;LEN(TRIM($S221&amp;""))),AND($T221&lt;&gt;"",LEN($T221&amp;"")&lt;&gt;LEN(TRIM($T221&amp;"")))),"Remove leading or trailing spaces from text fields; ","")&amp;IF(OR(AND(LEN($C221)&gt;1,OR(EXACT($C221,UPPER($C221)),EXACT($C221,LOWER($C221)))),AND(LEN($D221)&gt;1,OR(EXACT($D221,UPPER($D221)),EXACT($D221,LOWER($D221)))),AND(LEN($H221)&gt;1,OR(EXACT($H221,UPPER($H221)),EXACT($H221,LOWER($H221))))),"Review capitalization in First Name, Last Name, or City; ","")&amp;IF(AND($N221&lt;&gt;"",NOT(EXACT($N221,LOWER($N221)))),"Email will be standardized to lowercase in the clean output; ","")&amp;IF(AND(OR('START HERE'!$C$8="Initial Enrollment",'START HERE'!$C$8="Open Enrollment"),$R221="Terminated"),"A terminated row is included in an initial or open enrollment file; confirm this is intentional; ",""))</f>
        <v/>
      </c>
      <c r="AE221">
        <f>IF(COUNTA($A221:$U221)=0,"",IF(OR($A221="",AND($A221&lt;&gt;"",NOT(IFERROR(AND(LEN($A221&amp;"")=9,ISNUMBER(--($A221&amp;""))),FALSE))),AND($A221&lt;&gt;"",OR($A221="123456789",$A221="987654321",$A221="012345678",$A221=REPT(LEFT($A221&amp;"",1),9)))),"Employee SSN, ","")&amp;IF(OR(AND($O221&lt;&gt;"",$B221=""),AND($B221&lt;&gt;"",OR(NOT(IFERROR(AND(LEN($B221&amp;"")=9,ISNUMBER(--($B221&amp;""))),FALSE)),$B221=$A221,$B221="123456789",$B221="987654321",$B221="012345678",$B221=REPT(LEFT($B221&amp;"",1),9)))),"Dependent SSN, ","")&amp;IF(OR($C221="",LEN($C221)&gt;19,AND($C221&lt;&gt;"",SUMPRODUCT(--(ROW($1:$19)&lt;=LEN($C221&amp;"")),--ISERROR(FIND(MID($C221&amp;"",ROW($1:$19),1),"ABCDEFGHIJKLMNOPQRSTUVWXYZabcdefghijklmnopqrstuvwxyz .,")))&gt;0)),"First Name, ","")&amp;IF(OR($D221="",LEN($D221)&gt;26,AND($D221&lt;&gt;"",SUMPRODUCT(--(ROW($1:$26)&lt;=LEN($D221&amp;"")),--ISERROR(FIND(MID($D221&amp;"",ROW($1:$26),1),"ABCDEFGHIJKLMNOPQRSTUVWXYZabcdefghijklmnopqrstuvwxyz .,")))&gt;0)),"Last Name, ","")&amp;IF(OR(LEN($E221)&gt;1,AND($E221&lt;&gt;"",SUMPRODUCT(--(ROW($1:$1)&lt;=LEN($E221&amp;"")),--ISERROR(FIND(MID($E221&amp;"",ROW($1:$1),1),"ABCDEFGHIJKLMNOPQRSTUVWXYZabcdefghijklmnopqrstuvwxyz .,")))&gt;0)),"Middle Initial, ","")&amp;IF(OR($F221="",LEN($F221)&gt;75),"Address, ","")&amp;IF(OR($H221="",LEN($H221)&gt;30),"City, ","")&amp;IF(AND($K221="US",OR($I221="",LEN($I221)&lt;&gt;2)),"State, ","")&amp;IF($J221="","ZIP, ","")&amp;IF(OR($K221="",AND($K221&lt;&gt;"US",$K221&lt;&gt;"CA")),"Country, ","")&amp;IF(OR($L221="",AND($L221&lt;&gt;"",OR(NOT(ISNUMBER($L221)),$L221&lt;=DATE(1900,1,1),$L221&gt;TODAY()))),"Birthdate, ","")&amp;IF(AND($N221&lt;&gt;"",NOT(IFERROR(AND(ISNUMBER(SEARCH("@",$N221)),ISNUMBER(SEARCH(".",$N221,SEARCH("@",$N221)+2))),FALSE))),"Email, ","")&amp;IF(OR(AND($B221&lt;&gt;"",$O221=""),AND($O221&lt;&gt;"",$O221&lt;&gt;"Spouse or Common Law Spouse",$O221&lt;&gt;"Domestic Partner",$O221&lt;&gt;"Child",$O221&lt;&gt;"Other",$O221&lt;&gt;"Estate",$O221&lt;&gt;"Unknown")),"Dependent Relationship, ","")&amp;IF($AA221&lt;&gt;"","Household, ","")&amp;IF(OR($P221="",AND($P221&lt;&gt;"",OR(NOT(ISNUMBER($P221)),$P221&lt;=DATE(1900,1,1)))),"Eligibility Date, ","")&amp;IF(OR(AND($R221="Terminated",$Q221=""),AND($Q221&lt;&gt;"",OR(NOT(ISNUMBER($Q221)),$Q221&lt;=DATE(1900,1,1))),AND(ISNUMBER($P221),ISNUMBER($Q221),$Q221&lt;$P221)),"Termination Date, ","")&amp;IF(OR($R221="",AND($R221&lt;&gt;"Active",$R221&lt;&gt;"Terminated"),AND('START HERE'!$C$8="Terminations Only",$R221&lt;&gt;"Terminated")),"Status, ","")&amp;IF($S221="","Plan Name, ","")&amp;IF($T221="","Coverage Level, ","")&amp;IF(AND($U221&lt;&gt;"",OR(NOT(ISNUMBER($U221)),$U221&lt;0)),"Funding, ","")&amp;IF(AND($A221&lt;&gt;"",$S221&lt;&gt;"",COUNTIFS($A$2:$A$501,$A221,$B$2:$B$501,$B221,$S$2:$S$501,$S221)&gt;1),"Duplicate Row, ",""))</f>
        <v/>
      </c>
      <c r="AF221">
        <f>IF(COUNTA($A221:$U221)=0,"",$Y221&amp;$Z221&amp;$AA221&amp;$AB221&amp;$AC221)</f>
        <v/>
      </c>
      <c r="AG221">
        <f>IF($N221="","",LOWER(TRIM($N221)))</f>
        <v/>
      </c>
      <c r="AH221">
        <f>IF($A221="","",COUNTIFS($A$2:$A$501,$A221,$AI$2:$AI$501,1))</f>
        <v/>
      </c>
      <c r="AI221">
        <f>IF(COUNTA($A221:$U221)=0,"",--($AF221&lt;&gt;""))</f>
        <v/>
      </c>
      <c r="AJ221">
        <f>IF(COUNTA($A221:$U221)=0,"",--($AD221&lt;&gt;""))</f>
        <v/>
      </c>
    </row>
    <row r="222" ht="20" customHeight="1">
      <c r="A222" s="80" t="n"/>
      <c r="B222" s="80" t="n"/>
      <c r="C222" s="81" t="n"/>
      <c r="D222" s="81" t="n"/>
      <c r="E222" s="80" t="n"/>
      <c r="F222" s="81" t="n"/>
      <c r="G222" s="81" t="n"/>
      <c r="H222" s="81" t="n"/>
      <c r="I222" s="80" t="n"/>
      <c r="J222" s="80" t="n"/>
      <c r="K222" s="80" t="n"/>
      <c r="L222" s="82" t="n"/>
      <c r="M222" s="80" t="n"/>
      <c r="N222" s="80" t="n"/>
      <c r="O222" s="80" t="n"/>
      <c r="P222" s="82" t="n"/>
      <c r="Q222" s="82" t="n"/>
      <c r="R222" s="80" t="n"/>
      <c r="S222" s="80" t="n"/>
      <c r="T222" s="80" t="n"/>
      <c r="U222" s="83" t="n"/>
      <c r="V222">
        <f>IF($A222="","",IF($A222=$A221,$V221,IF($V221="",0,1-$V221)))</f>
        <v/>
      </c>
      <c r="W222">
        <f>IF($B222&lt;&gt;"",$B222,$A222)</f>
        <v/>
      </c>
      <c r="X222">
        <f>IF(COUNTA($A222:$U222)=0,"",IF(OR($B222&lt;&gt;"",$O222&lt;&gt;""),"Dependent","Employee"))</f>
        <v/>
      </c>
      <c r="Y222">
        <f>IF(COUNTA($A222:$U222)=0,"",IF($A222="","Employee SSN is required; ","")&amp;IF($C222="","First Name is required; ","")&amp;IF(LEN($C222&amp;"")&gt;19,"First Name exceeds 19 characters; ","")&amp;IF(AND($C222&lt;&gt;"",SUMPRODUCT(--(ROW($1:$19)&lt;=LEN($C222&amp;"")),--ISERROR(FIND(MID($C222&amp;"",ROW($1:$19),1),"ABCDEFGHIJKLMNOPQRSTUVWXYZabcdefghijklmnopqrstuvwxyz .,")))&gt;0),"First Name contains unsupported or encoded characters; use plain A-Z letters only; ","")&amp;IF($D222="","Last Name is required; ","")&amp;IF(LEN($D222&amp;"")&gt;26,"Last Name exceeds 26 characters; ","")&amp;IF(AND($D222&lt;&gt;"",SUMPRODUCT(--(ROW($1:$26)&lt;=LEN($D222&amp;"")),--ISERROR(FIND(MID($D222&amp;"",ROW($1:$26),1),"ABCDEFGHIJKLMNOPQRSTUVWXYZabcdefghijklmnopqrstuvwxyz .,")))&gt;0),"Last Name contains unsupported or encoded characters; use plain A-Z letters only; ","")&amp;IF(LEN($E222&amp;"")&gt;1,"Middle Initial may contain only one character; ","")&amp;IF(AND($E222&lt;&gt;"",SUMPRODUCT(--(ROW($1:$1)&lt;=LEN($E222&amp;"")),--ISERROR(FIND(MID($E222&amp;"",ROW($1:$1),1),"ABCDEFGHIJKLMNOPQRSTUVWXYZabcdefghijklmnopqrstuvwxyz .,")))&gt;0),"Middle Initial must be a plain A-Z letter; ","")&amp;IF($F222="","Address is required; ","")&amp;IF(LEN($F222&amp;"")&gt;75,"Address exceeds 75 characters; ","")&amp;IF(LEN($G222&amp;"")&gt;75,"Address 2 exceeds 75 characters; ","")&amp;IF($H222="","City is required; ","")&amp;IF(LEN($H222&amp;"")&gt;30,"City exceeds 30 characters; ","")&amp;IF($K222="","Country is required; ","")&amp;IF(AND($K222&lt;&gt;"",$K222&lt;&gt;"US",$K222&lt;&gt;"CA"),"Country must be US or CA; ","")&amp;IF(AND($K222="US",OR($I222="",LEN($I222&amp;"")&lt;&gt;2)),"Use a 2-letter state code; ","")&amp;IF($J222="","ZIP or postal code is required; ","")&amp;IF(AND($K222="US",$J222&lt;&gt;"",NOT(IFERROR(OR(AND(LEN($J222&amp;"")=5,ISNUMBER(--($J222&amp;""))),AND(LEN($J222&amp;"")=9,ISNUMBER(--($J222&amp;""))),AND(LEN($J222&amp;"")=10,MID($J222&amp;"",6,1)="-",ISNUMBER(--SUBSTITUTE($J222&amp;"","-","")))),FALSE))),"US ZIP must be 5 or 9 digits, with an optional ZIP+4 hyphen; ","")&amp;IF(AND($N222&lt;&gt;"",NOT(IFERROR(AND(ISNUMBER(SEARCH("@",$N222)),ISNUMBER(SEARCH(".",$N222,SEARCH("@",$N222)+2))),FALSE))),"Email format appears invalid; ","")&amp;IF(AND($O222&lt;&gt;"",$B222=""),"Dependent SSN is required for every dependent; ","")&amp;IF(AND($B222&lt;&gt;"",$O222=""),"Dependent Relationship is required when Dependent SSN is entered; ","")&amp;IF(AND($O222&lt;&gt;"",$O222&lt;&gt;"Spouse or Common Law Spouse",$O222&lt;&gt;"Domestic Partner",$O222&lt;&gt;"Child",$O222&lt;&gt;"Other",$O222&lt;&gt;"Estate",$O222&lt;&gt;"Unknown"),"Dependent Relationship must use one of the approved options; ",""))</f>
        <v/>
      </c>
      <c r="Z222">
        <f>IF(COUNTA($A222:$U222)=0,"",IF(AND($A222&lt;&gt;"",NOT(IFERROR(AND(LEN($A222&amp;"")=9,ISNUMBER(--($A222&amp;""))),FALSE))),"Employee SSN must contain exactly 9 digits; ","")&amp;IF(AND($A222&lt;&gt;"",OR($A222="123456789",$A222="987654321",$A222="012345678",$A222=REPT(LEFT($A222&amp;"",1),9))),"Employee SSN appears to be a placeholder; ","")&amp;IF(AND($B222&lt;&gt;"",NOT(IFERROR(AND(LEN($B222&amp;"")=9,ISNUMBER(--($B222&amp;""))),FALSE))),"Dependent SSN must contain exactly 9 digits; ","")&amp;IF(AND($B222&lt;&gt;"",OR($B222="123456789",$B222="987654321",$B222="012345678",$B222=REPT(LEFT($B222&amp;"",1),9))),"Dependent SSN appears to be a placeholder; ","")&amp;IF(AND($A222&lt;&gt;"",$B222&lt;&gt;"",$A222&amp;""=$B222&amp;""),"Dependent SSN cannot match Employee SSN; ","")&amp;IF(AND($W222&lt;&gt;"",OR(COUNTIFS($W$2:$W$501,$W222,$C$2:$C$501,"&lt;&gt;"&amp;$C222)&gt;0,COUNTIFS($W$2:$W$501,$W222,$D$2:$D$501,"&lt;&gt;"&amp;$D222)&gt;0,COUNTIFS($W$2:$W$501,$W222,$L$2:$L$501,"&lt;&gt;"&amp;$L222)&gt;0)),"The same SSN is associated with a different name or birthdate; ",""))</f>
        <v/>
      </c>
      <c r="AA222">
        <f>IF(COUNTA($A222:$U222)=0,"",IF(AND($A222&lt;&gt;"",$S222&lt;&gt;"",COUNTIFS($A$2:$A$501,$A222,$S$2:$S$501,$S222,$B$2:$B$501,"",$O$2:$O$501,"")=0),"Add an employee row for this household and plan; ","")&amp;IF(AND($X222="Dependent",COUNTIFS($A$2:$A222,$A222,$S$2:$S222,$S222,$B$2:$B222,"",$O$2:$O222,"")=0),"Place the employee row before dependent rows for this plan; ","")&amp;IF(AND($X222="Dependent",COUNTIFS($A$2:$A$501,$A222,$S$2:$S$501,$S222,$B$2:$B$501,"",$O$2:$O$501,"")&gt;0,IFERROR(OR($P222&lt;&gt;LOOKUP(2,1/(($A$2:$A$501=$A222)*($S$2:$S$501=$S222)*($B$2:$B$501="")*($O$2:$O$501="")),$P$2:$P$501),$Q222&lt;&gt;LOOKUP(2,1/(($A$2:$A$501=$A222)*($S$2:$S$501=$S222)*($B$2:$B$501="")*($O$2:$O$501="")),$Q$2:$Q$501),$R222&lt;&gt;LOOKUP(2,1/(($A$2:$A$501=$A222)*($S$2:$S$501=$S222)*($B$2:$B$501="")*($O$2:$O$501="")),$R$2:$R$501),$T222&lt;&gt;LOOKUP(2,1/(($A$2:$A$501=$A222)*($S$2:$S$501=$S222)*($B$2:$B$501="")*($O$2:$O$501="")),$T$2:$T$501),$U222&lt;&gt;LOOKUP(2,1/(($A$2:$A$501=$A222)*($S$2:$S$501=$S222)*($B$2:$B$501="")*($O$2:$O$501="")),$U$2:$U$501)),FALSE)),"Dependent row does not match the employee row for eligibility, status, coverage level, or funding; ",""))</f>
        <v/>
      </c>
      <c r="AB222">
        <f>IF(COUNTA($A222:$U222)=0,"",IF($L222="","Birthdate is required; ","")&amp;IF(AND($L222&lt;&gt;"",OR(NOT(ISNUMBER($L222)),$L222&lt;=DATE(1900,1,1),$L222&gt;TODAY())),"Birthdate must be an exact valid past date; ","")&amp;IF($P222="","Eligibility Date is required; ","")&amp;IF(AND($P222&lt;&gt;"",OR(NOT(ISNUMBER($P222)),$P222&lt;=DATE(1900,1,1))),"Eligibility Date must be a valid date; ","")&amp;IF(AND($R222="Terminated",$Q222=""),"Termination Date is required when Status is Terminated; ","")&amp;IF(AND($Q222&lt;&gt;"",OR(NOT(ISNUMBER($Q222)),$Q222&lt;=DATE(1900,1,1))),"Termination Date must be a valid date; ","")&amp;IF(AND(ISNUMBER($P222),ISNUMBER($Q222),$Q222&lt;$P222),"Termination Date cannot be before Eligibility Date; ","")&amp;IF($R222="","Status is required; ","")&amp;IF(AND($R222&lt;&gt;"",$R222&lt;&gt;"Active",$R222&lt;&gt;"Terminated"),"Status must be Active or Terminated; ","")&amp;IF(AND('START HERE'!$C$8="Terminations Only",$R222&lt;&gt;"Terminated"),"Terminations Only files must contain terminated records; ",""))</f>
        <v/>
      </c>
      <c r="AC222">
        <f>IF(COUNTA($A222:$U222)=0,"",IF($S222="","Plan Name is required; ","")&amp;IF($T222="","Benefit Coverage Level is required; ","")&amp;IF(AND($U222&lt;&gt;"",OR(NOT(ISNUMBER($U222)),$U222&lt;0)),"Plan Funding Amount must be a nonnegative number; ","")&amp;IF(AND($A222&lt;&gt;"",$S222&lt;&gt;"",COUNTIFS($A$2:$A$501,$A222,$B$2:$B$501,$B222,$S$2:$S$501,$S222)&gt;1),"Duplicate participant and plan row; ",""))</f>
        <v/>
      </c>
      <c r="AD222">
        <f>IF(COUNTA($A222:$U222)=0,"",IF(AND($X222="Employee",$M222="",$N222=""),"No employee phone or email provided; ","")&amp;IF(AND($R222="Active",$Q222&lt;&gt;""),"Active record includes a Termination Date; confirm this is intentional; ","")&amp;IF(AND($B222&lt;&gt;"",$B222&amp;""&lt;&gt;$A222&amp;"",COUNTIF($A$2:$A$501,$B222)&gt;0),"Dependent SSN also appears as an Employee SSN elsewhere; confirm dual-employee coverage is intentional; ","")&amp;IF(AND($B222&lt;&gt;"",COUNTIF($B$2:$B$501,$B222)&gt;COUNTIFS($A$2:$A$501,$A222,$B$2:$B$501,$B222)),"Dependent SSN appears under more than one employee; confirm duplicate family coverage is intentional; ","")&amp;IF(AND(ROW()&gt;2,$A222&lt;&gt;"",$A222&lt;&gt;$A221,COUNTIF($A$2:$A221,$A222)&gt;0),"This household appears in more than one section of the census; keep the family together; ","")&amp;IF(OR(AND($C222&lt;&gt;"",LEN($C222&amp;"")&lt;&gt;LEN(TRIM($C222&amp;""))),AND($D222&lt;&gt;"",LEN($D222&amp;"")&lt;&gt;LEN(TRIM($D222&amp;""))),AND($E222&lt;&gt;"",LEN($E222&amp;"")&lt;&gt;LEN(TRIM($E222&amp;""))),AND($F222&lt;&gt;"",LEN($F222&amp;"")&lt;&gt;LEN(TRIM($F222&amp;""))),AND($G222&lt;&gt;"",LEN($G222&amp;"")&lt;&gt;LEN(TRIM($G222&amp;""))),AND($H222&lt;&gt;"",LEN($H222&amp;"")&lt;&gt;LEN(TRIM($H222&amp;""))),AND($I222&lt;&gt;"",LEN($I222&amp;"")&lt;&gt;LEN(TRIM($I222&amp;""))),AND($J222&lt;&gt;"",LEN($J222&amp;"")&lt;&gt;LEN(TRIM($J222&amp;""))),AND($K222&lt;&gt;"",LEN($K222&amp;"")&lt;&gt;LEN(TRIM($K222&amp;""))),AND($M222&lt;&gt;"",LEN($M222&amp;"")&lt;&gt;LEN(TRIM($M222&amp;""))),AND($N222&lt;&gt;"",LEN($N222&amp;"")&lt;&gt;LEN(TRIM($N222&amp;""))),AND($O222&lt;&gt;"",LEN($O222&amp;"")&lt;&gt;LEN(TRIM($O222&amp;""))),AND($R222&lt;&gt;"",LEN($R222&amp;"")&lt;&gt;LEN(TRIM($R222&amp;""))),AND($S222&lt;&gt;"",LEN($S222&amp;"")&lt;&gt;LEN(TRIM($S222&amp;""))),AND($T222&lt;&gt;"",LEN($T222&amp;"")&lt;&gt;LEN(TRIM($T222&amp;"")))),"Remove leading or trailing spaces from text fields; ","")&amp;IF(OR(AND(LEN($C222)&gt;1,OR(EXACT($C222,UPPER($C222)),EXACT($C222,LOWER($C222)))),AND(LEN($D222)&gt;1,OR(EXACT($D222,UPPER($D222)),EXACT($D222,LOWER($D222)))),AND(LEN($H222)&gt;1,OR(EXACT($H222,UPPER($H222)),EXACT($H222,LOWER($H222))))),"Review capitalization in First Name, Last Name, or City; ","")&amp;IF(AND($N222&lt;&gt;"",NOT(EXACT($N222,LOWER($N222)))),"Email will be standardized to lowercase in the clean output; ","")&amp;IF(AND(OR('START HERE'!$C$8="Initial Enrollment",'START HERE'!$C$8="Open Enrollment"),$R222="Terminated"),"A terminated row is included in an initial or open enrollment file; confirm this is intentional; ",""))</f>
        <v/>
      </c>
      <c r="AE222">
        <f>IF(COUNTA($A222:$U222)=0,"",IF(OR($A222="",AND($A222&lt;&gt;"",NOT(IFERROR(AND(LEN($A222&amp;"")=9,ISNUMBER(--($A222&amp;""))),FALSE))),AND($A222&lt;&gt;"",OR($A222="123456789",$A222="987654321",$A222="012345678",$A222=REPT(LEFT($A222&amp;"",1),9)))),"Employee SSN, ","")&amp;IF(OR(AND($O222&lt;&gt;"",$B222=""),AND($B222&lt;&gt;"",OR(NOT(IFERROR(AND(LEN($B222&amp;"")=9,ISNUMBER(--($B222&amp;""))),FALSE)),$B222=$A222,$B222="123456789",$B222="987654321",$B222="012345678",$B222=REPT(LEFT($B222&amp;"",1),9)))),"Dependent SSN, ","")&amp;IF(OR($C222="",LEN($C222)&gt;19,AND($C222&lt;&gt;"",SUMPRODUCT(--(ROW($1:$19)&lt;=LEN($C222&amp;"")),--ISERROR(FIND(MID($C222&amp;"",ROW($1:$19),1),"ABCDEFGHIJKLMNOPQRSTUVWXYZabcdefghijklmnopqrstuvwxyz .,")))&gt;0)),"First Name, ","")&amp;IF(OR($D222="",LEN($D222)&gt;26,AND($D222&lt;&gt;"",SUMPRODUCT(--(ROW($1:$26)&lt;=LEN($D222&amp;"")),--ISERROR(FIND(MID($D222&amp;"",ROW($1:$26),1),"ABCDEFGHIJKLMNOPQRSTUVWXYZabcdefghijklmnopqrstuvwxyz .,")))&gt;0)),"Last Name, ","")&amp;IF(OR(LEN($E222)&gt;1,AND($E222&lt;&gt;"",SUMPRODUCT(--(ROW($1:$1)&lt;=LEN($E222&amp;"")),--ISERROR(FIND(MID($E222&amp;"",ROW($1:$1),1),"ABCDEFGHIJKLMNOPQRSTUVWXYZabcdefghijklmnopqrstuvwxyz .,")))&gt;0)),"Middle Initial, ","")&amp;IF(OR($F222="",LEN($F222)&gt;75),"Address, ","")&amp;IF(OR($H222="",LEN($H222)&gt;30),"City, ","")&amp;IF(AND($K222="US",OR($I222="",LEN($I222)&lt;&gt;2)),"State, ","")&amp;IF($J222="","ZIP, ","")&amp;IF(OR($K222="",AND($K222&lt;&gt;"US",$K222&lt;&gt;"CA")),"Country, ","")&amp;IF(OR($L222="",AND($L222&lt;&gt;"",OR(NOT(ISNUMBER($L222)),$L222&lt;=DATE(1900,1,1),$L222&gt;TODAY()))),"Birthdate, ","")&amp;IF(AND($N222&lt;&gt;"",NOT(IFERROR(AND(ISNUMBER(SEARCH("@",$N222)),ISNUMBER(SEARCH(".",$N222,SEARCH("@",$N222)+2))),FALSE))),"Email, ","")&amp;IF(OR(AND($B222&lt;&gt;"",$O222=""),AND($O222&lt;&gt;"",$O222&lt;&gt;"Spouse or Common Law Spouse",$O222&lt;&gt;"Domestic Partner",$O222&lt;&gt;"Child",$O222&lt;&gt;"Other",$O222&lt;&gt;"Estate",$O222&lt;&gt;"Unknown")),"Dependent Relationship, ","")&amp;IF($AA222&lt;&gt;"","Household, ","")&amp;IF(OR($P222="",AND($P222&lt;&gt;"",OR(NOT(ISNUMBER($P222)),$P222&lt;=DATE(1900,1,1)))),"Eligibility Date, ","")&amp;IF(OR(AND($R222="Terminated",$Q222=""),AND($Q222&lt;&gt;"",OR(NOT(ISNUMBER($Q222)),$Q222&lt;=DATE(1900,1,1))),AND(ISNUMBER($P222),ISNUMBER($Q222),$Q222&lt;$P222)),"Termination Date, ","")&amp;IF(OR($R222="",AND($R222&lt;&gt;"Active",$R222&lt;&gt;"Terminated"),AND('START HERE'!$C$8="Terminations Only",$R222&lt;&gt;"Terminated")),"Status, ","")&amp;IF($S222="","Plan Name, ","")&amp;IF($T222="","Coverage Level, ","")&amp;IF(AND($U222&lt;&gt;"",OR(NOT(ISNUMBER($U222)),$U222&lt;0)),"Funding, ","")&amp;IF(AND($A222&lt;&gt;"",$S222&lt;&gt;"",COUNTIFS($A$2:$A$501,$A222,$B$2:$B$501,$B222,$S$2:$S$501,$S222)&gt;1),"Duplicate Row, ",""))</f>
        <v/>
      </c>
      <c r="AF222">
        <f>IF(COUNTA($A222:$U222)=0,"",$Y222&amp;$Z222&amp;$AA222&amp;$AB222&amp;$AC222)</f>
        <v/>
      </c>
      <c r="AG222">
        <f>IF($N222="","",LOWER(TRIM($N222)))</f>
        <v/>
      </c>
      <c r="AH222">
        <f>IF($A222="","",COUNTIFS($A$2:$A$501,$A222,$AI$2:$AI$501,1))</f>
        <v/>
      </c>
      <c r="AI222">
        <f>IF(COUNTA($A222:$U222)=0,"",--($AF222&lt;&gt;""))</f>
        <v/>
      </c>
      <c r="AJ222">
        <f>IF(COUNTA($A222:$U222)=0,"",--($AD222&lt;&gt;""))</f>
        <v/>
      </c>
    </row>
    <row r="223" ht="20" customHeight="1">
      <c r="A223" s="80" t="n"/>
      <c r="B223" s="80" t="n"/>
      <c r="C223" s="81" t="n"/>
      <c r="D223" s="81" t="n"/>
      <c r="E223" s="80" t="n"/>
      <c r="F223" s="81" t="n"/>
      <c r="G223" s="81" t="n"/>
      <c r="H223" s="81" t="n"/>
      <c r="I223" s="80" t="n"/>
      <c r="J223" s="80" t="n"/>
      <c r="K223" s="80" t="n"/>
      <c r="L223" s="82" t="n"/>
      <c r="M223" s="80" t="n"/>
      <c r="N223" s="80" t="n"/>
      <c r="O223" s="80" t="n"/>
      <c r="P223" s="82" t="n"/>
      <c r="Q223" s="82" t="n"/>
      <c r="R223" s="80" t="n"/>
      <c r="S223" s="80" t="n"/>
      <c r="T223" s="80" t="n"/>
      <c r="U223" s="83" t="n"/>
      <c r="V223">
        <f>IF($A223="","",IF($A223=$A222,$V222,IF($V222="",0,1-$V222)))</f>
        <v/>
      </c>
      <c r="W223">
        <f>IF($B223&lt;&gt;"",$B223,$A223)</f>
        <v/>
      </c>
      <c r="X223">
        <f>IF(COUNTA($A223:$U223)=0,"",IF(OR($B223&lt;&gt;"",$O223&lt;&gt;""),"Dependent","Employee"))</f>
        <v/>
      </c>
      <c r="Y223">
        <f>IF(COUNTA($A223:$U223)=0,"",IF($A223="","Employee SSN is required; ","")&amp;IF($C223="","First Name is required; ","")&amp;IF(LEN($C223&amp;"")&gt;19,"First Name exceeds 19 characters; ","")&amp;IF(AND($C223&lt;&gt;"",SUMPRODUCT(--(ROW($1:$19)&lt;=LEN($C223&amp;"")),--ISERROR(FIND(MID($C223&amp;"",ROW($1:$19),1),"ABCDEFGHIJKLMNOPQRSTUVWXYZabcdefghijklmnopqrstuvwxyz .,")))&gt;0),"First Name contains unsupported or encoded characters; use plain A-Z letters only; ","")&amp;IF($D223="","Last Name is required; ","")&amp;IF(LEN($D223&amp;"")&gt;26,"Last Name exceeds 26 characters; ","")&amp;IF(AND($D223&lt;&gt;"",SUMPRODUCT(--(ROW($1:$26)&lt;=LEN($D223&amp;"")),--ISERROR(FIND(MID($D223&amp;"",ROW($1:$26),1),"ABCDEFGHIJKLMNOPQRSTUVWXYZabcdefghijklmnopqrstuvwxyz .,")))&gt;0),"Last Name contains unsupported or encoded characters; use plain A-Z letters only; ","")&amp;IF(LEN($E223&amp;"")&gt;1,"Middle Initial may contain only one character; ","")&amp;IF(AND($E223&lt;&gt;"",SUMPRODUCT(--(ROW($1:$1)&lt;=LEN($E223&amp;"")),--ISERROR(FIND(MID($E223&amp;"",ROW($1:$1),1),"ABCDEFGHIJKLMNOPQRSTUVWXYZabcdefghijklmnopqrstuvwxyz .,")))&gt;0),"Middle Initial must be a plain A-Z letter; ","")&amp;IF($F223="","Address is required; ","")&amp;IF(LEN($F223&amp;"")&gt;75,"Address exceeds 75 characters; ","")&amp;IF(LEN($G223&amp;"")&gt;75,"Address 2 exceeds 75 characters; ","")&amp;IF($H223="","City is required; ","")&amp;IF(LEN($H223&amp;"")&gt;30,"City exceeds 30 characters; ","")&amp;IF($K223="","Country is required; ","")&amp;IF(AND($K223&lt;&gt;"",$K223&lt;&gt;"US",$K223&lt;&gt;"CA"),"Country must be US or CA; ","")&amp;IF(AND($K223="US",OR($I223="",LEN($I223&amp;"")&lt;&gt;2)),"Use a 2-letter state code; ","")&amp;IF($J223="","ZIP or postal code is required; ","")&amp;IF(AND($K223="US",$J223&lt;&gt;"",NOT(IFERROR(OR(AND(LEN($J223&amp;"")=5,ISNUMBER(--($J223&amp;""))),AND(LEN($J223&amp;"")=9,ISNUMBER(--($J223&amp;""))),AND(LEN($J223&amp;"")=10,MID($J223&amp;"",6,1)="-",ISNUMBER(--SUBSTITUTE($J223&amp;"","-","")))),FALSE))),"US ZIP must be 5 or 9 digits, with an optional ZIP+4 hyphen; ","")&amp;IF(AND($N223&lt;&gt;"",NOT(IFERROR(AND(ISNUMBER(SEARCH("@",$N223)),ISNUMBER(SEARCH(".",$N223,SEARCH("@",$N223)+2))),FALSE))),"Email format appears invalid; ","")&amp;IF(AND($O223&lt;&gt;"",$B223=""),"Dependent SSN is required for every dependent; ","")&amp;IF(AND($B223&lt;&gt;"",$O223=""),"Dependent Relationship is required when Dependent SSN is entered; ","")&amp;IF(AND($O223&lt;&gt;"",$O223&lt;&gt;"Spouse or Common Law Spouse",$O223&lt;&gt;"Domestic Partner",$O223&lt;&gt;"Child",$O223&lt;&gt;"Other",$O223&lt;&gt;"Estate",$O223&lt;&gt;"Unknown"),"Dependent Relationship must use one of the approved options; ",""))</f>
        <v/>
      </c>
      <c r="Z223">
        <f>IF(COUNTA($A223:$U223)=0,"",IF(AND($A223&lt;&gt;"",NOT(IFERROR(AND(LEN($A223&amp;"")=9,ISNUMBER(--($A223&amp;""))),FALSE))),"Employee SSN must contain exactly 9 digits; ","")&amp;IF(AND($A223&lt;&gt;"",OR($A223="123456789",$A223="987654321",$A223="012345678",$A223=REPT(LEFT($A223&amp;"",1),9))),"Employee SSN appears to be a placeholder; ","")&amp;IF(AND($B223&lt;&gt;"",NOT(IFERROR(AND(LEN($B223&amp;"")=9,ISNUMBER(--($B223&amp;""))),FALSE))),"Dependent SSN must contain exactly 9 digits; ","")&amp;IF(AND($B223&lt;&gt;"",OR($B223="123456789",$B223="987654321",$B223="012345678",$B223=REPT(LEFT($B223&amp;"",1),9))),"Dependent SSN appears to be a placeholder; ","")&amp;IF(AND($A223&lt;&gt;"",$B223&lt;&gt;"",$A223&amp;""=$B223&amp;""),"Dependent SSN cannot match Employee SSN; ","")&amp;IF(AND($W223&lt;&gt;"",OR(COUNTIFS($W$2:$W$501,$W223,$C$2:$C$501,"&lt;&gt;"&amp;$C223)&gt;0,COUNTIFS($W$2:$W$501,$W223,$D$2:$D$501,"&lt;&gt;"&amp;$D223)&gt;0,COUNTIFS($W$2:$W$501,$W223,$L$2:$L$501,"&lt;&gt;"&amp;$L223)&gt;0)),"The same SSN is associated with a different name or birthdate; ",""))</f>
        <v/>
      </c>
      <c r="AA223">
        <f>IF(COUNTA($A223:$U223)=0,"",IF(AND($A223&lt;&gt;"",$S223&lt;&gt;"",COUNTIFS($A$2:$A$501,$A223,$S$2:$S$501,$S223,$B$2:$B$501,"",$O$2:$O$501,"")=0),"Add an employee row for this household and plan; ","")&amp;IF(AND($X223="Dependent",COUNTIFS($A$2:$A223,$A223,$S$2:$S223,$S223,$B$2:$B223,"",$O$2:$O223,"")=0),"Place the employee row before dependent rows for this plan; ","")&amp;IF(AND($X223="Dependent",COUNTIFS($A$2:$A$501,$A223,$S$2:$S$501,$S223,$B$2:$B$501,"",$O$2:$O$501,"")&gt;0,IFERROR(OR($P223&lt;&gt;LOOKUP(2,1/(($A$2:$A$501=$A223)*($S$2:$S$501=$S223)*($B$2:$B$501="")*($O$2:$O$501="")),$P$2:$P$501),$Q223&lt;&gt;LOOKUP(2,1/(($A$2:$A$501=$A223)*($S$2:$S$501=$S223)*($B$2:$B$501="")*($O$2:$O$501="")),$Q$2:$Q$501),$R223&lt;&gt;LOOKUP(2,1/(($A$2:$A$501=$A223)*($S$2:$S$501=$S223)*($B$2:$B$501="")*($O$2:$O$501="")),$R$2:$R$501),$T223&lt;&gt;LOOKUP(2,1/(($A$2:$A$501=$A223)*($S$2:$S$501=$S223)*($B$2:$B$501="")*($O$2:$O$501="")),$T$2:$T$501),$U223&lt;&gt;LOOKUP(2,1/(($A$2:$A$501=$A223)*($S$2:$S$501=$S223)*($B$2:$B$501="")*($O$2:$O$501="")),$U$2:$U$501)),FALSE)),"Dependent row does not match the employee row for eligibility, status, coverage level, or funding; ",""))</f>
        <v/>
      </c>
      <c r="AB223">
        <f>IF(COUNTA($A223:$U223)=0,"",IF($L223="","Birthdate is required; ","")&amp;IF(AND($L223&lt;&gt;"",OR(NOT(ISNUMBER($L223)),$L223&lt;=DATE(1900,1,1),$L223&gt;TODAY())),"Birthdate must be an exact valid past date; ","")&amp;IF($P223="","Eligibility Date is required; ","")&amp;IF(AND($P223&lt;&gt;"",OR(NOT(ISNUMBER($P223)),$P223&lt;=DATE(1900,1,1))),"Eligibility Date must be a valid date; ","")&amp;IF(AND($R223="Terminated",$Q223=""),"Termination Date is required when Status is Terminated; ","")&amp;IF(AND($Q223&lt;&gt;"",OR(NOT(ISNUMBER($Q223)),$Q223&lt;=DATE(1900,1,1))),"Termination Date must be a valid date; ","")&amp;IF(AND(ISNUMBER($P223),ISNUMBER($Q223),$Q223&lt;$P223),"Termination Date cannot be before Eligibility Date; ","")&amp;IF($R223="","Status is required; ","")&amp;IF(AND($R223&lt;&gt;"",$R223&lt;&gt;"Active",$R223&lt;&gt;"Terminated"),"Status must be Active or Terminated; ","")&amp;IF(AND('START HERE'!$C$8="Terminations Only",$R223&lt;&gt;"Terminated"),"Terminations Only files must contain terminated records; ",""))</f>
        <v/>
      </c>
      <c r="AC223">
        <f>IF(COUNTA($A223:$U223)=0,"",IF($S223="","Plan Name is required; ","")&amp;IF($T223="","Benefit Coverage Level is required; ","")&amp;IF(AND($U223&lt;&gt;"",OR(NOT(ISNUMBER($U223)),$U223&lt;0)),"Plan Funding Amount must be a nonnegative number; ","")&amp;IF(AND($A223&lt;&gt;"",$S223&lt;&gt;"",COUNTIFS($A$2:$A$501,$A223,$B$2:$B$501,$B223,$S$2:$S$501,$S223)&gt;1),"Duplicate participant and plan row; ",""))</f>
        <v/>
      </c>
      <c r="AD223">
        <f>IF(COUNTA($A223:$U223)=0,"",IF(AND($X223="Employee",$M223="",$N223=""),"No employee phone or email provided; ","")&amp;IF(AND($R223="Active",$Q223&lt;&gt;""),"Active record includes a Termination Date; confirm this is intentional; ","")&amp;IF(AND($B223&lt;&gt;"",$B223&amp;""&lt;&gt;$A223&amp;"",COUNTIF($A$2:$A$501,$B223)&gt;0),"Dependent SSN also appears as an Employee SSN elsewhere; confirm dual-employee coverage is intentional; ","")&amp;IF(AND($B223&lt;&gt;"",COUNTIF($B$2:$B$501,$B223)&gt;COUNTIFS($A$2:$A$501,$A223,$B$2:$B$501,$B223)),"Dependent SSN appears under more than one employee; confirm duplicate family coverage is intentional; ","")&amp;IF(AND(ROW()&gt;2,$A223&lt;&gt;"",$A223&lt;&gt;$A222,COUNTIF($A$2:$A222,$A223)&gt;0),"This household appears in more than one section of the census; keep the family together; ","")&amp;IF(OR(AND($C223&lt;&gt;"",LEN($C223&amp;"")&lt;&gt;LEN(TRIM($C223&amp;""))),AND($D223&lt;&gt;"",LEN($D223&amp;"")&lt;&gt;LEN(TRIM($D223&amp;""))),AND($E223&lt;&gt;"",LEN($E223&amp;"")&lt;&gt;LEN(TRIM($E223&amp;""))),AND($F223&lt;&gt;"",LEN($F223&amp;"")&lt;&gt;LEN(TRIM($F223&amp;""))),AND($G223&lt;&gt;"",LEN($G223&amp;"")&lt;&gt;LEN(TRIM($G223&amp;""))),AND($H223&lt;&gt;"",LEN($H223&amp;"")&lt;&gt;LEN(TRIM($H223&amp;""))),AND($I223&lt;&gt;"",LEN($I223&amp;"")&lt;&gt;LEN(TRIM($I223&amp;""))),AND($J223&lt;&gt;"",LEN($J223&amp;"")&lt;&gt;LEN(TRIM($J223&amp;""))),AND($K223&lt;&gt;"",LEN($K223&amp;"")&lt;&gt;LEN(TRIM($K223&amp;""))),AND($M223&lt;&gt;"",LEN($M223&amp;"")&lt;&gt;LEN(TRIM($M223&amp;""))),AND($N223&lt;&gt;"",LEN($N223&amp;"")&lt;&gt;LEN(TRIM($N223&amp;""))),AND($O223&lt;&gt;"",LEN($O223&amp;"")&lt;&gt;LEN(TRIM($O223&amp;""))),AND($R223&lt;&gt;"",LEN($R223&amp;"")&lt;&gt;LEN(TRIM($R223&amp;""))),AND($S223&lt;&gt;"",LEN($S223&amp;"")&lt;&gt;LEN(TRIM($S223&amp;""))),AND($T223&lt;&gt;"",LEN($T223&amp;"")&lt;&gt;LEN(TRIM($T223&amp;"")))),"Remove leading or trailing spaces from text fields; ","")&amp;IF(OR(AND(LEN($C223)&gt;1,OR(EXACT($C223,UPPER($C223)),EXACT($C223,LOWER($C223)))),AND(LEN($D223)&gt;1,OR(EXACT($D223,UPPER($D223)),EXACT($D223,LOWER($D223)))),AND(LEN($H223)&gt;1,OR(EXACT($H223,UPPER($H223)),EXACT($H223,LOWER($H223))))),"Review capitalization in First Name, Last Name, or City; ","")&amp;IF(AND($N223&lt;&gt;"",NOT(EXACT($N223,LOWER($N223)))),"Email will be standardized to lowercase in the clean output; ","")&amp;IF(AND(OR('START HERE'!$C$8="Initial Enrollment",'START HERE'!$C$8="Open Enrollment"),$R223="Terminated"),"A terminated row is included in an initial or open enrollment file; confirm this is intentional; ",""))</f>
        <v/>
      </c>
      <c r="AE223">
        <f>IF(COUNTA($A223:$U223)=0,"",IF(OR($A223="",AND($A223&lt;&gt;"",NOT(IFERROR(AND(LEN($A223&amp;"")=9,ISNUMBER(--($A223&amp;""))),FALSE))),AND($A223&lt;&gt;"",OR($A223="123456789",$A223="987654321",$A223="012345678",$A223=REPT(LEFT($A223&amp;"",1),9)))),"Employee SSN, ","")&amp;IF(OR(AND($O223&lt;&gt;"",$B223=""),AND($B223&lt;&gt;"",OR(NOT(IFERROR(AND(LEN($B223&amp;"")=9,ISNUMBER(--($B223&amp;""))),FALSE)),$B223=$A223,$B223="123456789",$B223="987654321",$B223="012345678",$B223=REPT(LEFT($B223&amp;"",1),9)))),"Dependent SSN, ","")&amp;IF(OR($C223="",LEN($C223)&gt;19,AND($C223&lt;&gt;"",SUMPRODUCT(--(ROW($1:$19)&lt;=LEN($C223&amp;"")),--ISERROR(FIND(MID($C223&amp;"",ROW($1:$19),1),"ABCDEFGHIJKLMNOPQRSTUVWXYZabcdefghijklmnopqrstuvwxyz .,")))&gt;0)),"First Name, ","")&amp;IF(OR($D223="",LEN($D223)&gt;26,AND($D223&lt;&gt;"",SUMPRODUCT(--(ROW($1:$26)&lt;=LEN($D223&amp;"")),--ISERROR(FIND(MID($D223&amp;"",ROW($1:$26),1),"ABCDEFGHIJKLMNOPQRSTUVWXYZabcdefghijklmnopqrstuvwxyz .,")))&gt;0)),"Last Name, ","")&amp;IF(OR(LEN($E223)&gt;1,AND($E223&lt;&gt;"",SUMPRODUCT(--(ROW($1:$1)&lt;=LEN($E223&amp;"")),--ISERROR(FIND(MID($E223&amp;"",ROW($1:$1),1),"ABCDEFGHIJKLMNOPQRSTUVWXYZabcdefghijklmnopqrstuvwxyz .,")))&gt;0)),"Middle Initial, ","")&amp;IF(OR($F223="",LEN($F223)&gt;75),"Address, ","")&amp;IF(OR($H223="",LEN($H223)&gt;30),"City, ","")&amp;IF(AND($K223="US",OR($I223="",LEN($I223)&lt;&gt;2)),"State, ","")&amp;IF($J223="","ZIP, ","")&amp;IF(OR($K223="",AND($K223&lt;&gt;"US",$K223&lt;&gt;"CA")),"Country, ","")&amp;IF(OR($L223="",AND($L223&lt;&gt;"",OR(NOT(ISNUMBER($L223)),$L223&lt;=DATE(1900,1,1),$L223&gt;TODAY()))),"Birthdate, ","")&amp;IF(AND($N223&lt;&gt;"",NOT(IFERROR(AND(ISNUMBER(SEARCH("@",$N223)),ISNUMBER(SEARCH(".",$N223,SEARCH("@",$N223)+2))),FALSE))),"Email, ","")&amp;IF(OR(AND($B223&lt;&gt;"",$O223=""),AND($O223&lt;&gt;"",$O223&lt;&gt;"Spouse or Common Law Spouse",$O223&lt;&gt;"Domestic Partner",$O223&lt;&gt;"Child",$O223&lt;&gt;"Other",$O223&lt;&gt;"Estate",$O223&lt;&gt;"Unknown")),"Dependent Relationship, ","")&amp;IF($AA223&lt;&gt;"","Household, ","")&amp;IF(OR($P223="",AND($P223&lt;&gt;"",OR(NOT(ISNUMBER($P223)),$P223&lt;=DATE(1900,1,1)))),"Eligibility Date, ","")&amp;IF(OR(AND($R223="Terminated",$Q223=""),AND($Q223&lt;&gt;"",OR(NOT(ISNUMBER($Q223)),$Q223&lt;=DATE(1900,1,1))),AND(ISNUMBER($P223),ISNUMBER($Q223),$Q223&lt;$P223)),"Termination Date, ","")&amp;IF(OR($R223="",AND($R223&lt;&gt;"Active",$R223&lt;&gt;"Terminated"),AND('START HERE'!$C$8="Terminations Only",$R223&lt;&gt;"Terminated")),"Status, ","")&amp;IF($S223="","Plan Name, ","")&amp;IF($T223="","Coverage Level, ","")&amp;IF(AND($U223&lt;&gt;"",OR(NOT(ISNUMBER($U223)),$U223&lt;0)),"Funding, ","")&amp;IF(AND($A223&lt;&gt;"",$S223&lt;&gt;"",COUNTIFS($A$2:$A$501,$A223,$B$2:$B$501,$B223,$S$2:$S$501,$S223)&gt;1),"Duplicate Row, ",""))</f>
        <v/>
      </c>
      <c r="AF223">
        <f>IF(COUNTA($A223:$U223)=0,"",$Y223&amp;$Z223&amp;$AA223&amp;$AB223&amp;$AC223)</f>
        <v/>
      </c>
      <c r="AG223">
        <f>IF($N223="","",LOWER(TRIM($N223)))</f>
        <v/>
      </c>
      <c r="AH223">
        <f>IF($A223="","",COUNTIFS($A$2:$A$501,$A223,$AI$2:$AI$501,1))</f>
        <v/>
      </c>
      <c r="AI223">
        <f>IF(COUNTA($A223:$U223)=0,"",--($AF223&lt;&gt;""))</f>
        <v/>
      </c>
      <c r="AJ223">
        <f>IF(COUNTA($A223:$U223)=0,"",--($AD223&lt;&gt;""))</f>
        <v/>
      </c>
    </row>
    <row r="224" ht="20" customHeight="1">
      <c r="A224" s="80" t="n"/>
      <c r="B224" s="80" t="n"/>
      <c r="C224" s="81" t="n"/>
      <c r="D224" s="81" t="n"/>
      <c r="E224" s="80" t="n"/>
      <c r="F224" s="81" t="n"/>
      <c r="G224" s="81" t="n"/>
      <c r="H224" s="81" t="n"/>
      <c r="I224" s="80" t="n"/>
      <c r="J224" s="80" t="n"/>
      <c r="K224" s="80" t="n"/>
      <c r="L224" s="82" t="n"/>
      <c r="M224" s="80" t="n"/>
      <c r="N224" s="80" t="n"/>
      <c r="O224" s="80" t="n"/>
      <c r="P224" s="82" t="n"/>
      <c r="Q224" s="82" t="n"/>
      <c r="R224" s="80" t="n"/>
      <c r="S224" s="80" t="n"/>
      <c r="T224" s="80" t="n"/>
      <c r="U224" s="83" t="n"/>
      <c r="V224">
        <f>IF($A224="","",IF($A224=$A223,$V223,IF($V223="",0,1-$V223)))</f>
        <v/>
      </c>
      <c r="W224">
        <f>IF($B224&lt;&gt;"",$B224,$A224)</f>
        <v/>
      </c>
      <c r="X224">
        <f>IF(COUNTA($A224:$U224)=0,"",IF(OR($B224&lt;&gt;"",$O224&lt;&gt;""),"Dependent","Employee"))</f>
        <v/>
      </c>
      <c r="Y224">
        <f>IF(COUNTA($A224:$U224)=0,"",IF($A224="","Employee SSN is required; ","")&amp;IF($C224="","First Name is required; ","")&amp;IF(LEN($C224&amp;"")&gt;19,"First Name exceeds 19 characters; ","")&amp;IF(AND($C224&lt;&gt;"",SUMPRODUCT(--(ROW($1:$19)&lt;=LEN($C224&amp;"")),--ISERROR(FIND(MID($C224&amp;"",ROW($1:$19),1),"ABCDEFGHIJKLMNOPQRSTUVWXYZabcdefghijklmnopqrstuvwxyz .,")))&gt;0),"First Name contains unsupported or encoded characters; use plain A-Z letters only; ","")&amp;IF($D224="","Last Name is required; ","")&amp;IF(LEN($D224&amp;"")&gt;26,"Last Name exceeds 26 characters; ","")&amp;IF(AND($D224&lt;&gt;"",SUMPRODUCT(--(ROW($1:$26)&lt;=LEN($D224&amp;"")),--ISERROR(FIND(MID($D224&amp;"",ROW($1:$26),1),"ABCDEFGHIJKLMNOPQRSTUVWXYZabcdefghijklmnopqrstuvwxyz .,")))&gt;0),"Last Name contains unsupported or encoded characters; use plain A-Z letters only; ","")&amp;IF(LEN($E224&amp;"")&gt;1,"Middle Initial may contain only one character; ","")&amp;IF(AND($E224&lt;&gt;"",SUMPRODUCT(--(ROW($1:$1)&lt;=LEN($E224&amp;"")),--ISERROR(FIND(MID($E224&amp;"",ROW($1:$1),1),"ABCDEFGHIJKLMNOPQRSTUVWXYZabcdefghijklmnopqrstuvwxyz .,")))&gt;0),"Middle Initial must be a plain A-Z letter; ","")&amp;IF($F224="","Address is required; ","")&amp;IF(LEN($F224&amp;"")&gt;75,"Address exceeds 75 characters; ","")&amp;IF(LEN($G224&amp;"")&gt;75,"Address 2 exceeds 75 characters; ","")&amp;IF($H224="","City is required; ","")&amp;IF(LEN($H224&amp;"")&gt;30,"City exceeds 30 characters; ","")&amp;IF($K224="","Country is required; ","")&amp;IF(AND($K224&lt;&gt;"",$K224&lt;&gt;"US",$K224&lt;&gt;"CA"),"Country must be US or CA; ","")&amp;IF(AND($K224="US",OR($I224="",LEN($I224&amp;"")&lt;&gt;2)),"Use a 2-letter state code; ","")&amp;IF($J224="","ZIP or postal code is required; ","")&amp;IF(AND($K224="US",$J224&lt;&gt;"",NOT(IFERROR(OR(AND(LEN($J224&amp;"")=5,ISNUMBER(--($J224&amp;""))),AND(LEN($J224&amp;"")=9,ISNUMBER(--($J224&amp;""))),AND(LEN($J224&amp;"")=10,MID($J224&amp;"",6,1)="-",ISNUMBER(--SUBSTITUTE($J224&amp;"","-","")))),FALSE))),"US ZIP must be 5 or 9 digits, with an optional ZIP+4 hyphen; ","")&amp;IF(AND($N224&lt;&gt;"",NOT(IFERROR(AND(ISNUMBER(SEARCH("@",$N224)),ISNUMBER(SEARCH(".",$N224,SEARCH("@",$N224)+2))),FALSE))),"Email format appears invalid; ","")&amp;IF(AND($O224&lt;&gt;"",$B224=""),"Dependent SSN is required for every dependent; ","")&amp;IF(AND($B224&lt;&gt;"",$O224=""),"Dependent Relationship is required when Dependent SSN is entered; ","")&amp;IF(AND($O224&lt;&gt;"",$O224&lt;&gt;"Spouse or Common Law Spouse",$O224&lt;&gt;"Domestic Partner",$O224&lt;&gt;"Child",$O224&lt;&gt;"Other",$O224&lt;&gt;"Estate",$O224&lt;&gt;"Unknown"),"Dependent Relationship must use one of the approved options; ",""))</f>
        <v/>
      </c>
      <c r="Z224">
        <f>IF(COUNTA($A224:$U224)=0,"",IF(AND($A224&lt;&gt;"",NOT(IFERROR(AND(LEN($A224&amp;"")=9,ISNUMBER(--($A224&amp;""))),FALSE))),"Employee SSN must contain exactly 9 digits; ","")&amp;IF(AND($A224&lt;&gt;"",OR($A224="123456789",$A224="987654321",$A224="012345678",$A224=REPT(LEFT($A224&amp;"",1),9))),"Employee SSN appears to be a placeholder; ","")&amp;IF(AND($B224&lt;&gt;"",NOT(IFERROR(AND(LEN($B224&amp;"")=9,ISNUMBER(--($B224&amp;""))),FALSE))),"Dependent SSN must contain exactly 9 digits; ","")&amp;IF(AND($B224&lt;&gt;"",OR($B224="123456789",$B224="987654321",$B224="012345678",$B224=REPT(LEFT($B224&amp;"",1),9))),"Dependent SSN appears to be a placeholder; ","")&amp;IF(AND($A224&lt;&gt;"",$B224&lt;&gt;"",$A224&amp;""=$B224&amp;""),"Dependent SSN cannot match Employee SSN; ","")&amp;IF(AND($W224&lt;&gt;"",OR(COUNTIFS($W$2:$W$501,$W224,$C$2:$C$501,"&lt;&gt;"&amp;$C224)&gt;0,COUNTIFS($W$2:$W$501,$W224,$D$2:$D$501,"&lt;&gt;"&amp;$D224)&gt;0,COUNTIFS($W$2:$W$501,$W224,$L$2:$L$501,"&lt;&gt;"&amp;$L224)&gt;0)),"The same SSN is associated with a different name or birthdate; ",""))</f>
        <v/>
      </c>
      <c r="AA224">
        <f>IF(COUNTA($A224:$U224)=0,"",IF(AND($A224&lt;&gt;"",$S224&lt;&gt;"",COUNTIFS($A$2:$A$501,$A224,$S$2:$S$501,$S224,$B$2:$B$501,"",$O$2:$O$501,"")=0),"Add an employee row for this household and plan; ","")&amp;IF(AND($X224="Dependent",COUNTIFS($A$2:$A224,$A224,$S$2:$S224,$S224,$B$2:$B224,"",$O$2:$O224,"")=0),"Place the employee row before dependent rows for this plan; ","")&amp;IF(AND($X224="Dependent",COUNTIFS($A$2:$A$501,$A224,$S$2:$S$501,$S224,$B$2:$B$501,"",$O$2:$O$501,"")&gt;0,IFERROR(OR($P224&lt;&gt;LOOKUP(2,1/(($A$2:$A$501=$A224)*($S$2:$S$501=$S224)*($B$2:$B$501="")*($O$2:$O$501="")),$P$2:$P$501),$Q224&lt;&gt;LOOKUP(2,1/(($A$2:$A$501=$A224)*($S$2:$S$501=$S224)*($B$2:$B$501="")*($O$2:$O$501="")),$Q$2:$Q$501),$R224&lt;&gt;LOOKUP(2,1/(($A$2:$A$501=$A224)*($S$2:$S$501=$S224)*($B$2:$B$501="")*($O$2:$O$501="")),$R$2:$R$501),$T224&lt;&gt;LOOKUP(2,1/(($A$2:$A$501=$A224)*($S$2:$S$501=$S224)*($B$2:$B$501="")*($O$2:$O$501="")),$T$2:$T$501),$U224&lt;&gt;LOOKUP(2,1/(($A$2:$A$501=$A224)*($S$2:$S$501=$S224)*($B$2:$B$501="")*($O$2:$O$501="")),$U$2:$U$501)),FALSE)),"Dependent row does not match the employee row for eligibility, status, coverage level, or funding; ",""))</f>
        <v/>
      </c>
      <c r="AB224">
        <f>IF(COUNTA($A224:$U224)=0,"",IF($L224="","Birthdate is required; ","")&amp;IF(AND($L224&lt;&gt;"",OR(NOT(ISNUMBER($L224)),$L224&lt;=DATE(1900,1,1),$L224&gt;TODAY())),"Birthdate must be an exact valid past date; ","")&amp;IF($P224="","Eligibility Date is required; ","")&amp;IF(AND($P224&lt;&gt;"",OR(NOT(ISNUMBER($P224)),$P224&lt;=DATE(1900,1,1))),"Eligibility Date must be a valid date; ","")&amp;IF(AND($R224="Terminated",$Q224=""),"Termination Date is required when Status is Terminated; ","")&amp;IF(AND($Q224&lt;&gt;"",OR(NOT(ISNUMBER($Q224)),$Q224&lt;=DATE(1900,1,1))),"Termination Date must be a valid date; ","")&amp;IF(AND(ISNUMBER($P224),ISNUMBER($Q224),$Q224&lt;$P224),"Termination Date cannot be before Eligibility Date; ","")&amp;IF($R224="","Status is required; ","")&amp;IF(AND($R224&lt;&gt;"",$R224&lt;&gt;"Active",$R224&lt;&gt;"Terminated"),"Status must be Active or Terminated; ","")&amp;IF(AND('START HERE'!$C$8="Terminations Only",$R224&lt;&gt;"Terminated"),"Terminations Only files must contain terminated records; ",""))</f>
        <v/>
      </c>
      <c r="AC224">
        <f>IF(COUNTA($A224:$U224)=0,"",IF($S224="","Plan Name is required; ","")&amp;IF($T224="","Benefit Coverage Level is required; ","")&amp;IF(AND($U224&lt;&gt;"",OR(NOT(ISNUMBER($U224)),$U224&lt;0)),"Plan Funding Amount must be a nonnegative number; ","")&amp;IF(AND($A224&lt;&gt;"",$S224&lt;&gt;"",COUNTIFS($A$2:$A$501,$A224,$B$2:$B$501,$B224,$S$2:$S$501,$S224)&gt;1),"Duplicate participant and plan row; ",""))</f>
        <v/>
      </c>
      <c r="AD224">
        <f>IF(COUNTA($A224:$U224)=0,"",IF(AND($X224="Employee",$M224="",$N224=""),"No employee phone or email provided; ","")&amp;IF(AND($R224="Active",$Q224&lt;&gt;""),"Active record includes a Termination Date; confirm this is intentional; ","")&amp;IF(AND($B224&lt;&gt;"",$B224&amp;""&lt;&gt;$A224&amp;"",COUNTIF($A$2:$A$501,$B224)&gt;0),"Dependent SSN also appears as an Employee SSN elsewhere; confirm dual-employee coverage is intentional; ","")&amp;IF(AND($B224&lt;&gt;"",COUNTIF($B$2:$B$501,$B224)&gt;COUNTIFS($A$2:$A$501,$A224,$B$2:$B$501,$B224)),"Dependent SSN appears under more than one employee; confirm duplicate family coverage is intentional; ","")&amp;IF(AND(ROW()&gt;2,$A224&lt;&gt;"",$A224&lt;&gt;$A223,COUNTIF($A$2:$A223,$A224)&gt;0),"This household appears in more than one section of the census; keep the family together; ","")&amp;IF(OR(AND($C224&lt;&gt;"",LEN($C224&amp;"")&lt;&gt;LEN(TRIM($C224&amp;""))),AND($D224&lt;&gt;"",LEN($D224&amp;"")&lt;&gt;LEN(TRIM($D224&amp;""))),AND($E224&lt;&gt;"",LEN($E224&amp;"")&lt;&gt;LEN(TRIM($E224&amp;""))),AND($F224&lt;&gt;"",LEN($F224&amp;"")&lt;&gt;LEN(TRIM($F224&amp;""))),AND($G224&lt;&gt;"",LEN($G224&amp;"")&lt;&gt;LEN(TRIM($G224&amp;""))),AND($H224&lt;&gt;"",LEN($H224&amp;"")&lt;&gt;LEN(TRIM($H224&amp;""))),AND($I224&lt;&gt;"",LEN($I224&amp;"")&lt;&gt;LEN(TRIM($I224&amp;""))),AND($J224&lt;&gt;"",LEN($J224&amp;"")&lt;&gt;LEN(TRIM($J224&amp;""))),AND($K224&lt;&gt;"",LEN($K224&amp;"")&lt;&gt;LEN(TRIM($K224&amp;""))),AND($M224&lt;&gt;"",LEN($M224&amp;"")&lt;&gt;LEN(TRIM($M224&amp;""))),AND($N224&lt;&gt;"",LEN($N224&amp;"")&lt;&gt;LEN(TRIM($N224&amp;""))),AND($O224&lt;&gt;"",LEN($O224&amp;"")&lt;&gt;LEN(TRIM($O224&amp;""))),AND($R224&lt;&gt;"",LEN($R224&amp;"")&lt;&gt;LEN(TRIM($R224&amp;""))),AND($S224&lt;&gt;"",LEN($S224&amp;"")&lt;&gt;LEN(TRIM($S224&amp;""))),AND($T224&lt;&gt;"",LEN($T224&amp;"")&lt;&gt;LEN(TRIM($T224&amp;"")))),"Remove leading or trailing spaces from text fields; ","")&amp;IF(OR(AND(LEN($C224)&gt;1,OR(EXACT($C224,UPPER($C224)),EXACT($C224,LOWER($C224)))),AND(LEN($D224)&gt;1,OR(EXACT($D224,UPPER($D224)),EXACT($D224,LOWER($D224)))),AND(LEN($H224)&gt;1,OR(EXACT($H224,UPPER($H224)),EXACT($H224,LOWER($H224))))),"Review capitalization in First Name, Last Name, or City; ","")&amp;IF(AND($N224&lt;&gt;"",NOT(EXACT($N224,LOWER($N224)))),"Email will be standardized to lowercase in the clean output; ","")&amp;IF(AND(OR('START HERE'!$C$8="Initial Enrollment",'START HERE'!$C$8="Open Enrollment"),$R224="Terminated"),"A terminated row is included in an initial or open enrollment file; confirm this is intentional; ",""))</f>
        <v/>
      </c>
      <c r="AE224">
        <f>IF(COUNTA($A224:$U224)=0,"",IF(OR($A224="",AND($A224&lt;&gt;"",NOT(IFERROR(AND(LEN($A224&amp;"")=9,ISNUMBER(--($A224&amp;""))),FALSE))),AND($A224&lt;&gt;"",OR($A224="123456789",$A224="987654321",$A224="012345678",$A224=REPT(LEFT($A224&amp;"",1),9)))),"Employee SSN, ","")&amp;IF(OR(AND($O224&lt;&gt;"",$B224=""),AND($B224&lt;&gt;"",OR(NOT(IFERROR(AND(LEN($B224&amp;"")=9,ISNUMBER(--($B224&amp;""))),FALSE)),$B224=$A224,$B224="123456789",$B224="987654321",$B224="012345678",$B224=REPT(LEFT($B224&amp;"",1),9)))),"Dependent SSN, ","")&amp;IF(OR($C224="",LEN($C224)&gt;19,AND($C224&lt;&gt;"",SUMPRODUCT(--(ROW($1:$19)&lt;=LEN($C224&amp;"")),--ISERROR(FIND(MID($C224&amp;"",ROW($1:$19),1),"ABCDEFGHIJKLMNOPQRSTUVWXYZabcdefghijklmnopqrstuvwxyz .,")))&gt;0)),"First Name, ","")&amp;IF(OR($D224="",LEN($D224)&gt;26,AND($D224&lt;&gt;"",SUMPRODUCT(--(ROW($1:$26)&lt;=LEN($D224&amp;"")),--ISERROR(FIND(MID($D224&amp;"",ROW($1:$26),1),"ABCDEFGHIJKLMNOPQRSTUVWXYZabcdefghijklmnopqrstuvwxyz .,")))&gt;0)),"Last Name, ","")&amp;IF(OR(LEN($E224)&gt;1,AND($E224&lt;&gt;"",SUMPRODUCT(--(ROW($1:$1)&lt;=LEN($E224&amp;"")),--ISERROR(FIND(MID($E224&amp;"",ROW($1:$1),1),"ABCDEFGHIJKLMNOPQRSTUVWXYZabcdefghijklmnopqrstuvwxyz .,")))&gt;0)),"Middle Initial, ","")&amp;IF(OR($F224="",LEN($F224)&gt;75),"Address, ","")&amp;IF(OR($H224="",LEN($H224)&gt;30),"City, ","")&amp;IF(AND($K224="US",OR($I224="",LEN($I224)&lt;&gt;2)),"State, ","")&amp;IF($J224="","ZIP, ","")&amp;IF(OR($K224="",AND($K224&lt;&gt;"US",$K224&lt;&gt;"CA")),"Country, ","")&amp;IF(OR($L224="",AND($L224&lt;&gt;"",OR(NOT(ISNUMBER($L224)),$L224&lt;=DATE(1900,1,1),$L224&gt;TODAY()))),"Birthdate, ","")&amp;IF(AND($N224&lt;&gt;"",NOT(IFERROR(AND(ISNUMBER(SEARCH("@",$N224)),ISNUMBER(SEARCH(".",$N224,SEARCH("@",$N224)+2))),FALSE))),"Email, ","")&amp;IF(OR(AND($B224&lt;&gt;"",$O224=""),AND($O224&lt;&gt;"",$O224&lt;&gt;"Spouse or Common Law Spouse",$O224&lt;&gt;"Domestic Partner",$O224&lt;&gt;"Child",$O224&lt;&gt;"Other",$O224&lt;&gt;"Estate",$O224&lt;&gt;"Unknown")),"Dependent Relationship, ","")&amp;IF($AA224&lt;&gt;"","Household, ","")&amp;IF(OR($P224="",AND($P224&lt;&gt;"",OR(NOT(ISNUMBER($P224)),$P224&lt;=DATE(1900,1,1)))),"Eligibility Date, ","")&amp;IF(OR(AND($R224="Terminated",$Q224=""),AND($Q224&lt;&gt;"",OR(NOT(ISNUMBER($Q224)),$Q224&lt;=DATE(1900,1,1))),AND(ISNUMBER($P224),ISNUMBER($Q224),$Q224&lt;$P224)),"Termination Date, ","")&amp;IF(OR($R224="",AND($R224&lt;&gt;"Active",$R224&lt;&gt;"Terminated"),AND('START HERE'!$C$8="Terminations Only",$R224&lt;&gt;"Terminated")),"Status, ","")&amp;IF($S224="","Plan Name, ","")&amp;IF($T224="","Coverage Level, ","")&amp;IF(AND($U224&lt;&gt;"",OR(NOT(ISNUMBER($U224)),$U224&lt;0)),"Funding, ","")&amp;IF(AND($A224&lt;&gt;"",$S224&lt;&gt;"",COUNTIFS($A$2:$A$501,$A224,$B$2:$B$501,$B224,$S$2:$S$501,$S224)&gt;1),"Duplicate Row, ",""))</f>
        <v/>
      </c>
      <c r="AF224">
        <f>IF(COUNTA($A224:$U224)=0,"",$Y224&amp;$Z224&amp;$AA224&amp;$AB224&amp;$AC224)</f>
        <v/>
      </c>
      <c r="AG224">
        <f>IF($N224="","",LOWER(TRIM($N224)))</f>
        <v/>
      </c>
      <c r="AH224">
        <f>IF($A224="","",COUNTIFS($A$2:$A$501,$A224,$AI$2:$AI$501,1))</f>
        <v/>
      </c>
      <c r="AI224">
        <f>IF(COUNTA($A224:$U224)=0,"",--($AF224&lt;&gt;""))</f>
        <v/>
      </c>
      <c r="AJ224">
        <f>IF(COUNTA($A224:$U224)=0,"",--($AD224&lt;&gt;""))</f>
        <v/>
      </c>
    </row>
    <row r="225" ht="20" customHeight="1">
      <c r="A225" s="80" t="n"/>
      <c r="B225" s="80" t="n"/>
      <c r="C225" s="81" t="n"/>
      <c r="D225" s="81" t="n"/>
      <c r="E225" s="80" t="n"/>
      <c r="F225" s="81" t="n"/>
      <c r="G225" s="81" t="n"/>
      <c r="H225" s="81" t="n"/>
      <c r="I225" s="80" t="n"/>
      <c r="J225" s="80" t="n"/>
      <c r="K225" s="80" t="n"/>
      <c r="L225" s="82" t="n"/>
      <c r="M225" s="80" t="n"/>
      <c r="N225" s="80" t="n"/>
      <c r="O225" s="80" t="n"/>
      <c r="P225" s="82" t="n"/>
      <c r="Q225" s="82" t="n"/>
      <c r="R225" s="80" t="n"/>
      <c r="S225" s="80" t="n"/>
      <c r="T225" s="80" t="n"/>
      <c r="U225" s="83" t="n"/>
      <c r="V225">
        <f>IF($A225="","",IF($A225=$A224,$V224,IF($V224="",0,1-$V224)))</f>
        <v/>
      </c>
      <c r="W225">
        <f>IF($B225&lt;&gt;"",$B225,$A225)</f>
        <v/>
      </c>
      <c r="X225">
        <f>IF(COUNTA($A225:$U225)=0,"",IF(OR($B225&lt;&gt;"",$O225&lt;&gt;""),"Dependent","Employee"))</f>
        <v/>
      </c>
      <c r="Y225">
        <f>IF(COUNTA($A225:$U225)=0,"",IF($A225="","Employee SSN is required; ","")&amp;IF($C225="","First Name is required; ","")&amp;IF(LEN($C225&amp;"")&gt;19,"First Name exceeds 19 characters; ","")&amp;IF(AND($C225&lt;&gt;"",SUMPRODUCT(--(ROW($1:$19)&lt;=LEN($C225&amp;"")),--ISERROR(FIND(MID($C225&amp;"",ROW($1:$19),1),"ABCDEFGHIJKLMNOPQRSTUVWXYZabcdefghijklmnopqrstuvwxyz .,")))&gt;0),"First Name contains unsupported or encoded characters; use plain A-Z letters only; ","")&amp;IF($D225="","Last Name is required; ","")&amp;IF(LEN($D225&amp;"")&gt;26,"Last Name exceeds 26 characters; ","")&amp;IF(AND($D225&lt;&gt;"",SUMPRODUCT(--(ROW($1:$26)&lt;=LEN($D225&amp;"")),--ISERROR(FIND(MID($D225&amp;"",ROW($1:$26),1),"ABCDEFGHIJKLMNOPQRSTUVWXYZabcdefghijklmnopqrstuvwxyz .,")))&gt;0),"Last Name contains unsupported or encoded characters; use plain A-Z letters only; ","")&amp;IF(LEN($E225&amp;"")&gt;1,"Middle Initial may contain only one character; ","")&amp;IF(AND($E225&lt;&gt;"",SUMPRODUCT(--(ROW($1:$1)&lt;=LEN($E225&amp;"")),--ISERROR(FIND(MID($E225&amp;"",ROW($1:$1),1),"ABCDEFGHIJKLMNOPQRSTUVWXYZabcdefghijklmnopqrstuvwxyz .,")))&gt;0),"Middle Initial must be a plain A-Z letter; ","")&amp;IF($F225="","Address is required; ","")&amp;IF(LEN($F225&amp;"")&gt;75,"Address exceeds 75 characters; ","")&amp;IF(LEN($G225&amp;"")&gt;75,"Address 2 exceeds 75 characters; ","")&amp;IF($H225="","City is required; ","")&amp;IF(LEN($H225&amp;"")&gt;30,"City exceeds 30 characters; ","")&amp;IF($K225="","Country is required; ","")&amp;IF(AND($K225&lt;&gt;"",$K225&lt;&gt;"US",$K225&lt;&gt;"CA"),"Country must be US or CA; ","")&amp;IF(AND($K225="US",OR($I225="",LEN($I225&amp;"")&lt;&gt;2)),"Use a 2-letter state code; ","")&amp;IF($J225="","ZIP or postal code is required; ","")&amp;IF(AND($K225="US",$J225&lt;&gt;"",NOT(IFERROR(OR(AND(LEN($J225&amp;"")=5,ISNUMBER(--($J225&amp;""))),AND(LEN($J225&amp;"")=9,ISNUMBER(--($J225&amp;""))),AND(LEN($J225&amp;"")=10,MID($J225&amp;"",6,1)="-",ISNUMBER(--SUBSTITUTE($J225&amp;"","-","")))),FALSE))),"US ZIP must be 5 or 9 digits, with an optional ZIP+4 hyphen; ","")&amp;IF(AND($N225&lt;&gt;"",NOT(IFERROR(AND(ISNUMBER(SEARCH("@",$N225)),ISNUMBER(SEARCH(".",$N225,SEARCH("@",$N225)+2))),FALSE))),"Email format appears invalid; ","")&amp;IF(AND($O225&lt;&gt;"",$B225=""),"Dependent SSN is required for every dependent; ","")&amp;IF(AND($B225&lt;&gt;"",$O225=""),"Dependent Relationship is required when Dependent SSN is entered; ","")&amp;IF(AND($O225&lt;&gt;"",$O225&lt;&gt;"Spouse or Common Law Spouse",$O225&lt;&gt;"Domestic Partner",$O225&lt;&gt;"Child",$O225&lt;&gt;"Other",$O225&lt;&gt;"Estate",$O225&lt;&gt;"Unknown"),"Dependent Relationship must use one of the approved options; ",""))</f>
        <v/>
      </c>
      <c r="Z225">
        <f>IF(COUNTA($A225:$U225)=0,"",IF(AND($A225&lt;&gt;"",NOT(IFERROR(AND(LEN($A225&amp;"")=9,ISNUMBER(--($A225&amp;""))),FALSE))),"Employee SSN must contain exactly 9 digits; ","")&amp;IF(AND($A225&lt;&gt;"",OR($A225="123456789",$A225="987654321",$A225="012345678",$A225=REPT(LEFT($A225&amp;"",1),9))),"Employee SSN appears to be a placeholder; ","")&amp;IF(AND($B225&lt;&gt;"",NOT(IFERROR(AND(LEN($B225&amp;"")=9,ISNUMBER(--($B225&amp;""))),FALSE))),"Dependent SSN must contain exactly 9 digits; ","")&amp;IF(AND($B225&lt;&gt;"",OR($B225="123456789",$B225="987654321",$B225="012345678",$B225=REPT(LEFT($B225&amp;"",1),9))),"Dependent SSN appears to be a placeholder; ","")&amp;IF(AND($A225&lt;&gt;"",$B225&lt;&gt;"",$A225&amp;""=$B225&amp;""),"Dependent SSN cannot match Employee SSN; ","")&amp;IF(AND($W225&lt;&gt;"",OR(COUNTIFS($W$2:$W$501,$W225,$C$2:$C$501,"&lt;&gt;"&amp;$C225)&gt;0,COUNTIFS($W$2:$W$501,$W225,$D$2:$D$501,"&lt;&gt;"&amp;$D225)&gt;0,COUNTIFS($W$2:$W$501,$W225,$L$2:$L$501,"&lt;&gt;"&amp;$L225)&gt;0)),"The same SSN is associated with a different name or birthdate; ",""))</f>
        <v/>
      </c>
      <c r="AA225">
        <f>IF(COUNTA($A225:$U225)=0,"",IF(AND($A225&lt;&gt;"",$S225&lt;&gt;"",COUNTIFS($A$2:$A$501,$A225,$S$2:$S$501,$S225,$B$2:$B$501,"",$O$2:$O$501,"")=0),"Add an employee row for this household and plan; ","")&amp;IF(AND($X225="Dependent",COUNTIFS($A$2:$A225,$A225,$S$2:$S225,$S225,$B$2:$B225,"",$O$2:$O225,"")=0),"Place the employee row before dependent rows for this plan; ","")&amp;IF(AND($X225="Dependent",COUNTIFS($A$2:$A$501,$A225,$S$2:$S$501,$S225,$B$2:$B$501,"",$O$2:$O$501,"")&gt;0,IFERROR(OR($P225&lt;&gt;LOOKUP(2,1/(($A$2:$A$501=$A225)*($S$2:$S$501=$S225)*($B$2:$B$501="")*($O$2:$O$501="")),$P$2:$P$501),$Q225&lt;&gt;LOOKUP(2,1/(($A$2:$A$501=$A225)*($S$2:$S$501=$S225)*($B$2:$B$501="")*($O$2:$O$501="")),$Q$2:$Q$501),$R225&lt;&gt;LOOKUP(2,1/(($A$2:$A$501=$A225)*($S$2:$S$501=$S225)*($B$2:$B$501="")*($O$2:$O$501="")),$R$2:$R$501),$T225&lt;&gt;LOOKUP(2,1/(($A$2:$A$501=$A225)*($S$2:$S$501=$S225)*($B$2:$B$501="")*($O$2:$O$501="")),$T$2:$T$501),$U225&lt;&gt;LOOKUP(2,1/(($A$2:$A$501=$A225)*($S$2:$S$501=$S225)*($B$2:$B$501="")*($O$2:$O$501="")),$U$2:$U$501)),FALSE)),"Dependent row does not match the employee row for eligibility, status, coverage level, or funding; ",""))</f>
        <v/>
      </c>
      <c r="AB225">
        <f>IF(COUNTA($A225:$U225)=0,"",IF($L225="","Birthdate is required; ","")&amp;IF(AND($L225&lt;&gt;"",OR(NOT(ISNUMBER($L225)),$L225&lt;=DATE(1900,1,1),$L225&gt;TODAY())),"Birthdate must be an exact valid past date; ","")&amp;IF($P225="","Eligibility Date is required; ","")&amp;IF(AND($P225&lt;&gt;"",OR(NOT(ISNUMBER($P225)),$P225&lt;=DATE(1900,1,1))),"Eligibility Date must be a valid date; ","")&amp;IF(AND($R225="Terminated",$Q225=""),"Termination Date is required when Status is Terminated; ","")&amp;IF(AND($Q225&lt;&gt;"",OR(NOT(ISNUMBER($Q225)),$Q225&lt;=DATE(1900,1,1))),"Termination Date must be a valid date; ","")&amp;IF(AND(ISNUMBER($P225),ISNUMBER($Q225),$Q225&lt;$P225),"Termination Date cannot be before Eligibility Date; ","")&amp;IF($R225="","Status is required; ","")&amp;IF(AND($R225&lt;&gt;"",$R225&lt;&gt;"Active",$R225&lt;&gt;"Terminated"),"Status must be Active or Terminated; ","")&amp;IF(AND('START HERE'!$C$8="Terminations Only",$R225&lt;&gt;"Terminated"),"Terminations Only files must contain terminated records; ",""))</f>
        <v/>
      </c>
      <c r="AC225">
        <f>IF(COUNTA($A225:$U225)=0,"",IF($S225="","Plan Name is required; ","")&amp;IF($T225="","Benefit Coverage Level is required; ","")&amp;IF(AND($U225&lt;&gt;"",OR(NOT(ISNUMBER($U225)),$U225&lt;0)),"Plan Funding Amount must be a nonnegative number; ","")&amp;IF(AND($A225&lt;&gt;"",$S225&lt;&gt;"",COUNTIFS($A$2:$A$501,$A225,$B$2:$B$501,$B225,$S$2:$S$501,$S225)&gt;1),"Duplicate participant and plan row; ",""))</f>
        <v/>
      </c>
      <c r="AD225">
        <f>IF(COUNTA($A225:$U225)=0,"",IF(AND($X225="Employee",$M225="",$N225=""),"No employee phone or email provided; ","")&amp;IF(AND($R225="Active",$Q225&lt;&gt;""),"Active record includes a Termination Date; confirm this is intentional; ","")&amp;IF(AND($B225&lt;&gt;"",$B225&amp;""&lt;&gt;$A225&amp;"",COUNTIF($A$2:$A$501,$B225)&gt;0),"Dependent SSN also appears as an Employee SSN elsewhere; confirm dual-employee coverage is intentional; ","")&amp;IF(AND($B225&lt;&gt;"",COUNTIF($B$2:$B$501,$B225)&gt;COUNTIFS($A$2:$A$501,$A225,$B$2:$B$501,$B225)),"Dependent SSN appears under more than one employee; confirm duplicate family coverage is intentional; ","")&amp;IF(AND(ROW()&gt;2,$A225&lt;&gt;"",$A225&lt;&gt;$A224,COUNTIF($A$2:$A224,$A225)&gt;0),"This household appears in more than one section of the census; keep the family together; ","")&amp;IF(OR(AND($C225&lt;&gt;"",LEN($C225&amp;"")&lt;&gt;LEN(TRIM($C225&amp;""))),AND($D225&lt;&gt;"",LEN($D225&amp;"")&lt;&gt;LEN(TRIM($D225&amp;""))),AND($E225&lt;&gt;"",LEN($E225&amp;"")&lt;&gt;LEN(TRIM($E225&amp;""))),AND($F225&lt;&gt;"",LEN($F225&amp;"")&lt;&gt;LEN(TRIM($F225&amp;""))),AND($G225&lt;&gt;"",LEN($G225&amp;"")&lt;&gt;LEN(TRIM($G225&amp;""))),AND($H225&lt;&gt;"",LEN($H225&amp;"")&lt;&gt;LEN(TRIM($H225&amp;""))),AND($I225&lt;&gt;"",LEN($I225&amp;"")&lt;&gt;LEN(TRIM($I225&amp;""))),AND($J225&lt;&gt;"",LEN($J225&amp;"")&lt;&gt;LEN(TRIM($J225&amp;""))),AND($K225&lt;&gt;"",LEN($K225&amp;"")&lt;&gt;LEN(TRIM($K225&amp;""))),AND($M225&lt;&gt;"",LEN($M225&amp;"")&lt;&gt;LEN(TRIM($M225&amp;""))),AND($N225&lt;&gt;"",LEN($N225&amp;"")&lt;&gt;LEN(TRIM($N225&amp;""))),AND($O225&lt;&gt;"",LEN($O225&amp;"")&lt;&gt;LEN(TRIM($O225&amp;""))),AND($R225&lt;&gt;"",LEN($R225&amp;"")&lt;&gt;LEN(TRIM($R225&amp;""))),AND($S225&lt;&gt;"",LEN($S225&amp;"")&lt;&gt;LEN(TRIM($S225&amp;""))),AND($T225&lt;&gt;"",LEN($T225&amp;"")&lt;&gt;LEN(TRIM($T225&amp;"")))),"Remove leading or trailing spaces from text fields; ","")&amp;IF(OR(AND(LEN($C225)&gt;1,OR(EXACT($C225,UPPER($C225)),EXACT($C225,LOWER($C225)))),AND(LEN($D225)&gt;1,OR(EXACT($D225,UPPER($D225)),EXACT($D225,LOWER($D225)))),AND(LEN($H225)&gt;1,OR(EXACT($H225,UPPER($H225)),EXACT($H225,LOWER($H225))))),"Review capitalization in First Name, Last Name, or City; ","")&amp;IF(AND($N225&lt;&gt;"",NOT(EXACT($N225,LOWER($N225)))),"Email will be standardized to lowercase in the clean output; ","")&amp;IF(AND(OR('START HERE'!$C$8="Initial Enrollment",'START HERE'!$C$8="Open Enrollment"),$R225="Terminated"),"A terminated row is included in an initial or open enrollment file; confirm this is intentional; ",""))</f>
        <v/>
      </c>
      <c r="AE225">
        <f>IF(COUNTA($A225:$U225)=0,"",IF(OR($A225="",AND($A225&lt;&gt;"",NOT(IFERROR(AND(LEN($A225&amp;"")=9,ISNUMBER(--($A225&amp;""))),FALSE))),AND($A225&lt;&gt;"",OR($A225="123456789",$A225="987654321",$A225="012345678",$A225=REPT(LEFT($A225&amp;"",1),9)))),"Employee SSN, ","")&amp;IF(OR(AND($O225&lt;&gt;"",$B225=""),AND($B225&lt;&gt;"",OR(NOT(IFERROR(AND(LEN($B225&amp;"")=9,ISNUMBER(--($B225&amp;""))),FALSE)),$B225=$A225,$B225="123456789",$B225="987654321",$B225="012345678",$B225=REPT(LEFT($B225&amp;"",1),9)))),"Dependent SSN, ","")&amp;IF(OR($C225="",LEN($C225)&gt;19,AND($C225&lt;&gt;"",SUMPRODUCT(--(ROW($1:$19)&lt;=LEN($C225&amp;"")),--ISERROR(FIND(MID($C225&amp;"",ROW($1:$19),1),"ABCDEFGHIJKLMNOPQRSTUVWXYZabcdefghijklmnopqrstuvwxyz .,")))&gt;0)),"First Name, ","")&amp;IF(OR($D225="",LEN($D225)&gt;26,AND($D225&lt;&gt;"",SUMPRODUCT(--(ROW($1:$26)&lt;=LEN($D225&amp;"")),--ISERROR(FIND(MID($D225&amp;"",ROW($1:$26),1),"ABCDEFGHIJKLMNOPQRSTUVWXYZabcdefghijklmnopqrstuvwxyz .,")))&gt;0)),"Last Name, ","")&amp;IF(OR(LEN($E225)&gt;1,AND($E225&lt;&gt;"",SUMPRODUCT(--(ROW($1:$1)&lt;=LEN($E225&amp;"")),--ISERROR(FIND(MID($E225&amp;"",ROW($1:$1),1),"ABCDEFGHIJKLMNOPQRSTUVWXYZabcdefghijklmnopqrstuvwxyz .,")))&gt;0)),"Middle Initial, ","")&amp;IF(OR($F225="",LEN($F225)&gt;75),"Address, ","")&amp;IF(OR($H225="",LEN($H225)&gt;30),"City, ","")&amp;IF(AND($K225="US",OR($I225="",LEN($I225)&lt;&gt;2)),"State, ","")&amp;IF($J225="","ZIP, ","")&amp;IF(OR($K225="",AND($K225&lt;&gt;"US",$K225&lt;&gt;"CA")),"Country, ","")&amp;IF(OR($L225="",AND($L225&lt;&gt;"",OR(NOT(ISNUMBER($L225)),$L225&lt;=DATE(1900,1,1),$L225&gt;TODAY()))),"Birthdate, ","")&amp;IF(AND($N225&lt;&gt;"",NOT(IFERROR(AND(ISNUMBER(SEARCH("@",$N225)),ISNUMBER(SEARCH(".",$N225,SEARCH("@",$N225)+2))),FALSE))),"Email, ","")&amp;IF(OR(AND($B225&lt;&gt;"",$O225=""),AND($O225&lt;&gt;"",$O225&lt;&gt;"Spouse or Common Law Spouse",$O225&lt;&gt;"Domestic Partner",$O225&lt;&gt;"Child",$O225&lt;&gt;"Other",$O225&lt;&gt;"Estate",$O225&lt;&gt;"Unknown")),"Dependent Relationship, ","")&amp;IF($AA225&lt;&gt;"","Household, ","")&amp;IF(OR($P225="",AND($P225&lt;&gt;"",OR(NOT(ISNUMBER($P225)),$P225&lt;=DATE(1900,1,1)))),"Eligibility Date, ","")&amp;IF(OR(AND($R225="Terminated",$Q225=""),AND($Q225&lt;&gt;"",OR(NOT(ISNUMBER($Q225)),$Q225&lt;=DATE(1900,1,1))),AND(ISNUMBER($P225),ISNUMBER($Q225),$Q225&lt;$P225)),"Termination Date, ","")&amp;IF(OR($R225="",AND($R225&lt;&gt;"Active",$R225&lt;&gt;"Terminated"),AND('START HERE'!$C$8="Terminations Only",$R225&lt;&gt;"Terminated")),"Status, ","")&amp;IF($S225="","Plan Name, ","")&amp;IF($T225="","Coverage Level, ","")&amp;IF(AND($U225&lt;&gt;"",OR(NOT(ISNUMBER($U225)),$U225&lt;0)),"Funding, ","")&amp;IF(AND($A225&lt;&gt;"",$S225&lt;&gt;"",COUNTIFS($A$2:$A$501,$A225,$B$2:$B$501,$B225,$S$2:$S$501,$S225)&gt;1),"Duplicate Row, ",""))</f>
        <v/>
      </c>
      <c r="AF225">
        <f>IF(COUNTA($A225:$U225)=0,"",$Y225&amp;$Z225&amp;$AA225&amp;$AB225&amp;$AC225)</f>
        <v/>
      </c>
      <c r="AG225">
        <f>IF($N225="","",LOWER(TRIM($N225)))</f>
        <v/>
      </c>
      <c r="AH225">
        <f>IF($A225="","",COUNTIFS($A$2:$A$501,$A225,$AI$2:$AI$501,1))</f>
        <v/>
      </c>
      <c r="AI225">
        <f>IF(COUNTA($A225:$U225)=0,"",--($AF225&lt;&gt;""))</f>
        <v/>
      </c>
      <c r="AJ225">
        <f>IF(COUNTA($A225:$U225)=0,"",--($AD225&lt;&gt;""))</f>
        <v/>
      </c>
    </row>
    <row r="226" ht="20" customHeight="1">
      <c r="A226" s="80" t="n"/>
      <c r="B226" s="80" t="n"/>
      <c r="C226" s="81" t="n"/>
      <c r="D226" s="81" t="n"/>
      <c r="E226" s="80" t="n"/>
      <c r="F226" s="81" t="n"/>
      <c r="G226" s="81" t="n"/>
      <c r="H226" s="81" t="n"/>
      <c r="I226" s="80" t="n"/>
      <c r="J226" s="80" t="n"/>
      <c r="K226" s="80" t="n"/>
      <c r="L226" s="82" t="n"/>
      <c r="M226" s="80" t="n"/>
      <c r="N226" s="80" t="n"/>
      <c r="O226" s="80" t="n"/>
      <c r="P226" s="82" t="n"/>
      <c r="Q226" s="82" t="n"/>
      <c r="R226" s="80" t="n"/>
      <c r="S226" s="80" t="n"/>
      <c r="T226" s="80" t="n"/>
      <c r="U226" s="83" t="n"/>
      <c r="V226">
        <f>IF($A226="","",IF($A226=$A225,$V225,IF($V225="",0,1-$V225)))</f>
        <v/>
      </c>
      <c r="W226">
        <f>IF($B226&lt;&gt;"",$B226,$A226)</f>
        <v/>
      </c>
      <c r="X226">
        <f>IF(COUNTA($A226:$U226)=0,"",IF(OR($B226&lt;&gt;"",$O226&lt;&gt;""),"Dependent","Employee"))</f>
        <v/>
      </c>
      <c r="Y226">
        <f>IF(COUNTA($A226:$U226)=0,"",IF($A226="","Employee SSN is required; ","")&amp;IF($C226="","First Name is required; ","")&amp;IF(LEN($C226&amp;"")&gt;19,"First Name exceeds 19 characters; ","")&amp;IF(AND($C226&lt;&gt;"",SUMPRODUCT(--(ROW($1:$19)&lt;=LEN($C226&amp;"")),--ISERROR(FIND(MID($C226&amp;"",ROW($1:$19),1),"ABCDEFGHIJKLMNOPQRSTUVWXYZabcdefghijklmnopqrstuvwxyz .,")))&gt;0),"First Name contains unsupported or encoded characters; use plain A-Z letters only; ","")&amp;IF($D226="","Last Name is required; ","")&amp;IF(LEN($D226&amp;"")&gt;26,"Last Name exceeds 26 characters; ","")&amp;IF(AND($D226&lt;&gt;"",SUMPRODUCT(--(ROW($1:$26)&lt;=LEN($D226&amp;"")),--ISERROR(FIND(MID($D226&amp;"",ROW($1:$26),1),"ABCDEFGHIJKLMNOPQRSTUVWXYZabcdefghijklmnopqrstuvwxyz .,")))&gt;0),"Last Name contains unsupported or encoded characters; use plain A-Z letters only; ","")&amp;IF(LEN($E226&amp;"")&gt;1,"Middle Initial may contain only one character; ","")&amp;IF(AND($E226&lt;&gt;"",SUMPRODUCT(--(ROW($1:$1)&lt;=LEN($E226&amp;"")),--ISERROR(FIND(MID($E226&amp;"",ROW($1:$1),1),"ABCDEFGHIJKLMNOPQRSTUVWXYZabcdefghijklmnopqrstuvwxyz .,")))&gt;0),"Middle Initial must be a plain A-Z letter; ","")&amp;IF($F226="","Address is required; ","")&amp;IF(LEN($F226&amp;"")&gt;75,"Address exceeds 75 characters; ","")&amp;IF(LEN($G226&amp;"")&gt;75,"Address 2 exceeds 75 characters; ","")&amp;IF($H226="","City is required; ","")&amp;IF(LEN($H226&amp;"")&gt;30,"City exceeds 30 characters; ","")&amp;IF($K226="","Country is required; ","")&amp;IF(AND($K226&lt;&gt;"",$K226&lt;&gt;"US",$K226&lt;&gt;"CA"),"Country must be US or CA; ","")&amp;IF(AND($K226="US",OR($I226="",LEN($I226&amp;"")&lt;&gt;2)),"Use a 2-letter state code; ","")&amp;IF($J226="","ZIP or postal code is required; ","")&amp;IF(AND($K226="US",$J226&lt;&gt;"",NOT(IFERROR(OR(AND(LEN($J226&amp;"")=5,ISNUMBER(--($J226&amp;""))),AND(LEN($J226&amp;"")=9,ISNUMBER(--($J226&amp;""))),AND(LEN($J226&amp;"")=10,MID($J226&amp;"",6,1)="-",ISNUMBER(--SUBSTITUTE($J226&amp;"","-","")))),FALSE))),"US ZIP must be 5 or 9 digits, with an optional ZIP+4 hyphen; ","")&amp;IF(AND($N226&lt;&gt;"",NOT(IFERROR(AND(ISNUMBER(SEARCH("@",$N226)),ISNUMBER(SEARCH(".",$N226,SEARCH("@",$N226)+2))),FALSE))),"Email format appears invalid; ","")&amp;IF(AND($O226&lt;&gt;"",$B226=""),"Dependent SSN is required for every dependent; ","")&amp;IF(AND($B226&lt;&gt;"",$O226=""),"Dependent Relationship is required when Dependent SSN is entered; ","")&amp;IF(AND($O226&lt;&gt;"",$O226&lt;&gt;"Spouse or Common Law Spouse",$O226&lt;&gt;"Domestic Partner",$O226&lt;&gt;"Child",$O226&lt;&gt;"Other",$O226&lt;&gt;"Estate",$O226&lt;&gt;"Unknown"),"Dependent Relationship must use one of the approved options; ",""))</f>
        <v/>
      </c>
      <c r="Z226">
        <f>IF(COUNTA($A226:$U226)=0,"",IF(AND($A226&lt;&gt;"",NOT(IFERROR(AND(LEN($A226&amp;"")=9,ISNUMBER(--($A226&amp;""))),FALSE))),"Employee SSN must contain exactly 9 digits; ","")&amp;IF(AND($A226&lt;&gt;"",OR($A226="123456789",$A226="987654321",$A226="012345678",$A226=REPT(LEFT($A226&amp;"",1),9))),"Employee SSN appears to be a placeholder; ","")&amp;IF(AND($B226&lt;&gt;"",NOT(IFERROR(AND(LEN($B226&amp;"")=9,ISNUMBER(--($B226&amp;""))),FALSE))),"Dependent SSN must contain exactly 9 digits; ","")&amp;IF(AND($B226&lt;&gt;"",OR($B226="123456789",$B226="987654321",$B226="012345678",$B226=REPT(LEFT($B226&amp;"",1),9))),"Dependent SSN appears to be a placeholder; ","")&amp;IF(AND($A226&lt;&gt;"",$B226&lt;&gt;"",$A226&amp;""=$B226&amp;""),"Dependent SSN cannot match Employee SSN; ","")&amp;IF(AND($W226&lt;&gt;"",OR(COUNTIFS($W$2:$W$501,$W226,$C$2:$C$501,"&lt;&gt;"&amp;$C226)&gt;0,COUNTIFS($W$2:$W$501,$W226,$D$2:$D$501,"&lt;&gt;"&amp;$D226)&gt;0,COUNTIFS($W$2:$W$501,$W226,$L$2:$L$501,"&lt;&gt;"&amp;$L226)&gt;0)),"The same SSN is associated with a different name or birthdate; ",""))</f>
        <v/>
      </c>
      <c r="AA226">
        <f>IF(COUNTA($A226:$U226)=0,"",IF(AND($A226&lt;&gt;"",$S226&lt;&gt;"",COUNTIFS($A$2:$A$501,$A226,$S$2:$S$501,$S226,$B$2:$B$501,"",$O$2:$O$501,"")=0),"Add an employee row for this household and plan; ","")&amp;IF(AND($X226="Dependent",COUNTIFS($A$2:$A226,$A226,$S$2:$S226,$S226,$B$2:$B226,"",$O$2:$O226,"")=0),"Place the employee row before dependent rows for this plan; ","")&amp;IF(AND($X226="Dependent",COUNTIFS($A$2:$A$501,$A226,$S$2:$S$501,$S226,$B$2:$B$501,"",$O$2:$O$501,"")&gt;0,IFERROR(OR($P226&lt;&gt;LOOKUP(2,1/(($A$2:$A$501=$A226)*($S$2:$S$501=$S226)*($B$2:$B$501="")*($O$2:$O$501="")),$P$2:$P$501),$Q226&lt;&gt;LOOKUP(2,1/(($A$2:$A$501=$A226)*($S$2:$S$501=$S226)*($B$2:$B$501="")*($O$2:$O$501="")),$Q$2:$Q$501),$R226&lt;&gt;LOOKUP(2,1/(($A$2:$A$501=$A226)*($S$2:$S$501=$S226)*($B$2:$B$501="")*($O$2:$O$501="")),$R$2:$R$501),$T226&lt;&gt;LOOKUP(2,1/(($A$2:$A$501=$A226)*($S$2:$S$501=$S226)*($B$2:$B$501="")*($O$2:$O$501="")),$T$2:$T$501),$U226&lt;&gt;LOOKUP(2,1/(($A$2:$A$501=$A226)*($S$2:$S$501=$S226)*($B$2:$B$501="")*($O$2:$O$501="")),$U$2:$U$501)),FALSE)),"Dependent row does not match the employee row for eligibility, status, coverage level, or funding; ",""))</f>
        <v/>
      </c>
      <c r="AB226">
        <f>IF(COUNTA($A226:$U226)=0,"",IF($L226="","Birthdate is required; ","")&amp;IF(AND($L226&lt;&gt;"",OR(NOT(ISNUMBER($L226)),$L226&lt;=DATE(1900,1,1),$L226&gt;TODAY())),"Birthdate must be an exact valid past date; ","")&amp;IF($P226="","Eligibility Date is required; ","")&amp;IF(AND($P226&lt;&gt;"",OR(NOT(ISNUMBER($P226)),$P226&lt;=DATE(1900,1,1))),"Eligibility Date must be a valid date; ","")&amp;IF(AND($R226="Terminated",$Q226=""),"Termination Date is required when Status is Terminated; ","")&amp;IF(AND($Q226&lt;&gt;"",OR(NOT(ISNUMBER($Q226)),$Q226&lt;=DATE(1900,1,1))),"Termination Date must be a valid date; ","")&amp;IF(AND(ISNUMBER($P226),ISNUMBER($Q226),$Q226&lt;$P226),"Termination Date cannot be before Eligibility Date; ","")&amp;IF($R226="","Status is required; ","")&amp;IF(AND($R226&lt;&gt;"",$R226&lt;&gt;"Active",$R226&lt;&gt;"Terminated"),"Status must be Active or Terminated; ","")&amp;IF(AND('START HERE'!$C$8="Terminations Only",$R226&lt;&gt;"Terminated"),"Terminations Only files must contain terminated records; ",""))</f>
        <v/>
      </c>
      <c r="AC226">
        <f>IF(COUNTA($A226:$U226)=0,"",IF($S226="","Plan Name is required; ","")&amp;IF($T226="","Benefit Coverage Level is required; ","")&amp;IF(AND($U226&lt;&gt;"",OR(NOT(ISNUMBER($U226)),$U226&lt;0)),"Plan Funding Amount must be a nonnegative number; ","")&amp;IF(AND($A226&lt;&gt;"",$S226&lt;&gt;"",COUNTIFS($A$2:$A$501,$A226,$B$2:$B$501,$B226,$S$2:$S$501,$S226)&gt;1),"Duplicate participant and plan row; ",""))</f>
        <v/>
      </c>
      <c r="AD226">
        <f>IF(COUNTA($A226:$U226)=0,"",IF(AND($X226="Employee",$M226="",$N226=""),"No employee phone or email provided; ","")&amp;IF(AND($R226="Active",$Q226&lt;&gt;""),"Active record includes a Termination Date; confirm this is intentional; ","")&amp;IF(AND($B226&lt;&gt;"",$B226&amp;""&lt;&gt;$A226&amp;"",COUNTIF($A$2:$A$501,$B226)&gt;0),"Dependent SSN also appears as an Employee SSN elsewhere; confirm dual-employee coverage is intentional; ","")&amp;IF(AND($B226&lt;&gt;"",COUNTIF($B$2:$B$501,$B226)&gt;COUNTIFS($A$2:$A$501,$A226,$B$2:$B$501,$B226)),"Dependent SSN appears under more than one employee; confirm duplicate family coverage is intentional; ","")&amp;IF(AND(ROW()&gt;2,$A226&lt;&gt;"",$A226&lt;&gt;$A225,COUNTIF($A$2:$A225,$A226)&gt;0),"This household appears in more than one section of the census; keep the family together; ","")&amp;IF(OR(AND($C226&lt;&gt;"",LEN($C226&amp;"")&lt;&gt;LEN(TRIM($C226&amp;""))),AND($D226&lt;&gt;"",LEN($D226&amp;"")&lt;&gt;LEN(TRIM($D226&amp;""))),AND($E226&lt;&gt;"",LEN($E226&amp;"")&lt;&gt;LEN(TRIM($E226&amp;""))),AND($F226&lt;&gt;"",LEN($F226&amp;"")&lt;&gt;LEN(TRIM($F226&amp;""))),AND($G226&lt;&gt;"",LEN($G226&amp;"")&lt;&gt;LEN(TRIM($G226&amp;""))),AND($H226&lt;&gt;"",LEN($H226&amp;"")&lt;&gt;LEN(TRIM($H226&amp;""))),AND($I226&lt;&gt;"",LEN($I226&amp;"")&lt;&gt;LEN(TRIM($I226&amp;""))),AND($J226&lt;&gt;"",LEN($J226&amp;"")&lt;&gt;LEN(TRIM($J226&amp;""))),AND($K226&lt;&gt;"",LEN($K226&amp;"")&lt;&gt;LEN(TRIM($K226&amp;""))),AND($M226&lt;&gt;"",LEN($M226&amp;"")&lt;&gt;LEN(TRIM($M226&amp;""))),AND($N226&lt;&gt;"",LEN($N226&amp;"")&lt;&gt;LEN(TRIM($N226&amp;""))),AND($O226&lt;&gt;"",LEN($O226&amp;"")&lt;&gt;LEN(TRIM($O226&amp;""))),AND($R226&lt;&gt;"",LEN($R226&amp;"")&lt;&gt;LEN(TRIM($R226&amp;""))),AND($S226&lt;&gt;"",LEN($S226&amp;"")&lt;&gt;LEN(TRIM($S226&amp;""))),AND($T226&lt;&gt;"",LEN($T226&amp;"")&lt;&gt;LEN(TRIM($T226&amp;"")))),"Remove leading or trailing spaces from text fields; ","")&amp;IF(OR(AND(LEN($C226)&gt;1,OR(EXACT($C226,UPPER($C226)),EXACT($C226,LOWER($C226)))),AND(LEN($D226)&gt;1,OR(EXACT($D226,UPPER($D226)),EXACT($D226,LOWER($D226)))),AND(LEN($H226)&gt;1,OR(EXACT($H226,UPPER($H226)),EXACT($H226,LOWER($H226))))),"Review capitalization in First Name, Last Name, or City; ","")&amp;IF(AND($N226&lt;&gt;"",NOT(EXACT($N226,LOWER($N226)))),"Email will be standardized to lowercase in the clean output; ","")&amp;IF(AND(OR('START HERE'!$C$8="Initial Enrollment",'START HERE'!$C$8="Open Enrollment"),$R226="Terminated"),"A terminated row is included in an initial or open enrollment file; confirm this is intentional; ",""))</f>
        <v/>
      </c>
      <c r="AE226">
        <f>IF(COUNTA($A226:$U226)=0,"",IF(OR($A226="",AND($A226&lt;&gt;"",NOT(IFERROR(AND(LEN($A226&amp;"")=9,ISNUMBER(--($A226&amp;""))),FALSE))),AND($A226&lt;&gt;"",OR($A226="123456789",$A226="987654321",$A226="012345678",$A226=REPT(LEFT($A226&amp;"",1),9)))),"Employee SSN, ","")&amp;IF(OR(AND($O226&lt;&gt;"",$B226=""),AND($B226&lt;&gt;"",OR(NOT(IFERROR(AND(LEN($B226&amp;"")=9,ISNUMBER(--($B226&amp;""))),FALSE)),$B226=$A226,$B226="123456789",$B226="987654321",$B226="012345678",$B226=REPT(LEFT($B226&amp;"",1),9)))),"Dependent SSN, ","")&amp;IF(OR($C226="",LEN($C226)&gt;19,AND($C226&lt;&gt;"",SUMPRODUCT(--(ROW($1:$19)&lt;=LEN($C226&amp;"")),--ISERROR(FIND(MID($C226&amp;"",ROW($1:$19),1),"ABCDEFGHIJKLMNOPQRSTUVWXYZabcdefghijklmnopqrstuvwxyz .,")))&gt;0)),"First Name, ","")&amp;IF(OR($D226="",LEN($D226)&gt;26,AND($D226&lt;&gt;"",SUMPRODUCT(--(ROW($1:$26)&lt;=LEN($D226&amp;"")),--ISERROR(FIND(MID($D226&amp;"",ROW($1:$26),1),"ABCDEFGHIJKLMNOPQRSTUVWXYZabcdefghijklmnopqrstuvwxyz .,")))&gt;0)),"Last Name, ","")&amp;IF(OR(LEN($E226)&gt;1,AND($E226&lt;&gt;"",SUMPRODUCT(--(ROW($1:$1)&lt;=LEN($E226&amp;"")),--ISERROR(FIND(MID($E226&amp;"",ROW($1:$1),1),"ABCDEFGHIJKLMNOPQRSTUVWXYZabcdefghijklmnopqrstuvwxyz .,")))&gt;0)),"Middle Initial, ","")&amp;IF(OR($F226="",LEN($F226)&gt;75),"Address, ","")&amp;IF(OR($H226="",LEN($H226)&gt;30),"City, ","")&amp;IF(AND($K226="US",OR($I226="",LEN($I226)&lt;&gt;2)),"State, ","")&amp;IF($J226="","ZIP, ","")&amp;IF(OR($K226="",AND($K226&lt;&gt;"US",$K226&lt;&gt;"CA")),"Country, ","")&amp;IF(OR($L226="",AND($L226&lt;&gt;"",OR(NOT(ISNUMBER($L226)),$L226&lt;=DATE(1900,1,1),$L226&gt;TODAY()))),"Birthdate, ","")&amp;IF(AND($N226&lt;&gt;"",NOT(IFERROR(AND(ISNUMBER(SEARCH("@",$N226)),ISNUMBER(SEARCH(".",$N226,SEARCH("@",$N226)+2))),FALSE))),"Email, ","")&amp;IF(OR(AND($B226&lt;&gt;"",$O226=""),AND($O226&lt;&gt;"",$O226&lt;&gt;"Spouse or Common Law Spouse",$O226&lt;&gt;"Domestic Partner",$O226&lt;&gt;"Child",$O226&lt;&gt;"Other",$O226&lt;&gt;"Estate",$O226&lt;&gt;"Unknown")),"Dependent Relationship, ","")&amp;IF($AA226&lt;&gt;"","Household, ","")&amp;IF(OR($P226="",AND($P226&lt;&gt;"",OR(NOT(ISNUMBER($P226)),$P226&lt;=DATE(1900,1,1)))),"Eligibility Date, ","")&amp;IF(OR(AND($R226="Terminated",$Q226=""),AND($Q226&lt;&gt;"",OR(NOT(ISNUMBER($Q226)),$Q226&lt;=DATE(1900,1,1))),AND(ISNUMBER($P226),ISNUMBER($Q226),$Q226&lt;$P226)),"Termination Date, ","")&amp;IF(OR($R226="",AND($R226&lt;&gt;"Active",$R226&lt;&gt;"Terminated"),AND('START HERE'!$C$8="Terminations Only",$R226&lt;&gt;"Terminated")),"Status, ","")&amp;IF($S226="","Plan Name, ","")&amp;IF($T226="","Coverage Level, ","")&amp;IF(AND($U226&lt;&gt;"",OR(NOT(ISNUMBER($U226)),$U226&lt;0)),"Funding, ","")&amp;IF(AND($A226&lt;&gt;"",$S226&lt;&gt;"",COUNTIFS($A$2:$A$501,$A226,$B$2:$B$501,$B226,$S$2:$S$501,$S226)&gt;1),"Duplicate Row, ",""))</f>
        <v/>
      </c>
      <c r="AF226">
        <f>IF(COUNTA($A226:$U226)=0,"",$Y226&amp;$Z226&amp;$AA226&amp;$AB226&amp;$AC226)</f>
        <v/>
      </c>
      <c r="AG226">
        <f>IF($N226="","",LOWER(TRIM($N226)))</f>
        <v/>
      </c>
      <c r="AH226">
        <f>IF($A226="","",COUNTIFS($A$2:$A$501,$A226,$AI$2:$AI$501,1))</f>
        <v/>
      </c>
      <c r="AI226">
        <f>IF(COUNTA($A226:$U226)=0,"",--($AF226&lt;&gt;""))</f>
        <v/>
      </c>
      <c r="AJ226">
        <f>IF(COUNTA($A226:$U226)=0,"",--($AD226&lt;&gt;""))</f>
        <v/>
      </c>
    </row>
    <row r="227" ht="20" customHeight="1">
      <c r="A227" s="80" t="n"/>
      <c r="B227" s="80" t="n"/>
      <c r="C227" s="81" t="n"/>
      <c r="D227" s="81" t="n"/>
      <c r="E227" s="80" t="n"/>
      <c r="F227" s="81" t="n"/>
      <c r="G227" s="81" t="n"/>
      <c r="H227" s="81" t="n"/>
      <c r="I227" s="80" t="n"/>
      <c r="J227" s="80" t="n"/>
      <c r="K227" s="80" t="n"/>
      <c r="L227" s="82" t="n"/>
      <c r="M227" s="80" t="n"/>
      <c r="N227" s="80" t="n"/>
      <c r="O227" s="80" t="n"/>
      <c r="P227" s="82" t="n"/>
      <c r="Q227" s="82" t="n"/>
      <c r="R227" s="80" t="n"/>
      <c r="S227" s="80" t="n"/>
      <c r="T227" s="80" t="n"/>
      <c r="U227" s="83" t="n"/>
      <c r="V227">
        <f>IF($A227="","",IF($A227=$A226,$V226,IF($V226="",0,1-$V226)))</f>
        <v/>
      </c>
      <c r="W227">
        <f>IF($B227&lt;&gt;"",$B227,$A227)</f>
        <v/>
      </c>
      <c r="X227">
        <f>IF(COUNTA($A227:$U227)=0,"",IF(OR($B227&lt;&gt;"",$O227&lt;&gt;""),"Dependent","Employee"))</f>
        <v/>
      </c>
      <c r="Y227">
        <f>IF(COUNTA($A227:$U227)=0,"",IF($A227="","Employee SSN is required; ","")&amp;IF($C227="","First Name is required; ","")&amp;IF(LEN($C227&amp;"")&gt;19,"First Name exceeds 19 characters; ","")&amp;IF(AND($C227&lt;&gt;"",SUMPRODUCT(--(ROW($1:$19)&lt;=LEN($C227&amp;"")),--ISERROR(FIND(MID($C227&amp;"",ROW($1:$19),1),"ABCDEFGHIJKLMNOPQRSTUVWXYZabcdefghijklmnopqrstuvwxyz .,")))&gt;0),"First Name contains unsupported or encoded characters; use plain A-Z letters only; ","")&amp;IF($D227="","Last Name is required; ","")&amp;IF(LEN($D227&amp;"")&gt;26,"Last Name exceeds 26 characters; ","")&amp;IF(AND($D227&lt;&gt;"",SUMPRODUCT(--(ROW($1:$26)&lt;=LEN($D227&amp;"")),--ISERROR(FIND(MID($D227&amp;"",ROW($1:$26),1),"ABCDEFGHIJKLMNOPQRSTUVWXYZabcdefghijklmnopqrstuvwxyz .,")))&gt;0),"Last Name contains unsupported or encoded characters; use plain A-Z letters only; ","")&amp;IF(LEN($E227&amp;"")&gt;1,"Middle Initial may contain only one character; ","")&amp;IF(AND($E227&lt;&gt;"",SUMPRODUCT(--(ROW($1:$1)&lt;=LEN($E227&amp;"")),--ISERROR(FIND(MID($E227&amp;"",ROW($1:$1),1),"ABCDEFGHIJKLMNOPQRSTUVWXYZabcdefghijklmnopqrstuvwxyz .,")))&gt;0),"Middle Initial must be a plain A-Z letter; ","")&amp;IF($F227="","Address is required; ","")&amp;IF(LEN($F227&amp;"")&gt;75,"Address exceeds 75 characters; ","")&amp;IF(LEN($G227&amp;"")&gt;75,"Address 2 exceeds 75 characters; ","")&amp;IF($H227="","City is required; ","")&amp;IF(LEN($H227&amp;"")&gt;30,"City exceeds 30 characters; ","")&amp;IF($K227="","Country is required; ","")&amp;IF(AND($K227&lt;&gt;"",$K227&lt;&gt;"US",$K227&lt;&gt;"CA"),"Country must be US or CA; ","")&amp;IF(AND($K227="US",OR($I227="",LEN($I227&amp;"")&lt;&gt;2)),"Use a 2-letter state code; ","")&amp;IF($J227="","ZIP or postal code is required; ","")&amp;IF(AND($K227="US",$J227&lt;&gt;"",NOT(IFERROR(OR(AND(LEN($J227&amp;"")=5,ISNUMBER(--($J227&amp;""))),AND(LEN($J227&amp;"")=9,ISNUMBER(--($J227&amp;""))),AND(LEN($J227&amp;"")=10,MID($J227&amp;"",6,1)="-",ISNUMBER(--SUBSTITUTE($J227&amp;"","-","")))),FALSE))),"US ZIP must be 5 or 9 digits, with an optional ZIP+4 hyphen; ","")&amp;IF(AND($N227&lt;&gt;"",NOT(IFERROR(AND(ISNUMBER(SEARCH("@",$N227)),ISNUMBER(SEARCH(".",$N227,SEARCH("@",$N227)+2))),FALSE))),"Email format appears invalid; ","")&amp;IF(AND($O227&lt;&gt;"",$B227=""),"Dependent SSN is required for every dependent; ","")&amp;IF(AND($B227&lt;&gt;"",$O227=""),"Dependent Relationship is required when Dependent SSN is entered; ","")&amp;IF(AND($O227&lt;&gt;"",$O227&lt;&gt;"Spouse or Common Law Spouse",$O227&lt;&gt;"Domestic Partner",$O227&lt;&gt;"Child",$O227&lt;&gt;"Other",$O227&lt;&gt;"Estate",$O227&lt;&gt;"Unknown"),"Dependent Relationship must use one of the approved options; ",""))</f>
        <v/>
      </c>
      <c r="Z227">
        <f>IF(COUNTA($A227:$U227)=0,"",IF(AND($A227&lt;&gt;"",NOT(IFERROR(AND(LEN($A227&amp;"")=9,ISNUMBER(--($A227&amp;""))),FALSE))),"Employee SSN must contain exactly 9 digits; ","")&amp;IF(AND($A227&lt;&gt;"",OR($A227="123456789",$A227="987654321",$A227="012345678",$A227=REPT(LEFT($A227&amp;"",1),9))),"Employee SSN appears to be a placeholder; ","")&amp;IF(AND($B227&lt;&gt;"",NOT(IFERROR(AND(LEN($B227&amp;"")=9,ISNUMBER(--($B227&amp;""))),FALSE))),"Dependent SSN must contain exactly 9 digits; ","")&amp;IF(AND($B227&lt;&gt;"",OR($B227="123456789",$B227="987654321",$B227="012345678",$B227=REPT(LEFT($B227&amp;"",1),9))),"Dependent SSN appears to be a placeholder; ","")&amp;IF(AND($A227&lt;&gt;"",$B227&lt;&gt;"",$A227&amp;""=$B227&amp;""),"Dependent SSN cannot match Employee SSN; ","")&amp;IF(AND($W227&lt;&gt;"",OR(COUNTIFS($W$2:$W$501,$W227,$C$2:$C$501,"&lt;&gt;"&amp;$C227)&gt;0,COUNTIFS($W$2:$W$501,$W227,$D$2:$D$501,"&lt;&gt;"&amp;$D227)&gt;0,COUNTIFS($W$2:$W$501,$W227,$L$2:$L$501,"&lt;&gt;"&amp;$L227)&gt;0)),"The same SSN is associated with a different name or birthdate; ",""))</f>
        <v/>
      </c>
      <c r="AA227">
        <f>IF(COUNTA($A227:$U227)=0,"",IF(AND($A227&lt;&gt;"",$S227&lt;&gt;"",COUNTIFS($A$2:$A$501,$A227,$S$2:$S$501,$S227,$B$2:$B$501,"",$O$2:$O$501,"")=0),"Add an employee row for this household and plan; ","")&amp;IF(AND($X227="Dependent",COUNTIFS($A$2:$A227,$A227,$S$2:$S227,$S227,$B$2:$B227,"",$O$2:$O227,"")=0),"Place the employee row before dependent rows for this plan; ","")&amp;IF(AND($X227="Dependent",COUNTIFS($A$2:$A$501,$A227,$S$2:$S$501,$S227,$B$2:$B$501,"",$O$2:$O$501,"")&gt;0,IFERROR(OR($P227&lt;&gt;LOOKUP(2,1/(($A$2:$A$501=$A227)*($S$2:$S$501=$S227)*($B$2:$B$501="")*($O$2:$O$501="")),$P$2:$P$501),$Q227&lt;&gt;LOOKUP(2,1/(($A$2:$A$501=$A227)*($S$2:$S$501=$S227)*($B$2:$B$501="")*($O$2:$O$501="")),$Q$2:$Q$501),$R227&lt;&gt;LOOKUP(2,1/(($A$2:$A$501=$A227)*($S$2:$S$501=$S227)*($B$2:$B$501="")*($O$2:$O$501="")),$R$2:$R$501),$T227&lt;&gt;LOOKUP(2,1/(($A$2:$A$501=$A227)*($S$2:$S$501=$S227)*($B$2:$B$501="")*($O$2:$O$501="")),$T$2:$T$501),$U227&lt;&gt;LOOKUP(2,1/(($A$2:$A$501=$A227)*($S$2:$S$501=$S227)*($B$2:$B$501="")*($O$2:$O$501="")),$U$2:$U$501)),FALSE)),"Dependent row does not match the employee row for eligibility, status, coverage level, or funding; ",""))</f>
        <v/>
      </c>
      <c r="AB227">
        <f>IF(COUNTA($A227:$U227)=0,"",IF($L227="","Birthdate is required; ","")&amp;IF(AND($L227&lt;&gt;"",OR(NOT(ISNUMBER($L227)),$L227&lt;=DATE(1900,1,1),$L227&gt;TODAY())),"Birthdate must be an exact valid past date; ","")&amp;IF($P227="","Eligibility Date is required; ","")&amp;IF(AND($P227&lt;&gt;"",OR(NOT(ISNUMBER($P227)),$P227&lt;=DATE(1900,1,1))),"Eligibility Date must be a valid date; ","")&amp;IF(AND($R227="Terminated",$Q227=""),"Termination Date is required when Status is Terminated; ","")&amp;IF(AND($Q227&lt;&gt;"",OR(NOT(ISNUMBER($Q227)),$Q227&lt;=DATE(1900,1,1))),"Termination Date must be a valid date; ","")&amp;IF(AND(ISNUMBER($P227),ISNUMBER($Q227),$Q227&lt;$P227),"Termination Date cannot be before Eligibility Date; ","")&amp;IF($R227="","Status is required; ","")&amp;IF(AND($R227&lt;&gt;"",$R227&lt;&gt;"Active",$R227&lt;&gt;"Terminated"),"Status must be Active or Terminated; ","")&amp;IF(AND('START HERE'!$C$8="Terminations Only",$R227&lt;&gt;"Terminated"),"Terminations Only files must contain terminated records; ",""))</f>
        <v/>
      </c>
      <c r="AC227">
        <f>IF(COUNTA($A227:$U227)=0,"",IF($S227="","Plan Name is required; ","")&amp;IF($T227="","Benefit Coverage Level is required; ","")&amp;IF(AND($U227&lt;&gt;"",OR(NOT(ISNUMBER($U227)),$U227&lt;0)),"Plan Funding Amount must be a nonnegative number; ","")&amp;IF(AND($A227&lt;&gt;"",$S227&lt;&gt;"",COUNTIFS($A$2:$A$501,$A227,$B$2:$B$501,$B227,$S$2:$S$501,$S227)&gt;1),"Duplicate participant and plan row; ",""))</f>
        <v/>
      </c>
      <c r="AD227">
        <f>IF(COUNTA($A227:$U227)=0,"",IF(AND($X227="Employee",$M227="",$N227=""),"No employee phone or email provided; ","")&amp;IF(AND($R227="Active",$Q227&lt;&gt;""),"Active record includes a Termination Date; confirm this is intentional; ","")&amp;IF(AND($B227&lt;&gt;"",$B227&amp;""&lt;&gt;$A227&amp;"",COUNTIF($A$2:$A$501,$B227)&gt;0),"Dependent SSN also appears as an Employee SSN elsewhere; confirm dual-employee coverage is intentional; ","")&amp;IF(AND($B227&lt;&gt;"",COUNTIF($B$2:$B$501,$B227)&gt;COUNTIFS($A$2:$A$501,$A227,$B$2:$B$501,$B227)),"Dependent SSN appears under more than one employee; confirm duplicate family coverage is intentional; ","")&amp;IF(AND(ROW()&gt;2,$A227&lt;&gt;"",$A227&lt;&gt;$A226,COUNTIF($A$2:$A226,$A227)&gt;0),"This household appears in more than one section of the census; keep the family together; ","")&amp;IF(OR(AND($C227&lt;&gt;"",LEN($C227&amp;"")&lt;&gt;LEN(TRIM($C227&amp;""))),AND($D227&lt;&gt;"",LEN($D227&amp;"")&lt;&gt;LEN(TRIM($D227&amp;""))),AND($E227&lt;&gt;"",LEN($E227&amp;"")&lt;&gt;LEN(TRIM($E227&amp;""))),AND($F227&lt;&gt;"",LEN($F227&amp;"")&lt;&gt;LEN(TRIM($F227&amp;""))),AND($G227&lt;&gt;"",LEN($G227&amp;"")&lt;&gt;LEN(TRIM($G227&amp;""))),AND($H227&lt;&gt;"",LEN($H227&amp;"")&lt;&gt;LEN(TRIM($H227&amp;""))),AND($I227&lt;&gt;"",LEN($I227&amp;"")&lt;&gt;LEN(TRIM($I227&amp;""))),AND($J227&lt;&gt;"",LEN($J227&amp;"")&lt;&gt;LEN(TRIM($J227&amp;""))),AND($K227&lt;&gt;"",LEN($K227&amp;"")&lt;&gt;LEN(TRIM($K227&amp;""))),AND($M227&lt;&gt;"",LEN($M227&amp;"")&lt;&gt;LEN(TRIM($M227&amp;""))),AND($N227&lt;&gt;"",LEN($N227&amp;"")&lt;&gt;LEN(TRIM($N227&amp;""))),AND($O227&lt;&gt;"",LEN($O227&amp;"")&lt;&gt;LEN(TRIM($O227&amp;""))),AND($R227&lt;&gt;"",LEN($R227&amp;"")&lt;&gt;LEN(TRIM($R227&amp;""))),AND($S227&lt;&gt;"",LEN($S227&amp;"")&lt;&gt;LEN(TRIM($S227&amp;""))),AND($T227&lt;&gt;"",LEN($T227&amp;"")&lt;&gt;LEN(TRIM($T227&amp;"")))),"Remove leading or trailing spaces from text fields; ","")&amp;IF(OR(AND(LEN($C227)&gt;1,OR(EXACT($C227,UPPER($C227)),EXACT($C227,LOWER($C227)))),AND(LEN($D227)&gt;1,OR(EXACT($D227,UPPER($D227)),EXACT($D227,LOWER($D227)))),AND(LEN($H227)&gt;1,OR(EXACT($H227,UPPER($H227)),EXACT($H227,LOWER($H227))))),"Review capitalization in First Name, Last Name, or City; ","")&amp;IF(AND($N227&lt;&gt;"",NOT(EXACT($N227,LOWER($N227)))),"Email will be standardized to lowercase in the clean output; ","")&amp;IF(AND(OR('START HERE'!$C$8="Initial Enrollment",'START HERE'!$C$8="Open Enrollment"),$R227="Terminated"),"A terminated row is included in an initial or open enrollment file; confirm this is intentional; ",""))</f>
        <v/>
      </c>
      <c r="AE227">
        <f>IF(COUNTA($A227:$U227)=0,"",IF(OR($A227="",AND($A227&lt;&gt;"",NOT(IFERROR(AND(LEN($A227&amp;"")=9,ISNUMBER(--($A227&amp;""))),FALSE))),AND($A227&lt;&gt;"",OR($A227="123456789",$A227="987654321",$A227="012345678",$A227=REPT(LEFT($A227&amp;"",1),9)))),"Employee SSN, ","")&amp;IF(OR(AND($O227&lt;&gt;"",$B227=""),AND($B227&lt;&gt;"",OR(NOT(IFERROR(AND(LEN($B227&amp;"")=9,ISNUMBER(--($B227&amp;""))),FALSE)),$B227=$A227,$B227="123456789",$B227="987654321",$B227="012345678",$B227=REPT(LEFT($B227&amp;"",1),9)))),"Dependent SSN, ","")&amp;IF(OR($C227="",LEN($C227)&gt;19,AND($C227&lt;&gt;"",SUMPRODUCT(--(ROW($1:$19)&lt;=LEN($C227&amp;"")),--ISERROR(FIND(MID($C227&amp;"",ROW($1:$19),1),"ABCDEFGHIJKLMNOPQRSTUVWXYZabcdefghijklmnopqrstuvwxyz .,")))&gt;0)),"First Name, ","")&amp;IF(OR($D227="",LEN($D227)&gt;26,AND($D227&lt;&gt;"",SUMPRODUCT(--(ROW($1:$26)&lt;=LEN($D227&amp;"")),--ISERROR(FIND(MID($D227&amp;"",ROW($1:$26),1),"ABCDEFGHIJKLMNOPQRSTUVWXYZabcdefghijklmnopqrstuvwxyz .,")))&gt;0)),"Last Name, ","")&amp;IF(OR(LEN($E227)&gt;1,AND($E227&lt;&gt;"",SUMPRODUCT(--(ROW($1:$1)&lt;=LEN($E227&amp;"")),--ISERROR(FIND(MID($E227&amp;"",ROW($1:$1),1),"ABCDEFGHIJKLMNOPQRSTUVWXYZabcdefghijklmnopqrstuvwxyz .,")))&gt;0)),"Middle Initial, ","")&amp;IF(OR($F227="",LEN($F227)&gt;75),"Address, ","")&amp;IF(OR($H227="",LEN($H227)&gt;30),"City, ","")&amp;IF(AND($K227="US",OR($I227="",LEN($I227)&lt;&gt;2)),"State, ","")&amp;IF($J227="","ZIP, ","")&amp;IF(OR($K227="",AND($K227&lt;&gt;"US",$K227&lt;&gt;"CA")),"Country, ","")&amp;IF(OR($L227="",AND($L227&lt;&gt;"",OR(NOT(ISNUMBER($L227)),$L227&lt;=DATE(1900,1,1),$L227&gt;TODAY()))),"Birthdate, ","")&amp;IF(AND($N227&lt;&gt;"",NOT(IFERROR(AND(ISNUMBER(SEARCH("@",$N227)),ISNUMBER(SEARCH(".",$N227,SEARCH("@",$N227)+2))),FALSE))),"Email, ","")&amp;IF(OR(AND($B227&lt;&gt;"",$O227=""),AND($O227&lt;&gt;"",$O227&lt;&gt;"Spouse or Common Law Spouse",$O227&lt;&gt;"Domestic Partner",$O227&lt;&gt;"Child",$O227&lt;&gt;"Other",$O227&lt;&gt;"Estate",$O227&lt;&gt;"Unknown")),"Dependent Relationship, ","")&amp;IF($AA227&lt;&gt;"","Household, ","")&amp;IF(OR($P227="",AND($P227&lt;&gt;"",OR(NOT(ISNUMBER($P227)),$P227&lt;=DATE(1900,1,1)))),"Eligibility Date, ","")&amp;IF(OR(AND($R227="Terminated",$Q227=""),AND($Q227&lt;&gt;"",OR(NOT(ISNUMBER($Q227)),$Q227&lt;=DATE(1900,1,1))),AND(ISNUMBER($P227),ISNUMBER($Q227),$Q227&lt;$P227)),"Termination Date, ","")&amp;IF(OR($R227="",AND($R227&lt;&gt;"Active",$R227&lt;&gt;"Terminated"),AND('START HERE'!$C$8="Terminations Only",$R227&lt;&gt;"Terminated")),"Status, ","")&amp;IF($S227="","Plan Name, ","")&amp;IF($T227="","Coverage Level, ","")&amp;IF(AND($U227&lt;&gt;"",OR(NOT(ISNUMBER($U227)),$U227&lt;0)),"Funding, ","")&amp;IF(AND($A227&lt;&gt;"",$S227&lt;&gt;"",COUNTIFS($A$2:$A$501,$A227,$B$2:$B$501,$B227,$S$2:$S$501,$S227)&gt;1),"Duplicate Row, ",""))</f>
        <v/>
      </c>
      <c r="AF227">
        <f>IF(COUNTA($A227:$U227)=0,"",$Y227&amp;$Z227&amp;$AA227&amp;$AB227&amp;$AC227)</f>
        <v/>
      </c>
      <c r="AG227">
        <f>IF($N227="","",LOWER(TRIM($N227)))</f>
        <v/>
      </c>
      <c r="AH227">
        <f>IF($A227="","",COUNTIFS($A$2:$A$501,$A227,$AI$2:$AI$501,1))</f>
        <v/>
      </c>
      <c r="AI227">
        <f>IF(COUNTA($A227:$U227)=0,"",--($AF227&lt;&gt;""))</f>
        <v/>
      </c>
      <c r="AJ227">
        <f>IF(COUNTA($A227:$U227)=0,"",--($AD227&lt;&gt;""))</f>
        <v/>
      </c>
    </row>
    <row r="228" ht="20" customHeight="1">
      <c r="A228" s="80" t="n"/>
      <c r="B228" s="80" t="n"/>
      <c r="C228" s="81" t="n"/>
      <c r="D228" s="81" t="n"/>
      <c r="E228" s="80" t="n"/>
      <c r="F228" s="81" t="n"/>
      <c r="G228" s="81" t="n"/>
      <c r="H228" s="81" t="n"/>
      <c r="I228" s="80" t="n"/>
      <c r="J228" s="80" t="n"/>
      <c r="K228" s="80" t="n"/>
      <c r="L228" s="82" t="n"/>
      <c r="M228" s="80" t="n"/>
      <c r="N228" s="80" t="n"/>
      <c r="O228" s="80" t="n"/>
      <c r="P228" s="82" t="n"/>
      <c r="Q228" s="82" t="n"/>
      <c r="R228" s="80" t="n"/>
      <c r="S228" s="80" t="n"/>
      <c r="T228" s="80" t="n"/>
      <c r="U228" s="83" t="n"/>
      <c r="V228">
        <f>IF($A228="","",IF($A228=$A227,$V227,IF($V227="",0,1-$V227)))</f>
        <v/>
      </c>
      <c r="W228">
        <f>IF($B228&lt;&gt;"",$B228,$A228)</f>
        <v/>
      </c>
      <c r="X228">
        <f>IF(COUNTA($A228:$U228)=0,"",IF(OR($B228&lt;&gt;"",$O228&lt;&gt;""),"Dependent","Employee"))</f>
        <v/>
      </c>
      <c r="Y228">
        <f>IF(COUNTA($A228:$U228)=0,"",IF($A228="","Employee SSN is required; ","")&amp;IF($C228="","First Name is required; ","")&amp;IF(LEN($C228&amp;"")&gt;19,"First Name exceeds 19 characters; ","")&amp;IF(AND($C228&lt;&gt;"",SUMPRODUCT(--(ROW($1:$19)&lt;=LEN($C228&amp;"")),--ISERROR(FIND(MID($C228&amp;"",ROW($1:$19),1),"ABCDEFGHIJKLMNOPQRSTUVWXYZabcdefghijklmnopqrstuvwxyz .,")))&gt;0),"First Name contains unsupported or encoded characters; use plain A-Z letters only; ","")&amp;IF($D228="","Last Name is required; ","")&amp;IF(LEN($D228&amp;"")&gt;26,"Last Name exceeds 26 characters; ","")&amp;IF(AND($D228&lt;&gt;"",SUMPRODUCT(--(ROW($1:$26)&lt;=LEN($D228&amp;"")),--ISERROR(FIND(MID($D228&amp;"",ROW($1:$26),1),"ABCDEFGHIJKLMNOPQRSTUVWXYZabcdefghijklmnopqrstuvwxyz .,")))&gt;0),"Last Name contains unsupported or encoded characters; use plain A-Z letters only; ","")&amp;IF(LEN($E228&amp;"")&gt;1,"Middle Initial may contain only one character; ","")&amp;IF(AND($E228&lt;&gt;"",SUMPRODUCT(--(ROW($1:$1)&lt;=LEN($E228&amp;"")),--ISERROR(FIND(MID($E228&amp;"",ROW($1:$1),1),"ABCDEFGHIJKLMNOPQRSTUVWXYZabcdefghijklmnopqrstuvwxyz .,")))&gt;0),"Middle Initial must be a plain A-Z letter; ","")&amp;IF($F228="","Address is required; ","")&amp;IF(LEN($F228&amp;"")&gt;75,"Address exceeds 75 characters; ","")&amp;IF(LEN($G228&amp;"")&gt;75,"Address 2 exceeds 75 characters; ","")&amp;IF($H228="","City is required; ","")&amp;IF(LEN($H228&amp;"")&gt;30,"City exceeds 30 characters; ","")&amp;IF($K228="","Country is required; ","")&amp;IF(AND($K228&lt;&gt;"",$K228&lt;&gt;"US",$K228&lt;&gt;"CA"),"Country must be US or CA; ","")&amp;IF(AND($K228="US",OR($I228="",LEN($I228&amp;"")&lt;&gt;2)),"Use a 2-letter state code; ","")&amp;IF($J228="","ZIP or postal code is required; ","")&amp;IF(AND($K228="US",$J228&lt;&gt;"",NOT(IFERROR(OR(AND(LEN($J228&amp;"")=5,ISNUMBER(--($J228&amp;""))),AND(LEN($J228&amp;"")=9,ISNUMBER(--($J228&amp;""))),AND(LEN($J228&amp;"")=10,MID($J228&amp;"",6,1)="-",ISNUMBER(--SUBSTITUTE($J228&amp;"","-","")))),FALSE))),"US ZIP must be 5 or 9 digits, with an optional ZIP+4 hyphen; ","")&amp;IF(AND($N228&lt;&gt;"",NOT(IFERROR(AND(ISNUMBER(SEARCH("@",$N228)),ISNUMBER(SEARCH(".",$N228,SEARCH("@",$N228)+2))),FALSE))),"Email format appears invalid; ","")&amp;IF(AND($O228&lt;&gt;"",$B228=""),"Dependent SSN is required for every dependent; ","")&amp;IF(AND($B228&lt;&gt;"",$O228=""),"Dependent Relationship is required when Dependent SSN is entered; ","")&amp;IF(AND($O228&lt;&gt;"",$O228&lt;&gt;"Spouse or Common Law Spouse",$O228&lt;&gt;"Domestic Partner",$O228&lt;&gt;"Child",$O228&lt;&gt;"Other",$O228&lt;&gt;"Estate",$O228&lt;&gt;"Unknown"),"Dependent Relationship must use one of the approved options; ",""))</f>
        <v/>
      </c>
      <c r="Z228">
        <f>IF(COUNTA($A228:$U228)=0,"",IF(AND($A228&lt;&gt;"",NOT(IFERROR(AND(LEN($A228&amp;"")=9,ISNUMBER(--($A228&amp;""))),FALSE))),"Employee SSN must contain exactly 9 digits; ","")&amp;IF(AND($A228&lt;&gt;"",OR($A228="123456789",$A228="987654321",$A228="012345678",$A228=REPT(LEFT($A228&amp;"",1),9))),"Employee SSN appears to be a placeholder; ","")&amp;IF(AND($B228&lt;&gt;"",NOT(IFERROR(AND(LEN($B228&amp;"")=9,ISNUMBER(--($B228&amp;""))),FALSE))),"Dependent SSN must contain exactly 9 digits; ","")&amp;IF(AND($B228&lt;&gt;"",OR($B228="123456789",$B228="987654321",$B228="012345678",$B228=REPT(LEFT($B228&amp;"",1),9))),"Dependent SSN appears to be a placeholder; ","")&amp;IF(AND($A228&lt;&gt;"",$B228&lt;&gt;"",$A228&amp;""=$B228&amp;""),"Dependent SSN cannot match Employee SSN; ","")&amp;IF(AND($W228&lt;&gt;"",OR(COUNTIFS($W$2:$W$501,$W228,$C$2:$C$501,"&lt;&gt;"&amp;$C228)&gt;0,COUNTIFS($W$2:$W$501,$W228,$D$2:$D$501,"&lt;&gt;"&amp;$D228)&gt;0,COUNTIFS($W$2:$W$501,$W228,$L$2:$L$501,"&lt;&gt;"&amp;$L228)&gt;0)),"The same SSN is associated with a different name or birthdate; ",""))</f>
        <v/>
      </c>
      <c r="AA228">
        <f>IF(COUNTA($A228:$U228)=0,"",IF(AND($A228&lt;&gt;"",$S228&lt;&gt;"",COUNTIFS($A$2:$A$501,$A228,$S$2:$S$501,$S228,$B$2:$B$501,"",$O$2:$O$501,"")=0),"Add an employee row for this household and plan; ","")&amp;IF(AND($X228="Dependent",COUNTIFS($A$2:$A228,$A228,$S$2:$S228,$S228,$B$2:$B228,"",$O$2:$O228,"")=0),"Place the employee row before dependent rows for this plan; ","")&amp;IF(AND($X228="Dependent",COUNTIFS($A$2:$A$501,$A228,$S$2:$S$501,$S228,$B$2:$B$501,"",$O$2:$O$501,"")&gt;0,IFERROR(OR($P228&lt;&gt;LOOKUP(2,1/(($A$2:$A$501=$A228)*($S$2:$S$501=$S228)*($B$2:$B$501="")*($O$2:$O$501="")),$P$2:$P$501),$Q228&lt;&gt;LOOKUP(2,1/(($A$2:$A$501=$A228)*($S$2:$S$501=$S228)*($B$2:$B$501="")*($O$2:$O$501="")),$Q$2:$Q$501),$R228&lt;&gt;LOOKUP(2,1/(($A$2:$A$501=$A228)*($S$2:$S$501=$S228)*($B$2:$B$501="")*($O$2:$O$501="")),$R$2:$R$501),$T228&lt;&gt;LOOKUP(2,1/(($A$2:$A$501=$A228)*($S$2:$S$501=$S228)*($B$2:$B$501="")*($O$2:$O$501="")),$T$2:$T$501),$U228&lt;&gt;LOOKUP(2,1/(($A$2:$A$501=$A228)*($S$2:$S$501=$S228)*($B$2:$B$501="")*($O$2:$O$501="")),$U$2:$U$501)),FALSE)),"Dependent row does not match the employee row for eligibility, status, coverage level, or funding; ",""))</f>
        <v/>
      </c>
      <c r="AB228">
        <f>IF(COUNTA($A228:$U228)=0,"",IF($L228="","Birthdate is required; ","")&amp;IF(AND($L228&lt;&gt;"",OR(NOT(ISNUMBER($L228)),$L228&lt;=DATE(1900,1,1),$L228&gt;TODAY())),"Birthdate must be an exact valid past date; ","")&amp;IF($P228="","Eligibility Date is required; ","")&amp;IF(AND($P228&lt;&gt;"",OR(NOT(ISNUMBER($P228)),$P228&lt;=DATE(1900,1,1))),"Eligibility Date must be a valid date; ","")&amp;IF(AND($R228="Terminated",$Q228=""),"Termination Date is required when Status is Terminated; ","")&amp;IF(AND($Q228&lt;&gt;"",OR(NOT(ISNUMBER($Q228)),$Q228&lt;=DATE(1900,1,1))),"Termination Date must be a valid date; ","")&amp;IF(AND(ISNUMBER($P228),ISNUMBER($Q228),$Q228&lt;$P228),"Termination Date cannot be before Eligibility Date; ","")&amp;IF($R228="","Status is required; ","")&amp;IF(AND($R228&lt;&gt;"",$R228&lt;&gt;"Active",$R228&lt;&gt;"Terminated"),"Status must be Active or Terminated; ","")&amp;IF(AND('START HERE'!$C$8="Terminations Only",$R228&lt;&gt;"Terminated"),"Terminations Only files must contain terminated records; ",""))</f>
        <v/>
      </c>
      <c r="AC228">
        <f>IF(COUNTA($A228:$U228)=0,"",IF($S228="","Plan Name is required; ","")&amp;IF($T228="","Benefit Coverage Level is required; ","")&amp;IF(AND($U228&lt;&gt;"",OR(NOT(ISNUMBER($U228)),$U228&lt;0)),"Plan Funding Amount must be a nonnegative number; ","")&amp;IF(AND($A228&lt;&gt;"",$S228&lt;&gt;"",COUNTIFS($A$2:$A$501,$A228,$B$2:$B$501,$B228,$S$2:$S$501,$S228)&gt;1),"Duplicate participant and plan row; ",""))</f>
        <v/>
      </c>
      <c r="AD228">
        <f>IF(COUNTA($A228:$U228)=0,"",IF(AND($X228="Employee",$M228="",$N228=""),"No employee phone or email provided; ","")&amp;IF(AND($R228="Active",$Q228&lt;&gt;""),"Active record includes a Termination Date; confirm this is intentional; ","")&amp;IF(AND($B228&lt;&gt;"",$B228&amp;""&lt;&gt;$A228&amp;"",COUNTIF($A$2:$A$501,$B228)&gt;0),"Dependent SSN also appears as an Employee SSN elsewhere; confirm dual-employee coverage is intentional; ","")&amp;IF(AND($B228&lt;&gt;"",COUNTIF($B$2:$B$501,$B228)&gt;COUNTIFS($A$2:$A$501,$A228,$B$2:$B$501,$B228)),"Dependent SSN appears under more than one employee; confirm duplicate family coverage is intentional; ","")&amp;IF(AND(ROW()&gt;2,$A228&lt;&gt;"",$A228&lt;&gt;$A227,COUNTIF($A$2:$A227,$A228)&gt;0),"This household appears in more than one section of the census; keep the family together; ","")&amp;IF(OR(AND($C228&lt;&gt;"",LEN($C228&amp;"")&lt;&gt;LEN(TRIM($C228&amp;""))),AND($D228&lt;&gt;"",LEN($D228&amp;"")&lt;&gt;LEN(TRIM($D228&amp;""))),AND($E228&lt;&gt;"",LEN($E228&amp;"")&lt;&gt;LEN(TRIM($E228&amp;""))),AND($F228&lt;&gt;"",LEN($F228&amp;"")&lt;&gt;LEN(TRIM($F228&amp;""))),AND($G228&lt;&gt;"",LEN($G228&amp;"")&lt;&gt;LEN(TRIM($G228&amp;""))),AND($H228&lt;&gt;"",LEN($H228&amp;"")&lt;&gt;LEN(TRIM($H228&amp;""))),AND($I228&lt;&gt;"",LEN($I228&amp;"")&lt;&gt;LEN(TRIM($I228&amp;""))),AND($J228&lt;&gt;"",LEN($J228&amp;"")&lt;&gt;LEN(TRIM($J228&amp;""))),AND($K228&lt;&gt;"",LEN($K228&amp;"")&lt;&gt;LEN(TRIM($K228&amp;""))),AND($M228&lt;&gt;"",LEN($M228&amp;"")&lt;&gt;LEN(TRIM($M228&amp;""))),AND($N228&lt;&gt;"",LEN($N228&amp;"")&lt;&gt;LEN(TRIM($N228&amp;""))),AND($O228&lt;&gt;"",LEN($O228&amp;"")&lt;&gt;LEN(TRIM($O228&amp;""))),AND($R228&lt;&gt;"",LEN($R228&amp;"")&lt;&gt;LEN(TRIM($R228&amp;""))),AND($S228&lt;&gt;"",LEN($S228&amp;"")&lt;&gt;LEN(TRIM($S228&amp;""))),AND($T228&lt;&gt;"",LEN($T228&amp;"")&lt;&gt;LEN(TRIM($T228&amp;"")))),"Remove leading or trailing spaces from text fields; ","")&amp;IF(OR(AND(LEN($C228)&gt;1,OR(EXACT($C228,UPPER($C228)),EXACT($C228,LOWER($C228)))),AND(LEN($D228)&gt;1,OR(EXACT($D228,UPPER($D228)),EXACT($D228,LOWER($D228)))),AND(LEN($H228)&gt;1,OR(EXACT($H228,UPPER($H228)),EXACT($H228,LOWER($H228))))),"Review capitalization in First Name, Last Name, or City; ","")&amp;IF(AND($N228&lt;&gt;"",NOT(EXACT($N228,LOWER($N228)))),"Email will be standardized to lowercase in the clean output; ","")&amp;IF(AND(OR('START HERE'!$C$8="Initial Enrollment",'START HERE'!$C$8="Open Enrollment"),$R228="Terminated"),"A terminated row is included in an initial or open enrollment file; confirm this is intentional; ",""))</f>
        <v/>
      </c>
      <c r="AE228">
        <f>IF(COUNTA($A228:$U228)=0,"",IF(OR($A228="",AND($A228&lt;&gt;"",NOT(IFERROR(AND(LEN($A228&amp;"")=9,ISNUMBER(--($A228&amp;""))),FALSE))),AND($A228&lt;&gt;"",OR($A228="123456789",$A228="987654321",$A228="012345678",$A228=REPT(LEFT($A228&amp;"",1),9)))),"Employee SSN, ","")&amp;IF(OR(AND($O228&lt;&gt;"",$B228=""),AND($B228&lt;&gt;"",OR(NOT(IFERROR(AND(LEN($B228&amp;"")=9,ISNUMBER(--($B228&amp;""))),FALSE)),$B228=$A228,$B228="123456789",$B228="987654321",$B228="012345678",$B228=REPT(LEFT($B228&amp;"",1),9)))),"Dependent SSN, ","")&amp;IF(OR($C228="",LEN($C228)&gt;19,AND($C228&lt;&gt;"",SUMPRODUCT(--(ROW($1:$19)&lt;=LEN($C228&amp;"")),--ISERROR(FIND(MID($C228&amp;"",ROW($1:$19),1),"ABCDEFGHIJKLMNOPQRSTUVWXYZabcdefghijklmnopqrstuvwxyz .,")))&gt;0)),"First Name, ","")&amp;IF(OR($D228="",LEN($D228)&gt;26,AND($D228&lt;&gt;"",SUMPRODUCT(--(ROW($1:$26)&lt;=LEN($D228&amp;"")),--ISERROR(FIND(MID($D228&amp;"",ROW($1:$26),1),"ABCDEFGHIJKLMNOPQRSTUVWXYZabcdefghijklmnopqrstuvwxyz .,")))&gt;0)),"Last Name, ","")&amp;IF(OR(LEN($E228)&gt;1,AND($E228&lt;&gt;"",SUMPRODUCT(--(ROW($1:$1)&lt;=LEN($E228&amp;"")),--ISERROR(FIND(MID($E228&amp;"",ROW($1:$1),1),"ABCDEFGHIJKLMNOPQRSTUVWXYZabcdefghijklmnopqrstuvwxyz .,")))&gt;0)),"Middle Initial, ","")&amp;IF(OR($F228="",LEN($F228)&gt;75),"Address, ","")&amp;IF(OR($H228="",LEN($H228)&gt;30),"City, ","")&amp;IF(AND($K228="US",OR($I228="",LEN($I228)&lt;&gt;2)),"State, ","")&amp;IF($J228="","ZIP, ","")&amp;IF(OR($K228="",AND($K228&lt;&gt;"US",$K228&lt;&gt;"CA")),"Country, ","")&amp;IF(OR($L228="",AND($L228&lt;&gt;"",OR(NOT(ISNUMBER($L228)),$L228&lt;=DATE(1900,1,1),$L228&gt;TODAY()))),"Birthdate, ","")&amp;IF(AND($N228&lt;&gt;"",NOT(IFERROR(AND(ISNUMBER(SEARCH("@",$N228)),ISNUMBER(SEARCH(".",$N228,SEARCH("@",$N228)+2))),FALSE))),"Email, ","")&amp;IF(OR(AND($B228&lt;&gt;"",$O228=""),AND($O228&lt;&gt;"",$O228&lt;&gt;"Spouse or Common Law Spouse",$O228&lt;&gt;"Domestic Partner",$O228&lt;&gt;"Child",$O228&lt;&gt;"Other",$O228&lt;&gt;"Estate",$O228&lt;&gt;"Unknown")),"Dependent Relationship, ","")&amp;IF($AA228&lt;&gt;"","Household, ","")&amp;IF(OR($P228="",AND($P228&lt;&gt;"",OR(NOT(ISNUMBER($P228)),$P228&lt;=DATE(1900,1,1)))),"Eligibility Date, ","")&amp;IF(OR(AND($R228="Terminated",$Q228=""),AND($Q228&lt;&gt;"",OR(NOT(ISNUMBER($Q228)),$Q228&lt;=DATE(1900,1,1))),AND(ISNUMBER($P228),ISNUMBER($Q228),$Q228&lt;$P228)),"Termination Date, ","")&amp;IF(OR($R228="",AND($R228&lt;&gt;"Active",$R228&lt;&gt;"Terminated"),AND('START HERE'!$C$8="Terminations Only",$R228&lt;&gt;"Terminated")),"Status, ","")&amp;IF($S228="","Plan Name, ","")&amp;IF($T228="","Coverage Level, ","")&amp;IF(AND($U228&lt;&gt;"",OR(NOT(ISNUMBER($U228)),$U228&lt;0)),"Funding, ","")&amp;IF(AND($A228&lt;&gt;"",$S228&lt;&gt;"",COUNTIFS($A$2:$A$501,$A228,$B$2:$B$501,$B228,$S$2:$S$501,$S228)&gt;1),"Duplicate Row, ",""))</f>
        <v/>
      </c>
      <c r="AF228">
        <f>IF(COUNTA($A228:$U228)=0,"",$Y228&amp;$Z228&amp;$AA228&amp;$AB228&amp;$AC228)</f>
        <v/>
      </c>
      <c r="AG228">
        <f>IF($N228="","",LOWER(TRIM($N228)))</f>
        <v/>
      </c>
      <c r="AH228">
        <f>IF($A228="","",COUNTIFS($A$2:$A$501,$A228,$AI$2:$AI$501,1))</f>
        <v/>
      </c>
      <c r="AI228">
        <f>IF(COUNTA($A228:$U228)=0,"",--($AF228&lt;&gt;""))</f>
        <v/>
      </c>
      <c r="AJ228">
        <f>IF(COUNTA($A228:$U228)=0,"",--($AD228&lt;&gt;""))</f>
        <v/>
      </c>
    </row>
    <row r="229" ht="20" customHeight="1">
      <c r="A229" s="80" t="n"/>
      <c r="B229" s="80" t="n"/>
      <c r="C229" s="81" t="n"/>
      <c r="D229" s="81" t="n"/>
      <c r="E229" s="80" t="n"/>
      <c r="F229" s="81" t="n"/>
      <c r="G229" s="81" t="n"/>
      <c r="H229" s="81" t="n"/>
      <c r="I229" s="80" t="n"/>
      <c r="J229" s="80" t="n"/>
      <c r="K229" s="80" t="n"/>
      <c r="L229" s="82" t="n"/>
      <c r="M229" s="80" t="n"/>
      <c r="N229" s="80" t="n"/>
      <c r="O229" s="80" t="n"/>
      <c r="P229" s="82" t="n"/>
      <c r="Q229" s="82" t="n"/>
      <c r="R229" s="80" t="n"/>
      <c r="S229" s="80" t="n"/>
      <c r="T229" s="80" t="n"/>
      <c r="U229" s="83" t="n"/>
      <c r="V229">
        <f>IF($A229="","",IF($A229=$A228,$V228,IF($V228="",0,1-$V228)))</f>
        <v/>
      </c>
      <c r="W229">
        <f>IF($B229&lt;&gt;"",$B229,$A229)</f>
        <v/>
      </c>
      <c r="X229">
        <f>IF(COUNTA($A229:$U229)=0,"",IF(OR($B229&lt;&gt;"",$O229&lt;&gt;""),"Dependent","Employee"))</f>
        <v/>
      </c>
      <c r="Y229">
        <f>IF(COUNTA($A229:$U229)=0,"",IF($A229="","Employee SSN is required; ","")&amp;IF($C229="","First Name is required; ","")&amp;IF(LEN($C229&amp;"")&gt;19,"First Name exceeds 19 characters; ","")&amp;IF(AND($C229&lt;&gt;"",SUMPRODUCT(--(ROW($1:$19)&lt;=LEN($C229&amp;"")),--ISERROR(FIND(MID($C229&amp;"",ROW($1:$19),1),"ABCDEFGHIJKLMNOPQRSTUVWXYZabcdefghijklmnopqrstuvwxyz .,")))&gt;0),"First Name contains unsupported or encoded characters; use plain A-Z letters only; ","")&amp;IF($D229="","Last Name is required; ","")&amp;IF(LEN($D229&amp;"")&gt;26,"Last Name exceeds 26 characters; ","")&amp;IF(AND($D229&lt;&gt;"",SUMPRODUCT(--(ROW($1:$26)&lt;=LEN($D229&amp;"")),--ISERROR(FIND(MID($D229&amp;"",ROW($1:$26),1),"ABCDEFGHIJKLMNOPQRSTUVWXYZabcdefghijklmnopqrstuvwxyz .,")))&gt;0),"Last Name contains unsupported or encoded characters; use plain A-Z letters only; ","")&amp;IF(LEN($E229&amp;"")&gt;1,"Middle Initial may contain only one character; ","")&amp;IF(AND($E229&lt;&gt;"",SUMPRODUCT(--(ROW($1:$1)&lt;=LEN($E229&amp;"")),--ISERROR(FIND(MID($E229&amp;"",ROW($1:$1),1),"ABCDEFGHIJKLMNOPQRSTUVWXYZabcdefghijklmnopqrstuvwxyz .,")))&gt;0),"Middle Initial must be a plain A-Z letter; ","")&amp;IF($F229="","Address is required; ","")&amp;IF(LEN($F229&amp;"")&gt;75,"Address exceeds 75 characters; ","")&amp;IF(LEN($G229&amp;"")&gt;75,"Address 2 exceeds 75 characters; ","")&amp;IF($H229="","City is required; ","")&amp;IF(LEN($H229&amp;"")&gt;30,"City exceeds 30 characters; ","")&amp;IF($K229="","Country is required; ","")&amp;IF(AND($K229&lt;&gt;"",$K229&lt;&gt;"US",$K229&lt;&gt;"CA"),"Country must be US or CA; ","")&amp;IF(AND($K229="US",OR($I229="",LEN($I229&amp;"")&lt;&gt;2)),"Use a 2-letter state code; ","")&amp;IF($J229="","ZIP or postal code is required; ","")&amp;IF(AND($K229="US",$J229&lt;&gt;"",NOT(IFERROR(OR(AND(LEN($J229&amp;"")=5,ISNUMBER(--($J229&amp;""))),AND(LEN($J229&amp;"")=9,ISNUMBER(--($J229&amp;""))),AND(LEN($J229&amp;"")=10,MID($J229&amp;"",6,1)="-",ISNUMBER(--SUBSTITUTE($J229&amp;"","-","")))),FALSE))),"US ZIP must be 5 or 9 digits, with an optional ZIP+4 hyphen; ","")&amp;IF(AND($N229&lt;&gt;"",NOT(IFERROR(AND(ISNUMBER(SEARCH("@",$N229)),ISNUMBER(SEARCH(".",$N229,SEARCH("@",$N229)+2))),FALSE))),"Email format appears invalid; ","")&amp;IF(AND($O229&lt;&gt;"",$B229=""),"Dependent SSN is required for every dependent; ","")&amp;IF(AND($B229&lt;&gt;"",$O229=""),"Dependent Relationship is required when Dependent SSN is entered; ","")&amp;IF(AND($O229&lt;&gt;"",$O229&lt;&gt;"Spouse or Common Law Spouse",$O229&lt;&gt;"Domestic Partner",$O229&lt;&gt;"Child",$O229&lt;&gt;"Other",$O229&lt;&gt;"Estate",$O229&lt;&gt;"Unknown"),"Dependent Relationship must use one of the approved options; ",""))</f>
        <v/>
      </c>
      <c r="Z229">
        <f>IF(COUNTA($A229:$U229)=0,"",IF(AND($A229&lt;&gt;"",NOT(IFERROR(AND(LEN($A229&amp;"")=9,ISNUMBER(--($A229&amp;""))),FALSE))),"Employee SSN must contain exactly 9 digits; ","")&amp;IF(AND($A229&lt;&gt;"",OR($A229="123456789",$A229="987654321",$A229="012345678",$A229=REPT(LEFT($A229&amp;"",1),9))),"Employee SSN appears to be a placeholder; ","")&amp;IF(AND($B229&lt;&gt;"",NOT(IFERROR(AND(LEN($B229&amp;"")=9,ISNUMBER(--($B229&amp;""))),FALSE))),"Dependent SSN must contain exactly 9 digits; ","")&amp;IF(AND($B229&lt;&gt;"",OR($B229="123456789",$B229="987654321",$B229="012345678",$B229=REPT(LEFT($B229&amp;"",1),9))),"Dependent SSN appears to be a placeholder; ","")&amp;IF(AND($A229&lt;&gt;"",$B229&lt;&gt;"",$A229&amp;""=$B229&amp;""),"Dependent SSN cannot match Employee SSN; ","")&amp;IF(AND($W229&lt;&gt;"",OR(COUNTIFS($W$2:$W$501,$W229,$C$2:$C$501,"&lt;&gt;"&amp;$C229)&gt;0,COUNTIFS($W$2:$W$501,$W229,$D$2:$D$501,"&lt;&gt;"&amp;$D229)&gt;0,COUNTIFS($W$2:$W$501,$W229,$L$2:$L$501,"&lt;&gt;"&amp;$L229)&gt;0)),"The same SSN is associated with a different name or birthdate; ",""))</f>
        <v/>
      </c>
      <c r="AA229">
        <f>IF(COUNTA($A229:$U229)=0,"",IF(AND($A229&lt;&gt;"",$S229&lt;&gt;"",COUNTIFS($A$2:$A$501,$A229,$S$2:$S$501,$S229,$B$2:$B$501,"",$O$2:$O$501,"")=0),"Add an employee row for this household and plan; ","")&amp;IF(AND($X229="Dependent",COUNTIFS($A$2:$A229,$A229,$S$2:$S229,$S229,$B$2:$B229,"",$O$2:$O229,"")=0),"Place the employee row before dependent rows for this plan; ","")&amp;IF(AND($X229="Dependent",COUNTIFS($A$2:$A$501,$A229,$S$2:$S$501,$S229,$B$2:$B$501,"",$O$2:$O$501,"")&gt;0,IFERROR(OR($P229&lt;&gt;LOOKUP(2,1/(($A$2:$A$501=$A229)*($S$2:$S$501=$S229)*($B$2:$B$501="")*($O$2:$O$501="")),$P$2:$P$501),$Q229&lt;&gt;LOOKUP(2,1/(($A$2:$A$501=$A229)*($S$2:$S$501=$S229)*($B$2:$B$501="")*($O$2:$O$501="")),$Q$2:$Q$501),$R229&lt;&gt;LOOKUP(2,1/(($A$2:$A$501=$A229)*($S$2:$S$501=$S229)*($B$2:$B$501="")*($O$2:$O$501="")),$R$2:$R$501),$T229&lt;&gt;LOOKUP(2,1/(($A$2:$A$501=$A229)*($S$2:$S$501=$S229)*($B$2:$B$501="")*($O$2:$O$501="")),$T$2:$T$501),$U229&lt;&gt;LOOKUP(2,1/(($A$2:$A$501=$A229)*($S$2:$S$501=$S229)*($B$2:$B$501="")*($O$2:$O$501="")),$U$2:$U$501)),FALSE)),"Dependent row does not match the employee row for eligibility, status, coverage level, or funding; ",""))</f>
        <v/>
      </c>
      <c r="AB229">
        <f>IF(COUNTA($A229:$U229)=0,"",IF($L229="","Birthdate is required; ","")&amp;IF(AND($L229&lt;&gt;"",OR(NOT(ISNUMBER($L229)),$L229&lt;=DATE(1900,1,1),$L229&gt;TODAY())),"Birthdate must be an exact valid past date; ","")&amp;IF($P229="","Eligibility Date is required; ","")&amp;IF(AND($P229&lt;&gt;"",OR(NOT(ISNUMBER($P229)),$P229&lt;=DATE(1900,1,1))),"Eligibility Date must be a valid date; ","")&amp;IF(AND($R229="Terminated",$Q229=""),"Termination Date is required when Status is Terminated; ","")&amp;IF(AND($Q229&lt;&gt;"",OR(NOT(ISNUMBER($Q229)),$Q229&lt;=DATE(1900,1,1))),"Termination Date must be a valid date; ","")&amp;IF(AND(ISNUMBER($P229),ISNUMBER($Q229),$Q229&lt;$P229),"Termination Date cannot be before Eligibility Date; ","")&amp;IF($R229="","Status is required; ","")&amp;IF(AND($R229&lt;&gt;"",$R229&lt;&gt;"Active",$R229&lt;&gt;"Terminated"),"Status must be Active or Terminated; ","")&amp;IF(AND('START HERE'!$C$8="Terminations Only",$R229&lt;&gt;"Terminated"),"Terminations Only files must contain terminated records; ",""))</f>
        <v/>
      </c>
      <c r="AC229">
        <f>IF(COUNTA($A229:$U229)=0,"",IF($S229="","Plan Name is required; ","")&amp;IF($T229="","Benefit Coverage Level is required; ","")&amp;IF(AND($U229&lt;&gt;"",OR(NOT(ISNUMBER($U229)),$U229&lt;0)),"Plan Funding Amount must be a nonnegative number; ","")&amp;IF(AND($A229&lt;&gt;"",$S229&lt;&gt;"",COUNTIFS($A$2:$A$501,$A229,$B$2:$B$501,$B229,$S$2:$S$501,$S229)&gt;1),"Duplicate participant and plan row; ",""))</f>
        <v/>
      </c>
      <c r="AD229">
        <f>IF(COUNTA($A229:$U229)=0,"",IF(AND($X229="Employee",$M229="",$N229=""),"No employee phone or email provided; ","")&amp;IF(AND($R229="Active",$Q229&lt;&gt;""),"Active record includes a Termination Date; confirm this is intentional; ","")&amp;IF(AND($B229&lt;&gt;"",$B229&amp;""&lt;&gt;$A229&amp;"",COUNTIF($A$2:$A$501,$B229)&gt;0),"Dependent SSN also appears as an Employee SSN elsewhere; confirm dual-employee coverage is intentional; ","")&amp;IF(AND($B229&lt;&gt;"",COUNTIF($B$2:$B$501,$B229)&gt;COUNTIFS($A$2:$A$501,$A229,$B$2:$B$501,$B229)),"Dependent SSN appears under more than one employee; confirm duplicate family coverage is intentional; ","")&amp;IF(AND(ROW()&gt;2,$A229&lt;&gt;"",$A229&lt;&gt;$A228,COUNTIF($A$2:$A228,$A229)&gt;0),"This household appears in more than one section of the census; keep the family together; ","")&amp;IF(OR(AND($C229&lt;&gt;"",LEN($C229&amp;"")&lt;&gt;LEN(TRIM($C229&amp;""))),AND($D229&lt;&gt;"",LEN($D229&amp;"")&lt;&gt;LEN(TRIM($D229&amp;""))),AND($E229&lt;&gt;"",LEN($E229&amp;"")&lt;&gt;LEN(TRIM($E229&amp;""))),AND($F229&lt;&gt;"",LEN($F229&amp;"")&lt;&gt;LEN(TRIM($F229&amp;""))),AND($G229&lt;&gt;"",LEN($G229&amp;"")&lt;&gt;LEN(TRIM($G229&amp;""))),AND($H229&lt;&gt;"",LEN($H229&amp;"")&lt;&gt;LEN(TRIM($H229&amp;""))),AND($I229&lt;&gt;"",LEN($I229&amp;"")&lt;&gt;LEN(TRIM($I229&amp;""))),AND($J229&lt;&gt;"",LEN($J229&amp;"")&lt;&gt;LEN(TRIM($J229&amp;""))),AND($K229&lt;&gt;"",LEN($K229&amp;"")&lt;&gt;LEN(TRIM($K229&amp;""))),AND($M229&lt;&gt;"",LEN($M229&amp;"")&lt;&gt;LEN(TRIM($M229&amp;""))),AND($N229&lt;&gt;"",LEN($N229&amp;"")&lt;&gt;LEN(TRIM($N229&amp;""))),AND($O229&lt;&gt;"",LEN($O229&amp;"")&lt;&gt;LEN(TRIM($O229&amp;""))),AND($R229&lt;&gt;"",LEN($R229&amp;"")&lt;&gt;LEN(TRIM($R229&amp;""))),AND($S229&lt;&gt;"",LEN($S229&amp;"")&lt;&gt;LEN(TRIM($S229&amp;""))),AND($T229&lt;&gt;"",LEN($T229&amp;"")&lt;&gt;LEN(TRIM($T229&amp;"")))),"Remove leading or trailing spaces from text fields; ","")&amp;IF(OR(AND(LEN($C229)&gt;1,OR(EXACT($C229,UPPER($C229)),EXACT($C229,LOWER($C229)))),AND(LEN($D229)&gt;1,OR(EXACT($D229,UPPER($D229)),EXACT($D229,LOWER($D229)))),AND(LEN($H229)&gt;1,OR(EXACT($H229,UPPER($H229)),EXACT($H229,LOWER($H229))))),"Review capitalization in First Name, Last Name, or City; ","")&amp;IF(AND($N229&lt;&gt;"",NOT(EXACT($N229,LOWER($N229)))),"Email will be standardized to lowercase in the clean output; ","")&amp;IF(AND(OR('START HERE'!$C$8="Initial Enrollment",'START HERE'!$C$8="Open Enrollment"),$R229="Terminated"),"A terminated row is included in an initial or open enrollment file; confirm this is intentional; ",""))</f>
        <v/>
      </c>
      <c r="AE229">
        <f>IF(COUNTA($A229:$U229)=0,"",IF(OR($A229="",AND($A229&lt;&gt;"",NOT(IFERROR(AND(LEN($A229&amp;"")=9,ISNUMBER(--($A229&amp;""))),FALSE))),AND($A229&lt;&gt;"",OR($A229="123456789",$A229="987654321",$A229="012345678",$A229=REPT(LEFT($A229&amp;"",1),9)))),"Employee SSN, ","")&amp;IF(OR(AND($O229&lt;&gt;"",$B229=""),AND($B229&lt;&gt;"",OR(NOT(IFERROR(AND(LEN($B229&amp;"")=9,ISNUMBER(--($B229&amp;""))),FALSE)),$B229=$A229,$B229="123456789",$B229="987654321",$B229="012345678",$B229=REPT(LEFT($B229&amp;"",1),9)))),"Dependent SSN, ","")&amp;IF(OR($C229="",LEN($C229)&gt;19,AND($C229&lt;&gt;"",SUMPRODUCT(--(ROW($1:$19)&lt;=LEN($C229&amp;"")),--ISERROR(FIND(MID($C229&amp;"",ROW($1:$19),1),"ABCDEFGHIJKLMNOPQRSTUVWXYZabcdefghijklmnopqrstuvwxyz .,")))&gt;0)),"First Name, ","")&amp;IF(OR($D229="",LEN($D229)&gt;26,AND($D229&lt;&gt;"",SUMPRODUCT(--(ROW($1:$26)&lt;=LEN($D229&amp;"")),--ISERROR(FIND(MID($D229&amp;"",ROW($1:$26),1),"ABCDEFGHIJKLMNOPQRSTUVWXYZabcdefghijklmnopqrstuvwxyz .,")))&gt;0)),"Last Name, ","")&amp;IF(OR(LEN($E229)&gt;1,AND($E229&lt;&gt;"",SUMPRODUCT(--(ROW($1:$1)&lt;=LEN($E229&amp;"")),--ISERROR(FIND(MID($E229&amp;"",ROW($1:$1),1),"ABCDEFGHIJKLMNOPQRSTUVWXYZabcdefghijklmnopqrstuvwxyz .,")))&gt;0)),"Middle Initial, ","")&amp;IF(OR($F229="",LEN($F229)&gt;75),"Address, ","")&amp;IF(OR($H229="",LEN($H229)&gt;30),"City, ","")&amp;IF(AND($K229="US",OR($I229="",LEN($I229)&lt;&gt;2)),"State, ","")&amp;IF($J229="","ZIP, ","")&amp;IF(OR($K229="",AND($K229&lt;&gt;"US",$K229&lt;&gt;"CA")),"Country, ","")&amp;IF(OR($L229="",AND($L229&lt;&gt;"",OR(NOT(ISNUMBER($L229)),$L229&lt;=DATE(1900,1,1),$L229&gt;TODAY()))),"Birthdate, ","")&amp;IF(AND($N229&lt;&gt;"",NOT(IFERROR(AND(ISNUMBER(SEARCH("@",$N229)),ISNUMBER(SEARCH(".",$N229,SEARCH("@",$N229)+2))),FALSE))),"Email, ","")&amp;IF(OR(AND($B229&lt;&gt;"",$O229=""),AND($O229&lt;&gt;"",$O229&lt;&gt;"Spouse or Common Law Spouse",$O229&lt;&gt;"Domestic Partner",$O229&lt;&gt;"Child",$O229&lt;&gt;"Other",$O229&lt;&gt;"Estate",$O229&lt;&gt;"Unknown")),"Dependent Relationship, ","")&amp;IF($AA229&lt;&gt;"","Household, ","")&amp;IF(OR($P229="",AND($P229&lt;&gt;"",OR(NOT(ISNUMBER($P229)),$P229&lt;=DATE(1900,1,1)))),"Eligibility Date, ","")&amp;IF(OR(AND($R229="Terminated",$Q229=""),AND($Q229&lt;&gt;"",OR(NOT(ISNUMBER($Q229)),$Q229&lt;=DATE(1900,1,1))),AND(ISNUMBER($P229),ISNUMBER($Q229),$Q229&lt;$P229)),"Termination Date, ","")&amp;IF(OR($R229="",AND($R229&lt;&gt;"Active",$R229&lt;&gt;"Terminated"),AND('START HERE'!$C$8="Terminations Only",$R229&lt;&gt;"Terminated")),"Status, ","")&amp;IF($S229="","Plan Name, ","")&amp;IF($T229="","Coverage Level, ","")&amp;IF(AND($U229&lt;&gt;"",OR(NOT(ISNUMBER($U229)),$U229&lt;0)),"Funding, ","")&amp;IF(AND($A229&lt;&gt;"",$S229&lt;&gt;"",COUNTIFS($A$2:$A$501,$A229,$B$2:$B$501,$B229,$S$2:$S$501,$S229)&gt;1),"Duplicate Row, ",""))</f>
        <v/>
      </c>
      <c r="AF229">
        <f>IF(COUNTA($A229:$U229)=0,"",$Y229&amp;$Z229&amp;$AA229&amp;$AB229&amp;$AC229)</f>
        <v/>
      </c>
      <c r="AG229">
        <f>IF($N229="","",LOWER(TRIM($N229)))</f>
        <v/>
      </c>
      <c r="AH229">
        <f>IF($A229="","",COUNTIFS($A$2:$A$501,$A229,$AI$2:$AI$501,1))</f>
        <v/>
      </c>
      <c r="AI229">
        <f>IF(COUNTA($A229:$U229)=0,"",--($AF229&lt;&gt;""))</f>
        <v/>
      </c>
      <c r="AJ229">
        <f>IF(COUNTA($A229:$U229)=0,"",--($AD229&lt;&gt;""))</f>
        <v/>
      </c>
    </row>
    <row r="230" ht="20" customHeight="1">
      <c r="A230" s="80" t="n"/>
      <c r="B230" s="80" t="n"/>
      <c r="C230" s="81" t="n"/>
      <c r="D230" s="81" t="n"/>
      <c r="E230" s="80" t="n"/>
      <c r="F230" s="81" t="n"/>
      <c r="G230" s="81" t="n"/>
      <c r="H230" s="81" t="n"/>
      <c r="I230" s="80" t="n"/>
      <c r="J230" s="80" t="n"/>
      <c r="K230" s="80" t="n"/>
      <c r="L230" s="82" t="n"/>
      <c r="M230" s="80" t="n"/>
      <c r="N230" s="80" t="n"/>
      <c r="O230" s="80" t="n"/>
      <c r="P230" s="82" t="n"/>
      <c r="Q230" s="82" t="n"/>
      <c r="R230" s="80" t="n"/>
      <c r="S230" s="80" t="n"/>
      <c r="T230" s="80" t="n"/>
      <c r="U230" s="83" t="n"/>
      <c r="V230">
        <f>IF($A230="","",IF($A230=$A229,$V229,IF($V229="",0,1-$V229)))</f>
        <v/>
      </c>
      <c r="W230">
        <f>IF($B230&lt;&gt;"",$B230,$A230)</f>
        <v/>
      </c>
      <c r="X230">
        <f>IF(COUNTA($A230:$U230)=0,"",IF(OR($B230&lt;&gt;"",$O230&lt;&gt;""),"Dependent","Employee"))</f>
        <v/>
      </c>
      <c r="Y230">
        <f>IF(COUNTA($A230:$U230)=0,"",IF($A230="","Employee SSN is required; ","")&amp;IF($C230="","First Name is required; ","")&amp;IF(LEN($C230&amp;"")&gt;19,"First Name exceeds 19 characters; ","")&amp;IF(AND($C230&lt;&gt;"",SUMPRODUCT(--(ROW($1:$19)&lt;=LEN($C230&amp;"")),--ISERROR(FIND(MID($C230&amp;"",ROW($1:$19),1),"ABCDEFGHIJKLMNOPQRSTUVWXYZabcdefghijklmnopqrstuvwxyz .,")))&gt;0),"First Name contains unsupported or encoded characters; use plain A-Z letters only; ","")&amp;IF($D230="","Last Name is required; ","")&amp;IF(LEN($D230&amp;"")&gt;26,"Last Name exceeds 26 characters; ","")&amp;IF(AND($D230&lt;&gt;"",SUMPRODUCT(--(ROW($1:$26)&lt;=LEN($D230&amp;"")),--ISERROR(FIND(MID($D230&amp;"",ROW($1:$26),1),"ABCDEFGHIJKLMNOPQRSTUVWXYZabcdefghijklmnopqrstuvwxyz .,")))&gt;0),"Last Name contains unsupported or encoded characters; use plain A-Z letters only; ","")&amp;IF(LEN($E230&amp;"")&gt;1,"Middle Initial may contain only one character; ","")&amp;IF(AND($E230&lt;&gt;"",SUMPRODUCT(--(ROW($1:$1)&lt;=LEN($E230&amp;"")),--ISERROR(FIND(MID($E230&amp;"",ROW($1:$1),1),"ABCDEFGHIJKLMNOPQRSTUVWXYZabcdefghijklmnopqrstuvwxyz .,")))&gt;0),"Middle Initial must be a plain A-Z letter; ","")&amp;IF($F230="","Address is required; ","")&amp;IF(LEN($F230&amp;"")&gt;75,"Address exceeds 75 characters; ","")&amp;IF(LEN($G230&amp;"")&gt;75,"Address 2 exceeds 75 characters; ","")&amp;IF($H230="","City is required; ","")&amp;IF(LEN($H230&amp;"")&gt;30,"City exceeds 30 characters; ","")&amp;IF($K230="","Country is required; ","")&amp;IF(AND($K230&lt;&gt;"",$K230&lt;&gt;"US",$K230&lt;&gt;"CA"),"Country must be US or CA; ","")&amp;IF(AND($K230="US",OR($I230="",LEN($I230&amp;"")&lt;&gt;2)),"Use a 2-letter state code; ","")&amp;IF($J230="","ZIP or postal code is required; ","")&amp;IF(AND($K230="US",$J230&lt;&gt;"",NOT(IFERROR(OR(AND(LEN($J230&amp;"")=5,ISNUMBER(--($J230&amp;""))),AND(LEN($J230&amp;"")=9,ISNUMBER(--($J230&amp;""))),AND(LEN($J230&amp;"")=10,MID($J230&amp;"",6,1)="-",ISNUMBER(--SUBSTITUTE($J230&amp;"","-","")))),FALSE))),"US ZIP must be 5 or 9 digits, with an optional ZIP+4 hyphen; ","")&amp;IF(AND($N230&lt;&gt;"",NOT(IFERROR(AND(ISNUMBER(SEARCH("@",$N230)),ISNUMBER(SEARCH(".",$N230,SEARCH("@",$N230)+2))),FALSE))),"Email format appears invalid; ","")&amp;IF(AND($O230&lt;&gt;"",$B230=""),"Dependent SSN is required for every dependent; ","")&amp;IF(AND($B230&lt;&gt;"",$O230=""),"Dependent Relationship is required when Dependent SSN is entered; ","")&amp;IF(AND($O230&lt;&gt;"",$O230&lt;&gt;"Spouse or Common Law Spouse",$O230&lt;&gt;"Domestic Partner",$O230&lt;&gt;"Child",$O230&lt;&gt;"Other",$O230&lt;&gt;"Estate",$O230&lt;&gt;"Unknown"),"Dependent Relationship must use one of the approved options; ",""))</f>
        <v/>
      </c>
      <c r="Z230">
        <f>IF(COUNTA($A230:$U230)=0,"",IF(AND($A230&lt;&gt;"",NOT(IFERROR(AND(LEN($A230&amp;"")=9,ISNUMBER(--($A230&amp;""))),FALSE))),"Employee SSN must contain exactly 9 digits; ","")&amp;IF(AND($A230&lt;&gt;"",OR($A230="123456789",$A230="987654321",$A230="012345678",$A230=REPT(LEFT($A230&amp;"",1),9))),"Employee SSN appears to be a placeholder; ","")&amp;IF(AND($B230&lt;&gt;"",NOT(IFERROR(AND(LEN($B230&amp;"")=9,ISNUMBER(--($B230&amp;""))),FALSE))),"Dependent SSN must contain exactly 9 digits; ","")&amp;IF(AND($B230&lt;&gt;"",OR($B230="123456789",$B230="987654321",$B230="012345678",$B230=REPT(LEFT($B230&amp;"",1),9))),"Dependent SSN appears to be a placeholder; ","")&amp;IF(AND($A230&lt;&gt;"",$B230&lt;&gt;"",$A230&amp;""=$B230&amp;""),"Dependent SSN cannot match Employee SSN; ","")&amp;IF(AND($W230&lt;&gt;"",OR(COUNTIFS($W$2:$W$501,$W230,$C$2:$C$501,"&lt;&gt;"&amp;$C230)&gt;0,COUNTIFS($W$2:$W$501,$W230,$D$2:$D$501,"&lt;&gt;"&amp;$D230)&gt;0,COUNTIFS($W$2:$W$501,$W230,$L$2:$L$501,"&lt;&gt;"&amp;$L230)&gt;0)),"The same SSN is associated with a different name or birthdate; ",""))</f>
        <v/>
      </c>
      <c r="AA230">
        <f>IF(COUNTA($A230:$U230)=0,"",IF(AND($A230&lt;&gt;"",$S230&lt;&gt;"",COUNTIFS($A$2:$A$501,$A230,$S$2:$S$501,$S230,$B$2:$B$501,"",$O$2:$O$501,"")=0),"Add an employee row for this household and plan; ","")&amp;IF(AND($X230="Dependent",COUNTIFS($A$2:$A230,$A230,$S$2:$S230,$S230,$B$2:$B230,"",$O$2:$O230,"")=0),"Place the employee row before dependent rows for this plan; ","")&amp;IF(AND($X230="Dependent",COUNTIFS($A$2:$A$501,$A230,$S$2:$S$501,$S230,$B$2:$B$501,"",$O$2:$O$501,"")&gt;0,IFERROR(OR($P230&lt;&gt;LOOKUP(2,1/(($A$2:$A$501=$A230)*($S$2:$S$501=$S230)*($B$2:$B$501="")*($O$2:$O$501="")),$P$2:$P$501),$Q230&lt;&gt;LOOKUP(2,1/(($A$2:$A$501=$A230)*($S$2:$S$501=$S230)*($B$2:$B$501="")*($O$2:$O$501="")),$Q$2:$Q$501),$R230&lt;&gt;LOOKUP(2,1/(($A$2:$A$501=$A230)*($S$2:$S$501=$S230)*($B$2:$B$501="")*($O$2:$O$501="")),$R$2:$R$501),$T230&lt;&gt;LOOKUP(2,1/(($A$2:$A$501=$A230)*($S$2:$S$501=$S230)*($B$2:$B$501="")*($O$2:$O$501="")),$T$2:$T$501),$U230&lt;&gt;LOOKUP(2,1/(($A$2:$A$501=$A230)*($S$2:$S$501=$S230)*($B$2:$B$501="")*($O$2:$O$501="")),$U$2:$U$501)),FALSE)),"Dependent row does not match the employee row for eligibility, status, coverage level, or funding; ",""))</f>
        <v/>
      </c>
      <c r="AB230">
        <f>IF(COUNTA($A230:$U230)=0,"",IF($L230="","Birthdate is required; ","")&amp;IF(AND($L230&lt;&gt;"",OR(NOT(ISNUMBER($L230)),$L230&lt;=DATE(1900,1,1),$L230&gt;TODAY())),"Birthdate must be an exact valid past date; ","")&amp;IF($P230="","Eligibility Date is required; ","")&amp;IF(AND($P230&lt;&gt;"",OR(NOT(ISNUMBER($P230)),$P230&lt;=DATE(1900,1,1))),"Eligibility Date must be a valid date; ","")&amp;IF(AND($R230="Terminated",$Q230=""),"Termination Date is required when Status is Terminated; ","")&amp;IF(AND($Q230&lt;&gt;"",OR(NOT(ISNUMBER($Q230)),$Q230&lt;=DATE(1900,1,1))),"Termination Date must be a valid date; ","")&amp;IF(AND(ISNUMBER($P230),ISNUMBER($Q230),$Q230&lt;$P230),"Termination Date cannot be before Eligibility Date; ","")&amp;IF($R230="","Status is required; ","")&amp;IF(AND($R230&lt;&gt;"",$R230&lt;&gt;"Active",$R230&lt;&gt;"Terminated"),"Status must be Active or Terminated; ","")&amp;IF(AND('START HERE'!$C$8="Terminations Only",$R230&lt;&gt;"Terminated"),"Terminations Only files must contain terminated records; ",""))</f>
        <v/>
      </c>
      <c r="AC230">
        <f>IF(COUNTA($A230:$U230)=0,"",IF($S230="","Plan Name is required; ","")&amp;IF($T230="","Benefit Coverage Level is required; ","")&amp;IF(AND($U230&lt;&gt;"",OR(NOT(ISNUMBER($U230)),$U230&lt;0)),"Plan Funding Amount must be a nonnegative number; ","")&amp;IF(AND($A230&lt;&gt;"",$S230&lt;&gt;"",COUNTIFS($A$2:$A$501,$A230,$B$2:$B$501,$B230,$S$2:$S$501,$S230)&gt;1),"Duplicate participant and plan row; ",""))</f>
        <v/>
      </c>
      <c r="AD230">
        <f>IF(COUNTA($A230:$U230)=0,"",IF(AND($X230="Employee",$M230="",$N230=""),"No employee phone or email provided; ","")&amp;IF(AND($R230="Active",$Q230&lt;&gt;""),"Active record includes a Termination Date; confirm this is intentional; ","")&amp;IF(AND($B230&lt;&gt;"",$B230&amp;""&lt;&gt;$A230&amp;"",COUNTIF($A$2:$A$501,$B230)&gt;0),"Dependent SSN also appears as an Employee SSN elsewhere; confirm dual-employee coverage is intentional; ","")&amp;IF(AND($B230&lt;&gt;"",COUNTIF($B$2:$B$501,$B230)&gt;COUNTIFS($A$2:$A$501,$A230,$B$2:$B$501,$B230)),"Dependent SSN appears under more than one employee; confirm duplicate family coverage is intentional; ","")&amp;IF(AND(ROW()&gt;2,$A230&lt;&gt;"",$A230&lt;&gt;$A229,COUNTIF($A$2:$A229,$A230)&gt;0),"This household appears in more than one section of the census; keep the family together; ","")&amp;IF(OR(AND($C230&lt;&gt;"",LEN($C230&amp;"")&lt;&gt;LEN(TRIM($C230&amp;""))),AND($D230&lt;&gt;"",LEN($D230&amp;"")&lt;&gt;LEN(TRIM($D230&amp;""))),AND($E230&lt;&gt;"",LEN($E230&amp;"")&lt;&gt;LEN(TRIM($E230&amp;""))),AND($F230&lt;&gt;"",LEN($F230&amp;"")&lt;&gt;LEN(TRIM($F230&amp;""))),AND($G230&lt;&gt;"",LEN($G230&amp;"")&lt;&gt;LEN(TRIM($G230&amp;""))),AND($H230&lt;&gt;"",LEN($H230&amp;"")&lt;&gt;LEN(TRIM($H230&amp;""))),AND($I230&lt;&gt;"",LEN($I230&amp;"")&lt;&gt;LEN(TRIM($I230&amp;""))),AND($J230&lt;&gt;"",LEN($J230&amp;"")&lt;&gt;LEN(TRIM($J230&amp;""))),AND($K230&lt;&gt;"",LEN($K230&amp;"")&lt;&gt;LEN(TRIM($K230&amp;""))),AND($M230&lt;&gt;"",LEN($M230&amp;"")&lt;&gt;LEN(TRIM($M230&amp;""))),AND($N230&lt;&gt;"",LEN($N230&amp;"")&lt;&gt;LEN(TRIM($N230&amp;""))),AND($O230&lt;&gt;"",LEN($O230&amp;"")&lt;&gt;LEN(TRIM($O230&amp;""))),AND($R230&lt;&gt;"",LEN($R230&amp;"")&lt;&gt;LEN(TRIM($R230&amp;""))),AND($S230&lt;&gt;"",LEN($S230&amp;"")&lt;&gt;LEN(TRIM($S230&amp;""))),AND($T230&lt;&gt;"",LEN($T230&amp;"")&lt;&gt;LEN(TRIM($T230&amp;"")))),"Remove leading or trailing spaces from text fields; ","")&amp;IF(OR(AND(LEN($C230)&gt;1,OR(EXACT($C230,UPPER($C230)),EXACT($C230,LOWER($C230)))),AND(LEN($D230)&gt;1,OR(EXACT($D230,UPPER($D230)),EXACT($D230,LOWER($D230)))),AND(LEN($H230)&gt;1,OR(EXACT($H230,UPPER($H230)),EXACT($H230,LOWER($H230))))),"Review capitalization in First Name, Last Name, or City; ","")&amp;IF(AND($N230&lt;&gt;"",NOT(EXACT($N230,LOWER($N230)))),"Email will be standardized to lowercase in the clean output; ","")&amp;IF(AND(OR('START HERE'!$C$8="Initial Enrollment",'START HERE'!$C$8="Open Enrollment"),$R230="Terminated"),"A terminated row is included in an initial or open enrollment file; confirm this is intentional; ",""))</f>
        <v/>
      </c>
      <c r="AE230">
        <f>IF(COUNTA($A230:$U230)=0,"",IF(OR($A230="",AND($A230&lt;&gt;"",NOT(IFERROR(AND(LEN($A230&amp;"")=9,ISNUMBER(--($A230&amp;""))),FALSE))),AND($A230&lt;&gt;"",OR($A230="123456789",$A230="987654321",$A230="012345678",$A230=REPT(LEFT($A230&amp;"",1),9)))),"Employee SSN, ","")&amp;IF(OR(AND($O230&lt;&gt;"",$B230=""),AND($B230&lt;&gt;"",OR(NOT(IFERROR(AND(LEN($B230&amp;"")=9,ISNUMBER(--($B230&amp;""))),FALSE)),$B230=$A230,$B230="123456789",$B230="987654321",$B230="012345678",$B230=REPT(LEFT($B230&amp;"",1),9)))),"Dependent SSN, ","")&amp;IF(OR($C230="",LEN($C230)&gt;19,AND($C230&lt;&gt;"",SUMPRODUCT(--(ROW($1:$19)&lt;=LEN($C230&amp;"")),--ISERROR(FIND(MID($C230&amp;"",ROW($1:$19),1),"ABCDEFGHIJKLMNOPQRSTUVWXYZabcdefghijklmnopqrstuvwxyz .,")))&gt;0)),"First Name, ","")&amp;IF(OR($D230="",LEN($D230)&gt;26,AND($D230&lt;&gt;"",SUMPRODUCT(--(ROW($1:$26)&lt;=LEN($D230&amp;"")),--ISERROR(FIND(MID($D230&amp;"",ROW($1:$26),1),"ABCDEFGHIJKLMNOPQRSTUVWXYZabcdefghijklmnopqrstuvwxyz .,")))&gt;0)),"Last Name, ","")&amp;IF(OR(LEN($E230)&gt;1,AND($E230&lt;&gt;"",SUMPRODUCT(--(ROW($1:$1)&lt;=LEN($E230&amp;"")),--ISERROR(FIND(MID($E230&amp;"",ROW($1:$1),1),"ABCDEFGHIJKLMNOPQRSTUVWXYZabcdefghijklmnopqrstuvwxyz .,")))&gt;0)),"Middle Initial, ","")&amp;IF(OR($F230="",LEN($F230)&gt;75),"Address, ","")&amp;IF(OR($H230="",LEN($H230)&gt;30),"City, ","")&amp;IF(AND($K230="US",OR($I230="",LEN($I230)&lt;&gt;2)),"State, ","")&amp;IF($J230="","ZIP, ","")&amp;IF(OR($K230="",AND($K230&lt;&gt;"US",$K230&lt;&gt;"CA")),"Country, ","")&amp;IF(OR($L230="",AND($L230&lt;&gt;"",OR(NOT(ISNUMBER($L230)),$L230&lt;=DATE(1900,1,1),$L230&gt;TODAY()))),"Birthdate, ","")&amp;IF(AND($N230&lt;&gt;"",NOT(IFERROR(AND(ISNUMBER(SEARCH("@",$N230)),ISNUMBER(SEARCH(".",$N230,SEARCH("@",$N230)+2))),FALSE))),"Email, ","")&amp;IF(OR(AND($B230&lt;&gt;"",$O230=""),AND($O230&lt;&gt;"",$O230&lt;&gt;"Spouse or Common Law Spouse",$O230&lt;&gt;"Domestic Partner",$O230&lt;&gt;"Child",$O230&lt;&gt;"Other",$O230&lt;&gt;"Estate",$O230&lt;&gt;"Unknown")),"Dependent Relationship, ","")&amp;IF($AA230&lt;&gt;"","Household, ","")&amp;IF(OR($P230="",AND($P230&lt;&gt;"",OR(NOT(ISNUMBER($P230)),$P230&lt;=DATE(1900,1,1)))),"Eligibility Date, ","")&amp;IF(OR(AND($R230="Terminated",$Q230=""),AND($Q230&lt;&gt;"",OR(NOT(ISNUMBER($Q230)),$Q230&lt;=DATE(1900,1,1))),AND(ISNUMBER($P230),ISNUMBER($Q230),$Q230&lt;$P230)),"Termination Date, ","")&amp;IF(OR($R230="",AND($R230&lt;&gt;"Active",$R230&lt;&gt;"Terminated"),AND('START HERE'!$C$8="Terminations Only",$R230&lt;&gt;"Terminated")),"Status, ","")&amp;IF($S230="","Plan Name, ","")&amp;IF($T230="","Coverage Level, ","")&amp;IF(AND($U230&lt;&gt;"",OR(NOT(ISNUMBER($U230)),$U230&lt;0)),"Funding, ","")&amp;IF(AND($A230&lt;&gt;"",$S230&lt;&gt;"",COUNTIFS($A$2:$A$501,$A230,$B$2:$B$501,$B230,$S$2:$S$501,$S230)&gt;1),"Duplicate Row, ",""))</f>
        <v/>
      </c>
      <c r="AF230">
        <f>IF(COUNTA($A230:$U230)=0,"",$Y230&amp;$Z230&amp;$AA230&amp;$AB230&amp;$AC230)</f>
        <v/>
      </c>
      <c r="AG230">
        <f>IF($N230="","",LOWER(TRIM($N230)))</f>
        <v/>
      </c>
      <c r="AH230">
        <f>IF($A230="","",COUNTIFS($A$2:$A$501,$A230,$AI$2:$AI$501,1))</f>
        <v/>
      </c>
      <c r="AI230">
        <f>IF(COUNTA($A230:$U230)=0,"",--($AF230&lt;&gt;""))</f>
        <v/>
      </c>
      <c r="AJ230">
        <f>IF(COUNTA($A230:$U230)=0,"",--($AD230&lt;&gt;""))</f>
        <v/>
      </c>
    </row>
    <row r="231" ht="20" customHeight="1">
      <c r="A231" s="80" t="n"/>
      <c r="B231" s="80" t="n"/>
      <c r="C231" s="81" t="n"/>
      <c r="D231" s="81" t="n"/>
      <c r="E231" s="80" t="n"/>
      <c r="F231" s="81" t="n"/>
      <c r="G231" s="81" t="n"/>
      <c r="H231" s="81" t="n"/>
      <c r="I231" s="80" t="n"/>
      <c r="J231" s="80" t="n"/>
      <c r="K231" s="80" t="n"/>
      <c r="L231" s="82" t="n"/>
      <c r="M231" s="80" t="n"/>
      <c r="N231" s="80" t="n"/>
      <c r="O231" s="80" t="n"/>
      <c r="P231" s="82" t="n"/>
      <c r="Q231" s="82" t="n"/>
      <c r="R231" s="80" t="n"/>
      <c r="S231" s="80" t="n"/>
      <c r="T231" s="80" t="n"/>
      <c r="U231" s="83" t="n"/>
      <c r="V231">
        <f>IF($A231="","",IF($A231=$A230,$V230,IF($V230="",0,1-$V230)))</f>
        <v/>
      </c>
      <c r="W231">
        <f>IF($B231&lt;&gt;"",$B231,$A231)</f>
        <v/>
      </c>
      <c r="X231">
        <f>IF(COUNTA($A231:$U231)=0,"",IF(OR($B231&lt;&gt;"",$O231&lt;&gt;""),"Dependent","Employee"))</f>
        <v/>
      </c>
      <c r="Y231">
        <f>IF(COUNTA($A231:$U231)=0,"",IF($A231="","Employee SSN is required; ","")&amp;IF($C231="","First Name is required; ","")&amp;IF(LEN($C231&amp;"")&gt;19,"First Name exceeds 19 characters; ","")&amp;IF(AND($C231&lt;&gt;"",SUMPRODUCT(--(ROW($1:$19)&lt;=LEN($C231&amp;"")),--ISERROR(FIND(MID($C231&amp;"",ROW($1:$19),1),"ABCDEFGHIJKLMNOPQRSTUVWXYZabcdefghijklmnopqrstuvwxyz .,")))&gt;0),"First Name contains unsupported or encoded characters; use plain A-Z letters only; ","")&amp;IF($D231="","Last Name is required; ","")&amp;IF(LEN($D231&amp;"")&gt;26,"Last Name exceeds 26 characters; ","")&amp;IF(AND($D231&lt;&gt;"",SUMPRODUCT(--(ROW($1:$26)&lt;=LEN($D231&amp;"")),--ISERROR(FIND(MID($D231&amp;"",ROW($1:$26),1),"ABCDEFGHIJKLMNOPQRSTUVWXYZabcdefghijklmnopqrstuvwxyz .,")))&gt;0),"Last Name contains unsupported or encoded characters; use plain A-Z letters only; ","")&amp;IF(LEN($E231&amp;"")&gt;1,"Middle Initial may contain only one character; ","")&amp;IF(AND($E231&lt;&gt;"",SUMPRODUCT(--(ROW($1:$1)&lt;=LEN($E231&amp;"")),--ISERROR(FIND(MID($E231&amp;"",ROW($1:$1),1),"ABCDEFGHIJKLMNOPQRSTUVWXYZabcdefghijklmnopqrstuvwxyz .,")))&gt;0),"Middle Initial must be a plain A-Z letter; ","")&amp;IF($F231="","Address is required; ","")&amp;IF(LEN($F231&amp;"")&gt;75,"Address exceeds 75 characters; ","")&amp;IF(LEN($G231&amp;"")&gt;75,"Address 2 exceeds 75 characters; ","")&amp;IF($H231="","City is required; ","")&amp;IF(LEN($H231&amp;"")&gt;30,"City exceeds 30 characters; ","")&amp;IF($K231="","Country is required; ","")&amp;IF(AND($K231&lt;&gt;"",$K231&lt;&gt;"US",$K231&lt;&gt;"CA"),"Country must be US or CA; ","")&amp;IF(AND($K231="US",OR($I231="",LEN($I231&amp;"")&lt;&gt;2)),"Use a 2-letter state code; ","")&amp;IF($J231="","ZIP or postal code is required; ","")&amp;IF(AND($K231="US",$J231&lt;&gt;"",NOT(IFERROR(OR(AND(LEN($J231&amp;"")=5,ISNUMBER(--($J231&amp;""))),AND(LEN($J231&amp;"")=9,ISNUMBER(--($J231&amp;""))),AND(LEN($J231&amp;"")=10,MID($J231&amp;"",6,1)="-",ISNUMBER(--SUBSTITUTE($J231&amp;"","-","")))),FALSE))),"US ZIP must be 5 or 9 digits, with an optional ZIP+4 hyphen; ","")&amp;IF(AND($N231&lt;&gt;"",NOT(IFERROR(AND(ISNUMBER(SEARCH("@",$N231)),ISNUMBER(SEARCH(".",$N231,SEARCH("@",$N231)+2))),FALSE))),"Email format appears invalid; ","")&amp;IF(AND($O231&lt;&gt;"",$B231=""),"Dependent SSN is required for every dependent; ","")&amp;IF(AND($B231&lt;&gt;"",$O231=""),"Dependent Relationship is required when Dependent SSN is entered; ","")&amp;IF(AND($O231&lt;&gt;"",$O231&lt;&gt;"Spouse or Common Law Spouse",$O231&lt;&gt;"Domestic Partner",$O231&lt;&gt;"Child",$O231&lt;&gt;"Other",$O231&lt;&gt;"Estate",$O231&lt;&gt;"Unknown"),"Dependent Relationship must use one of the approved options; ",""))</f>
        <v/>
      </c>
      <c r="Z231">
        <f>IF(COUNTA($A231:$U231)=0,"",IF(AND($A231&lt;&gt;"",NOT(IFERROR(AND(LEN($A231&amp;"")=9,ISNUMBER(--($A231&amp;""))),FALSE))),"Employee SSN must contain exactly 9 digits; ","")&amp;IF(AND($A231&lt;&gt;"",OR($A231="123456789",$A231="987654321",$A231="012345678",$A231=REPT(LEFT($A231&amp;"",1),9))),"Employee SSN appears to be a placeholder; ","")&amp;IF(AND($B231&lt;&gt;"",NOT(IFERROR(AND(LEN($B231&amp;"")=9,ISNUMBER(--($B231&amp;""))),FALSE))),"Dependent SSN must contain exactly 9 digits; ","")&amp;IF(AND($B231&lt;&gt;"",OR($B231="123456789",$B231="987654321",$B231="012345678",$B231=REPT(LEFT($B231&amp;"",1),9))),"Dependent SSN appears to be a placeholder; ","")&amp;IF(AND($A231&lt;&gt;"",$B231&lt;&gt;"",$A231&amp;""=$B231&amp;""),"Dependent SSN cannot match Employee SSN; ","")&amp;IF(AND($W231&lt;&gt;"",OR(COUNTIFS($W$2:$W$501,$W231,$C$2:$C$501,"&lt;&gt;"&amp;$C231)&gt;0,COUNTIFS($W$2:$W$501,$W231,$D$2:$D$501,"&lt;&gt;"&amp;$D231)&gt;0,COUNTIFS($W$2:$W$501,$W231,$L$2:$L$501,"&lt;&gt;"&amp;$L231)&gt;0)),"The same SSN is associated with a different name or birthdate; ",""))</f>
        <v/>
      </c>
      <c r="AA231">
        <f>IF(COUNTA($A231:$U231)=0,"",IF(AND($A231&lt;&gt;"",$S231&lt;&gt;"",COUNTIFS($A$2:$A$501,$A231,$S$2:$S$501,$S231,$B$2:$B$501,"",$O$2:$O$501,"")=0),"Add an employee row for this household and plan; ","")&amp;IF(AND($X231="Dependent",COUNTIFS($A$2:$A231,$A231,$S$2:$S231,$S231,$B$2:$B231,"",$O$2:$O231,"")=0),"Place the employee row before dependent rows for this plan; ","")&amp;IF(AND($X231="Dependent",COUNTIFS($A$2:$A$501,$A231,$S$2:$S$501,$S231,$B$2:$B$501,"",$O$2:$O$501,"")&gt;0,IFERROR(OR($P231&lt;&gt;LOOKUP(2,1/(($A$2:$A$501=$A231)*($S$2:$S$501=$S231)*($B$2:$B$501="")*($O$2:$O$501="")),$P$2:$P$501),$Q231&lt;&gt;LOOKUP(2,1/(($A$2:$A$501=$A231)*($S$2:$S$501=$S231)*($B$2:$B$501="")*($O$2:$O$501="")),$Q$2:$Q$501),$R231&lt;&gt;LOOKUP(2,1/(($A$2:$A$501=$A231)*($S$2:$S$501=$S231)*($B$2:$B$501="")*($O$2:$O$501="")),$R$2:$R$501),$T231&lt;&gt;LOOKUP(2,1/(($A$2:$A$501=$A231)*($S$2:$S$501=$S231)*($B$2:$B$501="")*($O$2:$O$501="")),$T$2:$T$501),$U231&lt;&gt;LOOKUP(2,1/(($A$2:$A$501=$A231)*($S$2:$S$501=$S231)*($B$2:$B$501="")*($O$2:$O$501="")),$U$2:$U$501)),FALSE)),"Dependent row does not match the employee row for eligibility, status, coverage level, or funding; ",""))</f>
        <v/>
      </c>
      <c r="AB231">
        <f>IF(COUNTA($A231:$U231)=0,"",IF($L231="","Birthdate is required; ","")&amp;IF(AND($L231&lt;&gt;"",OR(NOT(ISNUMBER($L231)),$L231&lt;=DATE(1900,1,1),$L231&gt;TODAY())),"Birthdate must be an exact valid past date; ","")&amp;IF($P231="","Eligibility Date is required; ","")&amp;IF(AND($P231&lt;&gt;"",OR(NOT(ISNUMBER($P231)),$P231&lt;=DATE(1900,1,1))),"Eligibility Date must be a valid date; ","")&amp;IF(AND($R231="Terminated",$Q231=""),"Termination Date is required when Status is Terminated; ","")&amp;IF(AND($Q231&lt;&gt;"",OR(NOT(ISNUMBER($Q231)),$Q231&lt;=DATE(1900,1,1))),"Termination Date must be a valid date; ","")&amp;IF(AND(ISNUMBER($P231),ISNUMBER($Q231),$Q231&lt;$P231),"Termination Date cannot be before Eligibility Date; ","")&amp;IF($R231="","Status is required; ","")&amp;IF(AND($R231&lt;&gt;"",$R231&lt;&gt;"Active",$R231&lt;&gt;"Terminated"),"Status must be Active or Terminated; ","")&amp;IF(AND('START HERE'!$C$8="Terminations Only",$R231&lt;&gt;"Terminated"),"Terminations Only files must contain terminated records; ",""))</f>
        <v/>
      </c>
      <c r="AC231">
        <f>IF(COUNTA($A231:$U231)=0,"",IF($S231="","Plan Name is required; ","")&amp;IF($T231="","Benefit Coverage Level is required; ","")&amp;IF(AND($U231&lt;&gt;"",OR(NOT(ISNUMBER($U231)),$U231&lt;0)),"Plan Funding Amount must be a nonnegative number; ","")&amp;IF(AND($A231&lt;&gt;"",$S231&lt;&gt;"",COUNTIFS($A$2:$A$501,$A231,$B$2:$B$501,$B231,$S$2:$S$501,$S231)&gt;1),"Duplicate participant and plan row; ",""))</f>
        <v/>
      </c>
      <c r="AD231">
        <f>IF(COUNTA($A231:$U231)=0,"",IF(AND($X231="Employee",$M231="",$N231=""),"No employee phone or email provided; ","")&amp;IF(AND($R231="Active",$Q231&lt;&gt;""),"Active record includes a Termination Date; confirm this is intentional; ","")&amp;IF(AND($B231&lt;&gt;"",$B231&amp;""&lt;&gt;$A231&amp;"",COUNTIF($A$2:$A$501,$B231)&gt;0),"Dependent SSN also appears as an Employee SSN elsewhere; confirm dual-employee coverage is intentional; ","")&amp;IF(AND($B231&lt;&gt;"",COUNTIF($B$2:$B$501,$B231)&gt;COUNTIFS($A$2:$A$501,$A231,$B$2:$B$501,$B231)),"Dependent SSN appears under more than one employee; confirm duplicate family coverage is intentional; ","")&amp;IF(AND(ROW()&gt;2,$A231&lt;&gt;"",$A231&lt;&gt;$A230,COUNTIF($A$2:$A230,$A231)&gt;0),"This household appears in more than one section of the census; keep the family together; ","")&amp;IF(OR(AND($C231&lt;&gt;"",LEN($C231&amp;"")&lt;&gt;LEN(TRIM($C231&amp;""))),AND($D231&lt;&gt;"",LEN($D231&amp;"")&lt;&gt;LEN(TRIM($D231&amp;""))),AND($E231&lt;&gt;"",LEN($E231&amp;"")&lt;&gt;LEN(TRIM($E231&amp;""))),AND($F231&lt;&gt;"",LEN($F231&amp;"")&lt;&gt;LEN(TRIM($F231&amp;""))),AND($G231&lt;&gt;"",LEN($G231&amp;"")&lt;&gt;LEN(TRIM($G231&amp;""))),AND($H231&lt;&gt;"",LEN($H231&amp;"")&lt;&gt;LEN(TRIM($H231&amp;""))),AND($I231&lt;&gt;"",LEN($I231&amp;"")&lt;&gt;LEN(TRIM($I231&amp;""))),AND($J231&lt;&gt;"",LEN($J231&amp;"")&lt;&gt;LEN(TRIM($J231&amp;""))),AND($K231&lt;&gt;"",LEN($K231&amp;"")&lt;&gt;LEN(TRIM($K231&amp;""))),AND($M231&lt;&gt;"",LEN($M231&amp;"")&lt;&gt;LEN(TRIM($M231&amp;""))),AND($N231&lt;&gt;"",LEN($N231&amp;"")&lt;&gt;LEN(TRIM($N231&amp;""))),AND($O231&lt;&gt;"",LEN($O231&amp;"")&lt;&gt;LEN(TRIM($O231&amp;""))),AND($R231&lt;&gt;"",LEN($R231&amp;"")&lt;&gt;LEN(TRIM($R231&amp;""))),AND($S231&lt;&gt;"",LEN($S231&amp;"")&lt;&gt;LEN(TRIM($S231&amp;""))),AND($T231&lt;&gt;"",LEN($T231&amp;"")&lt;&gt;LEN(TRIM($T231&amp;"")))),"Remove leading or trailing spaces from text fields; ","")&amp;IF(OR(AND(LEN($C231)&gt;1,OR(EXACT($C231,UPPER($C231)),EXACT($C231,LOWER($C231)))),AND(LEN($D231)&gt;1,OR(EXACT($D231,UPPER($D231)),EXACT($D231,LOWER($D231)))),AND(LEN($H231)&gt;1,OR(EXACT($H231,UPPER($H231)),EXACT($H231,LOWER($H231))))),"Review capitalization in First Name, Last Name, or City; ","")&amp;IF(AND($N231&lt;&gt;"",NOT(EXACT($N231,LOWER($N231)))),"Email will be standardized to lowercase in the clean output; ","")&amp;IF(AND(OR('START HERE'!$C$8="Initial Enrollment",'START HERE'!$C$8="Open Enrollment"),$R231="Terminated"),"A terminated row is included in an initial or open enrollment file; confirm this is intentional; ",""))</f>
        <v/>
      </c>
      <c r="AE231">
        <f>IF(COUNTA($A231:$U231)=0,"",IF(OR($A231="",AND($A231&lt;&gt;"",NOT(IFERROR(AND(LEN($A231&amp;"")=9,ISNUMBER(--($A231&amp;""))),FALSE))),AND($A231&lt;&gt;"",OR($A231="123456789",$A231="987654321",$A231="012345678",$A231=REPT(LEFT($A231&amp;"",1),9)))),"Employee SSN, ","")&amp;IF(OR(AND($O231&lt;&gt;"",$B231=""),AND($B231&lt;&gt;"",OR(NOT(IFERROR(AND(LEN($B231&amp;"")=9,ISNUMBER(--($B231&amp;""))),FALSE)),$B231=$A231,$B231="123456789",$B231="987654321",$B231="012345678",$B231=REPT(LEFT($B231&amp;"",1),9)))),"Dependent SSN, ","")&amp;IF(OR($C231="",LEN($C231)&gt;19,AND($C231&lt;&gt;"",SUMPRODUCT(--(ROW($1:$19)&lt;=LEN($C231&amp;"")),--ISERROR(FIND(MID($C231&amp;"",ROW($1:$19),1),"ABCDEFGHIJKLMNOPQRSTUVWXYZabcdefghijklmnopqrstuvwxyz .,")))&gt;0)),"First Name, ","")&amp;IF(OR($D231="",LEN($D231)&gt;26,AND($D231&lt;&gt;"",SUMPRODUCT(--(ROW($1:$26)&lt;=LEN($D231&amp;"")),--ISERROR(FIND(MID($D231&amp;"",ROW($1:$26),1),"ABCDEFGHIJKLMNOPQRSTUVWXYZabcdefghijklmnopqrstuvwxyz .,")))&gt;0)),"Last Name, ","")&amp;IF(OR(LEN($E231)&gt;1,AND($E231&lt;&gt;"",SUMPRODUCT(--(ROW($1:$1)&lt;=LEN($E231&amp;"")),--ISERROR(FIND(MID($E231&amp;"",ROW($1:$1),1),"ABCDEFGHIJKLMNOPQRSTUVWXYZabcdefghijklmnopqrstuvwxyz .,")))&gt;0)),"Middle Initial, ","")&amp;IF(OR($F231="",LEN($F231)&gt;75),"Address, ","")&amp;IF(OR($H231="",LEN($H231)&gt;30),"City, ","")&amp;IF(AND($K231="US",OR($I231="",LEN($I231)&lt;&gt;2)),"State, ","")&amp;IF($J231="","ZIP, ","")&amp;IF(OR($K231="",AND($K231&lt;&gt;"US",$K231&lt;&gt;"CA")),"Country, ","")&amp;IF(OR($L231="",AND($L231&lt;&gt;"",OR(NOT(ISNUMBER($L231)),$L231&lt;=DATE(1900,1,1),$L231&gt;TODAY()))),"Birthdate, ","")&amp;IF(AND($N231&lt;&gt;"",NOT(IFERROR(AND(ISNUMBER(SEARCH("@",$N231)),ISNUMBER(SEARCH(".",$N231,SEARCH("@",$N231)+2))),FALSE))),"Email, ","")&amp;IF(OR(AND($B231&lt;&gt;"",$O231=""),AND($O231&lt;&gt;"",$O231&lt;&gt;"Spouse or Common Law Spouse",$O231&lt;&gt;"Domestic Partner",$O231&lt;&gt;"Child",$O231&lt;&gt;"Other",$O231&lt;&gt;"Estate",$O231&lt;&gt;"Unknown")),"Dependent Relationship, ","")&amp;IF($AA231&lt;&gt;"","Household, ","")&amp;IF(OR($P231="",AND($P231&lt;&gt;"",OR(NOT(ISNUMBER($P231)),$P231&lt;=DATE(1900,1,1)))),"Eligibility Date, ","")&amp;IF(OR(AND($R231="Terminated",$Q231=""),AND($Q231&lt;&gt;"",OR(NOT(ISNUMBER($Q231)),$Q231&lt;=DATE(1900,1,1))),AND(ISNUMBER($P231),ISNUMBER($Q231),$Q231&lt;$P231)),"Termination Date, ","")&amp;IF(OR($R231="",AND($R231&lt;&gt;"Active",$R231&lt;&gt;"Terminated"),AND('START HERE'!$C$8="Terminations Only",$R231&lt;&gt;"Terminated")),"Status, ","")&amp;IF($S231="","Plan Name, ","")&amp;IF($T231="","Coverage Level, ","")&amp;IF(AND($U231&lt;&gt;"",OR(NOT(ISNUMBER($U231)),$U231&lt;0)),"Funding, ","")&amp;IF(AND($A231&lt;&gt;"",$S231&lt;&gt;"",COUNTIFS($A$2:$A$501,$A231,$B$2:$B$501,$B231,$S$2:$S$501,$S231)&gt;1),"Duplicate Row, ",""))</f>
        <v/>
      </c>
      <c r="AF231">
        <f>IF(COUNTA($A231:$U231)=0,"",$Y231&amp;$Z231&amp;$AA231&amp;$AB231&amp;$AC231)</f>
        <v/>
      </c>
      <c r="AG231">
        <f>IF($N231="","",LOWER(TRIM($N231)))</f>
        <v/>
      </c>
      <c r="AH231">
        <f>IF($A231="","",COUNTIFS($A$2:$A$501,$A231,$AI$2:$AI$501,1))</f>
        <v/>
      </c>
      <c r="AI231">
        <f>IF(COUNTA($A231:$U231)=0,"",--($AF231&lt;&gt;""))</f>
        <v/>
      </c>
      <c r="AJ231">
        <f>IF(COUNTA($A231:$U231)=0,"",--($AD231&lt;&gt;""))</f>
        <v/>
      </c>
    </row>
    <row r="232" ht="20" customHeight="1">
      <c r="A232" s="80" t="n"/>
      <c r="B232" s="80" t="n"/>
      <c r="C232" s="81" t="n"/>
      <c r="D232" s="81" t="n"/>
      <c r="E232" s="80" t="n"/>
      <c r="F232" s="81" t="n"/>
      <c r="G232" s="81" t="n"/>
      <c r="H232" s="81" t="n"/>
      <c r="I232" s="80" t="n"/>
      <c r="J232" s="80" t="n"/>
      <c r="K232" s="80" t="n"/>
      <c r="L232" s="82" t="n"/>
      <c r="M232" s="80" t="n"/>
      <c r="N232" s="80" t="n"/>
      <c r="O232" s="80" t="n"/>
      <c r="P232" s="82" t="n"/>
      <c r="Q232" s="82" t="n"/>
      <c r="R232" s="80" t="n"/>
      <c r="S232" s="80" t="n"/>
      <c r="T232" s="80" t="n"/>
      <c r="U232" s="83" t="n"/>
      <c r="V232">
        <f>IF($A232="","",IF($A232=$A231,$V231,IF($V231="",0,1-$V231)))</f>
        <v/>
      </c>
      <c r="W232">
        <f>IF($B232&lt;&gt;"",$B232,$A232)</f>
        <v/>
      </c>
      <c r="X232">
        <f>IF(COUNTA($A232:$U232)=0,"",IF(OR($B232&lt;&gt;"",$O232&lt;&gt;""),"Dependent","Employee"))</f>
        <v/>
      </c>
      <c r="Y232">
        <f>IF(COUNTA($A232:$U232)=0,"",IF($A232="","Employee SSN is required; ","")&amp;IF($C232="","First Name is required; ","")&amp;IF(LEN($C232&amp;"")&gt;19,"First Name exceeds 19 characters; ","")&amp;IF(AND($C232&lt;&gt;"",SUMPRODUCT(--(ROW($1:$19)&lt;=LEN($C232&amp;"")),--ISERROR(FIND(MID($C232&amp;"",ROW($1:$19),1),"ABCDEFGHIJKLMNOPQRSTUVWXYZabcdefghijklmnopqrstuvwxyz .,")))&gt;0),"First Name contains unsupported or encoded characters; use plain A-Z letters only; ","")&amp;IF($D232="","Last Name is required; ","")&amp;IF(LEN($D232&amp;"")&gt;26,"Last Name exceeds 26 characters; ","")&amp;IF(AND($D232&lt;&gt;"",SUMPRODUCT(--(ROW($1:$26)&lt;=LEN($D232&amp;"")),--ISERROR(FIND(MID($D232&amp;"",ROW($1:$26),1),"ABCDEFGHIJKLMNOPQRSTUVWXYZabcdefghijklmnopqrstuvwxyz .,")))&gt;0),"Last Name contains unsupported or encoded characters; use plain A-Z letters only; ","")&amp;IF(LEN($E232&amp;"")&gt;1,"Middle Initial may contain only one character; ","")&amp;IF(AND($E232&lt;&gt;"",SUMPRODUCT(--(ROW($1:$1)&lt;=LEN($E232&amp;"")),--ISERROR(FIND(MID($E232&amp;"",ROW($1:$1),1),"ABCDEFGHIJKLMNOPQRSTUVWXYZabcdefghijklmnopqrstuvwxyz .,")))&gt;0),"Middle Initial must be a plain A-Z letter; ","")&amp;IF($F232="","Address is required; ","")&amp;IF(LEN($F232&amp;"")&gt;75,"Address exceeds 75 characters; ","")&amp;IF(LEN($G232&amp;"")&gt;75,"Address 2 exceeds 75 characters; ","")&amp;IF($H232="","City is required; ","")&amp;IF(LEN($H232&amp;"")&gt;30,"City exceeds 30 characters; ","")&amp;IF($K232="","Country is required; ","")&amp;IF(AND($K232&lt;&gt;"",$K232&lt;&gt;"US",$K232&lt;&gt;"CA"),"Country must be US or CA; ","")&amp;IF(AND($K232="US",OR($I232="",LEN($I232&amp;"")&lt;&gt;2)),"Use a 2-letter state code; ","")&amp;IF($J232="","ZIP or postal code is required; ","")&amp;IF(AND($K232="US",$J232&lt;&gt;"",NOT(IFERROR(OR(AND(LEN($J232&amp;"")=5,ISNUMBER(--($J232&amp;""))),AND(LEN($J232&amp;"")=9,ISNUMBER(--($J232&amp;""))),AND(LEN($J232&amp;"")=10,MID($J232&amp;"",6,1)="-",ISNUMBER(--SUBSTITUTE($J232&amp;"","-","")))),FALSE))),"US ZIP must be 5 or 9 digits, with an optional ZIP+4 hyphen; ","")&amp;IF(AND($N232&lt;&gt;"",NOT(IFERROR(AND(ISNUMBER(SEARCH("@",$N232)),ISNUMBER(SEARCH(".",$N232,SEARCH("@",$N232)+2))),FALSE))),"Email format appears invalid; ","")&amp;IF(AND($O232&lt;&gt;"",$B232=""),"Dependent SSN is required for every dependent; ","")&amp;IF(AND($B232&lt;&gt;"",$O232=""),"Dependent Relationship is required when Dependent SSN is entered; ","")&amp;IF(AND($O232&lt;&gt;"",$O232&lt;&gt;"Spouse or Common Law Spouse",$O232&lt;&gt;"Domestic Partner",$O232&lt;&gt;"Child",$O232&lt;&gt;"Other",$O232&lt;&gt;"Estate",$O232&lt;&gt;"Unknown"),"Dependent Relationship must use one of the approved options; ",""))</f>
        <v/>
      </c>
      <c r="Z232">
        <f>IF(COUNTA($A232:$U232)=0,"",IF(AND($A232&lt;&gt;"",NOT(IFERROR(AND(LEN($A232&amp;"")=9,ISNUMBER(--($A232&amp;""))),FALSE))),"Employee SSN must contain exactly 9 digits; ","")&amp;IF(AND($A232&lt;&gt;"",OR($A232="123456789",$A232="987654321",$A232="012345678",$A232=REPT(LEFT($A232&amp;"",1),9))),"Employee SSN appears to be a placeholder; ","")&amp;IF(AND($B232&lt;&gt;"",NOT(IFERROR(AND(LEN($B232&amp;"")=9,ISNUMBER(--($B232&amp;""))),FALSE))),"Dependent SSN must contain exactly 9 digits; ","")&amp;IF(AND($B232&lt;&gt;"",OR($B232="123456789",$B232="987654321",$B232="012345678",$B232=REPT(LEFT($B232&amp;"",1),9))),"Dependent SSN appears to be a placeholder; ","")&amp;IF(AND($A232&lt;&gt;"",$B232&lt;&gt;"",$A232&amp;""=$B232&amp;""),"Dependent SSN cannot match Employee SSN; ","")&amp;IF(AND($W232&lt;&gt;"",OR(COUNTIFS($W$2:$W$501,$W232,$C$2:$C$501,"&lt;&gt;"&amp;$C232)&gt;0,COUNTIFS($W$2:$W$501,$W232,$D$2:$D$501,"&lt;&gt;"&amp;$D232)&gt;0,COUNTIFS($W$2:$W$501,$W232,$L$2:$L$501,"&lt;&gt;"&amp;$L232)&gt;0)),"The same SSN is associated with a different name or birthdate; ",""))</f>
        <v/>
      </c>
      <c r="AA232">
        <f>IF(COUNTA($A232:$U232)=0,"",IF(AND($A232&lt;&gt;"",$S232&lt;&gt;"",COUNTIFS($A$2:$A$501,$A232,$S$2:$S$501,$S232,$B$2:$B$501,"",$O$2:$O$501,"")=0),"Add an employee row for this household and plan; ","")&amp;IF(AND($X232="Dependent",COUNTIFS($A$2:$A232,$A232,$S$2:$S232,$S232,$B$2:$B232,"",$O$2:$O232,"")=0),"Place the employee row before dependent rows for this plan; ","")&amp;IF(AND($X232="Dependent",COUNTIFS($A$2:$A$501,$A232,$S$2:$S$501,$S232,$B$2:$B$501,"",$O$2:$O$501,"")&gt;0,IFERROR(OR($P232&lt;&gt;LOOKUP(2,1/(($A$2:$A$501=$A232)*($S$2:$S$501=$S232)*($B$2:$B$501="")*($O$2:$O$501="")),$P$2:$P$501),$Q232&lt;&gt;LOOKUP(2,1/(($A$2:$A$501=$A232)*($S$2:$S$501=$S232)*($B$2:$B$501="")*($O$2:$O$501="")),$Q$2:$Q$501),$R232&lt;&gt;LOOKUP(2,1/(($A$2:$A$501=$A232)*($S$2:$S$501=$S232)*($B$2:$B$501="")*($O$2:$O$501="")),$R$2:$R$501),$T232&lt;&gt;LOOKUP(2,1/(($A$2:$A$501=$A232)*($S$2:$S$501=$S232)*($B$2:$B$501="")*($O$2:$O$501="")),$T$2:$T$501),$U232&lt;&gt;LOOKUP(2,1/(($A$2:$A$501=$A232)*($S$2:$S$501=$S232)*($B$2:$B$501="")*($O$2:$O$501="")),$U$2:$U$501)),FALSE)),"Dependent row does not match the employee row for eligibility, status, coverage level, or funding; ",""))</f>
        <v/>
      </c>
      <c r="AB232">
        <f>IF(COUNTA($A232:$U232)=0,"",IF($L232="","Birthdate is required; ","")&amp;IF(AND($L232&lt;&gt;"",OR(NOT(ISNUMBER($L232)),$L232&lt;=DATE(1900,1,1),$L232&gt;TODAY())),"Birthdate must be an exact valid past date; ","")&amp;IF($P232="","Eligibility Date is required; ","")&amp;IF(AND($P232&lt;&gt;"",OR(NOT(ISNUMBER($P232)),$P232&lt;=DATE(1900,1,1))),"Eligibility Date must be a valid date; ","")&amp;IF(AND($R232="Terminated",$Q232=""),"Termination Date is required when Status is Terminated; ","")&amp;IF(AND($Q232&lt;&gt;"",OR(NOT(ISNUMBER($Q232)),$Q232&lt;=DATE(1900,1,1))),"Termination Date must be a valid date; ","")&amp;IF(AND(ISNUMBER($P232),ISNUMBER($Q232),$Q232&lt;$P232),"Termination Date cannot be before Eligibility Date; ","")&amp;IF($R232="","Status is required; ","")&amp;IF(AND($R232&lt;&gt;"",$R232&lt;&gt;"Active",$R232&lt;&gt;"Terminated"),"Status must be Active or Terminated; ","")&amp;IF(AND('START HERE'!$C$8="Terminations Only",$R232&lt;&gt;"Terminated"),"Terminations Only files must contain terminated records; ",""))</f>
        <v/>
      </c>
      <c r="AC232">
        <f>IF(COUNTA($A232:$U232)=0,"",IF($S232="","Plan Name is required; ","")&amp;IF($T232="","Benefit Coverage Level is required; ","")&amp;IF(AND($U232&lt;&gt;"",OR(NOT(ISNUMBER($U232)),$U232&lt;0)),"Plan Funding Amount must be a nonnegative number; ","")&amp;IF(AND($A232&lt;&gt;"",$S232&lt;&gt;"",COUNTIFS($A$2:$A$501,$A232,$B$2:$B$501,$B232,$S$2:$S$501,$S232)&gt;1),"Duplicate participant and plan row; ",""))</f>
        <v/>
      </c>
      <c r="AD232">
        <f>IF(COUNTA($A232:$U232)=0,"",IF(AND($X232="Employee",$M232="",$N232=""),"No employee phone or email provided; ","")&amp;IF(AND($R232="Active",$Q232&lt;&gt;""),"Active record includes a Termination Date; confirm this is intentional; ","")&amp;IF(AND($B232&lt;&gt;"",$B232&amp;""&lt;&gt;$A232&amp;"",COUNTIF($A$2:$A$501,$B232)&gt;0),"Dependent SSN also appears as an Employee SSN elsewhere; confirm dual-employee coverage is intentional; ","")&amp;IF(AND($B232&lt;&gt;"",COUNTIF($B$2:$B$501,$B232)&gt;COUNTIFS($A$2:$A$501,$A232,$B$2:$B$501,$B232)),"Dependent SSN appears under more than one employee; confirm duplicate family coverage is intentional; ","")&amp;IF(AND(ROW()&gt;2,$A232&lt;&gt;"",$A232&lt;&gt;$A231,COUNTIF($A$2:$A231,$A232)&gt;0),"This household appears in more than one section of the census; keep the family together; ","")&amp;IF(OR(AND($C232&lt;&gt;"",LEN($C232&amp;"")&lt;&gt;LEN(TRIM($C232&amp;""))),AND($D232&lt;&gt;"",LEN($D232&amp;"")&lt;&gt;LEN(TRIM($D232&amp;""))),AND($E232&lt;&gt;"",LEN($E232&amp;"")&lt;&gt;LEN(TRIM($E232&amp;""))),AND($F232&lt;&gt;"",LEN($F232&amp;"")&lt;&gt;LEN(TRIM($F232&amp;""))),AND($G232&lt;&gt;"",LEN($G232&amp;"")&lt;&gt;LEN(TRIM($G232&amp;""))),AND($H232&lt;&gt;"",LEN($H232&amp;"")&lt;&gt;LEN(TRIM($H232&amp;""))),AND($I232&lt;&gt;"",LEN($I232&amp;"")&lt;&gt;LEN(TRIM($I232&amp;""))),AND($J232&lt;&gt;"",LEN($J232&amp;"")&lt;&gt;LEN(TRIM($J232&amp;""))),AND($K232&lt;&gt;"",LEN($K232&amp;"")&lt;&gt;LEN(TRIM($K232&amp;""))),AND($M232&lt;&gt;"",LEN($M232&amp;"")&lt;&gt;LEN(TRIM($M232&amp;""))),AND($N232&lt;&gt;"",LEN($N232&amp;"")&lt;&gt;LEN(TRIM($N232&amp;""))),AND($O232&lt;&gt;"",LEN($O232&amp;"")&lt;&gt;LEN(TRIM($O232&amp;""))),AND($R232&lt;&gt;"",LEN($R232&amp;"")&lt;&gt;LEN(TRIM($R232&amp;""))),AND($S232&lt;&gt;"",LEN($S232&amp;"")&lt;&gt;LEN(TRIM($S232&amp;""))),AND($T232&lt;&gt;"",LEN($T232&amp;"")&lt;&gt;LEN(TRIM($T232&amp;"")))),"Remove leading or trailing spaces from text fields; ","")&amp;IF(OR(AND(LEN($C232)&gt;1,OR(EXACT($C232,UPPER($C232)),EXACT($C232,LOWER($C232)))),AND(LEN($D232)&gt;1,OR(EXACT($D232,UPPER($D232)),EXACT($D232,LOWER($D232)))),AND(LEN($H232)&gt;1,OR(EXACT($H232,UPPER($H232)),EXACT($H232,LOWER($H232))))),"Review capitalization in First Name, Last Name, or City; ","")&amp;IF(AND($N232&lt;&gt;"",NOT(EXACT($N232,LOWER($N232)))),"Email will be standardized to lowercase in the clean output; ","")&amp;IF(AND(OR('START HERE'!$C$8="Initial Enrollment",'START HERE'!$C$8="Open Enrollment"),$R232="Terminated"),"A terminated row is included in an initial or open enrollment file; confirm this is intentional; ",""))</f>
        <v/>
      </c>
      <c r="AE232">
        <f>IF(COUNTA($A232:$U232)=0,"",IF(OR($A232="",AND($A232&lt;&gt;"",NOT(IFERROR(AND(LEN($A232&amp;"")=9,ISNUMBER(--($A232&amp;""))),FALSE))),AND($A232&lt;&gt;"",OR($A232="123456789",$A232="987654321",$A232="012345678",$A232=REPT(LEFT($A232&amp;"",1),9)))),"Employee SSN, ","")&amp;IF(OR(AND($O232&lt;&gt;"",$B232=""),AND($B232&lt;&gt;"",OR(NOT(IFERROR(AND(LEN($B232&amp;"")=9,ISNUMBER(--($B232&amp;""))),FALSE)),$B232=$A232,$B232="123456789",$B232="987654321",$B232="012345678",$B232=REPT(LEFT($B232&amp;"",1),9)))),"Dependent SSN, ","")&amp;IF(OR($C232="",LEN($C232)&gt;19,AND($C232&lt;&gt;"",SUMPRODUCT(--(ROW($1:$19)&lt;=LEN($C232&amp;"")),--ISERROR(FIND(MID($C232&amp;"",ROW($1:$19),1),"ABCDEFGHIJKLMNOPQRSTUVWXYZabcdefghijklmnopqrstuvwxyz .,")))&gt;0)),"First Name, ","")&amp;IF(OR($D232="",LEN($D232)&gt;26,AND($D232&lt;&gt;"",SUMPRODUCT(--(ROW($1:$26)&lt;=LEN($D232&amp;"")),--ISERROR(FIND(MID($D232&amp;"",ROW($1:$26),1),"ABCDEFGHIJKLMNOPQRSTUVWXYZabcdefghijklmnopqrstuvwxyz .,")))&gt;0)),"Last Name, ","")&amp;IF(OR(LEN($E232)&gt;1,AND($E232&lt;&gt;"",SUMPRODUCT(--(ROW($1:$1)&lt;=LEN($E232&amp;"")),--ISERROR(FIND(MID($E232&amp;"",ROW($1:$1),1),"ABCDEFGHIJKLMNOPQRSTUVWXYZabcdefghijklmnopqrstuvwxyz .,")))&gt;0)),"Middle Initial, ","")&amp;IF(OR($F232="",LEN($F232)&gt;75),"Address, ","")&amp;IF(OR($H232="",LEN($H232)&gt;30),"City, ","")&amp;IF(AND($K232="US",OR($I232="",LEN($I232)&lt;&gt;2)),"State, ","")&amp;IF($J232="","ZIP, ","")&amp;IF(OR($K232="",AND($K232&lt;&gt;"US",$K232&lt;&gt;"CA")),"Country, ","")&amp;IF(OR($L232="",AND($L232&lt;&gt;"",OR(NOT(ISNUMBER($L232)),$L232&lt;=DATE(1900,1,1),$L232&gt;TODAY()))),"Birthdate, ","")&amp;IF(AND($N232&lt;&gt;"",NOT(IFERROR(AND(ISNUMBER(SEARCH("@",$N232)),ISNUMBER(SEARCH(".",$N232,SEARCH("@",$N232)+2))),FALSE))),"Email, ","")&amp;IF(OR(AND($B232&lt;&gt;"",$O232=""),AND($O232&lt;&gt;"",$O232&lt;&gt;"Spouse or Common Law Spouse",$O232&lt;&gt;"Domestic Partner",$O232&lt;&gt;"Child",$O232&lt;&gt;"Other",$O232&lt;&gt;"Estate",$O232&lt;&gt;"Unknown")),"Dependent Relationship, ","")&amp;IF($AA232&lt;&gt;"","Household, ","")&amp;IF(OR($P232="",AND($P232&lt;&gt;"",OR(NOT(ISNUMBER($P232)),$P232&lt;=DATE(1900,1,1)))),"Eligibility Date, ","")&amp;IF(OR(AND($R232="Terminated",$Q232=""),AND($Q232&lt;&gt;"",OR(NOT(ISNUMBER($Q232)),$Q232&lt;=DATE(1900,1,1))),AND(ISNUMBER($P232),ISNUMBER($Q232),$Q232&lt;$P232)),"Termination Date, ","")&amp;IF(OR($R232="",AND($R232&lt;&gt;"Active",$R232&lt;&gt;"Terminated"),AND('START HERE'!$C$8="Terminations Only",$R232&lt;&gt;"Terminated")),"Status, ","")&amp;IF($S232="","Plan Name, ","")&amp;IF($T232="","Coverage Level, ","")&amp;IF(AND($U232&lt;&gt;"",OR(NOT(ISNUMBER($U232)),$U232&lt;0)),"Funding, ","")&amp;IF(AND($A232&lt;&gt;"",$S232&lt;&gt;"",COUNTIFS($A$2:$A$501,$A232,$B$2:$B$501,$B232,$S$2:$S$501,$S232)&gt;1),"Duplicate Row, ",""))</f>
        <v/>
      </c>
      <c r="AF232">
        <f>IF(COUNTA($A232:$U232)=0,"",$Y232&amp;$Z232&amp;$AA232&amp;$AB232&amp;$AC232)</f>
        <v/>
      </c>
      <c r="AG232">
        <f>IF($N232="","",LOWER(TRIM($N232)))</f>
        <v/>
      </c>
      <c r="AH232">
        <f>IF($A232="","",COUNTIFS($A$2:$A$501,$A232,$AI$2:$AI$501,1))</f>
        <v/>
      </c>
      <c r="AI232">
        <f>IF(COUNTA($A232:$U232)=0,"",--($AF232&lt;&gt;""))</f>
        <v/>
      </c>
      <c r="AJ232">
        <f>IF(COUNTA($A232:$U232)=0,"",--($AD232&lt;&gt;""))</f>
        <v/>
      </c>
    </row>
    <row r="233" ht="20" customHeight="1">
      <c r="A233" s="80" t="n"/>
      <c r="B233" s="80" t="n"/>
      <c r="C233" s="81" t="n"/>
      <c r="D233" s="81" t="n"/>
      <c r="E233" s="80" t="n"/>
      <c r="F233" s="81" t="n"/>
      <c r="G233" s="81" t="n"/>
      <c r="H233" s="81" t="n"/>
      <c r="I233" s="80" t="n"/>
      <c r="J233" s="80" t="n"/>
      <c r="K233" s="80" t="n"/>
      <c r="L233" s="82" t="n"/>
      <c r="M233" s="80" t="n"/>
      <c r="N233" s="80" t="n"/>
      <c r="O233" s="80" t="n"/>
      <c r="P233" s="82" t="n"/>
      <c r="Q233" s="82" t="n"/>
      <c r="R233" s="80" t="n"/>
      <c r="S233" s="80" t="n"/>
      <c r="T233" s="80" t="n"/>
      <c r="U233" s="83" t="n"/>
      <c r="V233">
        <f>IF($A233="","",IF($A233=$A232,$V232,IF($V232="",0,1-$V232)))</f>
        <v/>
      </c>
      <c r="W233">
        <f>IF($B233&lt;&gt;"",$B233,$A233)</f>
        <v/>
      </c>
      <c r="X233">
        <f>IF(COUNTA($A233:$U233)=0,"",IF(OR($B233&lt;&gt;"",$O233&lt;&gt;""),"Dependent","Employee"))</f>
        <v/>
      </c>
      <c r="Y233">
        <f>IF(COUNTA($A233:$U233)=0,"",IF($A233="","Employee SSN is required; ","")&amp;IF($C233="","First Name is required; ","")&amp;IF(LEN($C233&amp;"")&gt;19,"First Name exceeds 19 characters; ","")&amp;IF(AND($C233&lt;&gt;"",SUMPRODUCT(--(ROW($1:$19)&lt;=LEN($C233&amp;"")),--ISERROR(FIND(MID($C233&amp;"",ROW($1:$19),1),"ABCDEFGHIJKLMNOPQRSTUVWXYZabcdefghijklmnopqrstuvwxyz .,")))&gt;0),"First Name contains unsupported or encoded characters; use plain A-Z letters only; ","")&amp;IF($D233="","Last Name is required; ","")&amp;IF(LEN($D233&amp;"")&gt;26,"Last Name exceeds 26 characters; ","")&amp;IF(AND($D233&lt;&gt;"",SUMPRODUCT(--(ROW($1:$26)&lt;=LEN($D233&amp;"")),--ISERROR(FIND(MID($D233&amp;"",ROW($1:$26),1),"ABCDEFGHIJKLMNOPQRSTUVWXYZabcdefghijklmnopqrstuvwxyz .,")))&gt;0),"Last Name contains unsupported or encoded characters; use plain A-Z letters only; ","")&amp;IF(LEN($E233&amp;"")&gt;1,"Middle Initial may contain only one character; ","")&amp;IF(AND($E233&lt;&gt;"",SUMPRODUCT(--(ROW($1:$1)&lt;=LEN($E233&amp;"")),--ISERROR(FIND(MID($E233&amp;"",ROW($1:$1),1),"ABCDEFGHIJKLMNOPQRSTUVWXYZabcdefghijklmnopqrstuvwxyz .,")))&gt;0),"Middle Initial must be a plain A-Z letter; ","")&amp;IF($F233="","Address is required; ","")&amp;IF(LEN($F233&amp;"")&gt;75,"Address exceeds 75 characters; ","")&amp;IF(LEN($G233&amp;"")&gt;75,"Address 2 exceeds 75 characters; ","")&amp;IF($H233="","City is required; ","")&amp;IF(LEN($H233&amp;"")&gt;30,"City exceeds 30 characters; ","")&amp;IF($K233="","Country is required; ","")&amp;IF(AND($K233&lt;&gt;"",$K233&lt;&gt;"US",$K233&lt;&gt;"CA"),"Country must be US or CA; ","")&amp;IF(AND($K233="US",OR($I233="",LEN($I233&amp;"")&lt;&gt;2)),"Use a 2-letter state code; ","")&amp;IF($J233="","ZIP or postal code is required; ","")&amp;IF(AND($K233="US",$J233&lt;&gt;"",NOT(IFERROR(OR(AND(LEN($J233&amp;"")=5,ISNUMBER(--($J233&amp;""))),AND(LEN($J233&amp;"")=9,ISNUMBER(--($J233&amp;""))),AND(LEN($J233&amp;"")=10,MID($J233&amp;"",6,1)="-",ISNUMBER(--SUBSTITUTE($J233&amp;"","-","")))),FALSE))),"US ZIP must be 5 or 9 digits, with an optional ZIP+4 hyphen; ","")&amp;IF(AND($N233&lt;&gt;"",NOT(IFERROR(AND(ISNUMBER(SEARCH("@",$N233)),ISNUMBER(SEARCH(".",$N233,SEARCH("@",$N233)+2))),FALSE))),"Email format appears invalid; ","")&amp;IF(AND($O233&lt;&gt;"",$B233=""),"Dependent SSN is required for every dependent; ","")&amp;IF(AND($B233&lt;&gt;"",$O233=""),"Dependent Relationship is required when Dependent SSN is entered; ","")&amp;IF(AND($O233&lt;&gt;"",$O233&lt;&gt;"Spouse or Common Law Spouse",$O233&lt;&gt;"Domestic Partner",$O233&lt;&gt;"Child",$O233&lt;&gt;"Other",$O233&lt;&gt;"Estate",$O233&lt;&gt;"Unknown"),"Dependent Relationship must use one of the approved options; ",""))</f>
        <v/>
      </c>
      <c r="Z233">
        <f>IF(COUNTA($A233:$U233)=0,"",IF(AND($A233&lt;&gt;"",NOT(IFERROR(AND(LEN($A233&amp;"")=9,ISNUMBER(--($A233&amp;""))),FALSE))),"Employee SSN must contain exactly 9 digits; ","")&amp;IF(AND($A233&lt;&gt;"",OR($A233="123456789",$A233="987654321",$A233="012345678",$A233=REPT(LEFT($A233&amp;"",1),9))),"Employee SSN appears to be a placeholder; ","")&amp;IF(AND($B233&lt;&gt;"",NOT(IFERROR(AND(LEN($B233&amp;"")=9,ISNUMBER(--($B233&amp;""))),FALSE))),"Dependent SSN must contain exactly 9 digits; ","")&amp;IF(AND($B233&lt;&gt;"",OR($B233="123456789",$B233="987654321",$B233="012345678",$B233=REPT(LEFT($B233&amp;"",1),9))),"Dependent SSN appears to be a placeholder; ","")&amp;IF(AND($A233&lt;&gt;"",$B233&lt;&gt;"",$A233&amp;""=$B233&amp;""),"Dependent SSN cannot match Employee SSN; ","")&amp;IF(AND($W233&lt;&gt;"",OR(COUNTIFS($W$2:$W$501,$W233,$C$2:$C$501,"&lt;&gt;"&amp;$C233)&gt;0,COUNTIFS($W$2:$W$501,$W233,$D$2:$D$501,"&lt;&gt;"&amp;$D233)&gt;0,COUNTIFS($W$2:$W$501,$W233,$L$2:$L$501,"&lt;&gt;"&amp;$L233)&gt;0)),"The same SSN is associated with a different name or birthdate; ",""))</f>
        <v/>
      </c>
      <c r="AA233">
        <f>IF(COUNTA($A233:$U233)=0,"",IF(AND($A233&lt;&gt;"",$S233&lt;&gt;"",COUNTIFS($A$2:$A$501,$A233,$S$2:$S$501,$S233,$B$2:$B$501,"",$O$2:$O$501,"")=0),"Add an employee row for this household and plan; ","")&amp;IF(AND($X233="Dependent",COUNTIFS($A$2:$A233,$A233,$S$2:$S233,$S233,$B$2:$B233,"",$O$2:$O233,"")=0),"Place the employee row before dependent rows for this plan; ","")&amp;IF(AND($X233="Dependent",COUNTIFS($A$2:$A$501,$A233,$S$2:$S$501,$S233,$B$2:$B$501,"",$O$2:$O$501,"")&gt;0,IFERROR(OR($P233&lt;&gt;LOOKUP(2,1/(($A$2:$A$501=$A233)*($S$2:$S$501=$S233)*($B$2:$B$501="")*($O$2:$O$501="")),$P$2:$P$501),$Q233&lt;&gt;LOOKUP(2,1/(($A$2:$A$501=$A233)*($S$2:$S$501=$S233)*($B$2:$B$501="")*($O$2:$O$501="")),$Q$2:$Q$501),$R233&lt;&gt;LOOKUP(2,1/(($A$2:$A$501=$A233)*($S$2:$S$501=$S233)*($B$2:$B$501="")*($O$2:$O$501="")),$R$2:$R$501),$T233&lt;&gt;LOOKUP(2,1/(($A$2:$A$501=$A233)*($S$2:$S$501=$S233)*($B$2:$B$501="")*($O$2:$O$501="")),$T$2:$T$501),$U233&lt;&gt;LOOKUP(2,1/(($A$2:$A$501=$A233)*($S$2:$S$501=$S233)*($B$2:$B$501="")*($O$2:$O$501="")),$U$2:$U$501)),FALSE)),"Dependent row does not match the employee row for eligibility, status, coverage level, or funding; ",""))</f>
        <v/>
      </c>
      <c r="AB233">
        <f>IF(COUNTA($A233:$U233)=0,"",IF($L233="","Birthdate is required; ","")&amp;IF(AND($L233&lt;&gt;"",OR(NOT(ISNUMBER($L233)),$L233&lt;=DATE(1900,1,1),$L233&gt;TODAY())),"Birthdate must be an exact valid past date; ","")&amp;IF($P233="","Eligibility Date is required; ","")&amp;IF(AND($P233&lt;&gt;"",OR(NOT(ISNUMBER($P233)),$P233&lt;=DATE(1900,1,1))),"Eligibility Date must be a valid date; ","")&amp;IF(AND($R233="Terminated",$Q233=""),"Termination Date is required when Status is Terminated; ","")&amp;IF(AND($Q233&lt;&gt;"",OR(NOT(ISNUMBER($Q233)),$Q233&lt;=DATE(1900,1,1))),"Termination Date must be a valid date; ","")&amp;IF(AND(ISNUMBER($P233),ISNUMBER($Q233),$Q233&lt;$P233),"Termination Date cannot be before Eligibility Date; ","")&amp;IF($R233="","Status is required; ","")&amp;IF(AND($R233&lt;&gt;"",$R233&lt;&gt;"Active",$R233&lt;&gt;"Terminated"),"Status must be Active or Terminated; ","")&amp;IF(AND('START HERE'!$C$8="Terminations Only",$R233&lt;&gt;"Terminated"),"Terminations Only files must contain terminated records; ",""))</f>
        <v/>
      </c>
      <c r="AC233">
        <f>IF(COUNTA($A233:$U233)=0,"",IF($S233="","Plan Name is required; ","")&amp;IF($T233="","Benefit Coverage Level is required; ","")&amp;IF(AND($U233&lt;&gt;"",OR(NOT(ISNUMBER($U233)),$U233&lt;0)),"Plan Funding Amount must be a nonnegative number; ","")&amp;IF(AND($A233&lt;&gt;"",$S233&lt;&gt;"",COUNTIFS($A$2:$A$501,$A233,$B$2:$B$501,$B233,$S$2:$S$501,$S233)&gt;1),"Duplicate participant and plan row; ",""))</f>
        <v/>
      </c>
      <c r="AD233">
        <f>IF(COUNTA($A233:$U233)=0,"",IF(AND($X233="Employee",$M233="",$N233=""),"No employee phone or email provided; ","")&amp;IF(AND($R233="Active",$Q233&lt;&gt;""),"Active record includes a Termination Date; confirm this is intentional; ","")&amp;IF(AND($B233&lt;&gt;"",$B233&amp;""&lt;&gt;$A233&amp;"",COUNTIF($A$2:$A$501,$B233)&gt;0),"Dependent SSN also appears as an Employee SSN elsewhere; confirm dual-employee coverage is intentional; ","")&amp;IF(AND($B233&lt;&gt;"",COUNTIF($B$2:$B$501,$B233)&gt;COUNTIFS($A$2:$A$501,$A233,$B$2:$B$501,$B233)),"Dependent SSN appears under more than one employee; confirm duplicate family coverage is intentional; ","")&amp;IF(AND(ROW()&gt;2,$A233&lt;&gt;"",$A233&lt;&gt;$A232,COUNTIF($A$2:$A232,$A233)&gt;0),"This household appears in more than one section of the census; keep the family together; ","")&amp;IF(OR(AND($C233&lt;&gt;"",LEN($C233&amp;"")&lt;&gt;LEN(TRIM($C233&amp;""))),AND($D233&lt;&gt;"",LEN($D233&amp;"")&lt;&gt;LEN(TRIM($D233&amp;""))),AND($E233&lt;&gt;"",LEN($E233&amp;"")&lt;&gt;LEN(TRIM($E233&amp;""))),AND($F233&lt;&gt;"",LEN($F233&amp;"")&lt;&gt;LEN(TRIM($F233&amp;""))),AND($G233&lt;&gt;"",LEN($G233&amp;"")&lt;&gt;LEN(TRIM($G233&amp;""))),AND($H233&lt;&gt;"",LEN($H233&amp;"")&lt;&gt;LEN(TRIM($H233&amp;""))),AND($I233&lt;&gt;"",LEN($I233&amp;"")&lt;&gt;LEN(TRIM($I233&amp;""))),AND($J233&lt;&gt;"",LEN($J233&amp;"")&lt;&gt;LEN(TRIM($J233&amp;""))),AND($K233&lt;&gt;"",LEN($K233&amp;"")&lt;&gt;LEN(TRIM($K233&amp;""))),AND($M233&lt;&gt;"",LEN($M233&amp;"")&lt;&gt;LEN(TRIM($M233&amp;""))),AND($N233&lt;&gt;"",LEN($N233&amp;"")&lt;&gt;LEN(TRIM($N233&amp;""))),AND($O233&lt;&gt;"",LEN($O233&amp;"")&lt;&gt;LEN(TRIM($O233&amp;""))),AND($R233&lt;&gt;"",LEN($R233&amp;"")&lt;&gt;LEN(TRIM($R233&amp;""))),AND($S233&lt;&gt;"",LEN($S233&amp;"")&lt;&gt;LEN(TRIM($S233&amp;""))),AND($T233&lt;&gt;"",LEN($T233&amp;"")&lt;&gt;LEN(TRIM($T233&amp;"")))),"Remove leading or trailing spaces from text fields; ","")&amp;IF(OR(AND(LEN($C233)&gt;1,OR(EXACT($C233,UPPER($C233)),EXACT($C233,LOWER($C233)))),AND(LEN($D233)&gt;1,OR(EXACT($D233,UPPER($D233)),EXACT($D233,LOWER($D233)))),AND(LEN($H233)&gt;1,OR(EXACT($H233,UPPER($H233)),EXACT($H233,LOWER($H233))))),"Review capitalization in First Name, Last Name, or City; ","")&amp;IF(AND($N233&lt;&gt;"",NOT(EXACT($N233,LOWER($N233)))),"Email will be standardized to lowercase in the clean output; ","")&amp;IF(AND(OR('START HERE'!$C$8="Initial Enrollment",'START HERE'!$C$8="Open Enrollment"),$R233="Terminated"),"A terminated row is included in an initial or open enrollment file; confirm this is intentional; ",""))</f>
        <v/>
      </c>
      <c r="AE233">
        <f>IF(COUNTA($A233:$U233)=0,"",IF(OR($A233="",AND($A233&lt;&gt;"",NOT(IFERROR(AND(LEN($A233&amp;"")=9,ISNUMBER(--($A233&amp;""))),FALSE))),AND($A233&lt;&gt;"",OR($A233="123456789",$A233="987654321",$A233="012345678",$A233=REPT(LEFT($A233&amp;"",1),9)))),"Employee SSN, ","")&amp;IF(OR(AND($O233&lt;&gt;"",$B233=""),AND($B233&lt;&gt;"",OR(NOT(IFERROR(AND(LEN($B233&amp;"")=9,ISNUMBER(--($B233&amp;""))),FALSE)),$B233=$A233,$B233="123456789",$B233="987654321",$B233="012345678",$B233=REPT(LEFT($B233&amp;"",1),9)))),"Dependent SSN, ","")&amp;IF(OR($C233="",LEN($C233)&gt;19,AND($C233&lt;&gt;"",SUMPRODUCT(--(ROW($1:$19)&lt;=LEN($C233&amp;"")),--ISERROR(FIND(MID($C233&amp;"",ROW($1:$19),1),"ABCDEFGHIJKLMNOPQRSTUVWXYZabcdefghijklmnopqrstuvwxyz .,")))&gt;0)),"First Name, ","")&amp;IF(OR($D233="",LEN($D233)&gt;26,AND($D233&lt;&gt;"",SUMPRODUCT(--(ROW($1:$26)&lt;=LEN($D233&amp;"")),--ISERROR(FIND(MID($D233&amp;"",ROW($1:$26),1),"ABCDEFGHIJKLMNOPQRSTUVWXYZabcdefghijklmnopqrstuvwxyz .,")))&gt;0)),"Last Name, ","")&amp;IF(OR(LEN($E233)&gt;1,AND($E233&lt;&gt;"",SUMPRODUCT(--(ROW($1:$1)&lt;=LEN($E233&amp;"")),--ISERROR(FIND(MID($E233&amp;"",ROW($1:$1),1),"ABCDEFGHIJKLMNOPQRSTUVWXYZabcdefghijklmnopqrstuvwxyz .,")))&gt;0)),"Middle Initial, ","")&amp;IF(OR($F233="",LEN($F233)&gt;75),"Address, ","")&amp;IF(OR($H233="",LEN($H233)&gt;30),"City, ","")&amp;IF(AND($K233="US",OR($I233="",LEN($I233)&lt;&gt;2)),"State, ","")&amp;IF($J233="","ZIP, ","")&amp;IF(OR($K233="",AND($K233&lt;&gt;"US",$K233&lt;&gt;"CA")),"Country, ","")&amp;IF(OR($L233="",AND($L233&lt;&gt;"",OR(NOT(ISNUMBER($L233)),$L233&lt;=DATE(1900,1,1),$L233&gt;TODAY()))),"Birthdate, ","")&amp;IF(AND($N233&lt;&gt;"",NOT(IFERROR(AND(ISNUMBER(SEARCH("@",$N233)),ISNUMBER(SEARCH(".",$N233,SEARCH("@",$N233)+2))),FALSE))),"Email, ","")&amp;IF(OR(AND($B233&lt;&gt;"",$O233=""),AND($O233&lt;&gt;"",$O233&lt;&gt;"Spouse or Common Law Spouse",$O233&lt;&gt;"Domestic Partner",$O233&lt;&gt;"Child",$O233&lt;&gt;"Other",$O233&lt;&gt;"Estate",$O233&lt;&gt;"Unknown")),"Dependent Relationship, ","")&amp;IF($AA233&lt;&gt;"","Household, ","")&amp;IF(OR($P233="",AND($P233&lt;&gt;"",OR(NOT(ISNUMBER($P233)),$P233&lt;=DATE(1900,1,1)))),"Eligibility Date, ","")&amp;IF(OR(AND($R233="Terminated",$Q233=""),AND($Q233&lt;&gt;"",OR(NOT(ISNUMBER($Q233)),$Q233&lt;=DATE(1900,1,1))),AND(ISNUMBER($P233),ISNUMBER($Q233),$Q233&lt;$P233)),"Termination Date, ","")&amp;IF(OR($R233="",AND($R233&lt;&gt;"Active",$R233&lt;&gt;"Terminated"),AND('START HERE'!$C$8="Terminations Only",$R233&lt;&gt;"Terminated")),"Status, ","")&amp;IF($S233="","Plan Name, ","")&amp;IF($T233="","Coverage Level, ","")&amp;IF(AND($U233&lt;&gt;"",OR(NOT(ISNUMBER($U233)),$U233&lt;0)),"Funding, ","")&amp;IF(AND($A233&lt;&gt;"",$S233&lt;&gt;"",COUNTIFS($A$2:$A$501,$A233,$B$2:$B$501,$B233,$S$2:$S$501,$S233)&gt;1),"Duplicate Row, ",""))</f>
        <v/>
      </c>
      <c r="AF233">
        <f>IF(COUNTA($A233:$U233)=0,"",$Y233&amp;$Z233&amp;$AA233&amp;$AB233&amp;$AC233)</f>
        <v/>
      </c>
      <c r="AG233">
        <f>IF($N233="","",LOWER(TRIM($N233)))</f>
        <v/>
      </c>
      <c r="AH233">
        <f>IF($A233="","",COUNTIFS($A$2:$A$501,$A233,$AI$2:$AI$501,1))</f>
        <v/>
      </c>
      <c r="AI233">
        <f>IF(COUNTA($A233:$U233)=0,"",--($AF233&lt;&gt;""))</f>
        <v/>
      </c>
      <c r="AJ233">
        <f>IF(COUNTA($A233:$U233)=0,"",--($AD233&lt;&gt;""))</f>
        <v/>
      </c>
    </row>
    <row r="234" ht="20" customHeight="1">
      <c r="A234" s="80" t="n"/>
      <c r="B234" s="80" t="n"/>
      <c r="C234" s="81" t="n"/>
      <c r="D234" s="81" t="n"/>
      <c r="E234" s="80" t="n"/>
      <c r="F234" s="81" t="n"/>
      <c r="G234" s="81" t="n"/>
      <c r="H234" s="81" t="n"/>
      <c r="I234" s="80" t="n"/>
      <c r="J234" s="80" t="n"/>
      <c r="K234" s="80" t="n"/>
      <c r="L234" s="82" t="n"/>
      <c r="M234" s="80" t="n"/>
      <c r="N234" s="80" t="n"/>
      <c r="O234" s="80" t="n"/>
      <c r="P234" s="82" t="n"/>
      <c r="Q234" s="82" t="n"/>
      <c r="R234" s="80" t="n"/>
      <c r="S234" s="80" t="n"/>
      <c r="T234" s="80" t="n"/>
      <c r="U234" s="83" t="n"/>
      <c r="V234">
        <f>IF($A234="","",IF($A234=$A233,$V233,IF($V233="",0,1-$V233)))</f>
        <v/>
      </c>
      <c r="W234">
        <f>IF($B234&lt;&gt;"",$B234,$A234)</f>
        <v/>
      </c>
      <c r="X234">
        <f>IF(COUNTA($A234:$U234)=0,"",IF(OR($B234&lt;&gt;"",$O234&lt;&gt;""),"Dependent","Employee"))</f>
        <v/>
      </c>
      <c r="Y234">
        <f>IF(COUNTA($A234:$U234)=0,"",IF($A234="","Employee SSN is required; ","")&amp;IF($C234="","First Name is required; ","")&amp;IF(LEN($C234&amp;"")&gt;19,"First Name exceeds 19 characters; ","")&amp;IF(AND($C234&lt;&gt;"",SUMPRODUCT(--(ROW($1:$19)&lt;=LEN($C234&amp;"")),--ISERROR(FIND(MID($C234&amp;"",ROW($1:$19),1),"ABCDEFGHIJKLMNOPQRSTUVWXYZabcdefghijklmnopqrstuvwxyz .,")))&gt;0),"First Name contains unsupported or encoded characters; use plain A-Z letters only; ","")&amp;IF($D234="","Last Name is required; ","")&amp;IF(LEN($D234&amp;"")&gt;26,"Last Name exceeds 26 characters; ","")&amp;IF(AND($D234&lt;&gt;"",SUMPRODUCT(--(ROW($1:$26)&lt;=LEN($D234&amp;"")),--ISERROR(FIND(MID($D234&amp;"",ROW($1:$26),1),"ABCDEFGHIJKLMNOPQRSTUVWXYZabcdefghijklmnopqrstuvwxyz .,")))&gt;0),"Last Name contains unsupported or encoded characters; use plain A-Z letters only; ","")&amp;IF(LEN($E234&amp;"")&gt;1,"Middle Initial may contain only one character; ","")&amp;IF(AND($E234&lt;&gt;"",SUMPRODUCT(--(ROW($1:$1)&lt;=LEN($E234&amp;"")),--ISERROR(FIND(MID($E234&amp;"",ROW($1:$1),1),"ABCDEFGHIJKLMNOPQRSTUVWXYZabcdefghijklmnopqrstuvwxyz .,")))&gt;0),"Middle Initial must be a plain A-Z letter; ","")&amp;IF($F234="","Address is required; ","")&amp;IF(LEN($F234&amp;"")&gt;75,"Address exceeds 75 characters; ","")&amp;IF(LEN($G234&amp;"")&gt;75,"Address 2 exceeds 75 characters; ","")&amp;IF($H234="","City is required; ","")&amp;IF(LEN($H234&amp;"")&gt;30,"City exceeds 30 characters; ","")&amp;IF($K234="","Country is required; ","")&amp;IF(AND($K234&lt;&gt;"",$K234&lt;&gt;"US",$K234&lt;&gt;"CA"),"Country must be US or CA; ","")&amp;IF(AND($K234="US",OR($I234="",LEN($I234&amp;"")&lt;&gt;2)),"Use a 2-letter state code; ","")&amp;IF($J234="","ZIP or postal code is required; ","")&amp;IF(AND($K234="US",$J234&lt;&gt;"",NOT(IFERROR(OR(AND(LEN($J234&amp;"")=5,ISNUMBER(--($J234&amp;""))),AND(LEN($J234&amp;"")=9,ISNUMBER(--($J234&amp;""))),AND(LEN($J234&amp;"")=10,MID($J234&amp;"",6,1)="-",ISNUMBER(--SUBSTITUTE($J234&amp;"","-","")))),FALSE))),"US ZIP must be 5 or 9 digits, with an optional ZIP+4 hyphen; ","")&amp;IF(AND($N234&lt;&gt;"",NOT(IFERROR(AND(ISNUMBER(SEARCH("@",$N234)),ISNUMBER(SEARCH(".",$N234,SEARCH("@",$N234)+2))),FALSE))),"Email format appears invalid; ","")&amp;IF(AND($O234&lt;&gt;"",$B234=""),"Dependent SSN is required for every dependent; ","")&amp;IF(AND($B234&lt;&gt;"",$O234=""),"Dependent Relationship is required when Dependent SSN is entered; ","")&amp;IF(AND($O234&lt;&gt;"",$O234&lt;&gt;"Spouse or Common Law Spouse",$O234&lt;&gt;"Domestic Partner",$O234&lt;&gt;"Child",$O234&lt;&gt;"Other",$O234&lt;&gt;"Estate",$O234&lt;&gt;"Unknown"),"Dependent Relationship must use one of the approved options; ",""))</f>
        <v/>
      </c>
      <c r="Z234">
        <f>IF(COUNTA($A234:$U234)=0,"",IF(AND($A234&lt;&gt;"",NOT(IFERROR(AND(LEN($A234&amp;"")=9,ISNUMBER(--($A234&amp;""))),FALSE))),"Employee SSN must contain exactly 9 digits; ","")&amp;IF(AND($A234&lt;&gt;"",OR($A234="123456789",$A234="987654321",$A234="012345678",$A234=REPT(LEFT($A234&amp;"",1),9))),"Employee SSN appears to be a placeholder; ","")&amp;IF(AND($B234&lt;&gt;"",NOT(IFERROR(AND(LEN($B234&amp;"")=9,ISNUMBER(--($B234&amp;""))),FALSE))),"Dependent SSN must contain exactly 9 digits; ","")&amp;IF(AND($B234&lt;&gt;"",OR($B234="123456789",$B234="987654321",$B234="012345678",$B234=REPT(LEFT($B234&amp;"",1),9))),"Dependent SSN appears to be a placeholder; ","")&amp;IF(AND($A234&lt;&gt;"",$B234&lt;&gt;"",$A234&amp;""=$B234&amp;""),"Dependent SSN cannot match Employee SSN; ","")&amp;IF(AND($W234&lt;&gt;"",OR(COUNTIFS($W$2:$W$501,$W234,$C$2:$C$501,"&lt;&gt;"&amp;$C234)&gt;0,COUNTIFS($W$2:$W$501,$W234,$D$2:$D$501,"&lt;&gt;"&amp;$D234)&gt;0,COUNTIFS($W$2:$W$501,$W234,$L$2:$L$501,"&lt;&gt;"&amp;$L234)&gt;0)),"The same SSN is associated with a different name or birthdate; ",""))</f>
        <v/>
      </c>
      <c r="AA234">
        <f>IF(COUNTA($A234:$U234)=0,"",IF(AND($A234&lt;&gt;"",$S234&lt;&gt;"",COUNTIFS($A$2:$A$501,$A234,$S$2:$S$501,$S234,$B$2:$B$501,"",$O$2:$O$501,"")=0),"Add an employee row for this household and plan; ","")&amp;IF(AND($X234="Dependent",COUNTIFS($A$2:$A234,$A234,$S$2:$S234,$S234,$B$2:$B234,"",$O$2:$O234,"")=0),"Place the employee row before dependent rows for this plan; ","")&amp;IF(AND($X234="Dependent",COUNTIFS($A$2:$A$501,$A234,$S$2:$S$501,$S234,$B$2:$B$501,"",$O$2:$O$501,"")&gt;0,IFERROR(OR($P234&lt;&gt;LOOKUP(2,1/(($A$2:$A$501=$A234)*($S$2:$S$501=$S234)*($B$2:$B$501="")*($O$2:$O$501="")),$P$2:$P$501),$Q234&lt;&gt;LOOKUP(2,1/(($A$2:$A$501=$A234)*($S$2:$S$501=$S234)*($B$2:$B$501="")*($O$2:$O$501="")),$Q$2:$Q$501),$R234&lt;&gt;LOOKUP(2,1/(($A$2:$A$501=$A234)*($S$2:$S$501=$S234)*($B$2:$B$501="")*($O$2:$O$501="")),$R$2:$R$501),$T234&lt;&gt;LOOKUP(2,1/(($A$2:$A$501=$A234)*($S$2:$S$501=$S234)*($B$2:$B$501="")*($O$2:$O$501="")),$T$2:$T$501),$U234&lt;&gt;LOOKUP(2,1/(($A$2:$A$501=$A234)*($S$2:$S$501=$S234)*($B$2:$B$501="")*($O$2:$O$501="")),$U$2:$U$501)),FALSE)),"Dependent row does not match the employee row for eligibility, status, coverage level, or funding; ",""))</f>
        <v/>
      </c>
      <c r="AB234">
        <f>IF(COUNTA($A234:$U234)=0,"",IF($L234="","Birthdate is required; ","")&amp;IF(AND($L234&lt;&gt;"",OR(NOT(ISNUMBER($L234)),$L234&lt;=DATE(1900,1,1),$L234&gt;TODAY())),"Birthdate must be an exact valid past date; ","")&amp;IF($P234="","Eligibility Date is required; ","")&amp;IF(AND($P234&lt;&gt;"",OR(NOT(ISNUMBER($P234)),$P234&lt;=DATE(1900,1,1))),"Eligibility Date must be a valid date; ","")&amp;IF(AND($R234="Terminated",$Q234=""),"Termination Date is required when Status is Terminated; ","")&amp;IF(AND($Q234&lt;&gt;"",OR(NOT(ISNUMBER($Q234)),$Q234&lt;=DATE(1900,1,1))),"Termination Date must be a valid date; ","")&amp;IF(AND(ISNUMBER($P234),ISNUMBER($Q234),$Q234&lt;$P234),"Termination Date cannot be before Eligibility Date; ","")&amp;IF($R234="","Status is required; ","")&amp;IF(AND($R234&lt;&gt;"",$R234&lt;&gt;"Active",$R234&lt;&gt;"Terminated"),"Status must be Active or Terminated; ","")&amp;IF(AND('START HERE'!$C$8="Terminations Only",$R234&lt;&gt;"Terminated"),"Terminations Only files must contain terminated records; ",""))</f>
        <v/>
      </c>
      <c r="AC234">
        <f>IF(COUNTA($A234:$U234)=0,"",IF($S234="","Plan Name is required; ","")&amp;IF($T234="","Benefit Coverage Level is required; ","")&amp;IF(AND($U234&lt;&gt;"",OR(NOT(ISNUMBER($U234)),$U234&lt;0)),"Plan Funding Amount must be a nonnegative number; ","")&amp;IF(AND($A234&lt;&gt;"",$S234&lt;&gt;"",COUNTIFS($A$2:$A$501,$A234,$B$2:$B$501,$B234,$S$2:$S$501,$S234)&gt;1),"Duplicate participant and plan row; ",""))</f>
        <v/>
      </c>
      <c r="AD234">
        <f>IF(COUNTA($A234:$U234)=0,"",IF(AND($X234="Employee",$M234="",$N234=""),"No employee phone or email provided; ","")&amp;IF(AND($R234="Active",$Q234&lt;&gt;""),"Active record includes a Termination Date; confirm this is intentional; ","")&amp;IF(AND($B234&lt;&gt;"",$B234&amp;""&lt;&gt;$A234&amp;"",COUNTIF($A$2:$A$501,$B234)&gt;0),"Dependent SSN also appears as an Employee SSN elsewhere; confirm dual-employee coverage is intentional; ","")&amp;IF(AND($B234&lt;&gt;"",COUNTIF($B$2:$B$501,$B234)&gt;COUNTIFS($A$2:$A$501,$A234,$B$2:$B$501,$B234)),"Dependent SSN appears under more than one employee; confirm duplicate family coverage is intentional; ","")&amp;IF(AND(ROW()&gt;2,$A234&lt;&gt;"",$A234&lt;&gt;$A233,COUNTIF($A$2:$A233,$A234)&gt;0),"This household appears in more than one section of the census; keep the family together; ","")&amp;IF(OR(AND($C234&lt;&gt;"",LEN($C234&amp;"")&lt;&gt;LEN(TRIM($C234&amp;""))),AND($D234&lt;&gt;"",LEN($D234&amp;"")&lt;&gt;LEN(TRIM($D234&amp;""))),AND($E234&lt;&gt;"",LEN($E234&amp;"")&lt;&gt;LEN(TRIM($E234&amp;""))),AND($F234&lt;&gt;"",LEN($F234&amp;"")&lt;&gt;LEN(TRIM($F234&amp;""))),AND($G234&lt;&gt;"",LEN($G234&amp;"")&lt;&gt;LEN(TRIM($G234&amp;""))),AND($H234&lt;&gt;"",LEN($H234&amp;"")&lt;&gt;LEN(TRIM($H234&amp;""))),AND($I234&lt;&gt;"",LEN($I234&amp;"")&lt;&gt;LEN(TRIM($I234&amp;""))),AND($J234&lt;&gt;"",LEN($J234&amp;"")&lt;&gt;LEN(TRIM($J234&amp;""))),AND($K234&lt;&gt;"",LEN($K234&amp;"")&lt;&gt;LEN(TRIM($K234&amp;""))),AND($M234&lt;&gt;"",LEN($M234&amp;"")&lt;&gt;LEN(TRIM($M234&amp;""))),AND($N234&lt;&gt;"",LEN($N234&amp;"")&lt;&gt;LEN(TRIM($N234&amp;""))),AND($O234&lt;&gt;"",LEN($O234&amp;"")&lt;&gt;LEN(TRIM($O234&amp;""))),AND($R234&lt;&gt;"",LEN($R234&amp;"")&lt;&gt;LEN(TRIM($R234&amp;""))),AND($S234&lt;&gt;"",LEN($S234&amp;"")&lt;&gt;LEN(TRIM($S234&amp;""))),AND($T234&lt;&gt;"",LEN($T234&amp;"")&lt;&gt;LEN(TRIM($T234&amp;"")))),"Remove leading or trailing spaces from text fields; ","")&amp;IF(OR(AND(LEN($C234)&gt;1,OR(EXACT($C234,UPPER($C234)),EXACT($C234,LOWER($C234)))),AND(LEN($D234)&gt;1,OR(EXACT($D234,UPPER($D234)),EXACT($D234,LOWER($D234)))),AND(LEN($H234)&gt;1,OR(EXACT($H234,UPPER($H234)),EXACT($H234,LOWER($H234))))),"Review capitalization in First Name, Last Name, or City; ","")&amp;IF(AND($N234&lt;&gt;"",NOT(EXACT($N234,LOWER($N234)))),"Email will be standardized to lowercase in the clean output; ","")&amp;IF(AND(OR('START HERE'!$C$8="Initial Enrollment",'START HERE'!$C$8="Open Enrollment"),$R234="Terminated"),"A terminated row is included in an initial or open enrollment file; confirm this is intentional; ",""))</f>
        <v/>
      </c>
      <c r="AE234">
        <f>IF(COUNTA($A234:$U234)=0,"",IF(OR($A234="",AND($A234&lt;&gt;"",NOT(IFERROR(AND(LEN($A234&amp;"")=9,ISNUMBER(--($A234&amp;""))),FALSE))),AND($A234&lt;&gt;"",OR($A234="123456789",$A234="987654321",$A234="012345678",$A234=REPT(LEFT($A234&amp;"",1),9)))),"Employee SSN, ","")&amp;IF(OR(AND($O234&lt;&gt;"",$B234=""),AND($B234&lt;&gt;"",OR(NOT(IFERROR(AND(LEN($B234&amp;"")=9,ISNUMBER(--($B234&amp;""))),FALSE)),$B234=$A234,$B234="123456789",$B234="987654321",$B234="012345678",$B234=REPT(LEFT($B234&amp;"",1),9)))),"Dependent SSN, ","")&amp;IF(OR($C234="",LEN($C234)&gt;19,AND($C234&lt;&gt;"",SUMPRODUCT(--(ROW($1:$19)&lt;=LEN($C234&amp;"")),--ISERROR(FIND(MID($C234&amp;"",ROW($1:$19),1),"ABCDEFGHIJKLMNOPQRSTUVWXYZabcdefghijklmnopqrstuvwxyz .,")))&gt;0)),"First Name, ","")&amp;IF(OR($D234="",LEN($D234)&gt;26,AND($D234&lt;&gt;"",SUMPRODUCT(--(ROW($1:$26)&lt;=LEN($D234&amp;"")),--ISERROR(FIND(MID($D234&amp;"",ROW($1:$26),1),"ABCDEFGHIJKLMNOPQRSTUVWXYZabcdefghijklmnopqrstuvwxyz .,")))&gt;0)),"Last Name, ","")&amp;IF(OR(LEN($E234)&gt;1,AND($E234&lt;&gt;"",SUMPRODUCT(--(ROW($1:$1)&lt;=LEN($E234&amp;"")),--ISERROR(FIND(MID($E234&amp;"",ROW($1:$1),1),"ABCDEFGHIJKLMNOPQRSTUVWXYZabcdefghijklmnopqrstuvwxyz .,")))&gt;0)),"Middle Initial, ","")&amp;IF(OR($F234="",LEN($F234)&gt;75),"Address, ","")&amp;IF(OR($H234="",LEN($H234)&gt;30),"City, ","")&amp;IF(AND($K234="US",OR($I234="",LEN($I234)&lt;&gt;2)),"State, ","")&amp;IF($J234="","ZIP, ","")&amp;IF(OR($K234="",AND($K234&lt;&gt;"US",$K234&lt;&gt;"CA")),"Country, ","")&amp;IF(OR($L234="",AND($L234&lt;&gt;"",OR(NOT(ISNUMBER($L234)),$L234&lt;=DATE(1900,1,1),$L234&gt;TODAY()))),"Birthdate, ","")&amp;IF(AND($N234&lt;&gt;"",NOT(IFERROR(AND(ISNUMBER(SEARCH("@",$N234)),ISNUMBER(SEARCH(".",$N234,SEARCH("@",$N234)+2))),FALSE))),"Email, ","")&amp;IF(OR(AND($B234&lt;&gt;"",$O234=""),AND($O234&lt;&gt;"",$O234&lt;&gt;"Spouse or Common Law Spouse",$O234&lt;&gt;"Domestic Partner",$O234&lt;&gt;"Child",$O234&lt;&gt;"Other",$O234&lt;&gt;"Estate",$O234&lt;&gt;"Unknown")),"Dependent Relationship, ","")&amp;IF($AA234&lt;&gt;"","Household, ","")&amp;IF(OR($P234="",AND($P234&lt;&gt;"",OR(NOT(ISNUMBER($P234)),$P234&lt;=DATE(1900,1,1)))),"Eligibility Date, ","")&amp;IF(OR(AND($R234="Terminated",$Q234=""),AND($Q234&lt;&gt;"",OR(NOT(ISNUMBER($Q234)),$Q234&lt;=DATE(1900,1,1))),AND(ISNUMBER($P234),ISNUMBER($Q234),$Q234&lt;$P234)),"Termination Date, ","")&amp;IF(OR($R234="",AND($R234&lt;&gt;"Active",$R234&lt;&gt;"Terminated"),AND('START HERE'!$C$8="Terminations Only",$R234&lt;&gt;"Terminated")),"Status, ","")&amp;IF($S234="","Plan Name, ","")&amp;IF($T234="","Coverage Level, ","")&amp;IF(AND($U234&lt;&gt;"",OR(NOT(ISNUMBER($U234)),$U234&lt;0)),"Funding, ","")&amp;IF(AND($A234&lt;&gt;"",$S234&lt;&gt;"",COUNTIFS($A$2:$A$501,$A234,$B$2:$B$501,$B234,$S$2:$S$501,$S234)&gt;1),"Duplicate Row, ",""))</f>
        <v/>
      </c>
      <c r="AF234">
        <f>IF(COUNTA($A234:$U234)=0,"",$Y234&amp;$Z234&amp;$AA234&amp;$AB234&amp;$AC234)</f>
        <v/>
      </c>
      <c r="AG234">
        <f>IF($N234="","",LOWER(TRIM($N234)))</f>
        <v/>
      </c>
      <c r="AH234">
        <f>IF($A234="","",COUNTIFS($A$2:$A$501,$A234,$AI$2:$AI$501,1))</f>
        <v/>
      </c>
      <c r="AI234">
        <f>IF(COUNTA($A234:$U234)=0,"",--($AF234&lt;&gt;""))</f>
        <v/>
      </c>
      <c r="AJ234">
        <f>IF(COUNTA($A234:$U234)=0,"",--($AD234&lt;&gt;""))</f>
        <v/>
      </c>
    </row>
    <row r="235" ht="20" customHeight="1">
      <c r="A235" s="80" t="n"/>
      <c r="B235" s="80" t="n"/>
      <c r="C235" s="81" t="n"/>
      <c r="D235" s="81" t="n"/>
      <c r="E235" s="80" t="n"/>
      <c r="F235" s="81" t="n"/>
      <c r="G235" s="81" t="n"/>
      <c r="H235" s="81" t="n"/>
      <c r="I235" s="80" t="n"/>
      <c r="J235" s="80" t="n"/>
      <c r="K235" s="80" t="n"/>
      <c r="L235" s="82" t="n"/>
      <c r="M235" s="80" t="n"/>
      <c r="N235" s="80" t="n"/>
      <c r="O235" s="80" t="n"/>
      <c r="P235" s="82" t="n"/>
      <c r="Q235" s="82" t="n"/>
      <c r="R235" s="80" t="n"/>
      <c r="S235" s="80" t="n"/>
      <c r="T235" s="80" t="n"/>
      <c r="U235" s="83" t="n"/>
      <c r="V235">
        <f>IF($A235="","",IF($A235=$A234,$V234,IF($V234="",0,1-$V234)))</f>
        <v/>
      </c>
      <c r="W235">
        <f>IF($B235&lt;&gt;"",$B235,$A235)</f>
        <v/>
      </c>
      <c r="X235">
        <f>IF(COUNTA($A235:$U235)=0,"",IF(OR($B235&lt;&gt;"",$O235&lt;&gt;""),"Dependent","Employee"))</f>
        <v/>
      </c>
      <c r="Y235">
        <f>IF(COUNTA($A235:$U235)=0,"",IF($A235="","Employee SSN is required; ","")&amp;IF($C235="","First Name is required; ","")&amp;IF(LEN($C235&amp;"")&gt;19,"First Name exceeds 19 characters; ","")&amp;IF(AND($C235&lt;&gt;"",SUMPRODUCT(--(ROW($1:$19)&lt;=LEN($C235&amp;"")),--ISERROR(FIND(MID($C235&amp;"",ROW($1:$19),1),"ABCDEFGHIJKLMNOPQRSTUVWXYZabcdefghijklmnopqrstuvwxyz .,")))&gt;0),"First Name contains unsupported or encoded characters; use plain A-Z letters only; ","")&amp;IF($D235="","Last Name is required; ","")&amp;IF(LEN($D235&amp;"")&gt;26,"Last Name exceeds 26 characters; ","")&amp;IF(AND($D235&lt;&gt;"",SUMPRODUCT(--(ROW($1:$26)&lt;=LEN($D235&amp;"")),--ISERROR(FIND(MID($D235&amp;"",ROW($1:$26),1),"ABCDEFGHIJKLMNOPQRSTUVWXYZabcdefghijklmnopqrstuvwxyz .,")))&gt;0),"Last Name contains unsupported or encoded characters; use plain A-Z letters only; ","")&amp;IF(LEN($E235&amp;"")&gt;1,"Middle Initial may contain only one character; ","")&amp;IF(AND($E235&lt;&gt;"",SUMPRODUCT(--(ROW($1:$1)&lt;=LEN($E235&amp;"")),--ISERROR(FIND(MID($E235&amp;"",ROW($1:$1),1),"ABCDEFGHIJKLMNOPQRSTUVWXYZabcdefghijklmnopqrstuvwxyz .,")))&gt;0),"Middle Initial must be a plain A-Z letter; ","")&amp;IF($F235="","Address is required; ","")&amp;IF(LEN($F235&amp;"")&gt;75,"Address exceeds 75 characters; ","")&amp;IF(LEN($G235&amp;"")&gt;75,"Address 2 exceeds 75 characters; ","")&amp;IF($H235="","City is required; ","")&amp;IF(LEN($H235&amp;"")&gt;30,"City exceeds 30 characters; ","")&amp;IF($K235="","Country is required; ","")&amp;IF(AND($K235&lt;&gt;"",$K235&lt;&gt;"US",$K235&lt;&gt;"CA"),"Country must be US or CA; ","")&amp;IF(AND($K235="US",OR($I235="",LEN($I235&amp;"")&lt;&gt;2)),"Use a 2-letter state code; ","")&amp;IF($J235="","ZIP or postal code is required; ","")&amp;IF(AND($K235="US",$J235&lt;&gt;"",NOT(IFERROR(OR(AND(LEN($J235&amp;"")=5,ISNUMBER(--($J235&amp;""))),AND(LEN($J235&amp;"")=9,ISNUMBER(--($J235&amp;""))),AND(LEN($J235&amp;"")=10,MID($J235&amp;"",6,1)="-",ISNUMBER(--SUBSTITUTE($J235&amp;"","-","")))),FALSE))),"US ZIP must be 5 or 9 digits, with an optional ZIP+4 hyphen; ","")&amp;IF(AND($N235&lt;&gt;"",NOT(IFERROR(AND(ISNUMBER(SEARCH("@",$N235)),ISNUMBER(SEARCH(".",$N235,SEARCH("@",$N235)+2))),FALSE))),"Email format appears invalid; ","")&amp;IF(AND($O235&lt;&gt;"",$B235=""),"Dependent SSN is required for every dependent; ","")&amp;IF(AND($B235&lt;&gt;"",$O235=""),"Dependent Relationship is required when Dependent SSN is entered; ","")&amp;IF(AND($O235&lt;&gt;"",$O235&lt;&gt;"Spouse or Common Law Spouse",$O235&lt;&gt;"Domestic Partner",$O235&lt;&gt;"Child",$O235&lt;&gt;"Other",$O235&lt;&gt;"Estate",$O235&lt;&gt;"Unknown"),"Dependent Relationship must use one of the approved options; ",""))</f>
        <v/>
      </c>
      <c r="Z235">
        <f>IF(COUNTA($A235:$U235)=0,"",IF(AND($A235&lt;&gt;"",NOT(IFERROR(AND(LEN($A235&amp;"")=9,ISNUMBER(--($A235&amp;""))),FALSE))),"Employee SSN must contain exactly 9 digits; ","")&amp;IF(AND($A235&lt;&gt;"",OR($A235="123456789",$A235="987654321",$A235="012345678",$A235=REPT(LEFT($A235&amp;"",1),9))),"Employee SSN appears to be a placeholder; ","")&amp;IF(AND($B235&lt;&gt;"",NOT(IFERROR(AND(LEN($B235&amp;"")=9,ISNUMBER(--($B235&amp;""))),FALSE))),"Dependent SSN must contain exactly 9 digits; ","")&amp;IF(AND($B235&lt;&gt;"",OR($B235="123456789",$B235="987654321",$B235="012345678",$B235=REPT(LEFT($B235&amp;"",1),9))),"Dependent SSN appears to be a placeholder; ","")&amp;IF(AND($A235&lt;&gt;"",$B235&lt;&gt;"",$A235&amp;""=$B235&amp;""),"Dependent SSN cannot match Employee SSN; ","")&amp;IF(AND($W235&lt;&gt;"",OR(COUNTIFS($W$2:$W$501,$W235,$C$2:$C$501,"&lt;&gt;"&amp;$C235)&gt;0,COUNTIFS($W$2:$W$501,$W235,$D$2:$D$501,"&lt;&gt;"&amp;$D235)&gt;0,COUNTIFS($W$2:$W$501,$W235,$L$2:$L$501,"&lt;&gt;"&amp;$L235)&gt;0)),"The same SSN is associated with a different name or birthdate; ",""))</f>
        <v/>
      </c>
      <c r="AA235">
        <f>IF(COUNTA($A235:$U235)=0,"",IF(AND($A235&lt;&gt;"",$S235&lt;&gt;"",COUNTIFS($A$2:$A$501,$A235,$S$2:$S$501,$S235,$B$2:$B$501,"",$O$2:$O$501,"")=0),"Add an employee row for this household and plan; ","")&amp;IF(AND($X235="Dependent",COUNTIFS($A$2:$A235,$A235,$S$2:$S235,$S235,$B$2:$B235,"",$O$2:$O235,"")=0),"Place the employee row before dependent rows for this plan; ","")&amp;IF(AND($X235="Dependent",COUNTIFS($A$2:$A$501,$A235,$S$2:$S$501,$S235,$B$2:$B$501,"",$O$2:$O$501,"")&gt;0,IFERROR(OR($P235&lt;&gt;LOOKUP(2,1/(($A$2:$A$501=$A235)*($S$2:$S$501=$S235)*($B$2:$B$501="")*($O$2:$O$501="")),$P$2:$P$501),$Q235&lt;&gt;LOOKUP(2,1/(($A$2:$A$501=$A235)*($S$2:$S$501=$S235)*($B$2:$B$501="")*($O$2:$O$501="")),$Q$2:$Q$501),$R235&lt;&gt;LOOKUP(2,1/(($A$2:$A$501=$A235)*($S$2:$S$501=$S235)*($B$2:$B$501="")*($O$2:$O$501="")),$R$2:$R$501),$T235&lt;&gt;LOOKUP(2,1/(($A$2:$A$501=$A235)*($S$2:$S$501=$S235)*($B$2:$B$501="")*($O$2:$O$501="")),$T$2:$T$501),$U235&lt;&gt;LOOKUP(2,1/(($A$2:$A$501=$A235)*($S$2:$S$501=$S235)*($B$2:$B$501="")*($O$2:$O$501="")),$U$2:$U$501)),FALSE)),"Dependent row does not match the employee row for eligibility, status, coverage level, or funding; ",""))</f>
        <v/>
      </c>
      <c r="AB235">
        <f>IF(COUNTA($A235:$U235)=0,"",IF($L235="","Birthdate is required; ","")&amp;IF(AND($L235&lt;&gt;"",OR(NOT(ISNUMBER($L235)),$L235&lt;=DATE(1900,1,1),$L235&gt;TODAY())),"Birthdate must be an exact valid past date; ","")&amp;IF($P235="","Eligibility Date is required; ","")&amp;IF(AND($P235&lt;&gt;"",OR(NOT(ISNUMBER($P235)),$P235&lt;=DATE(1900,1,1))),"Eligibility Date must be a valid date; ","")&amp;IF(AND($R235="Terminated",$Q235=""),"Termination Date is required when Status is Terminated; ","")&amp;IF(AND($Q235&lt;&gt;"",OR(NOT(ISNUMBER($Q235)),$Q235&lt;=DATE(1900,1,1))),"Termination Date must be a valid date; ","")&amp;IF(AND(ISNUMBER($P235),ISNUMBER($Q235),$Q235&lt;$P235),"Termination Date cannot be before Eligibility Date; ","")&amp;IF($R235="","Status is required; ","")&amp;IF(AND($R235&lt;&gt;"",$R235&lt;&gt;"Active",$R235&lt;&gt;"Terminated"),"Status must be Active or Terminated; ","")&amp;IF(AND('START HERE'!$C$8="Terminations Only",$R235&lt;&gt;"Terminated"),"Terminations Only files must contain terminated records; ",""))</f>
        <v/>
      </c>
      <c r="AC235">
        <f>IF(COUNTA($A235:$U235)=0,"",IF($S235="","Plan Name is required; ","")&amp;IF($T235="","Benefit Coverage Level is required; ","")&amp;IF(AND($U235&lt;&gt;"",OR(NOT(ISNUMBER($U235)),$U235&lt;0)),"Plan Funding Amount must be a nonnegative number; ","")&amp;IF(AND($A235&lt;&gt;"",$S235&lt;&gt;"",COUNTIFS($A$2:$A$501,$A235,$B$2:$B$501,$B235,$S$2:$S$501,$S235)&gt;1),"Duplicate participant and plan row; ",""))</f>
        <v/>
      </c>
      <c r="AD235">
        <f>IF(COUNTA($A235:$U235)=0,"",IF(AND($X235="Employee",$M235="",$N235=""),"No employee phone or email provided; ","")&amp;IF(AND($R235="Active",$Q235&lt;&gt;""),"Active record includes a Termination Date; confirm this is intentional; ","")&amp;IF(AND($B235&lt;&gt;"",$B235&amp;""&lt;&gt;$A235&amp;"",COUNTIF($A$2:$A$501,$B235)&gt;0),"Dependent SSN also appears as an Employee SSN elsewhere; confirm dual-employee coverage is intentional; ","")&amp;IF(AND($B235&lt;&gt;"",COUNTIF($B$2:$B$501,$B235)&gt;COUNTIFS($A$2:$A$501,$A235,$B$2:$B$501,$B235)),"Dependent SSN appears under more than one employee; confirm duplicate family coverage is intentional; ","")&amp;IF(AND(ROW()&gt;2,$A235&lt;&gt;"",$A235&lt;&gt;$A234,COUNTIF($A$2:$A234,$A235)&gt;0),"This household appears in more than one section of the census; keep the family together; ","")&amp;IF(OR(AND($C235&lt;&gt;"",LEN($C235&amp;"")&lt;&gt;LEN(TRIM($C235&amp;""))),AND($D235&lt;&gt;"",LEN($D235&amp;"")&lt;&gt;LEN(TRIM($D235&amp;""))),AND($E235&lt;&gt;"",LEN($E235&amp;"")&lt;&gt;LEN(TRIM($E235&amp;""))),AND($F235&lt;&gt;"",LEN($F235&amp;"")&lt;&gt;LEN(TRIM($F235&amp;""))),AND($G235&lt;&gt;"",LEN($G235&amp;"")&lt;&gt;LEN(TRIM($G235&amp;""))),AND($H235&lt;&gt;"",LEN($H235&amp;"")&lt;&gt;LEN(TRIM($H235&amp;""))),AND($I235&lt;&gt;"",LEN($I235&amp;"")&lt;&gt;LEN(TRIM($I235&amp;""))),AND($J235&lt;&gt;"",LEN($J235&amp;"")&lt;&gt;LEN(TRIM($J235&amp;""))),AND($K235&lt;&gt;"",LEN($K235&amp;"")&lt;&gt;LEN(TRIM($K235&amp;""))),AND($M235&lt;&gt;"",LEN($M235&amp;"")&lt;&gt;LEN(TRIM($M235&amp;""))),AND($N235&lt;&gt;"",LEN($N235&amp;"")&lt;&gt;LEN(TRIM($N235&amp;""))),AND($O235&lt;&gt;"",LEN($O235&amp;"")&lt;&gt;LEN(TRIM($O235&amp;""))),AND($R235&lt;&gt;"",LEN($R235&amp;"")&lt;&gt;LEN(TRIM($R235&amp;""))),AND($S235&lt;&gt;"",LEN($S235&amp;"")&lt;&gt;LEN(TRIM($S235&amp;""))),AND($T235&lt;&gt;"",LEN($T235&amp;"")&lt;&gt;LEN(TRIM($T235&amp;"")))),"Remove leading or trailing spaces from text fields; ","")&amp;IF(OR(AND(LEN($C235)&gt;1,OR(EXACT($C235,UPPER($C235)),EXACT($C235,LOWER($C235)))),AND(LEN($D235)&gt;1,OR(EXACT($D235,UPPER($D235)),EXACT($D235,LOWER($D235)))),AND(LEN($H235)&gt;1,OR(EXACT($H235,UPPER($H235)),EXACT($H235,LOWER($H235))))),"Review capitalization in First Name, Last Name, or City; ","")&amp;IF(AND($N235&lt;&gt;"",NOT(EXACT($N235,LOWER($N235)))),"Email will be standardized to lowercase in the clean output; ","")&amp;IF(AND(OR('START HERE'!$C$8="Initial Enrollment",'START HERE'!$C$8="Open Enrollment"),$R235="Terminated"),"A terminated row is included in an initial or open enrollment file; confirm this is intentional; ",""))</f>
        <v/>
      </c>
      <c r="AE235">
        <f>IF(COUNTA($A235:$U235)=0,"",IF(OR($A235="",AND($A235&lt;&gt;"",NOT(IFERROR(AND(LEN($A235&amp;"")=9,ISNUMBER(--($A235&amp;""))),FALSE))),AND($A235&lt;&gt;"",OR($A235="123456789",$A235="987654321",$A235="012345678",$A235=REPT(LEFT($A235&amp;"",1),9)))),"Employee SSN, ","")&amp;IF(OR(AND($O235&lt;&gt;"",$B235=""),AND($B235&lt;&gt;"",OR(NOT(IFERROR(AND(LEN($B235&amp;"")=9,ISNUMBER(--($B235&amp;""))),FALSE)),$B235=$A235,$B235="123456789",$B235="987654321",$B235="012345678",$B235=REPT(LEFT($B235&amp;"",1),9)))),"Dependent SSN, ","")&amp;IF(OR($C235="",LEN($C235)&gt;19,AND($C235&lt;&gt;"",SUMPRODUCT(--(ROW($1:$19)&lt;=LEN($C235&amp;"")),--ISERROR(FIND(MID($C235&amp;"",ROW($1:$19),1),"ABCDEFGHIJKLMNOPQRSTUVWXYZabcdefghijklmnopqrstuvwxyz .,")))&gt;0)),"First Name, ","")&amp;IF(OR($D235="",LEN($D235)&gt;26,AND($D235&lt;&gt;"",SUMPRODUCT(--(ROW($1:$26)&lt;=LEN($D235&amp;"")),--ISERROR(FIND(MID($D235&amp;"",ROW($1:$26),1),"ABCDEFGHIJKLMNOPQRSTUVWXYZabcdefghijklmnopqrstuvwxyz .,")))&gt;0)),"Last Name, ","")&amp;IF(OR(LEN($E235)&gt;1,AND($E235&lt;&gt;"",SUMPRODUCT(--(ROW($1:$1)&lt;=LEN($E235&amp;"")),--ISERROR(FIND(MID($E235&amp;"",ROW($1:$1),1),"ABCDEFGHIJKLMNOPQRSTUVWXYZabcdefghijklmnopqrstuvwxyz .,")))&gt;0)),"Middle Initial, ","")&amp;IF(OR($F235="",LEN($F235)&gt;75),"Address, ","")&amp;IF(OR($H235="",LEN($H235)&gt;30),"City, ","")&amp;IF(AND($K235="US",OR($I235="",LEN($I235)&lt;&gt;2)),"State, ","")&amp;IF($J235="","ZIP, ","")&amp;IF(OR($K235="",AND($K235&lt;&gt;"US",$K235&lt;&gt;"CA")),"Country, ","")&amp;IF(OR($L235="",AND($L235&lt;&gt;"",OR(NOT(ISNUMBER($L235)),$L235&lt;=DATE(1900,1,1),$L235&gt;TODAY()))),"Birthdate, ","")&amp;IF(AND($N235&lt;&gt;"",NOT(IFERROR(AND(ISNUMBER(SEARCH("@",$N235)),ISNUMBER(SEARCH(".",$N235,SEARCH("@",$N235)+2))),FALSE))),"Email, ","")&amp;IF(OR(AND($B235&lt;&gt;"",$O235=""),AND($O235&lt;&gt;"",$O235&lt;&gt;"Spouse or Common Law Spouse",$O235&lt;&gt;"Domestic Partner",$O235&lt;&gt;"Child",$O235&lt;&gt;"Other",$O235&lt;&gt;"Estate",$O235&lt;&gt;"Unknown")),"Dependent Relationship, ","")&amp;IF($AA235&lt;&gt;"","Household, ","")&amp;IF(OR($P235="",AND($P235&lt;&gt;"",OR(NOT(ISNUMBER($P235)),$P235&lt;=DATE(1900,1,1)))),"Eligibility Date, ","")&amp;IF(OR(AND($R235="Terminated",$Q235=""),AND($Q235&lt;&gt;"",OR(NOT(ISNUMBER($Q235)),$Q235&lt;=DATE(1900,1,1))),AND(ISNUMBER($P235),ISNUMBER($Q235),$Q235&lt;$P235)),"Termination Date, ","")&amp;IF(OR($R235="",AND($R235&lt;&gt;"Active",$R235&lt;&gt;"Terminated"),AND('START HERE'!$C$8="Terminations Only",$R235&lt;&gt;"Terminated")),"Status, ","")&amp;IF($S235="","Plan Name, ","")&amp;IF($T235="","Coverage Level, ","")&amp;IF(AND($U235&lt;&gt;"",OR(NOT(ISNUMBER($U235)),$U235&lt;0)),"Funding, ","")&amp;IF(AND($A235&lt;&gt;"",$S235&lt;&gt;"",COUNTIFS($A$2:$A$501,$A235,$B$2:$B$501,$B235,$S$2:$S$501,$S235)&gt;1),"Duplicate Row, ",""))</f>
        <v/>
      </c>
      <c r="AF235">
        <f>IF(COUNTA($A235:$U235)=0,"",$Y235&amp;$Z235&amp;$AA235&amp;$AB235&amp;$AC235)</f>
        <v/>
      </c>
      <c r="AG235">
        <f>IF($N235="","",LOWER(TRIM($N235)))</f>
        <v/>
      </c>
      <c r="AH235">
        <f>IF($A235="","",COUNTIFS($A$2:$A$501,$A235,$AI$2:$AI$501,1))</f>
        <v/>
      </c>
      <c r="AI235">
        <f>IF(COUNTA($A235:$U235)=0,"",--($AF235&lt;&gt;""))</f>
        <v/>
      </c>
      <c r="AJ235">
        <f>IF(COUNTA($A235:$U235)=0,"",--($AD235&lt;&gt;""))</f>
        <v/>
      </c>
    </row>
    <row r="236" ht="20" customHeight="1">
      <c r="A236" s="80" t="n"/>
      <c r="B236" s="80" t="n"/>
      <c r="C236" s="81" t="n"/>
      <c r="D236" s="81" t="n"/>
      <c r="E236" s="80" t="n"/>
      <c r="F236" s="81" t="n"/>
      <c r="G236" s="81" t="n"/>
      <c r="H236" s="81" t="n"/>
      <c r="I236" s="80" t="n"/>
      <c r="J236" s="80" t="n"/>
      <c r="K236" s="80" t="n"/>
      <c r="L236" s="82" t="n"/>
      <c r="M236" s="80" t="n"/>
      <c r="N236" s="80" t="n"/>
      <c r="O236" s="80" t="n"/>
      <c r="P236" s="82" t="n"/>
      <c r="Q236" s="82" t="n"/>
      <c r="R236" s="80" t="n"/>
      <c r="S236" s="80" t="n"/>
      <c r="T236" s="80" t="n"/>
      <c r="U236" s="83" t="n"/>
      <c r="V236">
        <f>IF($A236="","",IF($A236=$A235,$V235,IF($V235="",0,1-$V235)))</f>
        <v/>
      </c>
      <c r="W236">
        <f>IF($B236&lt;&gt;"",$B236,$A236)</f>
        <v/>
      </c>
      <c r="X236">
        <f>IF(COUNTA($A236:$U236)=0,"",IF(OR($B236&lt;&gt;"",$O236&lt;&gt;""),"Dependent","Employee"))</f>
        <v/>
      </c>
      <c r="Y236">
        <f>IF(COUNTA($A236:$U236)=0,"",IF($A236="","Employee SSN is required; ","")&amp;IF($C236="","First Name is required; ","")&amp;IF(LEN($C236&amp;"")&gt;19,"First Name exceeds 19 characters; ","")&amp;IF(AND($C236&lt;&gt;"",SUMPRODUCT(--(ROW($1:$19)&lt;=LEN($C236&amp;"")),--ISERROR(FIND(MID($C236&amp;"",ROW($1:$19),1),"ABCDEFGHIJKLMNOPQRSTUVWXYZabcdefghijklmnopqrstuvwxyz .,")))&gt;0),"First Name contains unsupported or encoded characters; use plain A-Z letters only; ","")&amp;IF($D236="","Last Name is required; ","")&amp;IF(LEN($D236&amp;"")&gt;26,"Last Name exceeds 26 characters; ","")&amp;IF(AND($D236&lt;&gt;"",SUMPRODUCT(--(ROW($1:$26)&lt;=LEN($D236&amp;"")),--ISERROR(FIND(MID($D236&amp;"",ROW($1:$26),1),"ABCDEFGHIJKLMNOPQRSTUVWXYZabcdefghijklmnopqrstuvwxyz .,")))&gt;0),"Last Name contains unsupported or encoded characters; use plain A-Z letters only; ","")&amp;IF(LEN($E236&amp;"")&gt;1,"Middle Initial may contain only one character; ","")&amp;IF(AND($E236&lt;&gt;"",SUMPRODUCT(--(ROW($1:$1)&lt;=LEN($E236&amp;"")),--ISERROR(FIND(MID($E236&amp;"",ROW($1:$1),1),"ABCDEFGHIJKLMNOPQRSTUVWXYZabcdefghijklmnopqrstuvwxyz .,")))&gt;0),"Middle Initial must be a plain A-Z letter; ","")&amp;IF($F236="","Address is required; ","")&amp;IF(LEN($F236&amp;"")&gt;75,"Address exceeds 75 characters; ","")&amp;IF(LEN($G236&amp;"")&gt;75,"Address 2 exceeds 75 characters; ","")&amp;IF($H236="","City is required; ","")&amp;IF(LEN($H236&amp;"")&gt;30,"City exceeds 30 characters; ","")&amp;IF($K236="","Country is required; ","")&amp;IF(AND($K236&lt;&gt;"",$K236&lt;&gt;"US",$K236&lt;&gt;"CA"),"Country must be US or CA; ","")&amp;IF(AND($K236="US",OR($I236="",LEN($I236&amp;"")&lt;&gt;2)),"Use a 2-letter state code; ","")&amp;IF($J236="","ZIP or postal code is required; ","")&amp;IF(AND($K236="US",$J236&lt;&gt;"",NOT(IFERROR(OR(AND(LEN($J236&amp;"")=5,ISNUMBER(--($J236&amp;""))),AND(LEN($J236&amp;"")=9,ISNUMBER(--($J236&amp;""))),AND(LEN($J236&amp;"")=10,MID($J236&amp;"",6,1)="-",ISNUMBER(--SUBSTITUTE($J236&amp;"","-","")))),FALSE))),"US ZIP must be 5 or 9 digits, with an optional ZIP+4 hyphen; ","")&amp;IF(AND($N236&lt;&gt;"",NOT(IFERROR(AND(ISNUMBER(SEARCH("@",$N236)),ISNUMBER(SEARCH(".",$N236,SEARCH("@",$N236)+2))),FALSE))),"Email format appears invalid; ","")&amp;IF(AND($O236&lt;&gt;"",$B236=""),"Dependent SSN is required for every dependent; ","")&amp;IF(AND($B236&lt;&gt;"",$O236=""),"Dependent Relationship is required when Dependent SSN is entered; ","")&amp;IF(AND($O236&lt;&gt;"",$O236&lt;&gt;"Spouse or Common Law Spouse",$O236&lt;&gt;"Domestic Partner",$O236&lt;&gt;"Child",$O236&lt;&gt;"Other",$O236&lt;&gt;"Estate",$O236&lt;&gt;"Unknown"),"Dependent Relationship must use one of the approved options; ",""))</f>
        <v/>
      </c>
      <c r="Z236">
        <f>IF(COUNTA($A236:$U236)=0,"",IF(AND($A236&lt;&gt;"",NOT(IFERROR(AND(LEN($A236&amp;"")=9,ISNUMBER(--($A236&amp;""))),FALSE))),"Employee SSN must contain exactly 9 digits; ","")&amp;IF(AND($A236&lt;&gt;"",OR($A236="123456789",$A236="987654321",$A236="012345678",$A236=REPT(LEFT($A236&amp;"",1),9))),"Employee SSN appears to be a placeholder; ","")&amp;IF(AND($B236&lt;&gt;"",NOT(IFERROR(AND(LEN($B236&amp;"")=9,ISNUMBER(--($B236&amp;""))),FALSE))),"Dependent SSN must contain exactly 9 digits; ","")&amp;IF(AND($B236&lt;&gt;"",OR($B236="123456789",$B236="987654321",$B236="012345678",$B236=REPT(LEFT($B236&amp;"",1),9))),"Dependent SSN appears to be a placeholder; ","")&amp;IF(AND($A236&lt;&gt;"",$B236&lt;&gt;"",$A236&amp;""=$B236&amp;""),"Dependent SSN cannot match Employee SSN; ","")&amp;IF(AND($W236&lt;&gt;"",OR(COUNTIFS($W$2:$W$501,$W236,$C$2:$C$501,"&lt;&gt;"&amp;$C236)&gt;0,COUNTIFS($W$2:$W$501,$W236,$D$2:$D$501,"&lt;&gt;"&amp;$D236)&gt;0,COUNTIFS($W$2:$W$501,$W236,$L$2:$L$501,"&lt;&gt;"&amp;$L236)&gt;0)),"The same SSN is associated with a different name or birthdate; ",""))</f>
        <v/>
      </c>
      <c r="AA236">
        <f>IF(COUNTA($A236:$U236)=0,"",IF(AND($A236&lt;&gt;"",$S236&lt;&gt;"",COUNTIFS($A$2:$A$501,$A236,$S$2:$S$501,$S236,$B$2:$B$501,"",$O$2:$O$501,"")=0),"Add an employee row for this household and plan; ","")&amp;IF(AND($X236="Dependent",COUNTIFS($A$2:$A236,$A236,$S$2:$S236,$S236,$B$2:$B236,"",$O$2:$O236,"")=0),"Place the employee row before dependent rows for this plan; ","")&amp;IF(AND($X236="Dependent",COUNTIFS($A$2:$A$501,$A236,$S$2:$S$501,$S236,$B$2:$B$501,"",$O$2:$O$501,"")&gt;0,IFERROR(OR($P236&lt;&gt;LOOKUP(2,1/(($A$2:$A$501=$A236)*($S$2:$S$501=$S236)*($B$2:$B$501="")*($O$2:$O$501="")),$P$2:$P$501),$Q236&lt;&gt;LOOKUP(2,1/(($A$2:$A$501=$A236)*($S$2:$S$501=$S236)*($B$2:$B$501="")*($O$2:$O$501="")),$Q$2:$Q$501),$R236&lt;&gt;LOOKUP(2,1/(($A$2:$A$501=$A236)*($S$2:$S$501=$S236)*($B$2:$B$501="")*($O$2:$O$501="")),$R$2:$R$501),$T236&lt;&gt;LOOKUP(2,1/(($A$2:$A$501=$A236)*($S$2:$S$501=$S236)*($B$2:$B$501="")*($O$2:$O$501="")),$T$2:$T$501),$U236&lt;&gt;LOOKUP(2,1/(($A$2:$A$501=$A236)*($S$2:$S$501=$S236)*($B$2:$B$501="")*($O$2:$O$501="")),$U$2:$U$501)),FALSE)),"Dependent row does not match the employee row for eligibility, status, coverage level, or funding; ",""))</f>
        <v/>
      </c>
      <c r="AB236">
        <f>IF(COUNTA($A236:$U236)=0,"",IF($L236="","Birthdate is required; ","")&amp;IF(AND($L236&lt;&gt;"",OR(NOT(ISNUMBER($L236)),$L236&lt;=DATE(1900,1,1),$L236&gt;TODAY())),"Birthdate must be an exact valid past date; ","")&amp;IF($P236="","Eligibility Date is required; ","")&amp;IF(AND($P236&lt;&gt;"",OR(NOT(ISNUMBER($P236)),$P236&lt;=DATE(1900,1,1))),"Eligibility Date must be a valid date; ","")&amp;IF(AND($R236="Terminated",$Q236=""),"Termination Date is required when Status is Terminated; ","")&amp;IF(AND($Q236&lt;&gt;"",OR(NOT(ISNUMBER($Q236)),$Q236&lt;=DATE(1900,1,1))),"Termination Date must be a valid date; ","")&amp;IF(AND(ISNUMBER($P236),ISNUMBER($Q236),$Q236&lt;$P236),"Termination Date cannot be before Eligibility Date; ","")&amp;IF($R236="","Status is required; ","")&amp;IF(AND($R236&lt;&gt;"",$R236&lt;&gt;"Active",$R236&lt;&gt;"Terminated"),"Status must be Active or Terminated; ","")&amp;IF(AND('START HERE'!$C$8="Terminations Only",$R236&lt;&gt;"Terminated"),"Terminations Only files must contain terminated records; ",""))</f>
        <v/>
      </c>
      <c r="AC236">
        <f>IF(COUNTA($A236:$U236)=0,"",IF($S236="","Plan Name is required; ","")&amp;IF($T236="","Benefit Coverage Level is required; ","")&amp;IF(AND($U236&lt;&gt;"",OR(NOT(ISNUMBER($U236)),$U236&lt;0)),"Plan Funding Amount must be a nonnegative number; ","")&amp;IF(AND($A236&lt;&gt;"",$S236&lt;&gt;"",COUNTIFS($A$2:$A$501,$A236,$B$2:$B$501,$B236,$S$2:$S$501,$S236)&gt;1),"Duplicate participant and plan row; ",""))</f>
        <v/>
      </c>
      <c r="AD236">
        <f>IF(COUNTA($A236:$U236)=0,"",IF(AND($X236="Employee",$M236="",$N236=""),"No employee phone or email provided; ","")&amp;IF(AND($R236="Active",$Q236&lt;&gt;""),"Active record includes a Termination Date; confirm this is intentional; ","")&amp;IF(AND($B236&lt;&gt;"",$B236&amp;""&lt;&gt;$A236&amp;"",COUNTIF($A$2:$A$501,$B236)&gt;0),"Dependent SSN also appears as an Employee SSN elsewhere; confirm dual-employee coverage is intentional; ","")&amp;IF(AND($B236&lt;&gt;"",COUNTIF($B$2:$B$501,$B236)&gt;COUNTIFS($A$2:$A$501,$A236,$B$2:$B$501,$B236)),"Dependent SSN appears under more than one employee; confirm duplicate family coverage is intentional; ","")&amp;IF(AND(ROW()&gt;2,$A236&lt;&gt;"",$A236&lt;&gt;$A235,COUNTIF($A$2:$A235,$A236)&gt;0),"This household appears in more than one section of the census; keep the family together; ","")&amp;IF(OR(AND($C236&lt;&gt;"",LEN($C236&amp;"")&lt;&gt;LEN(TRIM($C236&amp;""))),AND($D236&lt;&gt;"",LEN($D236&amp;"")&lt;&gt;LEN(TRIM($D236&amp;""))),AND($E236&lt;&gt;"",LEN($E236&amp;"")&lt;&gt;LEN(TRIM($E236&amp;""))),AND($F236&lt;&gt;"",LEN($F236&amp;"")&lt;&gt;LEN(TRIM($F236&amp;""))),AND($G236&lt;&gt;"",LEN($G236&amp;"")&lt;&gt;LEN(TRIM($G236&amp;""))),AND($H236&lt;&gt;"",LEN($H236&amp;"")&lt;&gt;LEN(TRIM($H236&amp;""))),AND($I236&lt;&gt;"",LEN($I236&amp;"")&lt;&gt;LEN(TRIM($I236&amp;""))),AND($J236&lt;&gt;"",LEN($J236&amp;"")&lt;&gt;LEN(TRIM($J236&amp;""))),AND($K236&lt;&gt;"",LEN($K236&amp;"")&lt;&gt;LEN(TRIM($K236&amp;""))),AND($M236&lt;&gt;"",LEN($M236&amp;"")&lt;&gt;LEN(TRIM($M236&amp;""))),AND($N236&lt;&gt;"",LEN($N236&amp;"")&lt;&gt;LEN(TRIM($N236&amp;""))),AND($O236&lt;&gt;"",LEN($O236&amp;"")&lt;&gt;LEN(TRIM($O236&amp;""))),AND($R236&lt;&gt;"",LEN($R236&amp;"")&lt;&gt;LEN(TRIM($R236&amp;""))),AND($S236&lt;&gt;"",LEN($S236&amp;"")&lt;&gt;LEN(TRIM($S236&amp;""))),AND($T236&lt;&gt;"",LEN($T236&amp;"")&lt;&gt;LEN(TRIM($T236&amp;"")))),"Remove leading or trailing spaces from text fields; ","")&amp;IF(OR(AND(LEN($C236)&gt;1,OR(EXACT($C236,UPPER($C236)),EXACT($C236,LOWER($C236)))),AND(LEN($D236)&gt;1,OR(EXACT($D236,UPPER($D236)),EXACT($D236,LOWER($D236)))),AND(LEN($H236)&gt;1,OR(EXACT($H236,UPPER($H236)),EXACT($H236,LOWER($H236))))),"Review capitalization in First Name, Last Name, or City; ","")&amp;IF(AND($N236&lt;&gt;"",NOT(EXACT($N236,LOWER($N236)))),"Email will be standardized to lowercase in the clean output; ","")&amp;IF(AND(OR('START HERE'!$C$8="Initial Enrollment",'START HERE'!$C$8="Open Enrollment"),$R236="Terminated"),"A terminated row is included in an initial or open enrollment file; confirm this is intentional; ",""))</f>
        <v/>
      </c>
      <c r="AE236">
        <f>IF(COUNTA($A236:$U236)=0,"",IF(OR($A236="",AND($A236&lt;&gt;"",NOT(IFERROR(AND(LEN($A236&amp;"")=9,ISNUMBER(--($A236&amp;""))),FALSE))),AND($A236&lt;&gt;"",OR($A236="123456789",$A236="987654321",$A236="012345678",$A236=REPT(LEFT($A236&amp;"",1),9)))),"Employee SSN, ","")&amp;IF(OR(AND($O236&lt;&gt;"",$B236=""),AND($B236&lt;&gt;"",OR(NOT(IFERROR(AND(LEN($B236&amp;"")=9,ISNUMBER(--($B236&amp;""))),FALSE)),$B236=$A236,$B236="123456789",$B236="987654321",$B236="012345678",$B236=REPT(LEFT($B236&amp;"",1),9)))),"Dependent SSN, ","")&amp;IF(OR($C236="",LEN($C236)&gt;19,AND($C236&lt;&gt;"",SUMPRODUCT(--(ROW($1:$19)&lt;=LEN($C236&amp;"")),--ISERROR(FIND(MID($C236&amp;"",ROW($1:$19),1),"ABCDEFGHIJKLMNOPQRSTUVWXYZabcdefghijklmnopqrstuvwxyz .,")))&gt;0)),"First Name, ","")&amp;IF(OR($D236="",LEN($D236)&gt;26,AND($D236&lt;&gt;"",SUMPRODUCT(--(ROW($1:$26)&lt;=LEN($D236&amp;"")),--ISERROR(FIND(MID($D236&amp;"",ROW($1:$26),1),"ABCDEFGHIJKLMNOPQRSTUVWXYZabcdefghijklmnopqrstuvwxyz .,")))&gt;0)),"Last Name, ","")&amp;IF(OR(LEN($E236)&gt;1,AND($E236&lt;&gt;"",SUMPRODUCT(--(ROW($1:$1)&lt;=LEN($E236&amp;"")),--ISERROR(FIND(MID($E236&amp;"",ROW($1:$1),1),"ABCDEFGHIJKLMNOPQRSTUVWXYZabcdefghijklmnopqrstuvwxyz .,")))&gt;0)),"Middle Initial, ","")&amp;IF(OR($F236="",LEN($F236)&gt;75),"Address, ","")&amp;IF(OR($H236="",LEN($H236)&gt;30),"City, ","")&amp;IF(AND($K236="US",OR($I236="",LEN($I236)&lt;&gt;2)),"State, ","")&amp;IF($J236="","ZIP, ","")&amp;IF(OR($K236="",AND($K236&lt;&gt;"US",$K236&lt;&gt;"CA")),"Country, ","")&amp;IF(OR($L236="",AND($L236&lt;&gt;"",OR(NOT(ISNUMBER($L236)),$L236&lt;=DATE(1900,1,1),$L236&gt;TODAY()))),"Birthdate, ","")&amp;IF(AND($N236&lt;&gt;"",NOT(IFERROR(AND(ISNUMBER(SEARCH("@",$N236)),ISNUMBER(SEARCH(".",$N236,SEARCH("@",$N236)+2))),FALSE))),"Email, ","")&amp;IF(OR(AND($B236&lt;&gt;"",$O236=""),AND($O236&lt;&gt;"",$O236&lt;&gt;"Spouse or Common Law Spouse",$O236&lt;&gt;"Domestic Partner",$O236&lt;&gt;"Child",$O236&lt;&gt;"Other",$O236&lt;&gt;"Estate",$O236&lt;&gt;"Unknown")),"Dependent Relationship, ","")&amp;IF($AA236&lt;&gt;"","Household, ","")&amp;IF(OR($P236="",AND($P236&lt;&gt;"",OR(NOT(ISNUMBER($P236)),$P236&lt;=DATE(1900,1,1)))),"Eligibility Date, ","")&amp;IF(OR(AND($R236="Terminated",$Q236=""),AND($Q236&lt;&gt;"",OR(NOT(ISNUMBER($Q236)),$Q236&lt;=DATE(1900,1,1))),AND(ISNUMBER($P236),ISNUMBER($Q236),$Q236&lt;$P236)),"Termination Date, ","")&amp;IF(OR($R236="",AND($R236&lt;&gt;"Active",$R236&lt;&gt;"Terminated"),AND('START HERE'!$C$8="Terminations Only",$R236&lt;&gt;"Terminated")),"Status, ","")&amp;IF($S236="","Plan Name, ","")&amp;IF($T236="","Coverage Level, ","")&amp;IF(AND($U236&lt;&gt;"",OR(NOT(ISNUMBER($U236)),$U236&lt;0)),"Funding, ","")&amp;IF(AND($A236&lt;&gt;"",$S236&lt;&gt;"",COUNTIFS($A$2:$A$501,$A236,$B$2:$B$501,$B236,$S$2:$S$501,$S236)&gt;1),"Duplicate Row, ",""))</f>
        <v/>
      </c>
      <c r="AF236">
        <f>IF(COUNTA($A236:$U236)=0,"",$Y236&amp;$Z236&amp;$AA236&amp;$AB236&amp;$AC236)</f>
        <v/>
      </c>
      <c r="AG236">
        <f>IF($N236="","",LOWER(TRIM($N236)))</f>
        <v/>
      </c>
      <c r="AH236">
        <f>IF($A236="","",COUNTIFS($A$2:$A$501,$A236,$AI$2:$AI$501,1))</f>
        <v/>
      </c>
      <c r="AI236">
        <f>IF(COUNTA($A236:$U236)=0,"",--($AF236&lt;&gt;""))</f>
        <v/>
      </c>
      <c r="AJ236">
        <f>IF(COUNTA($A236:$U236)=0,"",--($AD236&lt;&gt;""))</f>
        <v/>
      </c>
    </row>
    <row r="237" ht="20" customHeight="1">
      <c r="A237" s="80" t="n"/>
      <c r="B237" s="80" t="n"/>
      <c r="C237" s="81" t="n"/>
      <c r="D237" s="81" t="n"/>
      <c r="E237" s="80" t="n"/>
      <c r="F237" s="81" t="n"/>
      <c r="G237" s="81" t="n"/>
      <c r="H237" s="81" t="n"/>
      <c r="I237" s="80" t="n"/>
      <c r="J237" s="80" t="n"/>
      <c r="K237" s="80" t="n"/>
      <c r="L237" s="82" t="n"/>
      <c r="M237" s="80" t="n"/>
      <c r="N237" s="80" t="n"/>
      <c r="O237" s="80" t="n"/>
      <c r="P237" s="82" t="n"/>
      <c r="Q237" s="82" t="n"/>
      <c r="R237" s="80" t="n"/>
      <c r="S237" s="80" t="n"/>
      <c r="T237" s="80" t="n"/>
      <c r="U237" s="83" t="n"/>
      <c r="V237">
        <f>IF($A237="","",IF($A237=$A236,$V236,IF($V236="",0,1-$V236)))</f>
        <v/>
      </c>
      <c r="W237">
        <f>IF($B237&lt;&gt;"",$B237,$A237)</f>
        <v/>
      </c>
      <c r="X237">
        <f>IF(COUNTA($A237:$U237)=0,"",IF(OR($B237&lt;&gt;"",$O237&lt;&gt;""),"Dependent","Employee"))</f>
        <v/>
      </c>
      <c r="Y237">
        <f>IF(COUNTA($A237:$U237)=0,"",IF($A237="","Employee SSN is required; ","")&amp;IF($C237="","First Name is required; ","")&amp;IF(LEN($C237&amp;"")&gt;19,"First Name exceeds 19 characters; ","")&amp;IF(AND($C237&lt;&gt;"",SUMPRODUCT(--(ROW($1:$19)&lt;=LEN($C237&amp;"")),--ISERROR(FIND(MID($C237&amp;"",ROW($1:$19),1),"ABCDEFGHIJKLMNOPQRSTUVWXYZabcdefghijklmnopqrstuvwxyz .,")))&gt;0),"First Name contains unsupported or encoded characters; use plain A-Z letters only; ","")&amp;IF($D237="","Last Name is required; ","")&amp;IF(LEN($D237&amp;"")&gt;26,"Last Name exceeds 26 characters; ","")&amp;IF(AND($D237&lt;&gt;"",SUMPRODUCT(--(ROW($1:$26)&lt;=LEN($D237&amp;"")),--ISERROR(FIND(MID($D237&amp;"",ROW($1:$26),1),"ABCDEFGHIJKLMNOPQRSTUVWXYZabcdefghijklmnopqrstuvwxyz .,")))&gt;0),"Last Name contains unsupported or encoded characters; use plain A-Z letters only; ","")&amp;IF(LEN($E237&amp;"")&gt;1,"Middle Initial may contain only one character; ","")&amp;IF(AND($E237&lt;&gt;"",SUMPRODUCT(--(ROW($1:$1)&lt;=LEN($E237&amp;"")),--ISERROR(FIND(MID($E237&amp;"",ROW($1:$1),1),"ABCDEFGHIJKLMNOPQRSTUVWXYZabcdefghijklmnopqrstuvwxyz .,")))&gt;0),"Middle Initial must be a plain A-Z letter; ","")&amp;IF($F237="","Address is required; ","")&amp;IF(LEN($F237&amp;"")&gt;75,"Address exceeds 75 characters; ","")&amp;IF(LEN($G237&amp;"")&gt;75,"Address 2 exceeds 75 characters; ","")&amp;IF($H237="","City is required; ","")&amp;IF(LEN($H237&amp;"")&gt;30,"City exceeds 30 characters; ","")&amp;IF($K237="","Country is required; ","")&amp;IF(AND($K237&lt;&gt;"",$K237&lt;&gt;"US",$K237&lt;&gt;"CA"),"Country must be US or CA; ","")&amp;IF(AND($K237="US",OR($I237="",LEN($I237&amp;"")&lt;&gt;2)),"Use a 2-letter state code; ","")&amp;IF($J237="","ZIP or postal code is required; ","")&amp;IF(AND($K237="US",$J237&lt;&gt;"",NOT(IFERROR(OR(AND(LEN($J237&amp;"")=5,ISNUMBER(--($J237&amp;""))),AND(LEN($J237&amp;"")=9,ISNUMBER(--($J237&amp;""))),AND(LEN($J237&amp;"")=10,MID($J237&amp;"",6,1)="-",ISNUMBER(--SUBSTITUTE($J237&amp;"","-","")))),FALSE))),"US ZIP must be 5 or 9 digits, with an optional ZIP+4 hyphen; ","")&amp;IF(AND($N237&lt;&gt;"",NOT(IFERROR(AND(ISNUMBER(SEARCH("@",$N237)),ISNUMBER(SEARCH(".",$N237,SEARCH("@",$N237)+2))),FALSE))),"Email format appears invalid; ","")&amp;IF(AND($O237&lt;&gt;"",$B237=""),"Dependent SSN is required for every dependent; ","")&amp;IF(AND($B237&lt;&gt;"",$O237=""),"Dependent Relationship is required when Dependent SSN is entered; ","")&amp;IF(AND($O237&lt;&gt;"",$O237&lt;&gt;"Spouse or Common Law Spouse",$O237&lt;&gt;"Domestic Partner",$O237&lt;&gt;"Child",$O237&lt;&gt;"Other",$O237&lt;&gt;"Estate",$O237&lt;&gt;"Unknown"),"Dependent Relationship must use one of the approved options; ",""))</f>
        <v/>
      </c>
      <c r="Z237">
        <f>IF(COUNTA($A237:$U237)=0,"",IF(AND($A237&lt;&gt;"",NOT(IFERROR(AND(LEN($A237&amp;"")=9,ISNUMBER(--($A237&amp;""))),FALSE))),"Employee SSN must contain exactly 9 digits; ","")&amp;IF(AND($A237&lt;&gt;"",OR($A237="123456789",$A237="987654321",$A237="012345678",$A237=REPT(LEFT($A237&amp;"",1),9))),"Employee SSN appears to be a placeholder; ","")&amp;IF(AND($B237&lt;&gt;"",NOT(IFERROR(AND(LEN($B237&amp;"")=9,ISNUMBER(--($B237&amp;""))),FALSE))),"Dependent SSN must contain exactly 9 digits; ","")&amp;IF(AND($B237&lt;&gt;"",OR($B237="123456789",$B237="987654321",$B237="012345678",$B237=REPT(LEFT($B237&amp;"",1),9))),"Dependent SSN appears to be a placeholder; ","")&amp;IF(AND($A237&lt;&gt;"",$B237&lt;&gt;"",$A237&amp;""=$B237&amp;""),"Dependent SSN cannot match Employee SSN; ","")&amp;IF(AND($W237&lt;&gt;"",OR(COUNTIFS($W$2:$W$501,$W237,$C$2:$C$501,"&lt;&gt;"&amp;$C237)&gt;0,COUNTIFS($W$2:$W$501,$W237,$D$2:$D$501,"&lt;&gt;"&amp;$D237)&gt;0,COUNTIFS($W$2:$W$501,$W237,$L$2:$L$501,"&lt;&gt;"&amp;$L237)&gt;0)),"The same SSN is associated with a different name or birthdate; ",""))</f>
        <v/>
      </c>
      <c r="AA237">
        <f>IF(COUNTA($A237:$U237)=0,"",IF(AND($A237&lt;&gt;"",$S237&lt;&gt;"",COUNTIFS($A$2:$A$501,$A237,$S$2:$S$501,$S237,$B$2:$B$501,"",$O$2:$O$501,"")=0),"Add an employee row for this household and plan; ","")&amp;IF(AND($X237="Dependent",COUNTIFS($A$2:$A237,$A237,$S$2:$S237,$S237,$B$2:$B237,"",$O$2:$O237,"")=0),"Place the employee row before dependent rows for this plan; ","")&amp;IF(AND($X237="Dependent",COUNTIFS($A$2:$A$501,$A237,$S$2:$S$501,$S237,$B$2:$B$501,"",$O$2:$O$501,"")&gt;0,IFERROR(OR($P237&lt;&gt;LOOKUP(2,1/(($A$2:$A$501=$A237)*($S$2:$S$501=$S237)*($B$2:$B$501="")*($O$2:$O$501="")),$P$2:$P$501),$Q237&lt;&gt;LOOKUP(2,1/(($A$2:$A$501=$A237)*($S$2:$S$501=$S237)*($B$2:$B$501="")*($O$2:$O$501="")),$Q$2:$Q$501),$R237&lt;&gt;LOOKUP(2,1/(($A$2:$A$501=$A237)*($S$2:$S$501=$S237)*($B$2:$B$501="")*($O$2:$O$501="")),$R$2:$R$501),$T237&lt;&gt;LOOKUP(2,1/(($A$2:$A$501=$A237)*($S$2:$S$501=$S237)*($B$2:$B$501="")*($O$2:$O$501="")),$T$2:$T$501),$U237&lt;&gt;LOOKUP(2,1/(($A$2:$A$501=$A237)*($S$2:$S$501=$S237)*($B$2:$B$501="")*($O$2:$O$501="")),$U$2:$U$501)),FALSE)),"Dependent row does not match the employee row for eligibility, status, coverage level, or funding; ",""))</f>
        <v/>
      </c>
      <c r="AB237">
        <f>IF(COUNTA($A237:$U237)=0,"",IF($L237="","Birthdate is required; ","")&amp;IF(AND($L237&lt;&gt;"",OR(NOT(ISNUMBER($L237)),$L237&lt;=DATE(1900,1,1),$L237&gt;TODAY())),"Birthdate must be an exact valid past date; ","")&amp;IF($P237="","Eligibility Date is required; ","")&amp;IF(AND($P237&lt;&gt;"",OR(NOT(ISNUMBER($P237)),$P237&lt;=DATE(1900,1,1))),"Eligibility Date must be a valid date; ","")&amp;IF(AND($R237="Terminated",$Q237=""),"Termination Date is required when Status is Terminated; ","")&amp;IF(AND($Q237&lt;&gt;"",OR(NOT(ISNUMBER($Q237)),$Q237&lt;=DATE(1900,1,1))),"Termination Date must be a valid date; ","")&amp;IF(AND(ISNUMBER($P237),ISNUMBER($Q237),$Q237&lt;$P237),"Termination Date cannot be before Eligibility Date; ","")&amp;IF($R237="","Status is required; ","")&amp;IF(AND($R237&lt;&gt;"",$R237&lt;&gt;"Active",$R237&lt;&gt;"Terminated"),"Status must be Active or Terminated; ","")&amp;IF(AND('START HERE'!$C$8="Terminations Only",$R237&lt;&gt;"Terminated"),"Terminations Only files must contain terminated records; ",""))</f>
        <v/>
      </c>
      <c r="AC237">
        <f>IF(COUNTA($A237:$U237)=0,"",IF($S237="","Plan Name is required; ","")&amp;IF($T237="","Benefit Coverage Level is required; ","")&amp;IF(AND($U237&lt;&gt;"",OR(NOT(ISNUMBER($U237)),$U237&lt;0)),"Plan Funding Amount must be a nonnegative number; ","")&amp;IF(AND($A237&lt;&gt;"",$S237&lt;&gt;"",COUNTIFS($A$2:$A$501,$A237,$B$2:$B$501,$B237,$S$2:$S$501,$S237)&gt;1),"Duplicate participant and plan row; ",""))</f>
        <v/>
      </c>
      <c r="AD237">
        <f>IF(COUNTA($A237:$U237)=0,"",IF(AND($X237="Employee",$M237="",$N237=""),"No employee phone or email provided; ","")&amp;IF(AND($R237="Active",$Q237&lt;&gt;""),"Active record includes a Termination Date; confirm this is intentional; ","")&amp;IF(AND($B237&lt;&gt;"",$B237&amp;""&lt;&gt;$A237&amp;"",COUNTIF($A$2:$A$501,$B237)&gt;0),"Dependent SSN also appears as an Employee SSN elsewhere; confirm dual-employee coverage is intentional; ","")&amp;IF(AND($B237&lt;&gt;"",COUNTIF($B$2:$B$501,$B237)&gt;COUNTIFS($A$2:$A$501,$A237,$B$2:$B$501,$B237)),"Dependent SSN appears under more than one employee; confirm duplicate family coverage is intentional; ","")&amp;IF(AND(ROW()&gt;2,$A237&lt;&gt;"",$A237&lt;&gt;$A236,COUNTIF($A$2:$A236,$A237)&gt;0),"This household appears in more than one section of the census; keep the family together; ","")&amp;IF(OR(AND($C237&lt;&gt;"",LEN($C237&amp;"")&lt;&gt;LEN(TRIM($C237&amp;""))),AND($D237&lt;&gt;"",LEN($D237&amp;"")&lt;&gt;LEN(TRIM($D237&amp;""))),AND($E237&lt;&gt;"",LEN($E237&amp;"")&lt;&gt;LEN(TRIM($E237&amp;""))),AND($F237&lt;&gt;"",LEN($F237&amp;"")&lt;&gt;LEN(TRIM($F237&amp;""))),AND($G237&lt;&gt;"",LEN($G237&amp;"")&lt;&gt;LEN(TRIM($G237&amp;""))),AND($H237&lt;&gt;"",LEN($H237&amp;"")&lt;&gt;LEN(TRIM($H237&amp;""))),AND($I237&lt;&gt;"",LEN($I237&amp;"")&lt;&gt;LEN(TRIM($I237&amp;""))),AND($J237&lt;&gt;"",LEN($J237&amp;"")&lt;&gt;LEN(TRIM($J237&amp;""))),AND($K237&lt;&gt;"",LEN($K237&amp;"")&lt;&gt;LEN(TRIM($K237&amp;""))),AND($M237&lt;&gt;"",LEN($M237&amp;"")&lt;&gt;LEN(TRIM($M237&amp;""))),AND($N237&lt;&gt;"",LEN($N237&amp;"")&lt;&gt;LEN(TRIM($N237&amp;""))),AND($O237&lt;&gt;"",LEN($O237&amp;"")&lt;&gt;LEN(TRIM($O237&amp;""))),AND($R237&lt;&gt;"",LEN($R237&amp;"")&lt;&gt;LEN(TRIM($R237&amp;""))),AND($S237&lt;&gt;"",LEN($S237&amp;"")&lt;&gt;LEN(TRIM($S237&amp;""))),AND($T237&lt;&gt;"",LEN($T237&amp;"")&lt;&gt;LEN(TRIM($T237&amp;"")))),"Remove leading or trailing spaces from text fields; ","")&amp;IF(OR(AND(LEN($C237)&gt;1,OR(EXACT($C237,UPPER($C237)),EXACT($C237,LOWER($C237)))),AND(LEN($D237)&gt;1,OR(EXACT($D237,UPPER($D237)),EXACT($D237,LOWER($D237)))),AND(LEN($H237)&gt;1,OR(EXACT($H237,UPPER($H237)),EXACT($H237,LOWER($H237))))),"Review capitalization in First Name, Last Name, or City; ","")&amp;IF(AND($N237&lt;&gt;"",NOT(EXACT($N237,LOWER($N237)))),"Email will be standardized to lowercase in the clean output; ","")&amp;IF(AND(OR('START HERE'!$C$8="Initial Enrollment",'START HERE'!$C$8="Open Enrollment"),$R237="Terminated"),"A terminated row is included in an initial or open enrollment file; confirm this is intentional; ",""))</f>
        <v/>
      </c>
      <c r="AE237">
        <f>IF(COUNTA($A237:$U237)=0,"",IF(OR($A237="",AND($A237&lt;&gt;"",NOT(IFERROR(AND(LEN($A237&amp;"")=9,ISNUMBER(--($A237&amp;""))),FALSE))),AND($A237&lt;&gt;"",OR($A237="123456789",$A237="987654321",$A237="012345678",$A237=REPT(LEFT($A237&amp;"",1),9)))),"Employee SSN, ","")&amp;IF(OR(AND($O237&lt;&gt;"",$B237=""),AND($B237&lt;&gt;"",OR(NOT(IFERROR(AND(LEN($B237&amp;"")=9,ISNUMBER(--($B237&amp;""))),FALSE)),$B237=$A237,$B237="123456789",$B237="987654321",$B237="012345678",$B237=REPT(LEFT($B237&amp;"",1),9)))),"Dependent SSN, ","")&amp;IF(OR($C237="",LEN($C237)&gt;19,AND($C237&lt;&gt;"",SUMPRODUCT(--(ROW($1:$19)&lt;=LEN($C237&amp;"")),--ISERROR(FIND(MID($C237&amp;"",ROW($1:$19),1),"ABCDEFGHIJKLMNOPQRSTUVWXYZabcdefghijklmnopqrstuvwxyz .,")))&gt;0)),"First Name, ","")&amp;IF(OR($D237="",LEN($D237)&gt;26,AND($D237&lt;&gt;"",SUMPRODUCT(--(ROW($1:$26)&lt;=LEN($D237&amp;"")),--ISERROR(FIND(MID($D237&amp;"",ROW($1:$26),1),"ABCDEFGHIJKLMNOPQRSTUVWXYZabcdefghijklmnopqrstuvwxyz .,")))&gt;0)),"Last Name, ","")&amp;IF(OR(LEN($E237)&gt;1,AND($E237&lt;&gt;"",SUMPRODUCT(--(ROW($1:$1)&lt;=LEN($E237&amp;"")),--ISERROR(FIND(MID($E237&amp;"",ROW($1:$1),1),"ABCDEFGHIJKLMNOPQRSTUVWXYZabcdefghijklmnopqrstuvwxyz .,")))&gt;0)),"Middle Initial, ","")&amp;IF(OR($F237="",LEN($F237)&gt;75),"Address, ","")&amp;IF(OR($H237="",LEN($H237)&gt;30),"City, ","")&amp;IF(AND($K237="US",OR($I237="",LEN($I237)&lt;&gt;2)),"State, ","")&amp;IF($J237="","ZIP, ","")&amp;IF(OR($K237="",AND($K237&lt;&gt;"US",$K237&lt;&gt;"CA")),"Country, ","")&amp;IF(OR($L237="",AND($L237&lt;&gt;"",OR(NOT(ISNUMBER($L237)),$L237&lt;=DATE(1900,1,1),$L237&gt;TODAY()))),"Birthdate, ","")&amp;IF(AND($N237&lt;&gt;"",NOT(IFERROR(AND(ISNUMBER(SEARCH("@",$N237)),ISNUMBER(SEARCH(".",$N237,SEARCH("@",$N237)+2))),FALSE))),"Email, ","")&amp;IF(OR(AND($B237&lt;&gt;"",$O237=""),AND($O237&lt;&gt;"",$O237&lt;&gt;"Spouse or Common Law Spouse",$O237&lt;&gt;"Domestic Partner",$O237&lt;&gt;"Child",$O237&lt;&gt;"Other",$O237&lt;&gt;"Estate",$O237&lt;&gt;"Unknown")),"Dependent Relationship, ","")&amp;IF($AA237&lt;&gt;"","Household, ","")&amp;IF(OR($P237="",AND($P237&lt;&gt;"",OR(NOT(ISNUMBER($P237)),$P237&lt;=DATE(1900,1,1)))),"Eligibility Date, ","")&amp;IF(OR(AND($R237="Terminated",$Q237=""),AND($Q237&lt;&gt;"",OR(NOT(ISNUMBER($Q237)),$Q237&lt;=DATE(1900,1,1))),AND(ISNUMBER($P237),ISNUMBER($Q237),$Q237&lt;$P237)),"Termination Date, ","")&amp;IF(OR($R237="",AND($R237&lt;&gt;"Active",$R237&lt;&gt;"Terminated"),AND('START HERE'!$C$8="Terminations Only",$R237&lt;&gt;"Terminated")),"Status, ","")&amp;IF($S237="","Plan Name, ","")&amp;IF($T237="","Coverage Level, ","")&amp;IF(AND($U237&lt;&gt;"",OR(NOT(ISNUMBER($U237)),$U237&lt;0)),"Funding, ","")&amp;IF(AND($A237&lt;&gt;"",$S237&lt;&gt;"",COUNTIFS($A$2:$A$501,$A237,$B$2:$B$501,$B237,$S$2:$S$501,$S237)&gt;1),"Duplicate Row, ",""))</f>
        <v/>
      </c>
      <c r="AF237">
        <f>IF(COUNTA($A237:$U237)=0,"",$Y237&amp;$Z237&amp;$AA237&amp;$AB237&amp;$AC237)</f>
        <v/>
      </c>
      <c r="AG237">
        <f>IF($N237="","",LOWER(TRIM($N237)))</f>
        <v/>
      </c>
      <c r="AH237">
        <f>IF($A237="","",COUNTIFS($A$2:$A$501,$A237,$AI$2:$AI$501,1))</f>
        <v/>
      </c>
      <c r="AI237">
        <f>IF(COUNTA($A237:$U237)=0,"",--($AF237&lt;&gt;""))</f>
        <v/>
      </c>
      <c r="AJ237">
        <f>IF(COUNTA($A237:$U237)=0,"",--($AD237&lt;&gt;""))</f>
        <v/>
      </c>
    </row>
    <row r="238" ht="20" customHeight="1">
      <c r="A238" s="80" t="n"/>
      <c r="B238" s="80" t="n"/>
      <c r="C238" s="81" t="n"/>
      <c r="D238" s="81" t="n"/>
      <c r="E238" s="80" t="n"/>
      <c r="F238" s="81" t="n"/>
      <c r="G238" s="81" t="n"/>
      <c r="H238" s="81" t="n"/>
      <c r="I238" s="80" t="n"/>
      <c r="J238" s="80" t="n"/>
      <c r="K238" s="80" t="n"/>
      <c r="L238" s="82" t="n"/>
      <c r="M238" s="80" t="n"/>
      <c r="N238" s="80" t="n"/>
      <c r="O238" s="80" t="n"/>
      <c r="P238" s="82" t="n"/>
      <c r="Q238" s="82" t="n"/>
      <c r="R238" s="80" t="n"/>
      <c r="S238" s="80" t="n"/>
      <c r="T238" s="80" t="n"/>
      <c r="U238" s="83" t="n"/>
      <c r="V238">
        <f>IF($A238="","",IF($A238=$A237,$V237,IF($V237="",0,1-$V237)))</f>
        <v/>
      </c>
      <c r="W238">
        <f>IF($B238&lt;&gt;"",$B238,$A238)</f>
        <v/>
      </c>
      <c r="X238">
        <f>IF(COUNTA($A238:$U238)=0,"",IF(OR($B238&lt;&gt;"",$O238&lt;&gt;""),"Dependent","Employee"))</f>
        <v/>
      </c>
      <c r="Y238">
        <f>IF(COUNTA($A238:$U238)=0,"",IF($A238="","Employee SSN is required; ","")&amp;IF($C238="","First Name is required; ","")&amp;IF(LEN($C238&amp;"")&gt;19,"First Name exceeds 19 characters; ","")&amp;IF(AND($C238&lt;&gt;"",SUMPRODUCT(--(ROW($1:$19)&lt;=LEN($C238&amp;"")),--ISERROR(FIND(MID($C238&amp;"",ROW($1:$19),1),"ABCDEFGHIJKLMNOPQRSTUVWXYZabcdefghijklmnopqrstuvwxyz .,")))&gt;0),"First Name contains unsupported or encoded characters; use plain A-Z letters only; ","")&amp;IF($D238="","Last Name is required; ","")&amp;IF(LEN($D238&amp;"")&gt;26,"Last Name exceeds 26 characters; ","")&amp;IF(AND($D238&lt;&gt;"",SUMPRODUCT(--(ROW($1:$26)&lt;=LEN($D238&amp;"")),--ISERROR(FIND(MID($D238&amp;"",ROW($1:$26),1),"ABCDEFGHIJKLMNOPQRSTUVWXYZabcdefghijklmnopqrstuvwxyz .,")))&gt;0),"Last Name contains unsupported or encoded characters; use plain A-Z letters only; ","")&amp;IF(LEN($E238&amp;"")&gt;1,"Middle Initial may contain only one character; ","")&amp;IF(AND($E238&lt;&gt;"",SUMPRODUCT(--(ROW($1:$1)&lt;=LEN($E238&amp;"")),--ISERROR(FIND(MID($E238&amp;"",ROW($1:$1),1),"ABCDEFGHIJKLMNOPQRSTUVWXYZabcdefghijklmnopqrstuvwxyz .,")))&gt;0),"Middle Initial must be a plain A-Z letter; ","")&amp;IF($F238="","Address is required; ","")&amp;IF(LEN($F238&amp;"")&gt;75,"Address exceeds 75 characters; ","")&amp;IF(LEN($G238&amp;"")&gt;75,"Address 2 exceeds 75 characters; ","")&amp;IF($H238="","City is required; ","")&amp;IF(LEN($H238&amp;"")&gt;30,"City exceeds 30 characters; ","")&amp;IF($K238="","Country is required; ","")&amp;IF(AND($K238&lt;&gt;"",$K238&lt;&gt;"US",$K238&lt;&gt;"CA"),"Country must be US or CA; ","")&amp;IF(AND($K238="US",OR($I238="",LEN($I238&amp;"")&lt;&gt;2)),"Use a 2-letter state code; ","")&amp;IF($J238="","ZIP or postal code is required; ","")&amp;IF(AND($K238="US",$J238&lt;&gt;"",NOT(IFERROR(OR(AND(LEN($J238&amp;"")=5,ISNUMBER(--($J238&amp;""))),AND(LEN($J238&amp;"")=9,ISNUMBER(--($J238&amp;""))),AND(LEN($J238&amp;"")=10,MID($J238&amp;"",6,1)="-",ISNUMBER(--SUBSTITUTE($J238&amp;"","-","")))),FALSE))),"US ZIP must be 5 or 9 digits, with an optional ZIP+4 hyphen; ","")&amp;IF(AND($N238&lt;&gt;"",NOT(IFERROR(AND(ISNUMBER(SEARCH("@",$N238)),ISNUMBER(SEARCH(".",$N238,SEARCH("@",$N238)+2))),FALSE))),"Email format appears invalid; ","")&amp;IF(AND($O238&lt;&gt;"",$B238=""),"Dependent SSN is required for every dependent; ","")&amp;IF(AND($B238&lt;&gt;"",$O238=""),"Dependent Relationship is required when Dependent SSN is entered; ","")&amp;IF(AND($O238&lt;&gt;"",$O238&lt;&gt;"Spouse or Common Law Spouse",$O238&lt;&gt;"Domestic Partner",$O238&lt;&gt;"Child",$O238&lt;&gt;"Other",$O238&lt;&gt;"Estate",$O238&lt;&gt;"Unknown"),"Dependent Relationship must use one of the approved options; ",""))</f>
        <v/>
      </c>
      <c r="Z238">
        <f>IF(COUNTA($A238:$U238)=0,"",IF(AND($A238&lt;&gt;"",NOT(IFERROR(AND(LEN($A238&amp;"")=9,ISNUMBER(--($A238&amp;""))),FALSE))),"Employee SSN must contain exactly 9 digits; ","")&amp;IF(AND($A238&lt;&gt;"",OR($A238="123456789",$A238="987654321",$A238="012345678",$A238=REPT(LEFT($A238&amp;"",1),9))),"Employee SSN appears to be a placeholder; ","")&amp;IF(AND($B238&lt;&gt;"",NOT(IFERROR(AND(LEN($B238&amp;"")=9,ISNUMBER(--($B238&amp;""))),FALSE))),"Dependent SSN must contain exactly 9 digits; ","")&amp;IF(AND($B238&lt;&gt;"",OR($B238="123456789",$B238="987654321",$B238="012345678",$B238=REPT(LEFT($B238&amp;"",1),9))),"Dependent SSN appears to be a placeholder; ","")&amp;IF(AND($A238&lt;&gt;"",$B238&lt;&gt;"",$A238&amp;""=$B238&amp;""),"Dependent SSN cannot match Employee SSN; ","")&amp;IF(AND($W238&lt;&gt;"",OR(COUNTIFS($W$2:$W$501,$W238,$C$2:$C$501,"&lt;&gt;"&amp;$C238)&gt;0,COUNTIFS($W$2:$W$501,$W238,$D$2:$D$501,"&lt;&gt;"&amp;$D238)&gt;0,COUNTIFS($W$2:$W$501,$W238,$L$2:$L$501,"&lt;&gt;"&amp;$L238)&gt;0)),"The same SSN is associated with a different name or birthdate; ",""))</f>
        <v/>
      </c>
      <c r="AA238">
        <f>IF(COUNTA($A238:$U238)=0,"",IF(AND($A238&lt;&gt;"",$S238&lt;&gt;"",COUNTIFS($A$2:$A$501,$A238,$S$2:$S$501,$S238,$B$2:$B$501,"",$O$2:$O$501,"")=0),"Add an employee row for this household and plan; ","")&amp;IF(AND($X238="Dependent",COUNTIFS($A$2:$A238,$A238,$S$2:$S238,$S238,$B$2:$B238,"",$O$2:$O238,"")=0),"Place the employee row before dependent rows for this plan; ","")&amp;IF(AND($X238="Dependent",COUNTIFS($A$2:$A$501,$A238,$S$2:$S$501,$S238,$B$2:$B$501,"",$O$2:$O$501,"")&gt;0,IFERROR(OR($P238&lt;&gt;LOOKUP(2,1/(($A$2:$A$501=$A238)*($S$2:$S$501=$S238)*($B$2:$B$501="")*($O$2:$O$501="")),$P$2:$P$501),$Q238&lt;&gt;LOOKUP(2,1/(($A$2:$A$501=$A238)*($S$2:$S$501=$S238)*($B$2:$B$501="")*($O$2:$O$501="")),$Q$2:$Q$501),$R238&lt;&gt;LOOKUP(2,1/(($A$2:$A$501=$A238)*($S$2:$S$501=$S238)*($B$2:$B$501="")*($O$2:$O$501="")),$R$2:$R$501),$T238&lt;&gt;LOOKUP(2,1/(($A$2:$A$501=$A238)*($S$2:$S$501=$S238)*($B$2:$B$501="")*($O$2:$O$501="")),$T$2:$T$501),$U238&lt;&gt;LOOKUP(2,1/(($A$2:$A$501=$A238)*($S$2:$S$501=$S238)*($B$2:$B$501="")*($O$2:$O$501="")),$U$2:$U$501)),FALSE)),"Dependent row does not match the employee row for eligibility, status, coverage level, or funding; ",""))</f>
        <v/>
      </c>
      <c r="AB238">
        <f>IF(COUNTA($A238:$U238)=0,"",IF($L238="","Birthdate is required; ","")&amp;IF(AND($L238&lt;&gt;"",OR(NOT(ISNUMBER($L238)),$L238&lt;=DATE(1900,1,1),$L238&gt;TODAY())),"Birthdate must be an exact valid past date; ","")&amp;IF($P238="","Eligibility Date is required; ","")&amp;IF(AND($P238&lt;&gt;"",OR(NOT(ISNUMBER($P238)),$P238&lt;=DATE(1900,1,1))),"Eligibility Date must be a valid date; ","")&amp;IF(AND($R238="Terminated",$Q238=""),"Termination Date is required when Status is Terminated; ","")&amp;IF(AND($Q238&lt;&gt;"",OR(NOT(ISNUMBER($Q238)),$Q238&lt;=DATE(1900,1,1))),"Termination Date must be a valid date; ","")&amp;IF(AND(ISNUMBER($P238),ISNUMBER($Q238),$Q238&lt;$P238),"Termination Date cannot be before Eligibility Date; ","")&amp;IF($R238="","Status is required; ","")&amp;IF(AND($R238&lt;&gt;"",$R238&lt;&gt;"Active",$R238&lt;&gt;"Terminated"),"Status must be Active or Terminated; ","")&amp;IF(AND('START HERE'!$C$8="Terminations Only",$R238&lt;&gt;"Terminated"),"Terminations Only files must contain terminated records; ",""))</f>
        <v/>
      </c>
      <c r="AC238">
        <f>IF(COUNTA($A238:$U238)=0,"",IF($S238="","Plan Name is required; ","")&amp;IF($T238="","Benefit Coverage Level is required; ","")&amp;IF(AND($U238&lt;&gt;"",OR(NOT(ISNUMBER($U238)),$U238&lt;0)),"Plan Funding Amount must be a nonnegative number; ","")&amp;IF(AND($A238&lt;&gt;"",$S238&lt;&gt;"",COUNTIFS($A$2:$A$501,$A238,$B$2:$B$501,$B238,$S$2:$S$501,$S238)&gt;1),"Duplicate participant and plan row; ",""))</f>
        <v/>
      </c>
      <c r="AD238">
        <f>IF(COUNTA($A238:$U238)=0,"",IF(AND($X238="Employee",$M238="",$N238=""),"No employee phone or email provided; ","")&amp;IF(AND($R238="Active",$Q238&lt;&gt;""),"Active record includes a Termination Date; confirm this is intentional; ","")&amp;IF(AND($B238&lt;&gt;"",$B238&amp;""&lt;&gt;$A238&amp;"",COUNTIF($A$2:$A$501,$B238)&gt;0),"Dependent SSN also appears as an Employee SSN elsewhere; confirm dual-employee coverage is intentional; ","")&amp;IF(AND($B238&lt;&gt;"",COUNTIF($B$2:$B$501,$B238)&gt;COUNTIFS($A$2:$A$501,$A238,$B$2:$B$501,$B238)),"Dependent SSN appears under more than one employee; confirm duplicate family coverage is intentional; ","")&amp;IF(AND(ROW()&gt;2,$A238&lt;&gt;"",$A238&lt;&gt;$A237,COUNTIF($A$2:$A237,$A238)&gt;0),"This household appears in more than one section of the census; keep the family together; ","")&amp;IF(OR(AND($C238&lt;&gt;"",LEN($C238&amp;"")&lt;&gt;LEN(TRIM($C238&amp;""))),AND($D238&lt;&gt;"",LEN($D238&amp;"")&lt;&gt;LEN(TRIM($D238&amp;""))),AND($E238&lt;&gt;"",LEN($E238&amp;"")&lt;&gt;LEN(TRIM($E238&amp;""))),AND($F238&lt;&gt;"",LEN($F238&amp;"")&lt;&gt;LEN(TRIM($F238&amp;""))),AND($G238&lt;&gt;"",LEN($G238&amp;"")&lt;&gt;LEN(TRIM($G238&amp;""))),AND($H238&lt;&gt;"",LEN($H238&amp;"")&lt;&gt;LEN(TRIM($H238&amp;""))),AND($I238&lt;&gt;"",LEN($I238&amp;"")&lt;&gt;LEN(TRIM($I238&amp;""))),AND($J238&lt;&gt;"",LEN($J238&amp;"")&lt;&gt;LEN(TRIM($J238&amp;""))),AND($K238&lt;&gt;"",LEN($K238&amp;"")&lt;&gt;LEN(TRIM($K238&amp;""))),AND($M238&lt;&gt;"",LEN($M238&amp;"")&lt;&gt;LEN(TRIM($M238&amp;""))),AND($N238&lt;&gt;"",LEN($N238&amp;"")&lt;&gt;LEN(TRIM($N238&amp;""))),AND($O238&lt;&gt;"",LEN($O238&amp;"")&lt;&gt;LEN(TRIM($O238&amp;""))),AND($R238&lt;&gt;"",LEN($R238&amp;"")&lt;&gt;LEN(TRIM($R238&amp;""))),AND($S238&lt;&gt;"",LEN($S238&amp;"")&lt;&gt;LEN(TRIM($S238&amp;""))),AND($T238&lt;&gt;"",LEN($T238&amp;"")&lt;&gt;LEN(TRIM($T238&amp;"")))),"Remove leading or trailing spaces from text fields; ","")&amp;IF(OR(AND(LEN($C238)&gt;1,OR(EXACT($C238,UPPER($C238)),EXACT($C238,LOWER($C238)))),AND(LEN($D238)&gt;1,OR(EXACT($D238,UPPER($D238)),EXACT($D238,LOWER($D238)))),AND(LEN($H238)&gt;1,OR(EXACT($H238,UPPER($H238)),EXACT($H238,LOWER($H238))))),"Review capitalization in First Name, Last Name, or City; ","")&amp;IF(AND($N238&lt;&gt;"",NOT(EXACT($N238,LOWER($N238)))),"Email will be standardized to lowercase in the clean output; ","")&amp;IF(AND(OR('START HERE'!$C$8="Initial Enrollment",'START HERE'!$C$8="Open Enrollment"),$R238="Terminated"),"A terminated row is included in an initial or open enrollment file; confirm this is intentional; ",""))</f>
        <v/>
      </c>
      <c r="AE238">
        <f>IF(COUNTA($A238:$U238)=0,"",IF(OR($A238="",AND($A238&lt;&gt;"",NOT(IFERROR(AND(LEN($A238&amp;"")=9,ISNUMBER(--($A238&amp;""))),FALSE))),AND($A238&lt;&gt;"",OR($A238="123456789",$A238="987654321",$A238="012345678",$A238=REPT(LEFT($A238&amp;"",1),9)))),"Employee SSN, ","")&amp;IF(OR(AND($O238&lt;&gt;"",$B238=""),AND($B238&lt;&gt;"",OR(NOT(IFERROR(AND(LEN($B238&amp;"")=9,ISNUMBER(--($B238&amp;""))),FALSE)),$B238=$A238,$B238="123456789",$B238="987654321",$B238="012345678",$B238=REPT(LEFT($B238&amp;"",1),9)))),"Dependent SSN, ","")&amp;IF(OR($C238="",LEN($C238)&gt;19,AND($C238&lt;&gt;"",SUMPRODUCT(--(ROW($1:$19)&lt;=LEN($C238&amp;"")),--ISERROR(FIND(MID($C238&amp;"",ROW($1:$19),1),"ABCDEFGHIJKLMNOPQRSTUVWXYZabcdefghijklmnopqrstuvwxyz .,")))&gt;0)),"First Name, ","")&amp;IF(OR($D238="",LEN($D238)&gt;26,AND($D238&lt;&gt;"",SUMPRODUCT(--(ROW($1:$26)&lt;=LEN($D238&amp;"")),--ISERROR(FIND(MID($D238&amp;"",ROW($1:$26),1),"ABCDEFGHIJKLMNOPQRSTUVWXYZabcdefghijklmnopqrstuvwxyz .,")))&gt;0)),"Last Name, ","")&amp;IF(OR(LEN($E238)&gt;1,AND($E238&lt;&gt;"",SUMPRODUCT(--(ROW($1:$1)&lt;=LEN($E238&amp;"")),--ISERROR(FIND(MID($E238&amp;"",ROW($1:$1),1),"ABCDEFGHIJKLMNOPQRSTUVWXYZabcdefghijklmnopqrstuvwxyz .,")))&gt;0)),"Middle Initial, ","")&amp;IF(OR($F238="",LEN($F238)&gt;75),"Address, ","")&amp;IF(OR($H238="",LEN($H238)&gt;30),"City, ","")&amp;IF(AND($K238="US",OR($I238="",LEN($I238)&lt;&gt;2)),"State, ","")&amp;IF($J238="","ZIP, ","")&amp;IF(OR($K238="",AND($K238&lt;&gt;"US",$K238&lt;&gt;"CA")),"Country, ","")&amp;IF(OR($L238="",AND($L238&lt;&gt;"",OR(NOT(ISNUMBER($L238)),$L238&lt;=DATE(1900,1,1),$L238&gt;TODAY()))),"Birthdate, ","")&amp;IF(AND($N238&lt;&gt;"",NOT(IFERROR(AND(ISNUMBER(SEARCH("@",$N238)),ISNUMBER(SEARCH(".",$N238,SEARCH("@",$N238)+2))),FALSE))),"Email, ","")&amp;IF(OR(AND($B238&lt;&gt;"",$O238=""),AND($O238&lt;&gt;"",$O238&lt;&gt;"Spouse or Common Law Spouse",$O238&lt;&gt;"Domestic Partner",$O238&lt;&gt;"Child",$O238&lt;&gt;"Other",$O238&lt;&gt;"Estate",$O238&lt;&gt;"Unknown")),"Dependent Relationship, ","")&amp;IF($AA238&lt;&gt;"","Household, ","")&amp;IF(OR($P238="",AND($P238&lt;&gt;"",OR(NOT(ISNUMBER($P238)),$P238&lt;=DATE(1900,1,1)))),"Eligibility Date, ","")&amp;IF(OR(AND($R238="Terminated",$Q238=""),AND($Q238&lt;&gt;"",OR(NOT(ISNUMBER($Q238)),$Q238&lt;=DATE(1900,1,1))),AND(ISNUMBER($P238),ISNUMBER($Q238),$Q238&lt;$P238)),"Termination Date, ","")&amp;IF(OR($R238="",AND($R238&lt;&gt;"Active",$R238&lt;&gt;"Terminated"),AND('START HERE'!$C$8="Terminations Only",$R238&lt;&gt;"Terminated")),"Status, ","")&amp;IF($S238="","Plan Name, ","")&amp;IF($T238="","Coverage Level, ","")&amp;IF(AND($U238&lt;&gt;"",OR(NOT(ISNUMBER($U238)),$U238&lt;0)),"Funding, ","")&amp;IF(AND($A238&lt;&gt;"",$S238&lt;&gt;"",COUNTIFS($A$2:$A$501,$A238,$B$2:$B$501,$B238,$S$2:$S$501,$S238)&gt;1),"Duplicate Row, ",""))</f>
        <v/>
      </c>
      <c r="AF238">
        <f>IF(COUNTA($A238:$U238)=0,"",$Y238&amp;$Z238&amp;$AA238&amp;$AB238&amp;$AC238)</f>
        <v/>
      </c>
      <c r="AG238">
        <f>IF($N238="","",LOWER(TRIM($N238)))</f>
        <v/>
      </c>
      <c r="AH238">
        <f>IF($A238="","",COUNTIFS($A$2:$A$501,$A238,$AI$2:$AI$501,1))</f>
        <v/>
      </c>
      <c r="AI238">
        <f>IF(COUNTA($A238:$U238)=0,"",--($AF238&lt;&gt;""))</f>
        <v/>
      </c>
      <c r="AJ238">
        <f>IF(COUNTA($A238:$U238)=0,"",--($AD238&lt;&gt;""))</f>
        <v/>
      </c>
    </row>
    <row r="239" ht="20" customHeight="1">
      <c r="A239" s="80" t="n"/>
      <c r="B239" s="80" t="n"/>
      <c r="C239" s="81" t="n"/>
      <c r="D239" s="81" t="n"/>
      <c r="E239" s="80" t="n"/>
      <c r="F239" s="81" t="n"/>
      <c r="G239" s="81" t="n"/>
      <c r="H239" s="81" t="n"/>
      <c r="I239" s="80" t="n"/>
      <c r="J239" s="80" t="n"/>
      <c r="K239" s="80" t="n"/>
      <c r="L239" s="82" t="n"/>
      <c r="M239" s="80" t="n"/>
      <c r="N239" s="80" t="n"/>
      <c r="O239" s="80" t="n"/>
      <c r="P239" s="82" t="n"/>
      <c r="Q239" s="82" t="n"/>
      <c r="R239" s="80" t="n"/>
      <c r="S239" s="80" t="n"/>
      <c r="T239" s="80" t="n"/>
      <c r="U239" s="83" t="n"/>
      <c r="V239">
        <f>IF($A239="","",IF($A239=$A238,$V238,IF($V238="",0,1-$V238)))</f>
        <v/>
      </c>
      <c r="W239">
        <f>IF($B239&lt;&gt;"",$B239,$A239)</f>
        <v/>
      </c>
      <c r="X239">
        <f>IF(COUNTA($A239:$U239)=0,"",IF(OR($B239&lt;&gt;"",$O239&lt;&gt;""),"Dependent","Employee"))</f>
        <v/>
      </c>
      <c r="Y239">
        <f>IF(COUNTA($A239:$U239)=0,"",IF($A239="","Employee SSN is required; ","")&amp;IF($C239="","First Name is required; ","")&amp;IF(LEN($C239&amp;"")&gt;19,"First Name exceeds 19 characters; ","")&amp;IF(AND($C239&lt;&gt;"",SUMPRODUCT(--(ROW($1:$19)&lt;=LEN($C239&amp;"")),--ISERROR(FIND(MID($C239&amp;"",ROW($1:$19),1),"ABCDEFGHIJKLMNOPQRSTUVWXYZabcdefghijklmnopqrstuvwxyz .,")))&gt;0),"First Name contains unsupported or encoded characters; use plain A-Z letters only; ","")&amp;IF($D239="","Last Name is required; ","")&amp;IF(LEN($D239&amp;"")&gt;26,"Last Name exceeds 26 characters; ","")&amp;IF(AND($D239&lt;&gt;"",SUMPRODUCT(--(ROW($1:$26)&lt;=LEN($D239&amp;"")),--ISERROR(FIND(MID($D239&amp;"",ROW($1:$26),1),"ABCDEFGHIJKLMNOPQRSTUVWXYZabcdefghijklmnopqrstuvwxyz .,")))&gt;0),"Last Name contains unsupported or encoded characters; use plain A-Z letters only; ","")&amp;IF(LEN($E239&amp;"")&gt;1,"Middle Initial may contain only one character; ","")&amp;IF(AND($E239&lt;&gt;"",SUMPRODUCT(--(ROW($1:$1)&lt;=LEN($E239&amp;"")),--ISERROR(FIND(MID($E239&amp;"",ROW($1:$1),1),"ABCDEFGHIJKLMNOPQRSTUVWXYZabcdefghijklmnopqrstuvwxyz .,")))&gt;0),"Middle Initial must be a plain A-Z letter; ","")&amp;IF($F239="","Address is required; ","")&amp;IF(LEN($F239&amp;"")&gt;75,"Address exceeds 75 characters; ","")&amp;IF(LEN($G239&amp;"")&gt;75,"Address 2 exceeds 75 characters; ","")&amp;IF($H239="","City is required; ","")&amp;IF(LEN($H239&amp;"")&gt;30,"City exceeds 30 characters; ","")&amp;IF($K239="","Country is required; ","")&amp;IF(AND($K239&lt;&gt;"",$K239&lt;&gt;"US",$K239&lt;&gt;"CA"),"Country must be US or CA; ","")&amp;IF(AND($K239="US",OR($I239="",LEN($I239&amp;"")&lt;&gt;2)),"Use a 2-letter state code; ","")&amp;IF($J239="","ZIP or postal code is required; ","")&amp;IF(AND($K239="US",$J239&lt;&gt;"",NOT(IFERROR(OR(AND(LEN($J239&amp;"")=5,ISNUMBER(--($J239&amp;""))),AND(LEN($J239&amp;"")=9,ISNUMBER(--($J239&amp;""))),AND(LEN($J239&amp;"")=10,MID($J239&amp;"",6,1)="-",ISNUMBER(--SUBSTITUTE($J239&amp;"","-","")))),FALSE))),"US ZIP must be 5 or 9 digits, with an optional ZIP+4 hyphen; ","")&amp;IF(AND($N239&lt;&gt;"",NOT(IFERROR(AND(ISNUMBER(SEARCH("@",$N239)),ISNUMBER(SEARCH(".",$N239,SEARCH("@",$N239)+2))),FALSE))),"Email format appears invalid; ","")&amp;IF(AND($O239&lt;&gt;"",$B239=""),"Dependent SSN is required for every dependent; ","")&amp;IF(AND($B239&lt;&gt;"",$O239=""),"Dependent Relationship is required when Dependent SSN is entered; ","")&amp;IF(AND($O239&lt;&gt;"",$O239&lt;&gt;"Spouse or Common Law Spouse",$O239&lt;&gt;"Domestic Partner",$O239&lt;&gt;"Child",$O239&lt;&gt;"Other",$O239&lt;&gt;"Estate",$O239&lt;&gt;"Unknown"),"Dependent Relationship must use one of the approved options; ",""))</f>
        <v/>
      </c>
      <c r="Z239">
        <f>IF(COUNTA($A239:$U239)=0,"",IF(AND($A239&lt;&gt;"",NOT(IFERROR(AND(LEN($A239&amp;"")=9,ISNUMBER(--($A239&amp;""))),FALSE))),"Employee SSN must contain exactly 9 digits; ","")&amp;IF(AND($A239&lt;&gt;"",OR($A239="123456789",$A239="987654321",$A239="012345678",$A239=REPT(LEFT($A239&amp;"",1),9))),"Employee SSN appears to be a placeholder; ","")&amp;IF(AND($B239&lt;&gt;"",NOT(IFERROR(AND(LEN($B239&amp;"")=9,ISNUMBER(--($B239&amp;""))),FALSE))),"Dependent SSN must contain exactly 9 digits; ","")&amp;IF(AND($B239&lt;&gt;"",OR($B239="123456789",$B239="987654321",$B239="012345678",$B239=REPT(LEFT($B239&amp;"",1),9))),"Dependent SSN appears to be a placeholder; ","")&amp;IF(AND($A239&lt;&gt;"",$B239&lt;&gt;"",$A239&amp;""=$B239&amp;""),"Dependent SSN cannot match Employee SSN; ","")&amp;IF(AND($W239&lt;&gt;"",OR(COUNTIFS($W$2:$W$501,$W239,$C$2:$C$501,"&lt;&gt;"&amp;$C239)&gt;0,COUNTIFS($W$2:$W$501,$W239,$D$2:$D$501,"&lt;&gt;"&amp;$D239)&gt;0,COUNTIFS($W$2:$W$501,$W239,$L$2:$L$501,"&lt;&gt;"&amp;$L239)&gt;0)),"The same SSN is associated with a different name or birthdate; ",""))</f>
        <v/>
      </c>
      <c r="AA239">
        <f>IF(COUNTA($A239:$U239)=0,"",IF(AND($A239&lt;&gt;"",$S239&lt;&gt;"",COUNTIFS($A$2:$A$501,$A239,$S$2:$S$501,$S239,$B$2:$B$501,"",$O$2:$O$501,"")=0),"Add an employee row for this household and plan; ","")&amp;IF(AND($X239="Dependent",COUNTIFS($A$2:$A239,$A239,$S$2:$S239,$S239,$B$2:$B239,"",$O$2:$O239,"")=0),"Place the employee row before dependent rows for this plan; ","")&amp;IF(AND($X239="Dependent",COUNTIFS($A$2:$A$501,$A239,$S$2:$S$501,$S239,$B$2:$B$501,"",$O$2:$O$501,"")&gt;0,IFERROR(OR($P239&lt;&gt;LOOKUP(2,1/(($A$2:$A$501=$A239)*($S$2:$S$501=$S239)*($B$2:$B$501="")*($O$2:$O$501="")),$P$2:$P$501),$Q239&lt;&gt;LOOKUP(2,1/(($A$2:$A$501=$A239)*($S$2:$S$501=$S239)*($B$2:$B$501="")*($O$2:$O$501="")),$Q$2:$Q$501),$R239&lt;&gt;LOOKUP(2,1/(($A$2:$A$501=$A239)*($S$2:$S$501=$S239)*($B$2:$B$501="")*($O$2:$O$501="")),$R$2:$R$501),$T239&lt;&gt;LOOKUP(2,1/(($A$2:$A$501=$A239)*($S$2:$S$501=$S239)*($B$2:$B$501="")*($O$2:$O$501="")),$T$2:$T$501),$U239&lt;&gt;LOOKUP(2,1/(($A$2:$A$501=$A239)*($S$2:$S$501=$S239)*($B$2:$B$501="")*($O$2:$O$501="")),$U$2:$U$501)),FALSE)),"Dependent row does not match the employee row for eligibility, status, coverage level, or funding; ",""))</f>
        <v/>
      </c>
      <c r="AB239">
        <f>IF(COUNTA($A239:$U239)=0,"",IF($L239="","Birthdate is required; ","")&amp;IF(AND($L239&lt;&gt;"",OR(NOT(ISNUMBER($L239)),$L239&lt;=DATE(1900,1,1),$L239&gt;TODAY())),"Birthdate must be an exact valid past date; ","")&amp;IF($P239="","Eligibility Date is required; ","")&amp;IF(AND($P239&lt;&gt;"",OR(NOT(ISNUMBER($P239)),$P239&lt;=DATE(1900,1,1))),"Eligibility Date must be a valid date; ","")&amp;IF(AND($R239="Terminated",$Q239=""),"Termination Date is required when Status is Terminated; ","")&amp;IF(AND($Q239&lt;&gt;"",OR(NOT(ISNUMBER($Q239)),$Q239&lt;=DATE(1900,1,1))),"Termination Date must be a valid date; ","")&amp;IF(AND(ISNUMBER($P239),ISNUMBER($Q239),$Q239&lt;$P239),"Termination Date cannot be before Eligibility Date; ","")&amp;IF($R239="","Status is required; ","")&amp;IF(AND($R239&lt;&gt;"",$R239&lt;&gt;"Active",$R239&lt;&gt;"Terminated"),"Status must be Active or Terminated; ","")&amp;IF(AND('START HERE'!$C$8="Terminations Only",$R239&lt;&gt;"Terminated"),"Terminations Only files must contain terminated records; ",""))</f>
        <v/>
      </c>
      <c r="AC239">
        <f>IF(COUNTA($A239:$U239)=0,"",IF($S239="","Plan Name is required; ","")&amp;IF($T239="","Benefit Coverage Level is required; ","")&amp;IF(AND($U239&lt;&gt;"",OR(NOT(ISNUMBER($U239)),$U239&lt;0)),"Plan Funding Amount must be a nonnegative number; ","")&amp;IF(AND($A239&lt;&gt;"",$S239&lt;&gt;"",COUNTIFS($A$2:$A$501,$A239,$B$2:$B$501,$B239,$S$2:$S$501,$S239)&gt;1),"Duplicate participant and plan row; ",""))</f>
        <v/>
      </c>
      <c r="AD239">
        <f>IF(COUNTA($A239:$U239)=0,"",IF(AND($X239="Employee",$M239="",$N239=""),"No employee phone or email provided; ","")&amp;IF(AND($R239="Active",$Q239&lt;&gt;""),"Active record includes a Termination Date; confirm this is intentional; ","")&amp;IF(AND($B239&lt;&gt;"",$B239&amp;""&lt;&gt;$A239&amp;"",COUNTIF($A$2:$A$501,$B239)&gt;0),"Dependent SSN also appears as an Employee SSN elsewhere; confirm dual-employee coverage is intentional; ","")&amp;IF(AND($B239&lt;&gt;"",COUNTIF($B$2:$B$501,$B239)&gt;COUNTIFS($A$2:$A$501,$A239,$B$2:$B$501,$B239)),"Dependent SSN appears under more than one employee; confirm duplicate family coverage is intentional; ","")&amp;IF(AND(ROW()&gt;2,$A239&lt;&gt;"",$A239&lt;&gt;$A238,COUNTIF($A$2:$A238,$A239)&gt;0),"This household appears in more than one section of the census; keep the family together; ","")&amp;IF(OR(AND($C239&lt;&gt;"",LEN($C239&amp;"")&lt;&gt;LEN(TRIM($C239&amp;""))),AND($D239&lt;&gt;"",LEN($D239&amp;"")&lt;&gt;LEN(TRIM($D239&amp;""))),AND($E239&lt;&gt;"",LEN($E239&amp;"")&lt;&gt;LEN(TRIM($E239&amp;""))),AND($F239&lt;&gt;"",LEN($F239&amp;"")&lt;&gt;LEN(TRIM($F239&amp;""))),AND($G239&lt;&gt;"",LEN($G239&amp;"")&lt;&gt;LEN(TRIM($G239&amp;""))),AND($H239&lt;&gt;"",LEN($H239&amp;"")&lt;&gt;LEN(TRIM($H239&amp;""))),AND($I239&lt;&gt;"",LEN($I239&amp;"")&lt;&gt;LEN(TRIM($I239&amp;""))),AND($J239&lt;&gt;"",LEN($J239&amp;"")&lt;&gt;LEN(TRIM($J239&amp;""))),AND($K239&lt;&gt;"",LEN($K239&amp;"")&lt;&gt;LEN(TRIM($K239&amp;""))),AND($M239&lt;&gt;"",LEN($M239&amp;"")&lt;&gt;LEN(TRIM($M239&amp;""))),AND($N239&lt;&gt;"",LEN($N239&amp;"")&lt;&gt;LEN(TRIM($N239&amp;""))),AND($O239&lt;&gt;"",LEN($O239&amp;"")&lt;&gt;LEN(TRIM($O239&amp;""))),AND($R239&lt;&gt;"",LEN($R239&amp;"")&lt;&gt;LEN(TRIM($R239&amp;""))),AND($S239&lt;&gt;"",LEN($S239&amp;"")&lt;&gt;LEN(TRIM($S239&amp;""))),AND($T239&lt;&gt;"",LEN($T239&amp;"")&lt;&gt;LEN(TRIM($T239&amp;"")))),"Remove leading or trailing spaces from text fields; ","")&amp;IF(OR(AND(LEN($C239)&gt;1,OR(EXACT($C239,UPPER($C239)),EXACT($C239,LOWER($C239)))),AND(LEN($D239)&gt;1,OR(EXACT($D239,UPPER($D239)),EXACT($D239,LOWER($D239)))),AND(LEN($H239)&gt;1,OR(EXACT($H239,UPPER($H239)),EXACT($H239,LOWER($H239))))),"Review capitalization in First Name, Last Name, or City; ","")&amp;IF(AND($N239&lt;&gt;"",NOT(EXACT($N239,LOWER($N239)))),"Email will be standardized to lowercase in the clean output; ","")&amp;IF(AND(OR('START HERE'!$C$8="Initial Enrollment",'START HERE'!$C$8="Open Enrollment"),$R239="Terminated"),"A terminated row is included in an initial or open enrollment file; confirm this is intentional; ",""))</f>
        <v/>
      </c>
      <c r="AE239">
        <f>IF(COUNTA($A239:$U239)=0,"",IF(OR($A239="",AND($A239&lt;&gt;"",NOT(IFERROR(AND(LEN($A239&amp;"")=9,ISNUMBER(--($A239&amp;""))),FALSE))),AND($A239&lt;&gt;"",OR($A239="123456789",$A239="987654321",$A239="012345678",$A239=REPT(LEFT($A239&amp;"",1),9)))),"Employee SSN, ","")&amp;IF(OR(AND($O239&lt;&gt;"",$B239=""),AND($B239&lt;&gt;"",OR(NOT(IFERROR(AND(LEN($B239&amp;"")=9,ISNUMBER(--($B239&amp;""))),FALSE)),$B239=$A239,$B239="123456789",$B239="987654321",$B239="012345678",$B239=REPT(LEFT($B239&amp;"",1),9)))),"Dependent SSN, ","")&amp;IF(OR($C239="",LEN($C239)&gt;19,AND($C239&lt;&gt;"",SUMPRODUCT(--(ROW($1:$19)&lt;=LEN($C239&amp;"")),--ISERROR(FIND(MID($C239&amp;"",ROW($1:$19),1),"ABCDEFGHIJKLMNOPQRSTUVWXYZabcdefghijklmnopqrstuvwxyz .,")))&gt;0)),"First Name, ","")&amp;IF(OR($D239="",LEN($D239)&gt;26,AND($D239&lt;&gt;"",SUMPRODUCT(--(ROW($1:$26)&lt;=LEN($D239&amp;"")),--ISERROR(FIND(MID($D239&amp;"",ROW($1:$26),1),"ABCDEFGHIJKLMNOPQRSTUVWXYZabcdefghijklmnopqrstuvwxyz .,")))&gt;0)),"Last Name, ","")&amp;IF(OR(LEN($E239)&gt;1,AND($E239&lt;&gt;"",SUMPRODUCT(--(ROW($1:$1)&lt;=LEN($E239&amp;"")),--ISERROR(FIND(MID($E239&amp;"",ROW($1:$1),1),"ABCDEFGHIJKLMNOPQRSTUVWXYZabcdefghijklmnopqrstuvwxyz .,")))&gt;0)),"Middle Initial, ","")&amp;IF(OR($F239="",LEN($F239)&gt;75),"Address, ","")&amp;IF(OR($H239="",LEN($H239)&gt;30),"City, ","")&amp;IF(AND($K239="US",OR($I239="",LEN($I239)&lt;&gt;2)),"State, ","")&amp;IF($J239="","ZIP, ","")&amp;IF(OR($K239="",AND($K239&lt;&gt;"US",$K239&lt;&gt;"CA")),"Country, ","")&amp;IF(OR($L239="",AND($L239&lt;&gt;"",OR(NOT(ISNUMBER($L239)),$L239&lt;=DATE(1900,1,1),$L239&gt;TODAY()))),"Birthdate, ","")&amp;IF(AND($N239&lt;&gt;"",NOT(IFERROR(AND(ISNUMBER(SEARCH("@",$N239)),ISNUMBER(SEARCH(".",$N239,SEARCH("@",$N239)+2))),FALSE))),"Email, ","")&amp;IF(OR(AND($B239&lt;&gt;"",$O239=""),AND($O239&lt;&gt;"",$O239&lt;&gt;"Spouse or Common Law Spouse",$O239&lt;&gt;"Domestic Partner",$O239&lt;&gt;"Child",$O239&lt;&gt;"Other",$O239&lt;&gt;"Estate",$O239&lt;&gt;"Unknown")),"Dependent Relationship, ","")&amp;IF($AA239&lt;&gt;"","Household, ","")&amp;IF(OR($P239="",AND($P239&lt;&gt;"",OR(NOT(ISNUMBER($P239)),$P239&lt;=DATE(1900,1,1)))),"Eligibility Date, ","")&amp;IF(OR(AND($R239="Terminated",$Q239=""),AND($Q239&lt;&gt;"",OR(NOT(ISNUMBER($Q239)),$Q239&lt;=DATE(1900,1,1))),AND(ISNUMBER($P239),ISNUMBER($Q239),$Q239&lt;$P239)),"Termination Date, ","")&amp;IF(OR($R239="",AND($R239&lt;&gt;"Active",$R239&lt;&gt;"Terminated"),AND('START HERE'!$C$8="Terminations Only",$R239&lt;&gt;"Terminated")),"Status, ","")&amp;IF($S239="","Plan Name, ","")&amp;IF($T239="","Coverage Level, ","")&amp;IF(AND($U239&lt;&gt;"",OR(NOT(ISNUMBER($U239)),$U239&lt;0)),"Funding, ","")&amp;IF(AND($A239&lt;&gt;"",$S239&lt;&gt;"",COUNTIFS($A$2:$A$501,$A239,$B$2:$B$501,$B239,$S$2:$S$501,$S239)&gt;1),"Duplicate Row, ",""))</f>
        <v/>
      </c>
      <c r="AF239">
        <f>IF(COUNTA($A239:$U239)=0,"",$Y239&amp;$Z239&amp;$AA239&amp;$AB239&amp;$AC239)</f>
        <v/>
      </c>
      <c r="AG239">
        <f>IF($N239="","",LOWER(TRIM($N239)))</f>
        <v/>
      </c>
      <c r="AH239">
        <f>IF($A239="","",COUNTIFS($A$2:$A$501,$A239,$AI$2:$AI$501,1))</f>
        <v/>
      </c>
      <c r="AI239">
        <f>IF(COUNTA($A239:$U239)=0,"",--($AF239&lt;&gt;""))</f>
        <v/>
      </c>
      <c r="AJ239">
        <f>IF(COUNTA($A239:$U239)=0,"",--($AD239&lt;&gt;""))</f>
        <v/>
      </c>
    </row>
    <row r="240" ht="20" customHeight="1">
      <c r="A240" s="80" t="n"/>
      <c r="B240" s="80" t="n"/>
      <c r="C240" s="81" t="n"/>
      <c r="D240" s="81" t="n"/>
      <c r="E240" s="80" t="n"/>
      <c r="F240" s="81" t="n"/>
      <c r="G240" s="81" t="n"/>
      <c r="H240" s="81" t="n"/>
      <c r="I240" s="80" t="n"/>
      <c r="J240" s="80" t="n"/>
      <c r="K240" s="80" t="n"/>
      <c r="L240" s="82" t="n"/>
      <c r="M240" s="80" t="n"/>
      <c r="N240" s="80" t="n"/>
      <c r="O240" s="80" t="n"/>
      <c r="P240" s="82" t="n"/>
      <c r="Q240" s="82" t="n"/>
      <c r="R240" s="80" t="n"/>
      <c r="S240" s="80" t="n"/>
      <c r="T240" s="80" t="n"/>
      <c r="U240" s="83" t="n"/>
      <c r="V240">
        <f>IF($A240="","",IF($A240=$A239,$V239,IF($V239="",0,1-$V239)))</f>
        <v/>
      </c>
      <c r="W240">
        <f>IF($B240&lt;&gt;"",$B240,$A240)</f>
        <v/>
      </c>
      <c r="X240">
        <f>IF(COUNTA($A240:$U240)=0,"",IF(OR($B240&lt;&gt;"",$O240&lt;&gt;""),"Dependent","Employee"))</f>
        <v/>
      </c>
      <c r="Y240">
        <f>IF(COUNTA($A240:$U240)=0,"",IF($A240="","Employee SSN is required; ","")&amp;IF($C240="","First Name is required; ","")&amp;IF(LEN($C240&amp;"")&gt;19,"First Name exceeds 19 characters; ","")&amp;IF(AND($C240&lt;&gt;"",SUMPRODUCT(--(ROW($1:$19)&lt;=LEN($C240&amp;"")),--ISERROR(FIND(MID($C240&amp;"",ROW($1:$19),1),"ABCDEFGHIJKLMNOPQRSTUVWXYZabcdefghijklmnopqrstuvwxyz .,")))&gt;0),"First Name contains unsupported or encoded characters; use plain A-Z letters only; ","")&amp;IF($D240="","Last Name is required; ","")&amp;IF(LEN($D240&amp;"")&gt;26,"Last Name exceeds 26 characters; ","")&amp;IF(AND($D240&lt;&gt;"",SUMPRODUCT(--(ROW($1:$26)&lt;=LEN($D240&amp;"")),--ISERROR(FIND(MID($D240&amp;"",ROW($1:$26),1),"ABCDEFGHIJKLMNOPQRSTUVWXYZabcdefghijklmnopqrstuvwxyz .,")))&gt;0),"Last Name contains unsupported or encoded characters; use plain A-Z letters only; ","")&amp;IF(LEN($E240&amp;"")&gt;1,"Middle Initial may contain only one character; ","")&amp;IF(AND($E240&lt;&gt;"",SUMPRODUCT(--(ROW($1:$1)&lt;=LEN($E240&amp;"")),--ISERROR(FIND(MID($E240&amp;"",ROW($1:$1),1),"ABCDEFGHIJKLMNOPQRSTUVWXYZabcdefghijklmnopqrstuvwxyz .,")))&gt;0),"Middle Initial must be a plain A-Z letter; ","")&amp;IF($F240="","Address is required; ","")&amp;IF(LEN($F240&amp;"")&gt;75,"Address exceeds 75 characters; ","")&amp;IF(LEN($G240&amp;"")&gt;75,"Address 2 exceeds 75 characters; ","")&amp;IF($H240="","City is required; ","")&amp;IF(LEN($H240&amp;"")&gt;30,"City exceeds 30 characters; ","")&amp;IF($K240="","Country is required; ","")&amp;IF(AND($K240&lt;&gt;"",$K240&lt;&gt;"US",$K240&lt;&gt;"CA"),"Country must be US or CA; ","")&amp;IF(AND($K240="US",OR($I240="",LEN($I240&amp;"")&lt;&gt;2)),"Use a 2-letter state code; ","")&amp;IF($J240="","ZIP or postal code is required; ","")&amp;IF(AND($K240="US",$J240&lt;&gt;"",NOT(IFERROR(OR(AND(LEN($J240&amp;"")=5,ISNUMBER(--($J240&amp;""))),AND(LEN($J240&amp;"")=9,ISNUMBER(--($J240&amp;""))),AND(LEN($J240&amp;"")=10,MID($J240&amp;"",6,1)="-",ISNUMBER(--SUBSTITUTE($J240&amp;"","-","")))),FALSE))),"US ZIP must be 5 or 9 digits, with an optional ZIP+4 hyphen; ","")&amp;IF(AND($N240&lt;&gt;"",NOT(IFERROR(AND(ISNUMBER(SEARCH("@",$N240)),ISNUMBER(SEARCH(".",$N240,SEARCH("@",$N240)+2))),FALSE))),"Email format appears invalid; ","")&amp;IF(AND($O240&lt;&gt;"",$B240=""),"Dependent SSN is required for every dependent; ","")&amp;IF(AND($B240&lt;&gt;"",$O240=""),"Dependent Relationship is required when Dependent SSN is entered; ","")&amp;IF(AND($O240&lt;&gt;"",$O240&lt;&gt;"Spouse or Common Law Spouse",$O240&lt;&gt;"Domestic Partner",$O240&lt;&gt;"Child",$O240&lt;&gt;"Other",$O240&lt;&gt;"Estate",$O240&lt;&gt;"Unknown"),"Dependent Relationship must use one of the approved options; ",""))</f>
        <v/>
      </c>
      <c r="Z240">
        <f>IF(COUNTA($A240:$U240)=0,"",IF(AND($A240&lt;&gt;"",NOT(IFERROR(AND(LEN($A240&amp;"")=9,ISNUMBER(--($A240&amp;""))),FALSE))),"Employee SSN must contain exactly 9 digits; ","")&amp;IF(AND($A240&lt;&gt;"",OR($A240="123456789",$A240="987654321",$A240="012345678",$A240=REPT(LEFT($A240&amp;"",1),9))),"Employee SSN appears to be a placeholder; ","")&amp;IF(AND($B240&lt;&gt;"",NOT(IFERROR(AND(LEN($B240&amp;"")=9,ISNUMBER(--($B240&amp;""))),FALSE))),"Dependent SSN must contain exactly 9 digits; ","")&amp;IF(AND($B240&lt;&gt;"",OR($B240="123456789",$B240="987654321",$B240="012345678",$B240=REPT(LEFT($B240&amp;"",1),9))),"Dependent SSN appears to be a placeholder; ","")&amp;IF(AND($A240&lt;&gt;"",$B240&lt;&gt;"",$A240&amp;""=$B240&amp;""),"Dependent SSN cannot match Employee SSN; ","")&amp;IF(AND($W240&lt;&gt;"",OR(COUNTIFS($W$2:$W$501,$W240,$C$2:$C$501,"&lt;&gt;"&amp;$C240)&gt;0,COUNTIFS($W$2:$W$501,$W240,$D$2:$D$501,"&lt;&gt;"&amp;$D240)&gt;0,COUNTIFS($W$2:$W$501,$W240,$L$2:$L$501,"&lt;&gt;"&amp;$L240)&gt;0)),"The same SSN is associated with a different name or birthdate; ",""))</f>
        <v/>
      </c>
      <c r="AA240">
        <f>IF(COUNTA($A240:$U240)=0,"",IF(AND($A240&lt;&gt;"",$S240&lt;&gt;"",COUNTIFS($A$2:$A$501,$A240,$S$2:$S$501,$S240,$B$2:$B$501,"",$O$2:$O$501,"")=0),"Add an employee row for this household and plan; ","")&amp;IF(AND($X240="Dependent",COUNTIFS($A$2:$A240,$A240,$S$2:$S240,$S240,$B$2:$B240,"",$O$2:$O240,"")=0),"Place the employee row before dependent rows for this plan; ","")&amp;IF(AND($X240="Dependent",COUNTIFS($A$2:$A$501,$A240,$S$2:$S$501,$S240,$B$2:$B$501,"",$O$2:$O$501,"")&gt;0,IFERROR(OR($P240&lt;&gt;LOOKUP(2,1/(($A$2:$A$501=$A240)*($S$2:$S$501=$S240)*($B$2:$B$501="")*($O$2:$O$501="")),$P$2:$P$501),$Q240&lt;&gt;LOOKUP(2,1/(($A$2:$A$501=$A240)*($S$2:$S$501=$S240)*($B$2:$B$501="")*($O$2:$O$501="")),$Q$2:$Q$501),$R240&lt;&gt;LOOKUP(2,1/(($A$2:$A$501=$A240)*($S$2:$S$501=$S240)*($B$2:$B$501="")*($O$2:$O$501="")),$R$2:$R$501),$T240&lt;&gt;LOOKUP(2,1/(($A$2:$A$501=$A240)*($S$2:$S$501=$S240)*($B$2:$B$501="")*($O$2:$O$501="")),$T$2:$T$501),$U240&lt;&gt;LOOKUP(2,1/(($A$2:$A$501=$A240)*($S$2:$S$501=$S240)*($B$2:$B$501="")*($O$2:$O$501="")),$U$2:$U$501)),FALSE)),"Dependent row does not match the employee row for eligibility, status, coverage level, or funding; ",""))</f>
        <v/>
      </c>
      <c r="AB240">
        <f>IF(COUNTA($A240:$U240)=0,"",IF($L240="","Birthdate is required; ","")&amp;IF(AND($L240&lt;&gt;"",OR(NOT(ISNUMBER($L240)),$L240&lt;=DATE(1900,1,1),$L240&gt;TODAY())),"Birthdate must be an exact valid past date; ","")&amp;IF($P240="","Eligibility Date is required; ","")&amp;IF(AND($P240&lt;&gt;"",OR(NOT(ISNUMBER($P240)),$P240&lt;=DATE(1900,1,1))),"Eligibility Date must be a valid date; ","")&amp;IF(AND($R240="Terminated",$Q240=""),"Termination Date is required when Status is Terminated; ","")&amp;IF(AND($Q240&lt;&gt;"",OR(NOT(ISNUMBER($Q240)),$Q240&lt;=DATE(1900,1,1))),"Termination Date must be a valid date; ","")&amp;IF(AND(ISNUMBER($P240),ISNUMBER($Q240),$Q240&lt;$P240),"Termination Date cannot be before Eligibility Date; ","")&amp;IF($R240="","Status is required; ","")&amp;IF(AND($R240&lt;&gt;"",$R240&lt;&gt;"Active",$R240&lt;&gt;"Terminated"),"Status must be Active or Terminated; ","")&amp;IF(AND('START HERE'!$C$8="Terminations Only",$R240&lt;&gt;"Terminated"),"Terminations Only files must contain terminated records; ",""))</f>
        <v/>
      </c>
      <c r="AC240">
        <f>IF(COUNTA($A240:$U240)=0,"",IF($S240="","Plan Name is required; ","")&amp;IF($T240="","Benefit Coverage Level is required; ","")&amp;IF(AND($U240&lt;&gt;"",OR(NOT(ISNUMBER($U240)),$U240&lt;0)),"Plan Funding Amount must be a nonnegative number; ","")&amp;IF(AND($A240&lt;&gt;"",$S240&lt;&gt;"",COUNTIFS($A$2:$A$501,$A240,$B$2:$B$501,$B240,$S$2:$S$501,$S240)&gt;1),"Duplicate participant and plan row; ",""))</f>
        <v/>
      </c>
      <c r="AD240">
        <f>IF(COUNTA($A240:$U240)=0,"",IF(AND($X240="Employee",$M240="",$N240=""),"No employee phone or email provided; ","")&amp;IF(AND($R240="Active",$Q240&lt;&gt;""),"Active record includes a Termination Date; confirm this is intentional; ","")&amp;IF(AND($B240&lt;&gt;"",$B240&amp;""&lt;&gt;$A240&amp;"",COUNTIF($A$2:$A$501,$B240)&gt;0),"Dependent SSN also appears as an Employee SSN elsewhere; confirm dual-employee coverage is intentional; ","")&amp;IF(AND($B240&lt;&gt;"",COUNTIF($B$2:$B$501,$B240)&gt;COUNTIFS($A$2:$A$501,$A240,$B$2:$B$501,$B240)),"Dependent SSN appears under more than one employee; confirm duplicate family coverage is intentional; ","")&amp;IF(AND(ROW()&gt;2,$A240&lt;&gt;"",$A240&lt;&gt;$A239,COUNTIF($A$2:$A239,$A240)&gt;0),"This household appears in more than one section of the census; keep the family together; ","")&amp;IF(OR(AND($C240&lt;&gt;"",LEN($C240&amp;"")&lt;&gt;LEN(TRIM($C240&amp;""))),AND($D240&lt;&gt;"",LEN($D240&amp;"")&lt;&gt;LEN(TRIM($D240&amp;""))),AND($E240&lt;&gt;"",LEN($E240&amp;"")&lt;&gt;LEN(TRIM($E240&amp;""))),AND($F240&lt;&gt;"",LEN($F240&amp;"")&lt;&gt;LEN(TRIM($F240&amp;""))),AND($G240&lt;&gt;"",LEN($G240&amp;"")&lt;&gt;LEN(TRIM($G240&amp;""))),AND($H240&lt;&gt;"",LEN($H240&amp;"")&lt;&gt;LEN(TRIM($H240&amp;""))),AND($I240&lt;&gt;"",LEN($I240&amp;"")&lt;&gt;LEN(TRIM($I240&amp;""))),AND($J240&lt;&gt;"",LEN($J240&amp;"")&lt;&gt;LEN(TRIM($J240&amp;""))),AND($K240&lt;&gt;"",LEN($K240&amp;"")&lt;&gt;LEN(TRIM($K240&amp;""))),AND($M240&lt;&gt;"",LEN($M240&amp;"")&lt;&gt;LEN(TRIM($M240&amp;""))),AND($N240&lt;&gt;"",LEN($N240&amp;"")&lt;&gt;LEN(TRIM($N240&amp;""))),AND($O240&lt;&gt;"",LEN($O240&amp;"")&lt;&gt;LEN(TRIM($O240&amp;""))),AND($R240&lt;&gt;"",LEN($R240&amp;"")&lt;&gt;LEN(TRIM($R240&amp;""))),AND($S240&lt;&gt;"",LEN($S240&amp;"")&lt;&gt;LEN(TRIM($S240&amp;""))),AND($T240&lt;&gt;"",LEN($T240&amp;"")&lt;&gt;LEN(TRIM($T240&amp;"")))),"Remove leading or trailing spaces from text fields; ","")&amp;IF(OR(AND(LEN($C240)&gt;1,OR(EXACT($C240,UPPER($C240)),EXACT($C240,LOWER($C240)))),AND(LEN($D240)&gt;1,OR(EXACT($D240,UPPER($D240)),EXACT($D240,LOWER($D240)))),AND(LEN($H240)&gt;1,OR(EXACT($H240,UPPER($H240)),EXACT($H240,LOWER($H240))))),"Review capitalization in First Name, Last Name, or City; ","")&amp;IF(AND($N240&lt;&gt;"",NOT(EXACT($N240,LOWER($N240)))),"Email will be standardized to lowercase in the clean output; ","")&amp;IF(AND(OR('START HERE'!$C$8="Initial Enrollment",'START HERE'!$C$8="Open Enrollment"),$R240="Terminated"),"A terminated row is included in an initial or open enrollment file; confirm this is intentional; ",""))</f>
        <v/>
      </c>
      <c r="AE240">
        <f>IF(COUNTA($A240:$U240)=0,"",IF(OR($A240="",AND($A240&lt;&gt;"",NOT(IFERROR(AND(LEN($A240&amp;"")=9,ISNUMBER(--($A240&amp;""))),FALSE))),AND($A240&lt;&gt;"",OR($A240="123456789",$A240="987654321",$A240="012345678",$A240=REPT(LEFT($A240&amp;"",1),9)))),"Employee SSN, ","")&amp;IF(OR(AND($O240&lt;&gt;"",$B240=""),AND($B240&lt;&gt;"",OR(NOT(IFERROR(AND(LEN($B240&amp;"")=9,ISNUMBER(--($B240&amp;""))),FALSE)),$B240=$A240,$B240="123456789",$B240="987654321",$B240="012345678",$B240=REPT(LEFT($B240&amp;"",1),9)))),"Dependent SSN, ","")&amp;IF(OR($C240="",LEN($C240)&gt;19,AND($C240&lt;&gt;"",SUMPRODUCT(--(ROW($1:$19)&lt;=LEN($C240&amp;"")),--ISERROR(FIND(MID($C240&amp;"",ROW($1:$19),1),"ABCDEFGHIJKLMNOPQRSTUVWXYZabcdefghijklmnopqrstuvwxyz .,")))&gt;0)),"First Name, ","")&amp;IF(OR($D240="",LEN($D240)&gt;26,AND($D240&lt;&gt;"",SUMPRODUCT(--(ROW($1:$26)&lt;=LEN($D240&amp;"")),--ISERROR(FIND(MID($D240&amp;"",ROW($1:$26),1),"ABCDEFGHIJKLMNOPQRSTUVWXYZabcdefghijklmnopqrstuvwxyz .,")))&gt;0)),"Last Name, ","")&amp;IF(OR(LEN($E240)&gt;1,AND($E240&lt;&gt;"",SUMPRODUCT(--(ROW($1:$1)&lt;=LEN($E240&amp;"")),--ISERROR(FIND(MID($E240&amp;"",ROW($1:$1),1),"ABCDEFGHIJKLMNOPQRSTUVWXYZabcdefghijklmnopqrstuvwxyz .,")))&gt;0)),"Middle Initial, ","")&amp;IF(OR($F240="",LEN($F240)&gt;75),"Address, ","")&amp;IF(OR($H240="",LEN($H240)&gt;30),"City, ","")&amp;IF(AND($K240="US",OR($I240="",LEN($I240)&lt;&gt;2)),"State, ","")&amp;IF($J240="","ZIP, ","")&amp;IF(OR($K240="",AND($K240&lt;&gt;"US",$K240&lt;&gt;"CA")),"Country, ","")&amp;IF(OR($L240="",AND($L240&lt;&gt;"",OR(NOT(ISNUMBER($L240)),$L240&lt;=DATE(1900,1,1),$L240&gt;TODAY()))),"Birthdate, ","")&amp;IF(AND($N240&lt;&gt;"",NOT(IFERROR(AND(ISNUMBER(SEARCH("@",$N240)),ISNUMBER(SEARCH(".",$N240,SEARCH("@",$N240)+2))),FALSE))),"Email, ","")&amp;IF(OR(AND($B240&lt;&gt;"",$O240=""),AND($O240&lt;&gt;"",$O240&lt;&gt;"Spouse or Common Law Spouse",$O240&lt;&gt;"Domestic Partner",$O240&lt;&gt;"Child",$O240&lt;&gt;"Other",$O240&lt;&gt;"Estate",$O240&lt;&gt;"Unknown")),"Dependent Relationship, ","")&amp;IF($AA240&lt;&gt;"","Household, ","")&amp;IF(OR($P240="",AND($P240&lt;&gt;"",OR(NOT(ISNUMBER($P240)),$P240&lt;=DATE(1900,1,1)))),"Eligibility Date, ","")&amp;IF(OR(AND($R240="Terminated",$Q240=""),AND($Q240&lt;&gt;"",OR(NOT(ISNUMBER($Q240)),$Q240&lt;=DATE(1900,1,1))),AND(ISNUMBER($P240),ISNUMBER($Q240),$Q240&lt;$P240)),"Termination Date, ","")&amp;IF(OR($R240="",AND($R240&lt;&gt;"Active",$R240&lt;&gt;"Terminated"),AND('START HERE'!$C$8="Terminations Only",$R240&lt;&gt;"Terminated")),"Status, ","")&amp;IF($S240="","Plan Name, ","")&amp;IF($T240="","Coverage Level, ","")&amp;IF(AND($U240&lt;&gt;"",OR(NOT(ISNUMBER($U240)),$U240&lt;0)),"Funding, ","")&amp;IF(AND($A240&lt;&gt;"",$S240&lt;&gt;"",COUNTIFS($A$2:$A$501,$A240,$B$2:$B$501,$B240,$S$2:$S$501,$S240)&gt;1),"Duplicate Row, ",""))</f>
        <v/>
      </c>
      <c r="AF240">
        <f>IF(COUNTA($A240:$U240)=0,"",$Y240&amp;$Z240&amp;$AA240&amp;$AB240&amp;$AC240)</f>
        <v/>
      </c>
      <c r="AG240">
        <f>IF($N240="","",LOWER(TRIM($N240)))</f>
        <v/>
      </c>
      <c r="AH240">
        <f>IF($A240="","",COUNTIFS($A$2:$A$501,$A240,$AI$2:$AI$501,1))</f>
        <v/>
      </c>
      <c r="AI240">
        <f>IF(COUNTA($A240:$U240)=0,"",--($AF240&lt;&gt;""))</f>
        <v/>
      </c>
      <c r="AJ240">
        <f>IF(COUNTA($A240:$U240)=0,"",--($AD240&lt;&gt;""))</f>
        <v/>
      </c>
    </row>
    <row r="241" ht="20" customHeight="1">
      <c r="A241" s="80" t="n"/>
      <c r="B241" s="80" t="n"/>
      <c r="C241" s="81" t="n"/>
      <c r="D241" s="81" t="n"/>
      <c r="E241" s="80" t="n"/>
      <c r="F241" s="81" t="n"/>
      <c r="G241" s="81" t="n"/>
      <c r="H241" s="81" t="n"/>
      <c r="I241" s="80" t="n"/>
      <c r="J241" s="80" t="n"/>
      <c r="K241" s="80" t="n"/>
      <c r="L241" s="82" t="n"/>
      <c r="M241" s="80" t="n"/>
      <c r="N241" s="80" t="n"/>
      <c r="O241" s="80" t="n"/>
      <c r="P241" s="82" t="n"/>
      <c r="Q241" s="82" t="n"/>
      <c r="R241" s="80" t="n"/>
      <c r="S241" s="80" t="n"/>
      <c r="T241" s="80" t="n"/>
      <c r="U241" s="83" t="n"/>
      <c r="V241">
        <f>IF($A241="","",IF($A241=$A240,$V240,IF($V240="",0,1-$V240)))</f>
        <v/>
      </c>
      <c r="W241">
        <f>IF($B241&lt;&gt;"",$B241,$A241)</f>
        <v/>
      </c>
      <c r="X241">
        <f>IF(COUNTA($A241:$U241)=0,"",IF(OR($B241&lt;&gt;"",$O241&lt;&gt;""),"Dependent","Employee"))</f>
        <v/>
      </c>
      <c r="Y241">
        <f>IF(COUNTA($A241:$U241)=0,"",IF($A241="","Employee SSN is required; ","")&amp;IF($C241="","First Name is required; ","")&amp;IF(LEN($C241&amp;"")&gt;19,"First Name exceeds 19 characters; ","")&amp;IF(AND($C241&lt;&gt;"",SUMPRODUCT(--(ROW($1:$19)&lt;=LEN($C241&amp;"")),--ISERROR(FIND(MID($C241&amp;"",ROW($1:$19),1),"ABCDEFGHIJKLMNOPQRSTUVWXYZabcdefghijklmnopqrstuvwxyz .,")))&gt;0),"First Name contains unsupported or encoded characters; use plain A-Z letters only; ","")&amp;IF($D241="","Last Name is required; ","")&amp;IF(LEN($D241&amp;"")&gt;26,"Last Name exceeds 26 characters; ","")&amp;IF(AND($D241&lt;&gt;"",SUMPRODUCT(--(ROW($1:$26)&lt;=LEN($D241&amp;"")),--ISERROR(FIND(MID($D241&amp;"",ROW($1:$26),1),"ABCDEFGHIJKLMNOPQRSTUVWXYZabcdefghijklmnopqrstuvwxyz .,")))&gt;0),"Last Name contains unsupported or encoded characters; use plain A-Z letters only; ","")&amp;IF(LEN($E241&amp;"")&gt;1,"Middle Initial may contain only one character; ","")&amp;IF(AND($E241&lt;&gt;"",SUMPRODUCT(--(ROW($1:$1)&lt;=LEN($E241&amp;"")),--ISERROR(FIND(MID($E241&amp;"",ROW($1:$1),1),"ABCDEFGHIJKLMNOPQRSTUVWXYZabcdefghijklmnopqrstuvwxyz .,")))&gt;0),"Middle Initial must be a plain A-Z letter; ","")&amp;IF($F241="","Address is required; ","")&amp;IF(LEN($F241&amp;"")&gt;75,"Address exceeds 75 characters; ","")&amp;IF(LEN($G241&amp;"")&gt;75,"Address 2 exceeds 75 characters; ","")&amp;IF($H241="","City is required; ","")&amp;IF(LEN($H241&amp;"")&gt;30,"City exceeds 30 characters; ","")&amp;IF($K241="","Country is required; ","")&amp;IF(AND($K241&lt;&gt;"",$K241&lt;&gt;"US",$K241&lt;&gt;"CA"),"Country must be US or CA; ","")&amp;IF(AND($K241="US",OR($I241="",LEN($I241&amp;"")&lt;&gt;2)),"Use a 2-letter state code; ","")&amp;IF($J241="","ZIP or postal code is required; ","")&amp;IF(AND($K241="US",$J241&lt;&gt;"",NOT(IFERROR(OR(AND(LEN($J241&amp;"")=5,ISNUMBER(--($J241&amp;""))),AND(LEN($J241&amp;"")=9,ISNUMBER(--($J241&amp;""))),AND(LEN($J241&amp;"")=10,MID($J241&amp;"",6,1)="-",ISNUMBER(--SUBSTITUTE($J241&amp;"","-","")))),FALSE))),"US ZIP must be 5 or 9 digits, with an optional ZIP+4 hyphen; ","")&amp;IF(AND($N241&lt;&gt;"",NOT(IFERROR(AND(ISNUMBER(SEARCH("@",$N241)),ISNUMBER(SEARCH(".",$N241,SEARCH("@",$N241)+2))),FALSE))),"Email format appears invalid; ","")&amp;IF(AND($O241&lt;&gt;"",$B241=""),"Dependent SSN is required for every dependent; ","")&amp;IF(AND($B241&lt;&gt;"",$O241=""),"Dependent Relationship is required when Dependent SSN is entered; ","")&amp;IF(AND($O241&lt;&gt;"",$O241&lt;&gt;"Spouse or Common Law Spouse",$O241&lt;&gt;"Domestic Partner",$O241&lt;&gt;"Child",$O241&lt;&gt;"Other",$O241&lt;&gt;"Estate",$O241&lt;&gt;"Unknown"),"Dependent Relationship must use one of the approved options; ",""))</f>
        <v/>
      </c>
      <c r="Z241">
        <f>IF(COUNTA($A241:$U241)=0,"",IF(AND($A241&lt;&gt;"",NOT(IFERROR(AND(LEN($A241&amp;"")=9,ISNUMBER(--($A241&amp;""))),FALSE))),"Employee SSN must contain exactly 9 digits; ","")&amp;IF(AND($A241&lt;&gt;"",OR($A241="123456789",$A241="987654321",$A241="012345678",$A241=REPT(LEFT($A241&amp;"",1),9))),"Employee SSN appears to be a placeholder; ","")&amp;IF(AND($B241&lt;&gt;"",NOT(IFERROR(AND(LEN($B241&amp;"")=9,ISNUMBER(--($B241&amp;""))),FALSE))),"Dependent SSN must contain exactly 9 digits; ","")&amp;IF(AND($B241&lt;&gt;"",OR($B241="123456789",$B241="987654321",$B241="012345678",$B241=REPT(LEFT($B241&amp;"",1),9))),"Dependent SSN appears to be a placeholder; ","")&amp;IF(AND($A241&lt;&gt;"",$B241&lt;&gt;"",$A241&amp;""=$B241&amp;""),"Dependent SSN cannot match Employee SSN; ","")&amp;IF(AND($W241&lt;&gt;"",OR(COUNTIFS($W$2:$W$501,$W241,$C$2:$C$501,"&lt;&gt;"&amp;$C241)&gt;0,COUNTIFS($W$2:$W$501,$W241,$D$2:$D$501,"&lt;&gt;"&amp;$D241)&gt;0,COUNTIFS($W$2:$W$501,$W241,$L$2:$L$501,"&lt;&gt;"&amp;$L241)&gt;0)),"The same SSN is associated with a different name or birthdate; ",""))</f>
        <v/>
      </c>
      <c r="AA241">
        <f>IF(COUNTA($A241:$U241)=0,"",IF(AND($A241&lt;&gt;"",$S241&lt;&gt;"",COUNTIFS($A$2:$A$501,$A241,$S$2:$S$501,$S241,$B$2:$B$501,"",$O$2:$O$501,"")=0),"Add an employee row for this household and plan; ","")&amp;IF(AND($X241="Dependent",COUNTIFS($A$2:$A241,$A241,$S$2:$S241,$S241,$B$2:$B241,"",$O$2:$O241,"")=0),"Place the employee row before dependent rows for this plan; ","")&amp;IF(AND($X241="Dependent",COUNTIFS($A$2:$A$501,$A241,$S$2:$S$501,$S241,$B$2:$B$501,"",$O$2:$O$501,"")&gt;0,IFERROR(OR($P241&lt;&gt;LOOKUP(2,1/(($A$2:$A$501=$A241)*($S$2:$S$501=$S241)*($B$2:$B$501="")*($O$2:$O$501="")),$P$2:$P$501),$Q241&lt;&gt;LOOKUP(2,1/(($A$2:$A$501=$A241)*($S$2:$S$501=$S241)*($B$2:$B$501="")*($O$2:$O$501="")),$Q$2:$Q$501),$R241&lt;&gt;LOOKUP(2,1/(($A$2:$A$501=$A241)*($S$2:$S$501=$S241)*($B$2:$B$501="")*($O$2:$O$501="")),$R$2:$R$501),$T241&lt;&gt;LOOKUP(2,1/(($A$2:$A$501=$A241)*($S$2:$S$501=$S241)*($B$2:$B$501="")*($O$2:$O$501="")),$T$2:$T$501),$U241&lt;&gt;LOOKUP(2,1/(($A$2:$A$501=$A241)*($S$2:$S$501=$S241)*($B$2:$B$501="")*($O$2:$O$501="")),$U$2:$U$501)),FALSE)),"Dependent row does not match the employee row for eligibility, status, coverage level, or funding; ",""))</f>
        <v/>
      </c>
      <c r="AB241">
        <f>IF(COUNTA($A241:$U241)=0,"",IF($L241="","Birthdate is required; ","")&amp;IF(AND($L241&lt;&gt;"",OR(NOT(ISNUMBER($L241)),$L241&lt;=DATE(1900,1,1),$L241&gt;TODAY())),"Birthdate must be an exact valid past date; ","")&amp;IF($P241="","Eligibility Date is required; ","")&amp;IF(AND($P241&lt;&gt;"",OR(NOT(ISNUMBER($P241)),$P241&lt;=DATE(1900,1,1))),"Eligibility Date must be a valid date; ","")&amp;IF(AND($R241="Terminated",$Q241=""),"Termination Date is required when Status is Terminated; ","")&amp;IF(AND($Q241&lt;&gt;"",OR(NOT(ISNUMBER($Q241)),$Q241&lt;=DATE(1900,1,1))),"Termination Date must be a valid date; ","")&amp;IF(AND(ISNUMBER($P241),ISNUMBER($Q241),$Q241&lt;$P241),"Termination Date cannot be before Eligibility Date; ","")&amp;IF($R241="","Status is required; ","")&amp;IF(AND($R241&lt;&gt;"",$R241&lt;&gt;"Active",$R241&lt;&gt;"Terminated"),"Status must be Active or Terminated; ","")&amp;IF(AND('START HERE'!$C$8="Terminations Only",$R241&lt;&gt;"Terminated"),"Terminations Only files must contain terminated records; ",""))</f>
        <v/>
      </c>
      <c r="AC241">
        <f>IF(COUNTA($A241:$U241)=0,"",IF($S241="","Plan Name is required; ","")&amp;IF($T241="","Benefit Coverage Level is required; ","")&amp;IF(AND($U241&lt;&gt;"",OR(NOT(ISNUMBER($U241)),$U241&lt;0)),"Plan Funding Amount must be a nonnegative number; ","")&amp;IF(AND($A241&lt;&gt;"",$S241&lt;&gt;"",COUNTIFS($A$2:$A$501,$A241,$B$2:$B$501,$B241,$S$2:$S$501,$S241)&gt;1),"Duplicate participant and plan row; ",""))</f>
        <v/>
      </c>
      <c r="AD241">
        <f>IF(COUNTA($A241:$U241)=0,"",IF(AND($X241="Employee",$M241="",$N241=""),"No employee phone or email provided; ","")&amp;IF(AND($R241="Active",$Q241&lt;&gt;""),"Active record includes a Termination Date; confirm this is intentional; ","")&amp;IF(AND($B241&lt;&gt;"",$B241&amp;""&lt;&gt;$A241&amp;"",COUNTIF($A$2:$A$501,$B241)&gt;0),"Dependent SSN also appears as an Employee SSN elsewhere; confirm dual-employee coverage is intentional; ","")&amp;IF(AND($B241&lt;&gt;"",COUNTIF($B$2:$B$501,$B241)&gt;COUNTIFS($A$2:$A$501,$A241,$B$2:$B$501,$B241)),"Dependent SSN appears under more than one employee; confirm duplicate family coverage is intentional; ","")&amp;IF(AND(ROW()&gt;2,$A241&lt;&gt;"",$A241&lt;&gt;$A240,COUNTIF($A$2:$A240,$A241)&gt;0),"This household appears in more than one section of the census; keep the family together; ","")&amp;IF(OR(AND($C241&lt;&gt;"",LEN($C241&amp;"")&lt;&gt;LEN(TRIM($C241&amp;""))),AND($D241&lt;&gt;"",LEN($D241&amp;"")&lt;&gt;LEN(TRIM($D241&amp;""))),AND($E241&lt;&gt;"",LEN($E241&amp;"")&lt;&gt;LEN(TRIM($E241&amp;""))),AND($F241&lt;&gt;"",LEN($F241&amp;"")&lt;&gt;LEN(TRIM($F241&amp;""))),AND($G241&lt;&gt;"",LEN($G241&amp;"")&lt;&gt;LEN(TRIM($G241&amp;""))),AND($H241&lt;&gt;"",LEN($H241&amp;"")&lt;&gt;LEN(TRIM($H241&amp;""))),AND($I241&lt;&gt;"",LEN($I241&amp;"")&lt;&gt;LEN(TRIM($I241&amp;""))),AND($J241&lt;&gt;"",LEN($J241&amp;"")&lt;&gt;LEN(TRIM($J241&amp;""))),AND($K241&lt;&gt;"",LEN($K241&amp;"")&lt;&gt;LEN(TRIM($K241&amp;""))),AND($M241&lt;&gt;"",LEN($M241&amp;"")&lt;&gt;LEN(TRIM($M241&amp;""))),AND($N241&lt;&gt;"",LEN($N241&amp;"")&lt;&gt;LEN(TRIM($N241&amp;""))),AND($O241&lt;&gt;"",LEN($O241&amp;"")&lt;&gt;LEN(TRIM($O241&amp;""))),AND($R241&lt;&gt;"",LEN($R241&amp;"")&lt;&gt;LEN(TRIM($R241&amp;""))),AND($S241&lt;&gt;"",LEN($S241&amp;"")&lt;&gt;LEN(TRIM($S241&amp;""))),AND($T241&lt;&gt;"",LEN($T241&amp;"")&lt;&gt;LEN(TRIM($T241&amp;"")))),"Remove leading or trailing spaces from text fields; ","")&amp;IF(OR(AND(LEN($C241)&gt;1,OR(EXACT($C241,UPPER($C241)),EXACT($C241,LOWER($C241)))),AND(LEN($D241)&gt;1,OR(EXACT($D241,UPPER($D241)),EXACT($D241,LOWER($D241)))),AND(LEN($H241)&gt;1,OR(EXACT($H241,UPPER($H241)),EXACT($H241,LOWER($H241))))),"Review capitalization in First Name, Last Name, or City; ","")&amp;IF(AND($N241&lt;&gt;"",NOT(EXACT($N241,LOWER($N241)))),"Email will be standardized to lowercase in the clean output; ","")&amp;IF(AND(OR('START HERE'!$C$8="Initial Enrollment",'START HERE'!$C$8="Open Enrollment"),$R241="Terminated"),"A terminated row is included in an initial or open enrollment file; confirm this is intentional; ",""))</f>
        <v/>
      </c>
      <c r="AE241">
        <f>IF(COUNTA($A241:$U241)=0,"",IF(OR($A241="",AND($A241&lt;&gt;"",NOT(IFERROR(AND(LEN($A241&amp;"")=9,ISNUMBER(--($A241&amp;""))),FALSE))),AND($A241&lt;&gt;"",OR($A241="123456789",$A241="987654321",$A241="012345678",$A241=REPT(LEFT($A241&amp;"",1),9)))),"Employee SSN, ","")&amp;IF(OR(AND($O241&lt;&gt;"",$B241=""),AND($B241&lt;&gt;"",OR(NOT(IFERROR(AND(LEN($B241&amp;"")=9,ISNUMBER(--($B241&amp;""))),FALSE)),$B241=$A241,$B241="123456789",$B241="987654321",$B241="012345678",$B241=REPT(LEFT($B241&amp;"",1),9)))),"Dependent SSN, ","")&amp;IF(OR($C241="",LEN($C241)&gt;19,AND($C241&lt;&gt;"",SUMPRODUCT(--(ROW($1:$19)&lt;=LEN($C241&amp;"")),--ISERROR(FIND(MID($C241&amp;"",ROW($1:$19),1),"ABCDEFGHIJKLMNOPQRSTUVWXYZabcdefghijklmnopqrstuvwxyz .,")))&gt;0)),"First Name, ","")&amp;IF(OR($D241="",LEN($D241)&gt;26,AND($D241&lt;&gt;"",SUMPRODUCT(--(ROW($1:$26)&lt;=LEN($D241&amp;"")),--ISERROR(FIND(MID($D241&amp;"",ROW($1:$26),1),"ABCDEFGHIJKLMNOPQRSTUVWXYZabcdefghijklmnopqrstuvwxyz .,")))&gt;0)),"Last Name, ","")&amp;IF(OR(LEN($E241)&gt;1,AND($E241&lt;&gt;"",SUMPRODUCT(--(ROW($1:$1)&lt;=LEN($E241&amp;"")),--ISERROR(FIND(MID($E241&amp;"",ROW($1:$1),1),"ABCDEFGHIJKLMNOPQRSTUVWXYZabcdefghijklmnopqrstuvwxyz .,")))&gt;0)),"Middle Initial, ","")&amp;IF(OR($F241="",LEN($F241)&gt;75),"Address, ","")&amp;IF(OR($H241="",LEN($H241)&gt;30),"City, ","")&amp;IF(AND($K241="US",OR($I241="",LEN($I241)&lt;&gt;2)),"State, ","")&amp;IF($J241="","ZIP, ","")&amp;IF(OR($K241="",AND($K241&lt;&gt;"US",$K241&lt;&gt;"CA")),"Country, ","")&amp;IF(OR($L241="",AND($L241&lt;&gt;"",OR(NOT(ISNUMBER($L241)),$L241&lt;=DATE(1900,1,1),$L241&gt;TODAY()))),"Birthdate, ","")&amp;IF(AND($N241&lt;&gt;"",NOT(IFERROR(AND(ISNUMBER(SEARCH("@",$N241)),ISNUMBER(SEARCH(".",$N241,SEARCH("@",$N241)+2))),FALSE))),"Email, ","")&amp;IF(OR(AND($B241&lt;&gt;"",$O241=""),AND($O241&lt;&gt;"",$O241&lt;&gt;"Spouse or Common Law Spouse",$O241&lt;&gt;"Domestic Partner",$O241&lt;&gt;"Child",$O241&lt;&gt;"Other",$O241&lt;&gt;"Estate",$O241&lt;&gt;"Unknown")),"Dependent Relationship, ","")&amp;IF($AA241&lt;&gt;"","Household, ","")&amp;IF(OR($P241="",AND($P241&lt;&gt;"",OR(NOT(ISNUMBER($P241)),$P241&lt;=DATE(1900,1,1)))),"Eligibility Date, ","")&amp;IF(OR(AND($R241="Terminated",$Q241=""),AND($Q241&lt;&gt;"",OR(NOT(ISNUMBER($Q241)),$Q241&lt;=DATE(1900,1,1))),AND(ISNUMBER($P241),ISNUMBER($Q241),$Q241&lt;$P241)),"Termination Date, ","")&amp;IF(OR($R241="",AND($R241&lt;&gt;"Active",$R241&lt;&gt;"Terminated"),AND('START HERE'!$C$8="Terminations Only",$R241&lt;&gt;"Terminated")),"Status, ","")&amp;IF($S241="","Plan Name, ","")&amp;IF($T241="","Coverage Level, ","")&amp;IF(AND($U241&lt;&gt;"",OR(NOT(ISNUMBER($U241)),$U241&lt;0)),"Funding, ","")&amp;IF(AND($A241&lt;&gt;"",$S241&lt;&gt;"",COUNTIFS($A$2:$A$501,$A241,$B$2:$B$501,$B241,$S$2:$S$501,$S241)&gt;1),"Duplicate Row, ",""))</f>
        <v/>
      </c>
      <c r="AF241">
        <f>IF(COUNTA($A241:$U241)=0,"",$Y241&amp;$Z241&amp;$AA241&amp;$AB241&amp;$AC241)</f>
        <v/>
      </c>
      <c r="AG241">
        <f>IF($N241="","",LOWER(TRIM($N241)))</f>
        <v/>
      </c>
      <c r="AH241">
        <f>IF($A241="","",COUNTIFS($A$2:$A$501,$A241,$AI$2:$AI$501,1))</f>
        <v/>
      </c>
      <c r="AI241">
        <f>IF(COUNTA($A241:$U241)=0,"",--($AF241&lt;&gt;""))</f>
        <v/>
      </c>
      <c r="AJ241">
        <f>IF(COUNTA($A241:$U241)=0,"",--($AD241&lt;&gt;""))</f>
        <v/>
      </c>
    </row>
    <row r="242" ht="20" customHeight="1">
      <c r="A242" s="80" t="n"/>
      <c r="B242" s="80" t="n"/>
      <c r="C242" s="81" t="n"/>
      <c r="D242" s="81" t="n"/>
      <c r="E242" s="80" t="n"/>
      <c r="F242" s="81" t="n"/>
      <c r="G242" s="81" t="n"/>
      <c r="H242" s="81" t="n"/>
      <c r="I242" s="80" t="n"/>
      <c r="J242" s="80" t="n"/>
      <c r="K242" s="80" t="n"/>
      <c r="L242" s="82" t="n"/>
      <c r="M242" s="80" t="n"/>
      <c r="N242" s="80" t="n"/>
      <c r="O242" s="80" t="n"/>
      <c r="P242" s="82" t="n"/>
      <c r="Q242" s="82" t="n"/>
      <c r="R242" s="80" t="n"/>
      <c r="S242" s="80" t="n"/>
      <c r="T242" s="80" t="n"/>
      <c r="U242" s="83" t="n"/>
      <c r="V242">
        <f>IF($A242="","",IF($A242=$A241,$V241,IF($V241="",0,1-$V241)))</f>
        <v/>
      </c>
      <c r="W242">
        <f>IF($B242&lt;&gt;"",$B242,$A242)</f>
        <v/>
      </c>
      <c r="X242">
        <f>IF(COUNTA($A242:$U242)=0,"",IF(OR($B242&lt;&gt;"",$O242&lt;&gt;""),"Dependent","Employee"))</f>
        <v/>
      </c>
      <c r="Y242">
        <f>IF(COUNTA($A242:$U242)=0,"",IF($A242="","Employee SSN is required; ","")&amp;IF($C242="","First Name is required; ","")&amp;IF(LEN($C242&amp;"")&gt;19,"First Name exceeds 19 characters; ","")&amp;IF(AND($C242&lt;&gt;"",SUMPRODUCT(--(ROW($1:$19)&lt;=LEN($C242&amp;"")),--ISERROR(FIND(MID($C242&amp;"",ROW($1:$19),1),"ABCDEFGHIJKLMNOPQRSTUVWXYZabcdefghijklmnopqrstuvwxyz .,")))&gt;0),"First Name contains unsupported or encoded characters; use plain A-Z letters only; ","")&amp;IF($D242="","Last Name is required; ","")&amp;IF(LEN($D242&amp;"")&gt;26,"Last Name exceeds 26 characters; ","")&amp;IF(AND($D242&lt;&gt;"",SUMPRODUCT(--(ROW($1:$26)&lt;=LEN($D242&amp;"")),--ISERROR(FIND(MID($D242&amp;"",ROW($1:$26),1),"ABCDEFGHIJKLMNOPQRSTUVWXYZabcdefghijklmnopqrstuvwxyz .,")))&gt;0),"Last Name contains unsupported or encoded characters; use plain A-Z letters only; ","")&amp;IF(LEN($E242&amp;"")&gt;1,"Middle Initial may contain only one character; ","")&amp;IF(AND($E242&lt;&gt;"",SUMPRODUCT(--(ROW($1:$1)&lt;=LEN($E242&amp;"")),--ISERROR(FIND(MID($E242&amp;"",ROW($1:$1),1),"ABCDEFGHIJKLMNOPQRSTUVWXYZabcdefghijklmnopqrstuvwxyz .,")))&gt;0),"Middle Initial must be a plain A-Z letter; ","")&amp;IF($F242="","Address is required; ","")&amp;IF(LEN($F242&amp;"")&gt;75,"Address exceeds 75 characters; ","")&amp;IF(LEN($G242&amp;"")&gt;75,"Address 2 exceeds 75 characters; ","")&amp;IF($H242="","City is required; ","")&amp;IF(LEN($H242&amp;"")&gt;30,"City exceeds 30 characters; ","")&amp;IF($K242="","Country is required; ","")&amp;IF(AND($K242&lt;&gt;"",$K242&lt;&gt;"US",$K242&lt;&gt;"CA"),"Country must be US or CA; ","")&amp;IF(AND($K242="US",OR($I242="",LEN($I242&amp;"")&lt;&gt;2)),"Use a 2-letter state code; ","")&amp;IF($J242="","ZIP or postal code is required; ","")&amp;IF(AND($K242="US",$J242&lt;&gt;"",NOT(IFERROR(OR(AND(LEN($J242&amp;"")=5,ISNUMBER(--($J242&amp;""))),AND(LEN($J242&amp;"")=9,ISNUMBER(--($J242&amp;""))),AND(LEN($J242&amp;"")=10,MID($J242&amp;"",6,1)="-",ISNUMBER(--SUBSTITUTE($J242&amp;"","-","")))),FALSE))),"US ZIP must be 5 or 9 digits, with an optional ZIP+4 hyphen; ","")&amp;IF(AND($N242&lt;&gt;"",NOT(IFERROR(AND(ISNUMBER(SEARCH("@",$N242)),ISNUMBER(SEARCH(".",$N242,SEARCH("@",$N242)+2))),FALSE))),"Email format appears invalid; ","")&amp;IF(AND($O242&lt;&gt;"",$B242=""),"Dependent SSN is required for every dependent; ","")&amp;IF(AND($B242&lt;&gt;"",$O242=""),"Dependent Relationship is required when Dependent SSN is entered; ","")&amp;IF(AND($O242&lt;&gt;"",$O242&lt;&gt;"Spouse or Common Law Spouse",$O242&lt;&gt;"Domestic Partner",$O242&lt;&gt;"Child",$O242&lt;&gt;"Other",$O242&lt;&gt;"Estate",$O242&lt;&gt;"Unknown"),"Dependent Relationship must use one of the approved options; ",""))</f>
        <v/>
      </c>
      <c r="Z242">
        <f>IF(COUNTA($A242:$U242)=0,"",IF(AND($A242&lt;&gt;"",NOT(IFERROR(AND(LEN($A242&amp;"")=9,ISNUMBER(--($A242&amp;""))),FALSE))),"Employee SSN must contain exactly 9 digits; ","")&amp;IF(AND($A242&lt;&gt;"",OR($A242="123456789",$A242="987654321",$A242="012345678",$A242=REPT(LEFT($A242&amp;"",1),9))),"Employee SSN appears to be a placeholder; ","")&amp;IF(AND($B242&lt;&gt;"",NOT(IFERROR(AND(LEN($B242&amp;"")=9,ISNUMBER(--($B242&amp;""))),FALSE))),"Dependent SSN must contain exactly 9 digits; ","")&amp;IF(AND($B242&lt;&gt;"",OR($B242="123456789",$B242="987654321",$B242="012345678",$B242=REPT(LEFT($B242&amp;"",1),9))),"Dependent SSN appears to be a placeholder; ","")&amp;IF(AND($A242&lt;&gt;"",$B242&lt;&gt;"",$A242&amp;""=$B242&amp;""),"Dependent SSN cannot match Employee SSN; ","")&amp;IF(AND($W242&lt;&gt;"",OR(COUNTIFS($W$2:$W$501,$W242,$C$2:$C$501,"&lt;&gt;"&amp;$C242)&gt;0,COUNTIFS($W$2:$W$501,$W242,$D$2:$D$501,"&lt;&gt;"&amp;$D242)&gt;0,COUNTIFS($W$2:$W$501,$W242,$L$2:$L$501,"&lt;&gt;"&amp;$L242)&gt;0)),"The same SSN is associated with a different name or birthdate; ",""))</f>
        <v/>
      </c>
      <c r="AA242">
        <f>IF(COUNTA($A242:$U242)=0,"",IF(AND($A242&lt;&gt;"",$S242&lt;&gt;"",COUNTIFS($A$2:$A$501,$A242,$S$2:$S$501,$S242,$B$2:$B$501,"",$O$2:$O$501,"")=0),"Add an employee row for this household and plan; ","")&amp;IF(AND($X242="Dependent",COUNTIFS($A$2:$A242,$A242,$S$2:$S242,$S242,$B$2:$B242,"",$O$2:$O242,"")=0),"Place the employee row before dependent rows for this plan; ","")&amp;IF(AND($X242="Dependent",COUNTIFS($A$2:$A$501,$A242,$S$2:$S$501,$S242,$B$2:$B$501,"",$O$2:$O$501,"")&gt;0,IFERROR(OR($P242&lt;&gt;LOOKUP(2,1/(($A$2:$A$501=$A242)*($S$2:$S$501=$S242)*($B$2:$B$501="")*($O$2:$O$501="")),$P$2:$P$501),$Q242&lt;&gt;LOOKUP(2,1/(($A$2:$A$501=$A242)*($S$2:$S$501=$S242)*($B$2:$B$501="")*($O$2:$O$501="")),$Q$2:$Q$501),$R242&lt;&gt;LOOKUP(2,1/(($A$2:$A$501=$A242)*($S$2:$S$501=$S242)*($B$2:$B$501="")*($O$2:$O$501="")),$R$2:$R$501),$T242&lt;&gt;LOOKUP(2,1/(($A$2:$A$501=$A242)*($S$2:$S$501=$S242)*($B$2:$B$501="")*($O$2:$O$501="")),$T$2:$T$501),$U242&lt;&gt;LOOKUP(2,1/(($A$2:$A$501=$A242)*($S$2:$S$501=$S242)*($B$2:$B$501="")*($O$2:$O$501="")),$U$2:$U$501)),FALSE)),"Dependent row does not match the employee row for eligibility, status, coverage level, or funding; ",""))</f>
        <v/>
      </c>
      <c r="AB242">
        <f>IF(COUNTA($A242:$U242)=0,"",IF($L242="","Birthdate is required; ","")&amp;IF(AND($L242&lt;&gt;"",OR(NOT(ISNUMBER($L242)),$L242&lt;=DATE(1900,1,1),$L242&gt;TODAY())),"Birthdate must be an exact valid past date; ","")&amp;IF($P242="","Eligibility Date is required; ","")&amp;IF(AND($P242&lt;&gt;"",OR(NOT(ISNUMBER($P242)),$P242&lt;=DATE(1900,1,1))),"Eligibility Date must be a valid date; ","")&amp;IF(AND($R242="Terminated",$Q242=""),"Termination Date is required when Status is Terminated; ","")&amp;IF(AND($Q242&lt;&gt;"",OR(NOT(ISNUMBER($Q242)),$Q242&lt;=DATE(1900,1,1))),"Termination Date must be a valid date; ","")&amp;IF(AND(ISNUMBER($P242),ISNUMBER($Q242),$Q242&lt;$P242),"Termination Date cannot be before Eligibility Date; ","")&amp;IF($R242="","Status is required; ","")&amp;IF(AND($R242&lt;&gt;"",$R242&lt;&gt;"Active",$R242&lt;&gt;"Terminated"),"Status must be Active or Terminated; ","")&amp;IF(AND('START HERE'!$C$8="Terminations Only",$R242&lt;&gt;"Terminated"),"Terminations Only files must contain terminated records; ",""))</f>
        <v/>
      </c>
      <c r="AC242">
        <f>IF(COUNTA($A242:$U242)=0,"",IF($S242="","Plan Name is required; ","")&amp;IF($T242="","Benefit Coverage Level is required; ","")&amp;IF(AND($U242&lt;&gt;"",OR(NOT(ISNUMBER($U242)),$U242&lt;0)),"Plan Funding Amount must be a nonnegative number; ","")&amp;IF(AND($A242&lt;&gt;"",$S242&lt;&gt;"",COUNTIFS($A$2:$A$501,$A242,$B$2:$B$501,$B242,$S$2:$S$501,$S242)&gt;1),"Duplicate participant and plan row; ",""))</f>
        <v/>
      </c>
      <c r="AD242">
        <f>IF(COUNTA($A242:$U242)=0,"",IF(AND($X242="Employee",$M242="",$N242=""),"No employee phone or email provided; ","")&amp;IF(AND($R242="Active",$Q242&lt;&gt;""),"Active record includes a Termination Date; confirm this is intentional; ","")&amp;IF(AND($B242&lt;&gt;"",$B242&amp;""&lt;&gt;$A242&amp;"",COUNTIF($A$2:$A$501,$B242)&gt;0),"Dependent SSN also appears as an Employee SSN elsewhere; confirm dual-employee coverage is intentional; ","")&amp;IF(AND($B242&lt;&gt;"",COUNTIF($B$2:$B$501,$B242)&gt;COUNTIFS($A$2:$A$501,$A242,$B$2:$B$501,$B242)),"Dependent SSN appears under more than one employee; confirm duplicate family coverage is intentional; ","")&amp;IF(AND(ROW()&gt;2,$A242&lt;&gt;"",$A242&lt;&gt;$A241,COUNTIF($A$2:$A241,$A242)&gt;0),"This household appears in more than one section of the census; keep the family together; ","")&amp;IF(OR(AND($C242&lt;&gt;"",LEN($C242&amp;"")&lt;&gt;LEN(TRIM($C242&amp;""))),AND($D242&lt;&gt;"",LEN($D242&amp;"")&lt;&gt;LEN(TRIM($D242&amp;""))),AND($E242&lt;&gt;"",LEN($E242&amp;"")&lt;&gt;LEN(TRIM($E242&amp;""))),AND($F242&lt;&gt;"",LEN($F242&amp;"")&lt;&gt;LEN(TRIM($F242&amp;""))),AND($G242&lt;&gt;"",LEN($G242&amp;"")&lt;&gt;LEN(TRIM($G242&amp;""))),AND($H242&lt;&gt;"",LEN($H242&amp;"")&lt;&gt;LEN(TRIM($H242&amp;""))),AND($I242&lt;&gt;"",LEN($I242&amp;"")&lt;&gt;LEN(TRIM($I242&amp;""))),AND($J242&lt;&gt;"",LEN($J242&amp;"")&lt;&gt;LEN(TRIM($J242&amp;""))),AND($K242&lt;&gt;"",LEN($K242&amp;"")&lt;&gt;LEN(TRIM($K242&amp;""))),AND($M242&lt;&gt;"",LEN($M242&amp;"")&lt;&gt;LEN(TRIM($M242&amp;""))),AND($N242&lt;&gt;"",LEN($N242&amp;"")&lt;&gt;LEN(TRIM($N242&amp;""))),AND($O242&lt;&gt;"",LEN($O242&amp;"")&lt;&gt;LEN(TRIM($O242&amp;""))),AND($R242&lt;&gt;"",LEN($R242&amp;"")&lt;&gt;LEN(TRIM($R242&amp;""))),AND($S242&lt;&gt;"",LEN($S242&amp;"")&lt;&gt;LEN(TRIM($S242&amp;""))),AND($T242&lt;&gt;"",LEN($T242&amp;"")&lt;&gt;LEN(TRIM($T242&amp;"")))),"Remove leading or trailing spaces from text fields; ","")&amp;IF(OR(AND(LEN($C242)&gt;1,OR(EXACT($C242,UPPER($C242)),EXACT($C242,LOWER($C242)))),AND(LEN($D242)&gt;1,OR(EXACT($D242,UPPER($D242)),EXACT($D242,LOWER($D242)))),AND(LEN($H242)&gt;1,OR(EXACT($H242,UPPER($H242)),EXACT($H242,LOWER($H242))))),"Review capitalization in First Name, Last Name, or City; ","")&amp;IF(AND($N242&lt;&gt;"",NOT(EXACT($N242,LOWER($N242)))),"Email will be standardized to lowercase in the clean output; ","")&amp;IF(AND(OR('START HERE'!$C$8="Initial Enrollment",'START HERE'!$C$8="Open Enrollment"),$R242="Terminated"),"A terminated row is included in an initial or open enrollment file; confirm this is intentional; ",""))</f>
        <v/>
      </c>
      <c r="AE242">
        <f>IF(COUNTA($A242:$U242)=0,"",IF(OR($A242="",AND($A242&lt;&gt;"",NOT(IFERROR(AND(LEN($A242&amp;"")=9,ISNUMBER(--($A242&amp;""))),FALSE))),AND($A242&lt;&gt;"",OR($A242="123456789",$A242="987654321",$A242="012345678",$A242=REPT(LEFT($A242&amp;"",1),9)))),"Employee SSN, ","")&amp;IF(OR(AND($O242&lt;&gt;"",$B242=""),AND($B242&lt;&gt;"",OR(NOT(IFERROR(AND(LEN($B242&amp;"")=9,ISNUMBER(--($B242&amp;""))),FALSE)),$B242=$A242,$B242="123456789",$B242="987654321",$B242="012345678",$B242=REPT(LEFT($B242&amp;"",1),9)))),"Dependent SSN, ","")&amp;IF(OR($C242="",LEN($C242)&gt;19,AND($C242&lt;&gt;"",SUMPRODUCT(--(ROW($1:$19)&lt;=LEN($C242&amp;"")),--ISERROR(FIND(MID($C242&amp;"",ROW($1:$19),1),"ABCDEFGHIJKLMNOPQRSTUVWXYZabcdefghijklmnopqrstuvwxyz .,")))&gt;0)),"First Name, ","")&amp;IF(OR($D242="",LEN($D242)&gt;26,AND($D242&lt;&gt;"",SUMPRODUCT(--(ROW($1:$26)&lt;=LEN($D242&amp;"")),--ISERROR(FIND(MID($D242&amp;"",ROW($1:$26),1),"ABCDEFGHIJKLMNOPQRSTUVWXYZabcdefghijklmnopqrstuvwxyz .,")))&gt;0)),"Last Name, ","")&amp;IF(OR(LEN($E242)&gt;1,AND($E242&lt;&gt;"",SUMPRODUCT(--(ROW($1:$1)&lt;=LEN($E242&amp;"")),--ISERROR(FIND(MID($E242&amp;"",ROW($1:$1),1),"ABCDEFGHIJKLMNOPQRSTUVWXYZabcdefghijklmnopqrstuvwxyz .,")))&gt;0)),"Middle Initial, ","")&amp;IF(OR($F242="",LEN($F242)&gt;75),"Address, ","")&amp;IF(OR($H242="",LEN($H242)&gt;30),"City, ","")&amp;IF(AND($K242="US",OR($I242="",LEN($I242)&lt;&gt;2)),"State, ","")&amp;IF($J242="","ZIP, ","")&amp;IF(OR($K242="",AND($K242&lt;&gt;"US",$K242&lt;&gt;"CA")),"Country, ","")&amp;IF(OR($L242="",AND($L242&lt;&gt;"",OR(NOT(ISNUMBER($L242)),$L242&lt;=DATE(1900,1,1),$L242&gt;TODAY()))),"Birthdate, ","")&amp;IF(AND($N242&lt;&gt;"",NOT(IFERROR(AND(ISNUMBER(SEARCH("@",$N242)),ISNUMBER(SEARCH(".",$N242,SEARCH("@",$N242)+2))),FALSE))),"Email, ","")&amp;IF(OR(AND($B242&lt;&gt;"",$O242=""),AND($O242&lt;&gt;"",$O242&lt;&gt;"Spouse or Common Law Spouse",$O242&lt;&gt;"Domestic Partner",$O242&lt;&gt;"Child",$O242&lt;&gt;"Other",$O242&lt;&gt;"Estate",$O242&lt;&gt;"Unknown")),"Dependent Relationship, ","")&amp;IF($AA242&lt;&gt;"","Household, ","")&amp;IF(OR($P242="",AND($P242&lt;&gt;"",OR(NOT(ISNUMBER($P242)),$P242&lt;=DATE(1900,1,1)))),"Eligibility Date, ","")&amp;IF(OR(AND($R242="Terminated",$Q242=""),AND($Q242&lt;&gt;"",OR(NOT(ISNUMBER($Q242)),$Q242&lt;=DATE(1900,1,1))),AND(ISNUMBER($P242),ISNUMBER($Q242),$Q242&lt;$P242)),"Termination Date, ","")&amp;IF(OR($R242="",AND($R242&lt;&gt;"Active",$R242&lt;&gt;"Terminated"),AND('START HERE'!$C$8="Terminations Only",$R242&lt;&gt;"Terminated")),"Status, ","")&amp;IF($S242="","Plan Name, ","")&amp;IF($T242="","Coverage Level, ","")&amp;IF(AND($U242&lt;&gt;"",OR(NOT(ISNUMBER($U242)),$U242&lt;0)),"Funding, ","")&amp;IF(AND($A242&lt;&gt;"",$S242&lt;&gt;"",COUNTIFS($A$2:$A$501,$A242,$B$2:$B$501,$B242,$S$2:$S$501,$S242)&gt;1),"Duplicate Row, ",""))</f>
        <v/>
      </c>
      <c r="AF242">
        <f>IF(COUNTA($A242:$U242)=0,"",$Y242&amp;$Z242&amp;$AA242&amp;$AB242&amp;$AC242)</f>
        <v/>
      </c>
      <c r="AG242">
        <f>IF($N242="","",LOWER(TRIM($N242)))</f>
        <v/>
      </c>
      <c r="AH242">
        <f>IF($A242="","",COUNTIFS($A$2:$A$501,$A242,$AI$2:$AI$501,1))</f>
        <v/>
      </c>
      <c r="AI242">
        <f>IF(COUNTA($A242:$U242)=0,"",--($AF242&lt;&gt;""))</f>
        <v/>
      </c>
      <c r="AJ242">
        <f>IF(COUNTA($A242:$U242)=0,"",--($AD242&lt;&gt;""))</f>
        <v/>
      </c>
    </row>
    <row r="243" ht="20" customHeight="1">
      <c r="A243" s="80" t="n"/>
      <c r="B243" s="80" t="n"/>
      <c r="C243" s="81" t="n"/>
      <c r="D243" s="81" t="n"/>
      <c r="E243" s="80" t="n"/>
      <c r="F243" s="81" t="n"/>
      <c r="G243" s="81" t="n"/>
      <c r="H243" s="81" t="n"/>
      <c r="I243" s="80" t="n"/>
      <c r="J243" s="80" t="n"/>
      <c r="K243" s="80" t="n"/>
      <c r="L243" s="82" t="n"/>
      <c r="M243" s="80" t="n"/>
      <c r="N243" s="80" t="n"/>
      <c r="O243" s="80" t="n"/>
      <c r="P243" s="82" t="n"/>
      <c r="Q243" s="82" t="n"/>
      <c r="R243" s="80" t="n"/>
      <c r="S243" s="80" t="n"/>
      <c r="T243" s="80" t="n"/>
      <c r="U243" s="83" t="n"/>
      <c r="V243">
        <f>IF($A243="","",IF($A243=$A242,$V242,IF($V242="",0,1-$V242)))</f>
        <v/>
      </c>
      <c r="W243">
        <f>IF($B243&lt;&gt;"",$B243,$A243)</f>
        <v/>
      </c>
      <c r="X243">
        <f>IF(COUNTA($A243:$U243)=0,"",IF(OR($B243&lt;&gt;"",$O243&lt;&gt;""),"Dependent","Employee"))</f>
        <v/>
      </c>
      <c r="Y243">
        <f>IF(COUNTA($A243:$U243)=0,"",IF($A243="","Employee SSN is required; ","")&amp;IF($C243="","First Name is required; ","")&amp;IF(LEN($C243&amp;"")&gt;19,"First Name exceeds 19 characters; ","")&amp;IF(AND($C243&lt;&gt;"",SUMPRODUCT(--(ROW($1:$19)&lt;=LEN($C243&amp;"")),--ISERROR(FIND(MID($C243&amp;"",ROW($1:$19),1),"ABCDEFGHIJKLMNOPQRSTUVWXYZabcdefghijklmnopqrstuvwxyz .,")))&gt;0),"First Name contains unsupported or encoded characters; use plain A-Z letters only; ","")&amp;IF($D243="","Last Name is required; ","")&amp;IF(LEN($D243&amp;"")&gt;26,"Last Name exceeds 26 characters; ","")&amp;IF(AND($D243&lt;&gt;"",SUMPRODUCT(--(ROW($1:$26)&lt;=LEN($D243&amp;"")),--ISERROR(FIND(MID($D243&amp;"",ROW($1:$26),1),"ABCDEFGHIJKLMNOPQRSTUVWXYZabcdefghijklmnopqrstuvwxyz .,")))&gt;0),"Last Name contains unsupported or encoded characters; use plain A-Z letters only; ","")&amp;IF(LEN($E243&amp;"")&gt;1,"Middle Initial may contain only one character; ","")&amp;IF(AND($E243&lt;&gt;"",SUMPRODUCT(--(ROW($1:$1)&lt;=LEN($E243&amp;"")),--ISERROR(FIND(MID($E243&amp;"",ROW($1:$1),1),"ABCDEFGHIJKLMNOPQRSTUVWXYZabcdefghijklmnopqrstuvwxyz .,")))&gt;0),"Middle Initial must be a plain A-Z letter; ","")&amp;IF($F243="","Address is required; ","")&amp;IF(LEN($F243&amp;"")&gt;75,"Address exceeds 75 characters; ","")&amp;IF(LEN($G243&amp;"")&gt;75,"Address 2 exceeds 75 characters; ","")&amp;IF($H243="","City is required; ","")&amp;IF(LEN($H243&amp;"")&gt;30,"City exceeds 30 characters; ","")&amp;IF($K243="","Country is required; ","")&amp;IF(AND($K243&lt;&gt;"",$K243&lt;&gt;"US",$K243&lt;&gt;"CA"),"Country must be US or CA; ","")&amp;IF(AND($K243="US",OR($I243="",LEN($I243&amp;"")&lt;&gt;2)),"Use a 2-letter state code; ","")&amp;IF($J243="","ZIP or postal code is required; ","")&amp;IF(AND($K243="US",$J243&lt;&gt;"",NOT(IFERROR(OR(AND(LEN($J243&amp;"")=5,ISNUMBER(--($J243&amp;""))),AND(LEN($J243&amp;"")=9,ISNUMBER(--($J243&amp;""))),AND(LEN($J243&amp;"")=10,MID($J243&amp;"",6,1)="-",ISNUMBER(--SUBSTITUTE($J243&amp;"","-","")))),FALSE))),"US ZIP must be 5 or 9 digits, with an optional ZIP+4 hyphen; ","")&amp;IF(AND($N243&lt;&gt;"",NOT(IFERROR(AND(ISNUMBER(SEARCH("@",$N243)),ISNUMBER(SEARCH(".",$N243,SEARCH("@",$N243)+2))),FALSE))),"Email format appears invalid; ","")&amp;IF(AND($O243&lt;&gt;"",$B243=""),"Dependent SSN is required for every dependent; ","")&amp;IF(AND($B243&lt;&gt;"",$O243=""),"Dependent Relationship is required when Dependent SSN is entered; ","")&amp;IF(AND($O243&lt;&gt;"",$O243&lt;&gt;"Spouse or Common Law Spouse",$O243&lt;&gt;"Domestic Partner",$O243&lt;&gt;"Child",$O243&lt;&gt;"Other",$O243&lt;&gt;"Estate",$O243&lt;&gt;"Unknown"),"Dependent Relationship must use one of the approved options; ",""))</f>
        <v/>
      </c>
      <c r="Z243">
        <f>IF(COUNTA($A243:$U243)=0,"",IF(AND($A243&lt;&gt;"",NOT(IFERROR(AND(LEN($A243&amp;"")=9,ISNUMBER(--($A243&amp;""))),FALSE))),"Employee SSN must contain exactly 9 digits; ","")&amp;IF(AND($A243&lt;&gt;"",OR($A243="123456789",$A243="987654321",$A243="012345678",$A243=REPT(LEFT($A243&amp;"",1),9))),"Employee SSN appears to be a placeholder; ","")&amp;IF(AND($B243&lt;&gt;"",NOT(IFERROR(AND(LEN($B243&amp;"")=9,ISNUMBER(--($B243&amp;""))),FALSE))),"Dependent SSN must contain exactly 9 digits; ","")&amp;IF(AND($B243&lt;&gt;"",OR($B243="123456789",$B243="987654321",$B243="012345678",$B243=REPT(LEFT($B243&amp;"",1),9))),"Dependent SSN appears to be a placeholder; ","")&amp;IF(AND($A243&lt;&gt;"",$B243&lt;&gt;"",$A243&amp;""=$B243&amp;""),"Dependent SSN cannot match Employee SSN; ","")&amp;IF(AND($W243&lt;&gt;"",OR(COUNTIFS($W$2:$W$501,$W243,$C$2:$C$501,"&lt;&gt;"&amp;$C243)&gt;0,COUNTIFS($W$2:$W$501,$W243,$D$2:$D$501,"&lt;&gt;"&amp;$D243)&gt;0,COUNTIFS($W$2:$W$501,$W243,$L$2:$L$501,"&lt;&gt;"&amp;$L243)&gt;0)),"The same SSN is associated with a different name or birthdate; ",""))</f>
        <v/>
      </c>
      <c r="AA243">
        <f>IF(COUNTA($A243:$U243)=0,"",IF(AND($A243&lt;&gt;"",$S243&lt;&gt;"",COUNTIFS($A$2:$A$501,$A243,$S$2:$S$501,$S243,$B$2:$B$501,"",$O$2:$O$501,"")=0),"Add an employee row for this household and plan; ","")&amp;IF(AND($X243="Dependent",COUNTIFS($A$2:$A243,$A243,$S$2:$S243,$S243,$B$2:$B243,"",$O$2:$O243,"")=0),"Place the employee row before dependent rows for this plan; ","")&amp;IF(AND($X243="Dependent",COUNTIFS($A$2:$A$501,$A243,$S$2:$S$501,$S243,$B$2:$B$501,"",$O$2:$O$501,"")&gt;0,IFERROR(OR($P243&lt;&gt;LOOKUP(2,1/(($A$2:$A$501=$A243)*($S$2:$S$501=$S243)*($B$2:$B$501="")*($O$2:$O$501="")),$P$2:$P$501),$Q243&lt;&gt;LOOKUP(2,1/(($A$2:$A$501=$A243)*($S$2:$S$501=$S243)*($B$2:$B$501="")*($O$2:$O$501="")),$Q$2:$Q$501),$R243&lt;&gt;LOOKUP(2,1/(($A$2:$A$501=$A243)*($S$2:$S$501=$S243)*($B$2:$B$501="")*($O$2:$O$501="")),$R$2:$R$501),$T243&lt;&gt;LOOKUP(2,1/(($A$2:$A$501=$A243)*($S$2:$S$501=$S243)*($B$2:$B$501="")*($O$2:$O$501="")),$T$2:$T$501),$U243&lt;&gt;LOOKUP(2,1/(($A$2:$A$501=$A243)*($S$2:$S$501=$S243)*($B$2:$B$501="")*($O$2:$O$501="")),$U$2:$U$501)),FALSE)),"Dependent row does not match the employee row for eligibility, status, coverage level, or funding; ",""))</f>
        <v/>
      </c>
      <c r="AB243">
        <f>IF(COUNTA($A243:$U243)=0,"",IF($L243="","Birthdate is required; ","")&amp;IF(AND($L243&lt;&gt;"",OR(NOT(ISNUMBER($L243)),$L243&lt;=DATE(1900,1,1),$L243&gt;TODAY())),"Birthdate must be an exact valid past date; ","")&amp;IF($P243="","Eligibility Date is required; ","")&amp;IF(AND($P243&lt;&gt;"",OR(NOT(ISNUMBER($P243)),$P243&lt;=DATE(1900,1,1))),"Eligibility Date must be a valid date; ","")&amp;IF(AND($R243="Terminated",$Q243=""),"Termination Date is required when Status is Terminated; ","")&amp;IF(AND($Q243&lt;&gt;"",OR(NOT(ISNUMBER($Q243)),$Q243&lt;=DATE(1900,1,1))),"Termination Date must be a valid date; ","")&amp;IF(AND(ISNUMBER($P243),ISNUMBER($Q243),$Q243&lt;$P243),"Termination Date cannot be before Eligibility Date; ","")&amp;IF($R243="","Status is required; ","")&amp;IF(AND($R243&lt;&gt;"",$R243&lt;&gt;"Active",$R243&lt;&gt;"Terminated"),"Status must be Active or Terminated; ","")&amp;IF(AND('START HERE'!$C$8="Terminations Only",$R243&lt;&gt;"Terminated"),"Terminations Only files must contain terminated records; ",""))</f>
        <v/>
      </c>
      <c r="AC243">
        <f>IF(COUNTA($A243:$U243)=0,"",IF($S243="","Plan Name is required; ","")&amp;IF($T243="","Benefit Coverage Level is required; ","")&amp;IF(AND($U243&lt;&gt;"",OR(NOT(ISNUMBER($U243)),$U243&lt;0)),"Plan Funding Amount must be a nonnegative number; ","")&amp;IF(AND($A243&lt;&gt;"",$S243&lt;&gt;"",COUNTIFS($A$2:$A$501,$A243,$B$2:$B$501,$B243,$S$2:$S$501,$S243)&gt;1),"Duplicate participant and plan row; ",""))</f>
        <v/>
      </c>
      <c r="AD243">
        <f>IF(COUNTA($A243:$U243)=0,"",IF(AND($X243="Employee",$M243="",$N243=""),"No employee phone or email provided; ","")&amp;IF(AND($R243="Active",$Q243&lt;&gt;""),"Active record includes a Termination Date; confirm this is intentional; ","")&amp;IF(AND($B243&lt;&gt;"",$B243&amp;""&lt;&gt;$A243&amp;"",COUNTIF($A$2:$A$501,$B243)&gt;0),"Dependent SSN also appears as an Employee SSN elsewhere; confirm dual-employee coverage is intentional; ","")&amp;IF(AND($B243&lt;&gt;"",COUNTIF($B$2:$B$501,$B243)&gt;COUNTIFS($A$2:$A$501,$A243,$B$2:$B$501,$B243)),"Dependent SSN appears under more than one employee; confirm duplicate family coverage is intentional; ","")&amp;IF(AND(ROW()&gt;2,$A243&lt;&gt;"",$A243&lt;&gt;$A242,COUNTIF($A$2:$A242,$A243)&gt;0),"This household appears in more than one section of the census; keep the family together; ","")&amp;IF(OR(AND($C243&lt;&gt;"",LEN($C243&amp;"")&lt;&gt;LEN(TRIM($C243&amp;""))),AND($D243&lt;&gt;"",LEN($D243&amp;"")&lt;&gt;LEN(TRIM($D243&amp;""))),AND($E243&lt;&gt;"",LEN($E243&amp;"")&lt;&gt;LEN(TRIM($E243&amp;""))),AND($F243&lt;&gt;"",LEN($F243&amp;"")&lt;&gt;LEN(TRIM($F243&amp;""))),AND($G243&lt;&gt;"",LEN($G243&amp;"")&lt;&gt;LEN(TRIM($G243&amp;""))),AND($H243&lt;&gt;"",LEN($H243&amp;"")&lt;&gt;LEN(TRIM($H243&amp;""))),AND($I243&lt;&gt;"",LEN($I243&amp;"")&lt;&gt;LEN(TRIM($I243&amp;""))),AND($J243&lt;&gt;"",LEN($J243&amp;"")&lt;&gt;LEN(TRIM($J243&amp;""))),AND($K243&lt;&gt;"",LEN($K243&amp;"")&lt;&gt;LEN(TRIM($K243&amp;""))),AND($M243&lt;&gt;"",LEN($M243&amp;"")&lt;&gt;LEN(TRIM($M243&amp;""))),AND($N243&lt;&gt;"",LEN($N243&amp;"")&lt;&gt;LEN(TRIM($N243&amp;""))),AND($O243&lt;&gt;"",LEN($O243&amp;"")&lt;&gt;LEN(TRIM($O243&amp;""))),AND($R243&lt;&gt;"",LEN($R243&amp;"")&lt;&gt;LEN(TRIM($R243&amp;""))),AND($S243&lt;&gt;"",LEN($S243&amp;"")&lt;&gt;LEN(TRIM($S243&amp;""))),AND($T243&lt;&gt;"",LEN($T243&amp;"")&lt;&gt;LEN(TRIM($T243&amp;"")))),"Remove leading or trailing spaces from text fields; ","")&amp;IF(OR(AND(LEN($C243)&gt;1,OR(EXACT($C243,UPPER($C243)),EXACT($C243,LOWER($C243)))),AND(LEN($D243)&gt;1,OR(EXACT($D243,UPPER($D243)),EXACT($D243,LOWER($D243)))),AND(LEN($H243)&gt;1,OR(EXACT($H243,UPPER($H243)),EXACT($H243,LOWER($H243))))),"Review capitalization in First Name, Last Name, or City; ","")&amp;IF(AND($N243&lt;&gt;"",NOT(EXACT($N243,LOWER($N243)))),"Email will be standardized to lowercase in the clean output; ","")&amp;IF(AND(OR('START HERE'!$C$8="Initial Enrollment",'START HERE'!$C$8="Open Enrollment"),$R243="Terminated"),"A terminated row is included in an initial or open enrollment file; confirm this is intentional; ",""))</f>
        <v/>
      </c>
      <c r="AE243">
        <f>IF(COUNTA($A243:$U243)=0,"",IF(OR($A243="",AND($A243&lt;&gt;"",NOT(IFERROR(AND(LEN($A243&amp;"")=9,ISNUMBER(--($A243&amp;""))),FALSE))),AND($A243&lt;&gt;"",OR($A243="123456789",$A243="987654321",$A243="012345678",$A243=REPT(LEFT($A243&amp;"",1),9)))),"Employee SSN, ","")&amp;IF(OR(AND($O243&lt;&gt;"",$B243=""),AND($B243&lt;&gt;"",OR(NOT(IFERROR(AND(LEN($B243&amp;"")=9,ISNUMBER(--($B243&amp;""))),FALSE)),$B243=$A243,$B243="123456789",$B243="987654321",$B243="012345678",$B243=REPT(LEFT($B243&amp;"",1),9)))),"Dependent SSN, ","")&amp;IF(OR($C243="",LEN($C243)&gt;19,AND($C243&lt;&gt;"",SUMPRODUCT(--(ROW($1:$19)&lt;=LEN($C243&amp;"")),--ISERROR(FIND(MID($C243&amp;"",ROW($1:$19),1),"ABCDEFGHIJKLMNOPQRSTUVWXYZabcdefghijklmnopqrstuvwxyz .,")))&gt;0)),"First Name, ","")&amp;IF(OR($D243="",LEN($D243)&gt;26,AND($D243&lt;&gt;"",SUMPRODUCT(--(ROW($1:$26)&lt;=LEN($D243&amp;"")),--ISERROR(FIND(MID($D243&amp;"",ROW($1:$26),1),"ABCDEFGHIJKLMNOPQRSTUVWXYZabcdefghijklmnopqrstuvwxyz .,")))&gt;0)),"Last Name, ","")&amp;IF(OR(LEN($E243)&gt;1,AND($E243&lt;&gt;"",SUMPRODUCT(--(ROW($1:$1)&lt;=LEN($E243&amp;"")),--ISERROR(FIND(MID($E243&amp;"",ROW($1:$1),1),"ABCDEFGHIJKLMNOPQRSTUVWXYZabcdefghijklmnopqrstuvwxyz .,")))&gt;0)),"Middle Initial, ","")&amp;IF(OR($F243="",LEN($F243)&gt;75),"Address, ","")&amp;IF(OR($H243="",LEN($H243)&gt;30),"City, ","")&amp;IF(AND($K243="US",OR($I243="",LEN($I243)&lt;&gt;2)),"State, ","")&amp;IF($J243="","ZIP, ","")&amp;IF(OR($K243="",AND($K243&lt;&gt;"US",$K243&lt;&gt;"CA")),"Country, ","")&amp;IF(OR($L243="",AND($L243&lt;&gt;"",OR(NOT(ISNUMBER($L243)),$L243&lt;=DATE(1900,1,1),$L243&gt;TODAY()))),"Birthdate, ","")&amp;IF(AND($N243&lt;&gt;"",NOT(IFERROR(AND(ISNUMBER(SEARCH("@",$N243)),ISNUMBER(SEARCH(".",$N243,SEARCH("@",$N243)+2))),FALSE))),"Email, ","")&amp;IF(OR(AND($B243&lt;&gt;"",$O243=""),AND($O243&lt;&gt;"",$O243&lt;&gt;"Spouse or Common Law Spouse",$O243&lt;&gt;"Domestic Partner",$O243&lt;&gt;"Child",$O243&lt;&gt;"Other",$O243&lt;&gt;"Estate",$O243&lt;&gt;"Unknown")),"Dependent Relationship, ","")&amp;IF($AA243&lt;&gt;"","Household, ","")&amp;IF(OR($P243="",AND($P243&lt;&gt;"",OR(NOT(ISNUMBER($P243)),$P243&lt;=DATE(1900,1,1)))),"Eligibility Date, ","")&amp;IF(OR(AND($R243="Terminated",$Q243=""),AND($Q243&lt;&gt;"",OR(NOT(ISNUMBER($Q243)),$Q243&lt;=DATE(1900,1,1))),AND(ISNUMBER($P243),ISNUMBER($Q243),$Q243&lt;$P243)),"Termination Date, ","")&amp;IF(OR($R243="",AND($R243&lt;&gt;"Active",$R243&lt;&gt;"Terminated"),AND('START HERE'!$C$8="Terminations Only",$R243&lt;&gt;"Terminated")),"Status, ","")&amp;IF($S243="","Plan Name, ","")&amp;IF($T243="","Coverage Level, ","")&amp;IF(AND($U243&lt;&gt;"",OR(NOT(ISNUMBER($U243)),$U243&lt;0)),"Funding, ","")&amp;IF(AND($A243&lt;&gt;"",$S243&lt;&gt;"",COUNTIFS($A$2:$A$501,$A243,$B$2:$B$501,$B243,$S$2:$S$501,$S243)&gt;1),"Duplicate Row, ",""))</f>
        <v/>
      </c>
      <c r="AF243">
        <f>IF(COUNTA($A243:$U243)=0,"",$Y243&amp;$Z243&amp;$AA243&amp;$AB243&amp;$AC243)</f>
        <v/>
      </c>
      <c r="AG243">
        <f>IF($N243="","",LOWER(TRIM($N243)))</f>
        <v/>
      </c>
      <c r="AH243">
        <f>IF($A243="","",COUNTIFS($A$2:$A$501,$A243,$AI$2:$AI$501,1))</f>
        <v/>
      </c>
      <c r="AI243">
        <f>IF(COUNTA($A243:$U243)=0,"",--($AF243&lt;&gt;""))</f>
        <v/>
      </c>
      <c r="AJ243">
        <f>IF(COUNTA($A243:$U243)=0,"",--($AD243&lt;&gt;""))</f>
        <v/>
      </c>
    </row>
    <row r="244" ht="20" customHeight="1">
      <c r="A244" s="80" t="n"/>
      <c r="B244" s="80" t="n"/>
      <c r="C244" s="81" t="n"/>
      <c r="D244" s="81" t="n"/>
      <c r="E244" s="80" t="n"/>
      <c r="F244" s="81" t="n"/>
      <c r="G244" s="81" t="n"/>
      <c r="H244" s="81" t="n"/>
      <c r="I244" s="80" t="n"/>
      <c r="J244" s="80" t="n"/>
      <c r="K244" s="80" t="n"/>
      <c r="L244" s="82" t="n"/>
      <c r="M244" s="80" t="n"/>
      <c r="N244" s="80" t="n"/>
      <c r="O244" s="80" t="n"/>
      <c r="P244" s="82" t="n"/>
      <c r="Q244" s="82" t="n"/>
      <c r="R244" s="80" t="n"/>
      <c r="S244" s="80" t="n"/>
      <c r="T244" s="80" t="n"/>
      <c r="U244" s="83" t="n"/>
      <c r="V244">
        <f>IF($A244="","",IF($A244=$A243,$V243,IF($V243="",0,1-$V243)))</f>
        <v/>
      </c>
      <c r="W244">
        <f>IF($B244&lt;&gt;"",$B244,$A244)</f>
        <v/>
      </c>
      <c r="X244">
        <f>IF(COUNTA($A244:$U244)=0,"",IF(OR($B244&lt;&gt;"",$O244&lt;&gt;""),"Dependent","Employee"))</f>
        <v/>
      </c>
      <c r="Y244">
        <f>IF(COUNTA($A244:$U244)=0,"",IF($A244="","Employee SSN is required; ","")&amp;IF($C244="","First Name is required; ","")&amp;IF(LEN($C244&amp;"")&gt;19,"First Name exceeds 19 characters; ","")&amp;IF(AND($C244&lt;&gt;"",SUMPRODUCT(--(ROW($1:$19)&lt;=LEN($C244&amp;"")),--ISERROR(FIND(MID($C244&amp;"",ROW($1:$19),1),"ABCDEFGHIJKLMNOPQRSTUVWXYZabcdefghijklmnopqrstuvwxyz .,")))&gt;0),"First Name contains unsupported or encoded characters; use plain A-Z letters only; ","")&amp;IF($D244="","Last Name is required; ","")&amp;IF(LEN($D244&amp;"")&gt;26,"Last Name exceeds 26 characters; ","")&amp;IF(AND($D244&lt;&gt;"",SUMPRODUCT(--(ROW($1:$26)&lt;=LEN($D244&amp;"")),--ISERROR(FIND(MID($D244&amp;"",ROW($1:$26),1),"ABCDEFGHIJKLMNOPQRSTUVWXYZabcdefghijklmnopqrstuvwxyz .,")))&gt;0),"Last Name contains unsupported or encoded characters; use plain A-Z letters only; ","")&amp;IF(LEN($E244&amp;"")&gt;1,"Middle Initial may contain only one character; ","")&amp;IF(AND($E244&lt;&gt;"",SUMPRODUCT(--(ROW($1:$1)&lt;=LEN($E244&amp;"")),--ISERROR(FIND(MID($E244&amp;"",ROW($1:$1),1),"ABCDEFGHIJKLMNOPQRSTUVWXYZabcdefghijklmnopqrstuvwxyz .,")))&gt;0),"Middle Initial must be a plain A-Z letter; ","")&amp;IF($F244="","Address is required; ","")&amp;IF(LEN($F244&amp;"")&gt;75,"Address exceeds 75 characters; ","")&amp;IF(LEN($G244&amp;"")&gt;75,"Address 2 exceeds 75 characters; ","")&amp;IF($H244="","City is required; ","")&amp;IF(LEN($H244&amp;"")&gt;30,"City exceeds 30 characters; ","")&amp;IF($K244="","Country is required; ","")&amp;IF(AND($K244&lt;&gt;"",$K244&lt;&gt;"US",$K244&lt;&gt;"CA"),"Country must be US or CA; ","")&amp;IF(AND($K244="US",OR($I244="",LEN($I244&amp;"")&lt;&gt;2)),"Use a 2-letter state code; ","")&amp;IF($J244="","ZIP or postal code is required; ","")&amp;IF(AND($K244="US",$J244&lt;&gt;"",NOT(IFERROR(OR(AND(LEN($J244&amp;"")=5,ISNUMBER(--($J244&amp;""))),AND(LEN($J244&amp;"")=9,ISNUMBER(--($J244&amp;""))),AND(LEN($J244&amp;"")=10,MID($J244&amp;"",6,1)="-",ISNUMBER(--SUBSTITUTE($J244&amp;"","-","")))),FALSE))),"US ZIP must be 5 or 9 digits, with an optional ZIP+4 hyphen; ","")&amp;IF(AND($N244&lt;&gt;"",NOT(IFERROR(AND(ISNUMBER(SEARCH("@",$N244)),ISNUMBER(SEARCH(".",$N244,SEARCH("@",$N244)+2))),FALSE))),"Email format appears invalid; ","")&amp;IF(AND($O244&lt;&gt;"",$B244=""),"Dependent SSN is required for every dependent; ","")&amp;IF(AND($B244&lt;&gt;"",$O244=""),"Dependent Relationship is required when Dependent SSN is entered; ","")&amp;IF(AND($O244&lt;&gt;"",$O244&lt;&gt;"Spouse or Common Law Spouse",$O244&lt;&gt;"Domestic Partner",$O244&lt;&gt;"Child",$O244&lt;&gt;"Other",$O244&lt;&gt;"Estate",$O244&lt;&gt;"Unknown"),"Dependent Relationship must use one of the approved options; ",""))</f>
        <v/>
      </c>
      <c r="Z244">
        <f>IF(COUNTA($A244:$U244)=0,"",IF(AND($A244&lt;&gt;"",NOT(IFERROR(AND(LEN($A244&amp;"")=9,ISNUMBER(--($A244&amp;""))),FALSE))),"Employee SSN must contain exactly 9 digits; ","")&amp;IF(AND($A244&lt;&gt;"",OR($A244="123456789",$A244="987654321",$A244="012345678",$A244=REPT(LEFT($A244&amp;"",1),9))),"Employee SSN appears to be a placeholder; ","")&amp;IF(AND($B244&lt;&gt;"",NOT(IFERROR(AND(LEN($B244&amp;"")=9,ISNUMBER(--($B244&amp;""))),FALSE))),"Dependent SSN must contain exactly 9 digits; ","")&amp;IF(AND($B244&lt;&gt;"",OR($B244="123456789",$B244="987654321",$B244="012345678",$B244=REPT(LEFT($B244&amp;"",1),9))),"Dependent SSN appears to be a placeholder; ","")&amp;IF(AND($A244&lt;&gt;"",$B244&lt;&gt;"",$A244&amp;""=$B244&amp;""),"Dependent SSN cannot match Employee SSN; ","")&amp;IF(AND($W244&lt;&gt;"",OR(COUNTIFS($W$2:$W$501,$W244,$C$2:$C$501,"&lt;&gt;"&amp;$C244)&gt;0,COUNTIFS($W$2:$W$501,$W244,$D$2:$D$501,"&lt;&gt;"&amp;$D244)&gt;0,COUNTIFS($W$2:$W$501,$W244,$L$2:$L$501,"&lt;&gt;"&amp;$L244)&gt;0)),"The same SSN is associated with a different name or birthdate; ",""))</f>
        <v/>
      </c>
      <c r="AA244">
        <f>IF(COUNTA($A244:$U244)=0,"",IF(AND($A244&lt;&gt;"",$S244&lt;&gt;"",COUNTIFS($A$2:$A$501,$A244,$S$2:$S$501,$S244,$B$2:$B$501,"",$O$2:$O$501,"")=0),"Add an employee row for this household and plan; ","")&amp;IF(AND($X244="Dependent",COUNTIFS($A$2:$A244,$A244,$S$2:$S244,$S244,$B$2:$B244,"",$O$2:$O244,"")=0),"Place the employee row before dependent rows for this plan; ","")&amp;IF(AND($X244="Dependent",COUNTIFS($A$2:$A$501,$A244,$S$2:$S$501,$S244,$B$2:$B$501,"",$O$2:$O$501,"")&gt;0,IFERROR(OR($P244&lt;&gt;LOOKUP(2,1/(($A$2:$A$501=$A244)*($S$2:$S$501=$S244)*($B$2:$B$501="")*($O$2:$O$501="")),$P$2:$P$501),$Q244&lt;&gt;LOOKUP(2,1/(($A$2:$A$501=$A244)*($S$2:$S$501=$S244)*($B$2:$B$501="")*($O$2:$O$501="")),$Q$2:$Q$501),$R244&lt;&gt;LOOKUP(2,1/(($A$2:$A$501=$A244)*($S$2:$S$501=$S244)*($B$2:$B$501="")*($O$2:$O$501="")),$R$2:$R$501),$T244&lt;&gt;LOOKUP(2,1/(($A$2:$A$501=$A244)*($S$2:$S$501=$S244)*($B$2:$B$501="")*($O$2:$O$501="")),$T$2:$T$501),$U244&lt;&gt;LOOKUP(2,1/(($A$2:$A$501=$A244)*($S$2:$S$501=$S244)*($B$2:$B$501="")*($O$2:$O$501="")),$U$2:$U$501)),FALSE)),"Dependent row does not match the employee row for eligibility, status, coverage level, or funding; ",""))</f>
        <v/>
      </c>
      <c r="AB244">
        <f>IF(COUNTA($A244:$U244)=0,"",IF($L244="","Birthdate is required; ","")&amp;IF(AND($L244&lt;&gt;"",OR(NOT(ISNUMBER($L244)),$L244&lt;=DATE(1900,1,1),$L244&gt;TODAY())),"Birthdate must be an exact valid past date; ","")&amp;IF($P244="","Eligibility Date is required; ","")&amp;IF(AND($P244&lt;&gt;"",OR(NOT(ISNUMBER($P244)),$P244&lt;=DATE(1900,1,1))),"Eligibility Date must be a valid date; ","")&amp;IF(AND($R244="Terminated",$Q244=""),"Termination Date is required when Status is Terminated; ","")&amp;IF(AND($Q244&lt;&gt;"",OR(NOT(ISNUMBER($Q244)),$Q244&lt;=DATE(1900,1,1))),"Termination Date must be a valid date; ","")&amp;IF(AND(ISNUMBER($P244),ISNUMBER($Q244),$Q244&lt;$P244),"Termination Date cannot be before Eligibility Date; ","")&amp;IF($R244="","Status is required; ","")&amp;IF(AND($R244&lt;&gt;"",$R244&lt;&gt;"Active",$R244&lt;&gt;"Terminated"),"Status must be Active or Terminated; ","")&amp;IF(AND('START HERE'!$C$8="Terminations Only",$R244&lt;&gt;"Terminated"),"Terminations Only files must contain terminated records; ",""))</f>
        <v/>
      </c>
      <c r="AC244">
        <f>IF(COUNTA($A244:$U244)=0,"",IF($S244="","Plan Name is required; ","")&amp;IF($T244="","Benefit Coverage Level is required; ","")&amp;IF(AND($U244&lt;&gt;"",OR(NOT(ISNUMBER($U244)),$U244&lt;0)),"Plan Funding Amount must be a nonnegative number; ","")&amp;IF(AND($A244&lt;&gt;"",$S244&lt;&gt;"",COUNTIFS($A$2:$A$501,$A244,$B$2:$B$501,$B244,$S$2:$S$501,$S244)&gt;1),"Duplicate participant and plan row; ",""))</f>
        <v/>
      </c>
      <c r="AD244">
        <f>IF(COUNTA($A244:$U244)=0,"",IF(AND($X244="Employee",$M244="",$N244=""),"No employee phone or email provided; ","")&amp;IF(AND($R244="Active",$Q244&lt;&gt;""),"Active record includes a Termination Date; confirm this is intentional; ","")&amp;IF(AND($B244&lt;&gt;"",$B244&amp;""&lt;&gt;$A244&amp;"",COUNTIF($A$2:$A$501,$B244)&gt;0),"Dependent SSN also appears as an Employee SSN elsewhere; confirm dual-employee coverage is intentional; ","")&amp;IF(AND($B244&lt;&gt;"",COUNTIF($B$2:$B$501,$B244)&gt;COUNTIFS($A$2:$A$501,$A244,$B$2:$B$501,$B244)),"Dependent SSN appears under more than one employee; confirm duplicate family coverage is intentional; ","")&amp;IF(AND(ROW()&gt;2,$A244&lt;&gt;"",$A244&lt;&gt;$A243,COUNTIF($A$2:$A243,$A244)&gt;0),"This household appears in more than one section of the census; keep the family together; ","")&amp;IF(OR(AND($C244&lt;&gt;"",LEN($C244&amp;"")&lt;&gt;LEN(TRIM($C244&amp;""))),AND($D244&lt;&gt;"",LEN($D244&amp;"")&lt;&gt;LEN(TRIM($D244&amp;""))),AND($E244&lt;&gt;"",LEN($E244&amp;"")&lt;&gt;LEN(TRIM($E244&amp;""))),AND($F244&lt;&gt;"",LEN($F244&amp;"")&lt;&gt;LEN(TRIM($F244&amp;""))),AND($G244&lt;&gt;"",LEN($G244&amp;"")&lt;&gt;LEN(TRIM($G244&amp;""))),AND($H244&lt;&gt;"",LEN($H244&amp;"")&lt;&gt;LEN(TRIM($H244&amp;""))),AND($I244&lt;&gt;"",LEN($I244&amp;"")&lt;&gt;LEN(TRIM($I244&amp;""))),AND($J244&lt;&gt;"",LEN($J244&amp;"")&lt;&gt;LEN(TRIM($J244&amp;""))),AND($K244&lt;&gt;"",LEN($K244&amp;"")&lt;&gt;LEN(TRIM($K244&amp;""))),AND($M244&lt;&gt;"",LEN($M244&amp;"")&lt;&gt;LEN(TRIM($M244&amp;""))),AND($N244&lt;&gt;"",LEN($N244&amp;"")&lt;&gt;LEN(TRIM($N244&amp;""))),AND($O244&lt;&gt;"",LEN($O244&amp;"")&lt;&gt;LEN(TRIM($O244&amp;""))),AND($R244&lt;&gt;"",LEN($R244&amp;"")&lt;&gt;LEN(TRIM($R244&amp;""))),AND($S244&lt;&gt;"",LEN($S244&amp;"")&lt;&gt;LEN(TRIM($S244&amp;""))),AND($T244&lt;&gt;"",LEN($T244&amp;"")&lt;&gt;LEN(TRIM($T244&amp;"")))),"Remove leading or trailing spaces from text fields; ","")&amp;IF(OR(AND(LEN($C244)&gt;1,OR(EXACT($C244,UPPER($C244)),EXACT($C244,LOWER($C244)))),AND(LEN($D244)&gt;1,OR(EXACT($D244,UPPER($D244)),EXACT($D244,LOWER($D244)))),AND(LEN($H244)&gt;1,OR(EXACT($H244,UPPER($H244)),EXACT($H244,LOWER($H244))))),"Review capitalization in First Name, Last Name, or City; ","")&amp;IF(AND($N244&lt;&gt;"",NOT(EXACT($N244,LOWER($N244)))),"Email will be standardized to lowercase in the clean output; ","")&amp;IF(AND(OR('START HERE'!$C$8="Initial Enrollment",'START HERE'!$C$8="Open Enrollment"),$R244="Terminated"),"A terminated row is included in an initial or open enrollment file; confirm this is intentional; ",""))</f>
        <v/>
      </c>
      <c r="AE244">
        <f>IF(COUNTA($A244:$U244)=0,"",IF(OR($A244="",AND($A244&lt;&gt;"",NOT(IFERROR(AND(LEN($A244&amp;"")=9,ISNUMBER(--($A244&amp;""))),FALSE))),AND($A244&lt;&gt;"",OR($A244="123456789",$A244="987654321",$A244="012345678",$A244=REPT(LEFT($A244&amp;"",1),9)))),"Employee SSN, ","")&amp;IF(OR(AND($O244&lt;&gt;"",$B244=""),AND($B244&lt;&gt;"",OR(NOT(IFERROR(AND(LEN($B244&amp;"")=9,ISNUMBER(--($B244&amp;""))),FALSE)),$B244=$A244,$B244="123456789",$B244="987654321",$B244="012345678",$B244=REPT(LEFT($B244&amp;"",1),9)))),"Dependent SSN, ","")&amp;IF(OR($C244="",LEN($C244)&gt;19,AND($C244&lt;&gt;"",SUMPRODUCT(--(ROW($1:$19)&lt;=LEN($C244&amp;"")),--ISERROR(FIND(MID($C244&amp;"",ROW($1:$19),1),"ABCDEFGHIJKLMNOPQRSTUVWXYZabcdefghijklmnopqrstuvwxyz .,")))&gt;0)),"First Name, ","")&amp;IF(OR($D244="",LEN($D244)&gt;26,AND($D244&lt;&gt;"",SUMPRODUCT(--(ROW($1:$26)&lt;=LEN($D244&amp;"")),--ISERROR(FIND(MID($D244&amp;"",ROW($1:$26),1),"ABCDEFGHIJKLMNOPQRSTUVWXYZabcdefghijklmnopqrstuvwxyz .,")))&gt;0)),"Last Name, ","")&amp;IF(OR(LEN($E244)&gt;1,AND($E244&lt;&gt;"",SUMPRODUCT(--(ROW($1:$1)&lt;=LEN($E244&amp;"")),--ISERROR(FIND(MID($E244&amp;"",ROW($1:$1),1),"ABCDEFGHIJKLMNOPQRSTUVWXYZabcdefghijklmnopqrstuvwxyz .,")))&gt;0)),"Middle Initial, ","")&amp;IF(OR($F244="",LEN($F244)&gt;75),"Address, ","")&amp;IF(OR($H244="",LEN($H244)&gt;30),"City, ","")&amp;IF(AND($K244="US",OR($I244="",LEN($I244)&lt;&gt;2)),"State, ","")&amp;IF($J244="","ZIP, ","")&amp;IF(OR($K244="",AND($K244&lt;&gt;"US",$K244&lt;&gt;"CA")),"Country, ","")&amp;IF(OR($L244="",AND($L244&lt;&gt;"",OR(NOT(ISNUMBER($L244)),$L244&lt;=DATE(1900,1,1),$L244&gt;TODAY()))),"Birthdate, ","")&amp;IF(AND($N244&lt;&gt;"",NOT(IFERROR(AND(ISNUMBER(SEARCH("@",$N244)),ISNUMBER(SEARCH(".",$N244,SEARCH("@",$N244)+2))),FALSE))),"Email, ","")&amp;IF(OR(AND($B244&lt;&gt;"",$O244=""),AND($O244&lt;&gt;"",$O244&lt;&gt;"Spouse or Common Law Spouse",$O244&lt;&gt;"Domestic Partner",$O244&lt;&gt;"Child",$O244&lt;&gt;"Other",$O244&lt;&gt;"Estate",$O244&lt;&gt;"Unknown")),"Dependent Relationship, ","")&amp;IF($AA244&lt;&gt;"","Household, ","")&amp;IF(OR($P244="",AND($P244&lt;&gt;"",OR(NOT(ISNUMBER($P244)),$P244&lt;=DATE(1900,1,1)))),"Eligibility Date, ","")&amp;IF(OR(AND($R244="Terminated",$Q244=""),AND($Q244&lt;&gt;"",OR(NOT(ISNUMBER($Q244)),$Q244&lt;=DATE(1900,1,1))),AND(ISNUMBER($P244),ISNUMBER($Q244),$Q244&lt;$P244)),"Termination Date, ","")&amp;IF(OR($R244="",AND($R244&lt;&gt;"Active",$R244&lt;&gt;"Terminated"),AND('START HERE'!$C$8="Terminations Only",$R244&lt;&gt;"Terminated")),"Status, ","")&amp;IF($S244="","Plan Name, ","")&amp;IF($T244="","Coverage Level, ","")&amp;IF(AND($U244&lt;&gt;"",OR(NOT(ISNUMBER($U244)),$U244&lt;0)),"Funding, ","")&amp;IF(AND($A244&lt;&gt;"",$S244&lt;&gt;"",COUNTIFS($A$2:$A$501,$A244,$B$2:$B$501,$B244,$S$2:$S$501,$S244)&gt;1),"Duplicate Row, ",""))</f>
        <v/>
      </c>
      <c r="AF244">
        <f>IF(COUNTA($A244:$U244)=0,"",$Y244&amp;$Z244&amp;$AA244&amp;$AB244&amp;$AC244)</f>
        <v/>
      </c>
      <c r="AG244">
        <f>IF($N244="","",LOWER(TRIM($N244)))</f>
        <v/>
      </c>
      <c r="AH244">
        <f>IF($A244="","",COUNTIFS($A$2:$A$501,$A244,$AI$2:$AI$501,1))</f>
        <v/>
      </c>
      <c r="AI244">
        <f>IF(COUNTA($A244:$U244)=0,"",--($AF244&lt;&gt;""))</f>
        <v/>
      </c>
      <c r="AJ244">
        <f>IF(COUNTA($A244:$U244)=0,"",--($AD244&lt;&gt;""))</f>
        <v/>
      </c>
    </row>
    <row r="245" ht="20" customHeight="1">
      <c r="A245" s="80" t="n"/>
      <c r="B245" s="80" t="n"/>
      <c r="C245" s="81" t="n"/>
      <c r="D245" s="81" t="n"/>
      <c r="E245" s="80" t="n"/>
      <c r="F245" s="81" t="n"/>
      <c r="G245" s="81" t="n"/>
      <c r="H245" s="81" t="n"/>
      <c r="I245" s="80" t="n"/>
      <c r="J245" s="80" t="n"/>
      <c r="K245" s="80" t="n"/>
      <c r="L245" s="82" t="n"/>
      <c r="M245" s="80" t="n"/>
      <c r="N245" s="80" t="n"/>
      <c r="O245" s="80" t="n"/>
      <c r="P245" s="82" t="n"/>
      <c r="Q245" s="82" t="n"/>
      <c r="R245" s="80" t="n"/>
      <c r="S245" s="80" t="n"/>
      <c r="T245" s="80" t="n"/>
      <c r="U245" s="83" t="n"/>
      <c r="V245">
        <f>IF($A245="","",IF($A245=$A244,$V244,IF($V244="",0,1-$V244)))</f>
        <v/>
      </c>
      <c r="W245">
        <f>IF($B245&lt;&gt;"",$B245,$A245)</f>
        <v/>
      </c>
      <c r="X245">
        <f>IF(COUNTA($A245:$U245)=0,"",IF(OR($B245&lt;&gt;"",$O245&lt;&gt;""),"Dependent","Employee"))</f>
        <v/>
      </c>
      <c r="Y245">
        <f>IF(COUNTA($A245:$U245)=0,"",IF($A245="","Employee SSN is required; ","")&amp;IF($C245="","First Name is required; ","")&amp;IF(LEN($C245&amp;"")&gt;19,"First Name exceeds 19 characters; ","")&amp;IF(AND($C245&lt;&gt;"",SUMPRODUCT(--(ROW($1:$19)&lt;=LEN($C245&amp;"")),--ISERROR(FIND(MID($C245&amp;"",ROW($1:$19),1),"ABCDEFGHIJKLMNOPQRSTUVWXYZabcdefghijklmnopqrstuvwxyz .,")))&gt;0),"First Name contains unsupported or encoded characters; use plain A-Z letters only; ","")&amp;IF($D245="","Last Name is required; ","")&amp;IF(LEN($D245&amp;"")&gt;26,"Last Name exceeds 26 characters; ","")&amp;IF(AND($D245&lt;&gt;"",SUMPRODUCT(--(ROW($1:$26)&lt;=LEN($D245&amp;"")),--ISERROR(FIND(MID($D245&amp;"",ROW($1:$26),1),"ABCDEFGHIJKLMNOPQRSTUVWXYZabcdefghijklmnopqrstuvwxyz .,")))&gt;0),"Last Name contains unsupported or encoded characters; use plain A-Z letters only; ","")&amp;IF(LEN($E245&amp;"")&gt;1,"Middle Initial may contain only one character; ","")&amp;IF(AND($E245&lt;&gt;"",SUMPRODUCT(--(ROW($1:$1)&lt;=LEN($E245&amp;"")),--ISERROR(FIND(MID($E245&amp;"",ROW($1:$1),1),"ABCDEFGHIJKLMNOPQRSTUVWXYZabcdefghijklmnopqrstuvwxyz .,")))&gt;0),"Middle Initial must be a plain A-Z letter; ","")&amp;IF($F245="","Address is required; ","")&amp;IF(LEN($F245&amp;"")&gt;75,"Address exceeds 75 characters; ","")&amp;IF(LEN($G245&amp;"")&gt;75,"Address 2 exceeds 75 characters; ","")&amp;IF($H245="","City is required; ","")&amp;IF(LEN($H245&amp;"")&gt;30,"City exceeds 30 characters; ","")&amp;IF($K245="","Country is required; ","")&amp;IF(AND($K245&lt;&gt;"",$K245&lt;&gt;"US",$K245&lt;&gt;"CA"),"Country must be US or CA; ","")&amp;IF(AND($K245="US",OR($I245="",LEN($I245&amp;"")&lt;&gt;2)),"Use a 2-letter state code; ","")&amp;IF($J245="","ZIP or postal code is required; ","")&amp;IF(AND($K245="US",$J245&lt;&gt;"",NOT(IFERROR(OR(AND(LEN($J245&amp;"")=5,ISNUMBER(--($J245&amp;""))),AND(LEN($J245&amp;"")=9,ISNUMBER(--($J245&amp;""))),AND(LEN($J245&amp;"")=10,MID($J245&amp;"",6,1)="-",ISNUMBER(--SUBSTITUTE($J245&amp;"","-","")))),FALSE))),"US ZIP must be 5 or 9 digits, with an optional ZIP+4 hyphen; ","")&amp;IF(AND($N245&lt;&gt;"",NOT(IFERROR(AND(ISNUMBER(SEARCH("@",$N245)),ISNUMBER(SEARCH(".",$N245,SEARCH("@",$N245)+2))),FALSE))),"Email format appears invalid; ","")&amp;IF(AND($O245&lt;&gt;"",$B245=""),"Dependent SSN is required for every dependent; ","")&amp;IF(AND($B245&lt;&gt;"",$O245=""),"Dependent Relationship is required when Dependent SSN is entered; ","")&amp;IF(AND($O245&lt;&gt;"",$O245&lt;&gt;"Spouse or Common Law Spouse",$O245&lt;&gt;"Domestic Partner",$O245&lt;&gt;"Child",$O245&lt;&gt;"Other",$O245&lt;&gt;"Estate",$O245&lt;&gt;"Unknown"),"Dependent Relationship must use one of the approved options; ",""))</f>
        <v/>
      </c>
      <c r="Z245">
        <f>IF(COUNTA($A245:$U245)=0,"",IF(AND($A245&lt;&gt;"",NOT(IFERROR(AND(LEN($A245&amp;"")=9,ISNUMBER(--($A245&amp;""))),FALSE))),"Employee SSN must contain exactly 9 digits; ","")&amp;IF(AND($A245&lt;&gt;"",OR($A245="123456789",$A245="987654321",$A245="012345678",$A245=REPT(LEFT($A245&amp;"",1),9))),"Employee SSN appears to be a placeholder; ","")&amp;IF(AND($B245&lt;&gt;"",NOT(IFERROR(AND(LEN($B245&amp;"")=9,ISNUMBER(--($B245&amp;""))),FALSE))),"Dependent SSN must contain exactly 9 digits; ","")&amp;IF(AND($B245&lt;&gt;"",OR($B245="123456789",$B245="987654321",$B245="012345678",$B245=REPT(LEFT($B245&amp;"",1),9))),"Dependent SSN appears to be a placeholder; ","")&amp;IF(AND($A245&lt;&gt;"",$B245&lt;&gt;"",$A245&amp;""=$B245&amp;""),"Dependent SSN cannot match Employee SSN; ","")&amp;IF(AND($W245&lt;&gt;"",OR(COUNTIFS($W$2:$W$501,$W245,$C$2:$C$501,"&lt;&gt;"&amp;$C245)&gt;0,COUNTIFS($W$2:$W$501,$W245,$D$2:$D$501,"&lt;&gt;"&amp;$D245)&gt;0,COUNTIFS($W$2:$W$501,$W245,$L$2:$L$501,"&lt;&gt;"&amp;$L245)&gt;0)),"The same SSN is associated with a different name or birthdate; ",""))</f>
        <v/>
      </c>
      <c r="AA245">
        <f>IF(COUNTA($A245:$U245)=0,"",IF(AND($A245&lt;&gt;"",$S245&lt;&gt;"",COUNTIFS($A$2:$A$501,$A245,$S$2:$S$501,$S245,$B$2:$B$501,"",$O$2:$O$501,"")=0),"Add an employee row for this household and plan; ","")&amp;IF(AND($X245="Dependent",COUNTIFS($A$2:$A245,$A245,$S$2:$S245,$S245,$B$2:$B245,"",$O$2:$O245,"")=0),"Place the employee row before dependent rows for this plan; ","")&amp;IF(AND($X245="Dependent",COUNTIFS($A$2:$A$501,$A245,$S$2:$S$501,$S245,$B$2:$B$501,"",$O$2:$O$501,"")&gt;0,IFERROR(OR($P245&lt;&gt;LOOKUP(2,1/(($A$2:$A$501=$A245)*($S$2:$S$501=$S245)*($B$2:$B$501="")*($O$2:$O$501="")),$P$2:$P$501),$Q245&lt;&gt;LOOKUP(2,1/(($A$2:$A$501=$A245)*($S$2:$S$501=$S245)*($B$2:$B$501="")*($O$2:$O$501="")),$Q$2:$Q$501),$R245&lt;&gt;LOOKUP(2,1/(($A$2:$A$501=$A245)*($S$2:$S$501=$S245)*($B$2:$B$501="")*($O$2:$O$501="")),$R$2:$R$501),$T245&lt;&gt;LOOKUP(2,1/(($A$2:$A$501=$A245)*($S$2:$S$501=$S245)*($B$2:$B$501="")*($O$2:$O$501="")),$T$2:$T$501),$U245&lt;&gt;LOOKUP(2,1/(($A$2:$A$501=$A245)*($S$2:$S$501=$S245)*($B$2:$B$501="")*($O$2:$O$501="")),$U$2:$U$501)),FALSE)),"Dependent row does not match the employee row for eligibility, status, coverage level, or funding; ",""))</f>
        <v/>
      </c>
      <c r="AB245">
        <f>IF(COUNTA($A245:$U245)=0,"",IF($L245="","Birthdate is required; ","")&amp;IF(AND($L245&lt;&gt;"",OR(NOT(ISNUMBER($L245)),$L245&lt;=DATE(1900,1,1),$L245&gt;TODAY())),"Birthdate must be an exact valid past date; ","")&amp;IF($P245="","Eligibility Date is required; ","")&amp;IF(AND($P245&lt;&gt;"",OR(NOT(ISNUMBER($P245)),$P245&lt;=DATE(1900,1,1))),"Eligibility Date must be a valid date; ","")&amp;IF(AND($R245="Terminated",$Q245=""),"Termination Date is required when Status is Terminated; ","")&amp;IF(AND($Q245&lt;&gt;"",OR(NOT(ISNUMBER($Q245)),$Q245&lt;=DATE(1900,1,1))),"Termination Date must be a valid date; ","")&amp;IF(AND(ISNUMBER($P245),ISNUMBER($Q245),$Q245&lt;$P245),"Termination Date cannot be before Eligibility Date; ","")&amp;IF($R245="","Status is required; ","")&amp;IF(AND($R245&lt;&gt;"",$R245&lt;&gt;"Active",$R245&lt;&gt;"Terminated"),"Status must be Active or Terminated; ","")&amp;IF(AND('START HERE'!$C$8="Terminations Only",$R245&lt;&gt;"Terminated"),"Terminations Only files must contain terminated records; ",""))</f>
        <v/>
      </c>
      <c r="AC245">
        <f>IF(COUNTA($A245:$U245)=0,"",IF($S245="","Plan Name is required; ","")&amp;IF($T245="","Benefit Coverage Level is required; ","")&amp;IF(AND($U245&lt;&gt;"",OR(NOT(ISNUMBER($U245)),$U245&lt;0)),"Plan Funding Amount must be a nonnegative number; ","")&amp;IF(AND($A245&lt;&gt;"",$S245&lt;&gt;"",COUNTIFS($A$2:$A$501,$A245,$B$2:$B$501,$B245,$S$2:$S$501,$S245)&gt;1),"Duplicate participant and plan row; ",""))</f>
        <v/>
      </c>
      <c r="AD245">
        <f>IF(COUNTA($A245:$U245)=0,"",IF(AND($X245="Employee",$M245="",$N245=""),"No employee phone or email provided; ","")&amp;IF(AND($R245="Active",$Q245&lt;&gt;""),"Active record includes a Termination Date; confirm this is intentional; ","")&amp;IF(AND($B245&lt;&gt;"",$B245&amp;""&lt;&gt;$A245&amp;"",COUNTIF($A$2:$A$501,$B245)&gt;0),"Dependent SSN also appears as an Employee SSN elsewhere; confirm dual-employee coverage is intentional; ","")&amp;IF(AND($B245&lt;&gt;"",COUNTIF($B$2:$B$501,$B245)&gt;COUNTIFS($A$2:$A$501,$A245,$B$2:$B$501,$B245)),"Dependent SSN appears under more than one employee; confirm duplicate family coverage is intentional; ","")&amp;IF(AND(ROW()&gt;2,$A245&lt;&gt;"",$A245&lt;&gt;$A244,COUNTIF($A$2:$A244,$A245)&gt;0),"This household appears in more than one section of the census; keep the family together; ","")&amp;IF(OR(AND($C245&lt;&gt;"",LEN($C245&amp;"")&lt;&gt;LEN(TRIM($C245&amp;""))),AND($D245&lt;&gt;"",LEN($D245&amp;"")&lt;&gt;LEN(TRIM($D245&amp;""))),AND($E245&lt;&gt;"",LEN($E245&amp;"")&lt;&gt;LEN(TRIM($E245&amp;""))),AND($F245&lt;&gt;"",LEN($F245&amp;"")&lt;&gt;LEN(TRIM($F245&amp;""))),AND($G245&lt;&gt;"",LEN($G245&amp;"")&lt;&gt;LEN(TRIM($G245&amp;""))),AND($H245&lt;&gt;"",LEN($H245&amp;"")&lt;&gt;LEN(TRIM($H245&amp;""))),AND($I245&lt;&gt;"",LEN($I245&amp;"")&lt;&gt;LEN(TRIM($I245&amp;""))),AND($J245&lt;&gt;"",LEN($J245&amp;"")&lt;&gt;LEN(TRIM($J245&amp;""))),AND($K245&lt;&gt;"",LEN($K245&amp;"")&lt;&gt;LEN(TRIM($K245&amp;""))),AND($M245&lt;&gt;"",LEN($M245&amp;"")&lt;&gt;LEN(TRIM($M245&amp;""))),AND($N245&lt;&gt;"",LEN($N245&amp;"")&lt;&gt;LEN(TRIM($N245&amp;""))),AND($O245&lt;&gt;"",LEN($O245&amp;"")&lt;&gt;LEN(TRIM($O245&amp;""))),AND($R245&lt;&gt;"",LEN($R245&amp;"")&lt;&gt;LEN(TRIM($R245&amp;""))),AND($S245&lt;&gt;"",LEN($S245&amp;"")&lt;&gt;LEN(TRIM($S245&amp;""))),AND($T245&lt;&gt;"",LEN($T245&amp;"")&lt;&gt;LEN(TRIM($T245&amp;"")))),"Remove leading or trailing spaces from text fields; ","")&amp;IF(OR(AND(LEN($C245)&gt;1,OR(EXACT($C245,UPPER($C245)),EXACT($C245,LOWER($C245)))),AND(LEN($D245)&gt;1,OR(EXACT($D245,UPPER($D245)),EXACT($D245,LOWER($D245)))),AND(LEN($H245)&gt;1,OR(EXACT($H245,UPPER($H245)),EXACT($H245,LOWER($H245))))),"Review capitalization in First Name, Last Name, or City; ","")&amp;IF(AND($N245&lt;&gt;"",NOT(EXACT($N245,LOWER($N245)))),"Email will be standardized to lowercase in the clean output; ","")&amp;IF(AND(OR('START HERE'!$C$8="Initial Enrollment",'START HERE'!$C$8="Open Enrollment"),$R245="Terminated"),"A terminated row is included in an initial or open enrollment file; confirm this is intentional; ",""))</f>
        <v/>
      </c>
      <c r="AE245">
        <f>IF(COUNTA($A245:$U245)=0,"",IF(OR($A245="",AND($A245&lt;&gt;"",NOT(IFERROR(AND(LEN($A245&amp;"")=9,ISNUMBER(--($A245&amp;""))),FALSE))),AND($A245&lt;&gt;"",OR($A245="123456789",$A245="987654321",$A245="012345678",$A245=REPT(LEFT($A245&amp;"",1),9)))),"Employee SSN, ","")&amp;IF(OR(AND($O245&lt;&gt;"",$B245=""),AND($B245&lt;&gt;"",OR(NOT(IFERROR(AND(LEN($B245&amp;"")=9,ISNUMBER(--($B245&amp;""))),FALSE)),$B245=$A245,$B245="123456789",$B245="987654321",$B245="012345678",$B245=REPT(LEFT($B245&amp;"",1),9)))),"Dependent SSN, ","")&amp;IF(OR($C245="",LEN($C245)&gt;19,AND($C245&lt;&gt;"",SUMPRODUCT(--(ROW($1:$19)&lt;=LEN($C245&amp;"")),--ISERROR(FIND(MID($C245&amp;"",ROW($1:$19),1),"ABCDEFGHIJKLMNOPQRSTUVWXYZabcdefghijklmnopqrstuvwxyz .,")))&gt;0)),"First Name, ","")&amp;IF(OR($D245="",LEN($D245)&gt;26,AND($D245&lt;&gt;"",SUMPRODUCT(--(ROW($1:$26)&lt;=LEN($D245&amp;"")),--ISERROR(FIND(MID($D245&amp;"",ROW($1:$26),1),"ABCDEFGHIJKLMNOPQRSTUVWXYZabcdefghijklmnopqrstuvwxyz .,")))&gt;0)),"Last Name, ","")&amp;IF(OR(LEN($E245)&gt;1,AND($E245&lt;&gt;"",SUMPRODUCT(--(ROW($1:$1)&lt;=LEN($E245&amp;"")),--ISERROR(FIND(MID($E245&amp;"",ROW($1:$1),1),"ABCDEFGHIJKLMNOPQRSTUVWXYZabcdefghijklmnopqrstuvwxyz .,")))&gt;0)),"Middle Initial, ","")&amp;IF(OR($F245="",LEN($F245)&gt;75),"Address, ","")&amp;IF(OR($H245="",LEN($H245)&gt;30),"City, ","")&amp;IF(AND($K245="US",OR($I245="",LEN($I245)&lt;&gt;2)),"State, ","")&amp;IF($J245="","ZIP, ","")&amp;IF(OR($K245="",AND($K245&lt;&gt;"US",$K245&lt;&gt;"CA")),"Country, ","")&amp;IF(OR($L245="",AND($L245&lt;&gt;"",OR(NOT(ISNUMBER($L245)),$L245&lt;=DATE(1900,1,1),$L245&gt;TODAY()))),"Birthdate, ","")&amp;IF(AND($N245&lt;&gt;"",NOT(IFERROR(AND(ISNUMBER(SEARCH("@",$N245)),ISNUMBER(SEARCH(".",$N245,SEARCH("@",$N245)+2))),FALSE))),"Email, ","")&amp;IF(OR(AND($B245&lt;&gt;"",$O245=""),AND($O245&lt;&gt;"",$O245&lt;&gt;"Spouse or Common Law Spouse",$O245&lt;&gt;"Domestic Partner",$O245&lt;&gt;"Child",$O245&lt;&gt;"Other",$O245&lt;&gt;"Estate",$O245&lt;&gt;"Unknown")),"Dependent Relationship, ","")&amp;IF($AA245&lt;&gt;"","Household, ","")&amp;IF(OR($P245="",AND($P245&lt;&gt;"",OR(NOT(ISNUMBER($P245)),$P245&lt;=DATE(1900,1,1)))),"Eligibility Date, ","")&amp;IF(OR(AND($R245="Terminated",$Q245=""),AND($Q245&lt;&gt;"",OR(NOT(ISNUMBER($Q245)),$Q245&lt;=DATE(1900,1,1))),AND(ISNUMBER($P245),ISNUMBER($Q245),$Q245&lt;$P245)),"Termination Date, ","")&amp;IF(OR($R245="",AND($R245&lt;&gt;"Active",$R245&lt;&gt;"Terminated"),AND('START HERE'!$C$8="Terminations Only",$R245&lt;&gt;"Terminated")),"Status, ","")&amp;IF($S245="","Plan Name, ","")&amp;IF($T245="","Coverage Level, ","")&amp;IF(AND($U245&lt;&gt;"",OR(NOT(ISNUMBER($U245)),$U245&lt;0)),"Funding, ","")&amp;IF(AND($A245&lt;&gt;"",$S245&lt;&gt;"",COUNTIFS($A$2:$A$501,$A245,$B$2:$B$501,$B245,$S$2:$S$501,$S245)&gt;1),"Duplicate Row, ",""))</f>
        <v/>
      </c>
      <c r="AF245">
        <f>IF(COUNTA($A245:$U245)=0,"",$Y245&amp;$Z245&amp;$AA245&amp;$AB245&amp;$AC245)</f>
        <v/>
      </c>
      <c r="AG245">
        <f>IF($N245="","",LOWER(TRIM($N245)))</f>
        <v/>
      </c>
      <c r="AH245">
        <f>IF($A245="","",COUNTIFS($A$2:$A$501,$A245,$AI$2:$AI$501,1))</f>
        <v/>
      </c>
      <c r="AI245">
        <f>IF(COUNTA($A245:$U245)=0,"",--($AF245&lt;&gt;""))</f>
        <v/>
      </c>
      <c r="AJ245">
        <f>IF(COUNTA($A245:$U245)=0,"",--($AD245&lt;&gt;""))</f>
        <v/>
      </c>
    </row>
    <row r="246" ht="20" customHeight="1">
      <c r="A246" s="80" t="n"/>
      <c r="B246" s="80" t="n"/>
      <c r="C246" s="81" t="n"/>
      <c r="D246" s="81" t="n"/>
      <c r="E246" s="80" t="n"/>
      <c r="F246" s="81" t="n"/>
      <c r="G246" s="81" t="n"/>
      <c r="H246" s="81" t="n"/>
      <c r="I246" s="80" t="n"/>
      <c r="J246" s="80" t="n"/>
      <c r="K246" s="80" t="n"/>
      <c r="L246" s="82" t="n"/>
      <c r="M246" s="80" t="n"/>
      <c r="N246" s="80" t="n"/>
      <c r="O246" s="80" t="n"/>
      <c r="P246" s="82" t="n"/>
      <c r="Q246" s="82" t="n"/>
      <c r="R246" s="80" t="n"/>
      <c r="S246" s="80" t="n"/>
      <c r="T246" s="80" t="n"/>
      <c r="U246" s="83" t="n"/>
      <c r="V246">
        <f>IF($A246="","",IF($A246=$A245,$V245,IF($V245="",0,1-$V245)))</f>
        <v/>
      </c>
      <c r="W246">
        <f>IF($B246&lt;&gt;"",$B246,$A246)</f>
        <v/>
      </c>
      <c r="X246">
        <f>IF(COUNTA($A246:$U246)=0,"",IF(OR($B246&lt;&gt;"",$O246&lt;&gt;""),"Dependent","Employee"))</f>
        <v/>
      </c>
      <c r="Y246">
        <f>IF(COUNTA($A246:$U246)=0,"",IF($A246="","Employee SSN is required; ","")&amp;IF($C246="","First Name is required; ","")&amp;IF(LEN($C246&amp;"")&gt;19,"First Name exceeds 19 characters; ","")&amp;IF(AND($C246&lt;&gt;"",SUMPRODUCT(--(ROW($1:$19)&lt;=LEN($C246&amp;"")),--ISERROR(FIND(MID($C246&amp;"",ROW($1:$19),1),"ABCDEFGHIJKLMNOPQRSTUVWXYZabcdefghijklmnopqrstuvwxyz .,")))&gt;0),"First Name contains unsupported or encoded characters; use plain A-Z letters only; ","")&amp;IF($D246="","Last Name is required; ","")&amp;IF(LEN($D246&amp;"")&gt;26,"Last Name exceeds 26 characters; ","")&amp;IF(AND($D246&lt;&gt;"",SUMPRODUCT(--(ROW($1:$26)&lt;=LEN($D246&amp;"")),--ISERROR(FIND(MID($D246&amp;"",ROW($1:$26),1),"ABCDEFGHIJKLMNOPQRSTUVWXYZabcdefghijklmnopqrstuvwxyz .,")))&gt;0),"Last Name contains unsupported or encoded characters; use plain A-Z letters only; ","")&amp;IF(LEN($E246&amp;"")&gt;1,"Middle Initial may contain only one character; ","")&amp;IF(AND($E246&lt;&gt;"",SUMPRODUCT(--(ROW($1:$1)&lt;=LEN($E246&amp;"")),--ISERROR(FIND(MID($E246&amp;"",ROW($1:$1),1),"ABCDEFGHIJKLMNOPQRSTUVWXYZabcdefghijklmnopqrstuvwxyz .,")))&gt;0),"Middle Initial must be a plain A-Z letter; ","")&amp;IF($F246="","Address is required; ","")&amp;IF(LEN($F246&amp;"")&gt;75,"Address exceeds 75 characters; ","")&amp;IF(LEN($G246&amp;"")&gt;75,"Address 2 exceeds 75 characters; ","")&amp;IF($H246="","City is required; ","")&amp;IF(LEN($H246&amp;"")&gt;30,"City exceeds 30 characters; ","")&amp;IF($K246="","Country is required; ","")&amp;IF(AND($K246&lt;&gt;"",$K246&lt;&gt;"US",$K246&lt;&gt;"CA"),"Country must be US or CA; ","")&amp;IF(AND($K246="US",OR($I246="",LEN($I246&amp;"")&lt;&gt;2)),"Use a 2-letter state code; ","")&amp;IF($J246="","ZIP or postal code is required; ","")&amp;IF(AND($K246="US",$J246&lt;&gt;"",NOT(IFERROR(OR(AND(LEN($J246&amp;"")=5,ISNUMBER(--($J246&amp;""))),AND(LEN($J246&amp;"")=9,ISNUMBER(--($J246&amp;""))),AND(LEN($J246&amp;"")=10,MID($J246&amp;"",6,1)="-",ISNUMBER(--SUBSTITUTE($J246&amp;"","-","")))),FALSE))),"US ZIP must be 5 or 9 digits, with an optional ZIP+4 hyphen; ","")&amp;IF(AND($N246&lt;&gt;"",NOT(IFERROR(AND(ISNUMBER(SEARCH("@",$N246)),ISNUMBER(SEARCH(".",$N246,SEARCH("@",$N246)+2))),FALSE))),"Email format appears invalid; ","")&amp;IF(AND($O246&lt;&gt;"",$B246=""),"Dependent SSN is required for every dependent; ","")&amp;IF(AND($B246&lt;&gt;"",$O246=""),"Dependent Relationship is required when Dependent SSN is entered; ","")&amp;IF(AND($O246&lt;&gt;"",$O246&lt;&gt;"Spouse or Common Law Spouse",$O246&lt;&gt;"Domestic Partner",$O246&lt;&gt;"Child",$O246&lt;&gt;"Other",$O246&lt;&gt;"Estate",$O246&lt;&gt;"Unknown"),"Dependent Relationship must use one of the approved options; ",""))</f>
        <v/>
      </c>
      <c r="Z246">
        <f>IF(COUNTA($A246:$U246)=0,"",IF(AND($A246&lt;&gt;"",NOT(IFERROR(AND(LEN($A246&amp;"")=9,ISNUMBER(--($A246&amp;""))),FALSE))),"Employee SSN must contain exactly 9 digits; ","")&amp;IF(AND($A246&lt;&gt;"",OR($A246="123456789",$A246="987654321",$A246="012345678",$A246=REPT(LEFT($A246&amp;"",1),9))),"Employee SSN appears to be a placeholder; ","")&amp;IF(AND($B246&lt;&gt;"",NOT(IFERROR(AND(LEN($B246&amp;"")=9,ISNUMBER(--($B246&amp;""))),FALSE))),"Dependent SSN must contain exactly 9 digits; ","")&amp;IF(AND($B246&lt;&gt;"",OR($B246="123456789",$B246="987654321",$B246="012345678",$B246=REPT(LEFT($B246&amp;"",1),9))),"Dependent SSN appears to be a placeholder; ","")&amp;IF(AND($A246&lt;&gt;"",$B246&lt;&gt;"",$A246&amp;""=$B246&amp;""),"Dependent SSN cannot match Employee SSN; ","")&amp;IF(AND($W246&lt;&gt;"",OR(COUNTIFS($W$2:$W$501,$W246,$C$2:$C$501,"&lt;&gt;"&amp;$C246)&gt;0,COUNTIFS($W$2:$W$501,$W246,$D$2:$D$501,"&lt;&gt;"&amp;$D246)&gt;0,COUNTIFS($W$2:$W$501,$W246,$L$2:$L$501,"&lt;&gt;"&amp;$L246)&gt;0)),"The same SSN is associated with a different name or birthdate; ",""))</f>
        <v/>
      </c>
      <c r="AA246">
        <f>IF(COUNTA($A246:$U246)=0,"",IF(AND($A246&lt;&gt;"",$S246&lt;&gt;"",COUNTIFS($A$2:$A$501,$A246,$S$2:$S$501,$S246,$B$2:$B$501,"",$O$2:$O$501,"")=0),"Add an employee row for this household and plan; ","")&amp;IF(AND($X246="Dependent",COUNTIFS($A$2:$A246,$A246,$S$2:$S246,$S246,$B$2:$B246,"",$O$2:$O246,"")=0),"Place the employee row before dependent rows for this plan; ","")&amp;IF(AND($X246="Dependent",COUNTIFS($A$2:$A$501,$A246,$S$2:$S$501,$S246,$B$2:$B$501,"",$O$2:$O$501,"")&gt;0,IFERROR(OR($P246&lt;&gt;LOOKUP(2,1/(($A$2:$A$501=$A246)*($S$2:$S$501=$S246)*($B$2:$B$501="")*($O$2:$O$501="")),$P$2:$P$501),$Q246&lt;&gt;LOOKUP(2,1/(($A$2:$A$501=$A246)*($S$2:$S$501=$S246)*($B$2:$B$501="")*($O$2:$O$501="")),$Q$2:$Q$501),$R246&lt;&gt;LOOKUP(2,1/(($A$2:$A$501=$A246)*($S$2:$S$501=$S246)*($B$2:$B$501="")*($O$2:$O$501="")),$R$2:$R$501),$T246&lt;&gt;LOOKUP(2,1/(($A$2:$A$501=$A246)*($S$2:$S$501=$S246)*($B$2:$B$501="")*($O$2:$O$501="")),$T$2:$T$501),$U246&lt;&gt;LOOKUP(2,1/(($A$2:$A$501=$A246)*($S$2:$S$501=$S246)*($B$2:$B$501="")*($O$2:$O$501="")),$U$2:$U$501)),FALSE)),"Dependent row does not match the employee row for eligibility, status, coverage level, or funding; ",""))</f>
        <v/>
      </c>
      <c r="AB246">
        <f>IF(COUNTA($A246:$U246)=0,"",IF($L246="","Birthdate is required; ","")&amp;IF(AND($L246&lt;&gt;"",OR(NOT(ISNUMBER($L246)),$L246&lt;=DATE(1900,1,1),$L246&gt;TODAY())),"Birthdate must be an exact valid past date; ","")&amp;IF($P246="","Eligibility Date is required; ","")&amp;IF(AND($P246&lt;&gt;"",OR(NOT(ISNUMBER($P246)),$P246&lt;=DATE(1900,1,1))),"Eligibility Date must be a valid date; ","")&amp;IF(AND($R246="Terminated",$Q246=""),"Termination Date is required when Status is Terminated; ","")&amp;IF(AND($Q246&lt;&gt;"",OR(NOT(ISNUMBER($Q246)),$Q246&lt;=DATE(1900,1,1))),"Termination Date must be a valid date; ","")&amp;IF(AND(ISNUMBER($P246),ISNUMBER($Q246),$Q246&lt;$P246),"Termination Date cannot be before Eligibility Date; ","")&amp;IF($R246="","Status is required; ","")&amp;IF(AND($R246&lt;&gt;"",$R246&lt;&gt;"Active",$R246&lt;&gt;"Terminated"),"Status must be Active or Terminated; ","")&amp;IF(AND('START HERE'!$C$8="Terminations Only",$R246&lt;&gt;"Terminated"),"Terminations Only files must contain terminated records; ",""))</f>
        <v/>
      </c>
      <c r="AC246">
        <f>IF(COUNTA($A246:$U246)=0,"",IF($S246="","Plan Name is required; ","")&amp;IF($T246="","Benefit Coverage Level is required; ","")&amp;IF(AND($U246&lt;&gt;"",OR(NOT(ISNUMBER($U246)),$U246&lt;0)),"Plan Funding Amount must be a nonnegative number; ","")&amp;IF(AND($A246&lt;&gt;"",$S246&lt;&gt;"",COUNTIFS($A$2:$A$501,$A246,$B$2:$B$501,$B246,$S$2:$S$501,$S246)&gt;1),"Duplicate participant and plan row; ",""))</f>
        <v/>
      </c>
      <c r="AD246">
        <f>IF(COUNTA($A246:$U246)=0,"",IF(AND($X246="Employee",$M246="",$N246=""),"No employee phone or email provided; ","")&amp;IF(AND($R246="Active",$Q246&lt;&gt;""),"Active record includes a Termination Date; confirm this is intentional; ","")&amp;IF(AND($B246&lt;&gt;"",$B246&amp;""&lt;&gt;$A246&amp;"",COUNTIF($A$2:$A$501,$B246)&gt;0),"Dependent SSN also appears as an Employee SSN elsewhere; confirm dual-employee coverage is intentional; ","")&amp;IF(AND($B246&lt;&gt;"",COUNTIF($B$2:$B$501,$B246)&gt;COUNTIFS($A$2:$A$501,$A246,$B$2:$B$501,$B246)),"Dependent SSN appears under more than one employee; confirm duplicate family coverage is intentional; ","")&amp;IF(AND(ROW()&gt;2,$A246&lt;&gt;"",$A246&lt;&gt;$A245,COUNTIF($A$2:$A245,$A246)&gt;0),"This household appears in more than one section of the census; keep the family together; ","")&amp;IF(OR(AND($C246&lt;&gt;"",LEN($C246&amp;"")&lt;&gt;LEN(TRIM($C246&amp;""))),AND($D246&lt;&gt;"",LEN($D246&amp;"")&lt;&gt;LEN(TRIM($D246&amp;""))),AND($E246&lt;&gt;"",LEN($E246&amp;"")&lt;&gt;LEN(TRIM($E246&amp;""))),AND($F246&lt;&gt;"",LEN($F246&amp;"")&lt;&gt;LEN(TRIM($F246&amp;""))),AND($G246&lt;&gt;"",LEN($G246&amp;"")&lt;&gt;LEN(TRIM($G246&amp;""))),AND($H246&lt;&gt;"",LEN($H246&amp;"")&lt;&gt;LEN(TRIM($H246&amp;""))),AND($I246&lt;&gt;"",LEN($I246&amp;"")&lt;&gt;LEN(TRIM($I246&amp;""))),AND($J246&lt;&gt;"",LEN($J246&amp;"")&lt;&gt;LEN(TRIM($J246&amp;""))),AND($K246&lt;&gt;"",LEN($K246&amp;"")&lt;&gt;LEN(TRIM($K246&amp;""))),AND($M246&lt;&gt;"",LEN($M246&amp;"")&lt;&gt;LEN(TRIM($M246&amp;""))),AND($N246&lt;&gt;"",LEN($N246&amp;"")&lt;&gt;LEN(TRIM($N246&amp;""))),AND($O246&lt;&gt;"",LEN($O246&amp;"")&lt;&gt;LEN(TRIM($O246&amp;""))),AND($R246&lt;&gt;"",LEN($R246&amp;"")&lt;&gt;LEN(TRIM($R246&amp;""))),AND($S246&lt;&gt;"",LEN($S246&amp;"")&lt;&gt;LEN(TRIM($S246&amp;""))),AND($T246&lt;&gt;"",LEN($T246&amp;"")&lt;&gt;LEN(TRIM($T246&amp;"")))),"Remove leading or trailing spaces from text fields; ","")&amp;IF(OR(AND(LEN($C246)&gt;1,OR(EXACT($C246,UPPER($C246)),EXACT($C246,LOWER($C246)))),AND(LEN($D246)&gt;1,OR(EXACT($D246,UPPER($D246)),EXACT($D246,LOWER($D246)))),AND(LEN($H246)&gt;1,OR(EXACT($H246,UPPER($H246)),EXACT($H246,LOWER($H246))))),"Review capitalization in First Name, Last Name, or City; ","")&amp;IF(AND($N246&lt;&gt;"",NOT(EXACT($N246,LOWER($N246)))),"Email will be standardized to lowercase in the clean output; ","")&amp;IF(AND(OR('START HERE'!$C$8="Initial Enrollment",'START HERE'!$C$8="Open Enrollment"),$R246="Terminated"),"A terminated row is included in an initial or open enrollment file; confirm this is intentional; ",""))</f>
        <v/>
      </c>
      <c r="AE246">
        <f>IF(COUNTA($A246:$U246)=0,"",IF(OR($A246="",AND($A246&lt;&gt;"",NOT(IFERROR(AND(LEN($A246&amp;"")=9,ISNUMBER(--($A246&amp;""))),FALSE))),AND($A246&lt;&gt;"",OR($A246="123456789",$A246="987654321",$A246="012345678",$A246=REPT(LEFT($A246&amp;"",1),9)))),"Employee SSN, ","")&amp;IF(OR(AND($O246&lt;&gt;"",$B246=""),AND($B246&lt;&gt;"",OR(NOT(IFERROR(AND(LEN($B246&amp;"")=9,ISNUMBER(--($B246&amp;""))),FALSE)),$B246=$A246,$B246="123456789",$B246="987654321",$B246="012345678",$B246=REPT(LEFT($B246&amp;"",1),9)))),"Dependent SSN, ","")&amp;IF(OR($C246="",LEN($C246)&gt;19,AND($C246&lt;&gt;"",SUMPRODUCT(--(ROW($1:$19)&lt;=LEN($C246&amp;"")),--ISERROR(FIND(MID($C246&amp;"",ROW($1:$19),1),"ABCDEFGHIJKLMNOPQRSTUVWXYZabcdefghijklmnopqrstuvwxyz .,")))&gt;0)),"First Name, ","")&amp;IF(OR($D246="",LEN($D246)&gt;26,AND($D246&lt;&gt;"",SUMPRODUCT(--(ROW($1:$26)&lt;=LEN($D246&amp;"")),--ISERROR(FIND(MID($D246&amp;"",ROW($1:$26),1),"ABCDEFGHIJKLMNOPQRSTUVWXYZabcdefghijklmnopqrstuvwxyz .,")))&gt;0)),"Last Name, ","")&amp;IF(OR(LEN($E246)&gt;1,AND($E246&lt;&gt;"",SUMPRODUCT(--(ROW($1:$1)&lt;=LEN($E246&amp;"")),--ISERROR(FIND(MID($E246&amp;"",ROW($1:$1),1),"ABCDEFGHIJKLMNOPQRSTUVWXYZabcdefghijklmnopqrstuvwxyz .,")))&gt;0)),"Middle Initial, ","")&amp;IF(OR($F246="",LEN($F246)&gt;75),"Address, ","")&amp;IF(OR($H246="",LEN($H246)&gt;30),"City, ","")&amp;IF(AND($K246="US",OR($I246="",LEN($I246)&lt;&gt;2)),"State, ","")&amp;IF($J246="","ZIP, ","")&amp;IF(OR($K246="",AND($K246&lt;&gt;"US",$K246&lt;&gt;"CA")),"Country, ","")&amp;IF(OR($L246="",AND($L246&lt;&gt;"",OR(NOT(ISNUMBER($L246)),$L246&lt;=DATE(1900,1,1),$L246&gt;TODAY()))),"Birthdate, ","")&amp;IF(AND($N246&lt;&gt;"",NOT(IFERROR(AND(ISNUMBER(SEARCH("@",$N246)),ISNUMBER(SEARCH(".",$N246,SEARCH("@",$N246)+2))),FALSE))),"Email, ","")&amp;IF(OR(AND($B246&lt;&gt;"",$O246=""),AND($O246&lt;&gt;"",$O246&lt;&gt;"Spouse or Common Law Spouse",$O246&lt;&gt;"Domestic Partner",$O246&lt;&gt;"Child",$O246&lt;&gt;"Other",$O246&lt;&gt;"Estate",$O246&lt;&gt;"Unknown")),"Dependent Relationship, ","")&amp;IF($AA246&lt;&gt;"","Household, ","")&amp;IF(OR($P246="",AND($P246&lt;&gt;"",OR(NOT(ISNUMBER($P246)),$P246&lt;=DATE(1900,1,1)))),"Eligibility Date, ","")&amp;IF(OR(AND($R246="Terminated",$Q246=""),AND($Q246&lt;&gt;"",OR(NOT(ISNUMBER($Q246)),$Q246&lt;=DATE(1900,1,1))),AND(ISNUMBER($P246),ISNUMBER($Q246),$Q246&lt;$P246)),"Termination Date, ","")&amp;IF(OR($R246="",AND($R246&lt;&gt;"Active",$R246&lt;&gt;"Terminated"),AND('START HERE'!$C$8="Terminations Only",$R246&lt;&gt;"Terminated")),"Status, ","")&amp;IF($S246="","Plan Name, ","")&amp;IF($T246="","Coverage Level, ","")&amp;IF(AND($U246&lt;&gt;"",OR(NOT(ISNUMBER($U246)),$U246&lt;0)),"Funding, ","")&amp;IF(AND($A246&lt;&gt;"",$S246&lt;&gt;"",COUNTIFS($A$2:$A$501,$A246,$B$2:$B$501,$B246,$S$2:$S$501,$S246)&gt;1),"Duplicate Row, ",""))</f>
        <v/>
      </c>
      <c r="AF246">
        <f>IF(COUNTA($A246:$U246)=0,"",$Y246&amp;$Z246&amp;$AA246&amp;$AB246&amp;$AC246)</f>
        <v/>
      </c>
      <c r="AG246">
        <f>IF($N246="","",LOWER(TRIM($N246)))</f>
        <v/>
      </c>
      <c r="AH246">
        <f>IF($A246="","",COUNTIFS($A$2:$A$501,$A246,$AI$2:$AI$501,1))</f>
        <v/>
      </c>
      <c r="AI246">
        <f>IF(COUNTA($A246:$U246)=0,"",--($AF246&lt;&gt;""))</f>
        <v/>
      </c>
      <c r="AJ246">
        <f>IF(COUNTA($A246:$U246)=0,"",--($AD246&lt;&gt;""))</f>
        <v/>
      </c>
    </row>
    <row r="247" ht="20" customHeight="1">
      <c r="A247" s="80" t="n"/>
      <c r="B247" s="80" t="n"/>
      <c r="C247" s="81" t="n"/>
      <c r="D247" s="81" t="n"/>
      <c r="E247" s="80" t="n"/>
      <c r="F247" s="81" t="n"/>
      <c r="G247" s="81" t="n"/>
      <c r="H247" s="81" t="n"/>
      <c r="I247" s="80" t="n"/>
      <c r="J247" s="80" t="n"/>
      <c r="K247" s="80" t="n"/>
      <c r="L247" s="82" t="n"/>
      <c r="M247" s="80" t="n"/>
      <c r="N247" s="80" t="n"/>
      <c r="O247" s="80" t="n"/>
      <c r="P247" s="82" t="n"/>
      <c r="Q247" s="82" t="n"/>
      <c r="R247" s="80" t="n"/>
      <c r="S247" s="80" t="n"/>
      <c r="T247" s="80" t="n"/>
      <c r="U247" s="83" t="n"/>
      <c r="V247">
        <f>IF($A247="","",IF($A247=$A246,$V246,IF($V246="",0,1-$V246)))</f>
        <v/>
      </c>
      <c r="W247">
        <f>IF($B247&lt;&gt;"",$B247,$A247)</f>
        <v/>
      </c>
      <c r="X247">
        <f>IF(COUNTA($A247:$U247)=0,"",IF(OR($B247&lt;&gt;"",$O247&lt;&gt;""),"Dependent","Employee"))</f>
        <v/>
      </c>
      <c r="Y247">
        <f>IF(COUNTA($A247:$U247)=0,"",IF($A247="","Employee SSN is required; ","")&amp;IF($C247="","First Name is required; ","")&amp;IF(LEN($C247&amp;"")&gt;19,"First Name exceeds 19 characters; ","")&amp;IF(AND($C247&lt;&gt;"",SUMPRODUCT(--(ROW($1:$19)&lt;=LEN($C247&amp;"")),--ISERROR(FIND(MID($C247&amp;"",ROW($1:$19),1),"ABCDEFGHIJKLMNOPQRSTUVWXYZabcdefghijklmnopqrstuvwxyz .,")))&gt;0),"First Name contains unsupported or encoded characters; use plain A-Z letters only; ","")&amp;IF($D247="","Last Name is required; ","")&amp;IF(LEN($D247&amp;"")&gt;26,"Last Name exceeds 26 characters; ","")&amp;IF(AND($D247&lt;&gt;"",SUMPRODUCT(--(ROW($1:$26)&lt;=LEN($D247&amp;"")),--ISERROR(FIND(MID($D247&amp;"",ROW($1:$26),1),"ABCDEFGHIJKLMNOPQRSTUVWXYZabcdefghijklmnopqrstuvwxyz .,")))&gt;0),"Last Name contains unsupported or encoded characters; use plain A-Z letters only; ","")&amp;IF(LEN($E247&amp;"")&gt;1,"Middle Initial may contain only one character; ","")&amp;IF(AND($E247&lt;&gt;"",SUMPRODUCT(--(ROW($1:$1)&lt;=LEN($E247&amp;"")),--ISERROR(FIND(MID($E247&amp;"",ROW($1:$1),1),"ABCDEFGHIJKLMNOPQRSTUVWXYZabcdefghijklmnopqrstuvwxyz .,")))&gt;0),"Middle Initial must be a plain A-Z letter; ","")&amp;IF($F247="","Address is required; ","")&amp;IF(LEN($F247&amp;"")&gt;75,"Address exceeds 75 characters; ","")&amp;IF(LEN($G247&amp;"")&gt;75,"Address 2 exceeds 75 characters; ","")&amp;IF($H247="","City is required; ","")&amp;IF(LEN($H247&amp;"")&gt;30,"City exceeds 30 characters; ","")&amp;IF($K247="","Country is required; ","")&amp;IF(AND($K247&lt;&gt;"",$K247&lt;&gt;"US",$K247&lt;&gt;"CA"),"Country must be US or CA; ","")&amp;IF(AND($K247="US",OR($I247="",LEN($I247&amp;"")&lt;&gt;2)),"Use a 2-letter state code; ","")&amp;IF($J247="","ZIP or postal code is required; ","")&amp;IF(AND($K247="US",$J247&lt;&gt;"",NOT(IFERROR(OR(AND(LEN($J247&amp;"")=5,ISNUMBER(--($J247&amp;""))),AND(LEN($J247&amp;"")=9,ISNUMBER(--($J247&amp;""))),AND(LEN($J247&amp;"")=10,MID($J247&amp;"",6,1)="-",ISNUMBER(--SUBSTITUTE($J247&amp;"","-","")))),FALSE))),"US ZIP must be 5 or 9 digits, with an optional ZIP+4 hyphen; ","")&amp;IF(AND($N247&lt;&gt;"",NOT(IFERROR(AND(ISNUMBER(SEARCH("@",$N247)),ISNUMBER(SEARCH(".",$N247,SEARCH("@",$N247)+2))),FALSE))),"Email format appears invalid; ","")&amp;IF(AND($O247&lt;&gt;"",$B247=""),"Dependent SSN is required for every dependent; ","")&amp;IF(AND($B247&lt;&gt;"",$O247=""),"Dependent Relationship is required when Dependent SSN is entered; ","")&amp;IF(AND($O247&lt;&gt;"",$O247&lt;&gt;"Spouse or Common Law Spouse",$O247&lt;&gt;"Domestic Partner",$O247&lt;&gt;"Child",$O247&lt;&gt;"Other",$O247&lt;&gt;"Estate",$O247&lt;&gt;"Unknown"),"Dependent Relationship must use one of the approved options; ",""))</f>
        <v/>
      </c>
      <c r="Z247">
        <f>IF(COUNTA($A247:$U247)=0,"",IF(AND($A247&lt;&gt;"",NOT(IFERROR(AND(LEN($A247&amp;"")=9,ISNUMBER(--($A247&amp;""))),FALSE))),"Employee SSN must contain exactly 9 digits; ","")&amp;IF(AND($A247&lt;&gt;"",OR($A247="123456789",$A247="987654321",$A247="012345678",$A247=REPT(LEFT($A247&amp;"",1),9))),"Employee SSN appears to be a placeholder; ","")&amp;IF(AND($B247&lt;&gt;"",NOT(IFERROR(AND(LEN($B247&amp;"")=9,ISNUMBER(--($B247&amp;""))),FALSE))),"Dependent SSN must contain exactly 9 digits; ","")&amp;IF(AND($B247&lt;&gt;"",OR($B247="123456789",$B247="987654321",$B247="012345678",$B247=REPT(LEFT($B247&amp;"",1),9))),"Dependent SSN appears to be a placeholder; ","")&amp;IF(AND($A247&lt;&gt;"",$B247&lt;&gt;"",$A247&amp;""=$B247&amp;""),"Dependent SSN cannot match Employee SSN; ","")&amp;IF(AND($W247&lt;&gt;"",OR(COUNTIFS($W$2:$W$501,$W247,$C$2:$C$501,"&lt;&gt;"&amp;$C247)&gt;0,COUNTIFS($W$2:$W$501,$W247,$D$2:$D$501,"&lt;&gt;"&amp;$D247)&gt;0,COUNTIFS($W$2:$W$501,$W247,$L$2:$L$501,"&lt;&gt;"&amp;$L247)&gt;0)),"The same SSN is associated with a different name or birthdate; ",""))</f>
        <v/>
      </c>
      <c r="AA247">
        <f>IF(COUNTA($A247:$U247)=0,"",IF(AND($A247&lt;&gt;"",$S247&lt;&gt;"",COUNTIFS($A$2:$A$501,$A247,$S$2:$S$501,$S247,$B$2:$B$501,"",$O$2:$O$501,"")=0),"Add an employee row for this household and plan; ","")&amp;IF(AND($X247="Dependent",COUNTIFS($A$2:$A247,$A247,$S$2:$S247,$S247,$B$2:$B247,"",$O$2:$O247,"")=0),"Place the employee row before dependent rows for this plan; ","")&amp;IF(AND($X247="Dependent",COUNTIFS($A$2:$A$501,$A247,$S$2:$S$501,$S247,$B$2:$B$501,"",$O$2:$O$501,"")&gt;0,IFERROR(OR($P247&lt;&gt;LOOKUP(2,1/(($A$2:$A$501=$A247)*($S$2:$S$501=$S247)*($B$2:$B$501="")*($O$2:$O$501="")),$P$2:$P$501),$Q247&lt;&gt;LOOKUP(2,1/(($A$2:$A$501=$A247)*($S$2:$S$501=$S247)*($B$2:$B$501="")*($O$2:$O$501="")),$Q$2:$Q$501),$R247&lt;&gt;LOOKUP(2,1/(($A$2:$A$501=$A247)*($S$2:$S$501=$S247)*($B$2:$B$501="")*($O$2:$O$501="")),$R$2:$R$501),$T247&lt;&gt;LOOKUP(2,1/(($A$2:$A$501=$A247)*($S$2:$S$501=$S247)*($B$2:$B$501="")*($O$2:$O$501="")),$T$2:$T$501),$U247&lt;&gt;LOOKUP(2,1/(($A$2:$A$501=$A247)*($S$2:$S$501=$S247)*($B$2:$B$501="")*($O$2:$O$501="")),$U$2:$U$501)),FALSE)),"Dependent row does not match the employee row for eligibility, status, coverage level, or funding; ",""))</f>
        <v/>
      </c>
      <c r="AB247">
        <f>IF(COUNTA($A247:$U247)=0,"",IF($L247="","Birthdate is required; ","")&amp;IF(AND($L247&lt;&gt;"",OR(NOT(ISNUMBER($L247)),$L247&lt;=DATE(1900,1,1),$L247&gt;TODAY())),"Birthdate must be an exact valid past date; ","")&amp;IF($P247="","Eligibility Date is required; ","")&amp;IF(AND($P247&lt;&gt;"",OR(NOT(ISNUMBER($P247)),$P247&lt;=DATE(1900,1,1))),"Eligibility Date must be a valid date; ","")&amp;IF(AND($R247="Terminated",$Q247=""),"Termination Date is required when Status is Terminated; ","")&amp;IF(AND($Q247&lt;&gt;"",OR(NOT(ISNUMBER($Q247)),$Q247&lt;=DATE(1900,1,1))),"Termination Date must be a valid date; ","")&amp;IF(AND(ISNUMBER($P247),ISNUMBER($Q247),$Q247&lt;$P247),"Termination Date cannot be before Eligibility Date; ","")&amp;IF($R247="","Status is required; ","")&amp;IF(AND($R247&lt;&gt;"",$R247&lt;&gt;"Active",$R247&lt;&gt;"Terminated"),"Status must be Active or Terminated; ","")&amp;IF(AND('START HERE'!$C$8="Terminations Only",$R247&lt;&gt;"Terminated"),"Terminations Only files must contain terminated records; ",""))</f>
        <v/>
      </c>
      <c r="AC247">
        <f>IF(COUNTA($A247:$U247)=0,"",IF($S247="","Plan Name is required; ","")&amp;IF($T247="","Benefit Coverage Level is required; ","")&amp;IF(AND($U247&lt;&gt;"",OR(NOT(ISNUMBER($U247)),$U247&lt;0)),"Plan Funding Amount must be a nonnegative number; ","")&amp;IF(AND($A247&lt;&gt;"",$S247&lt;&gt;"",COUNTIFS($A$2:$A$501,$A247,$B$2:$B$501,$B247,$S$2:$S$501,$S247)&gt;1),"Duplicate participant and plan row; ",""))</f>
        <v/>
      </c>
      <c r="AD247">
        <f>IF(COUNTA($A247:$U247)=0,"",IF(AND($X247="Employee",$M247="",$N247=""),"No employee phone or email provided; ","")&amp;IF(AND($R247="Active",$Q247&lt;&gt;""),"Active record includes a Termination Date; confirm this is intentional; ","")&amp;IF(AND($B247&lt;&gt;"",$B247&amp;""&lt;&gt;$A247&amp;"",COUNTIF($A$2:$A$501,$B247)&gt;0),"Dependent SSN also appears as an Employee SSN elsewhere; confirm dual-employee coverage is intentional; ","")&amp;IF(AND($B247&lt;&gt;"",COUNTIF($B$2:$B$501,$B247)&gt;COUNTIFS($A$2:$A$501,$A247,$B$2:$B$501,$B247)),"Dependent SSN appears under more than one employee; confirm duplicate family coverage is intentional; ","")&amp;IF(AND(ROW()&gt;2,$A247&lt;&gt;"",$A247&lt;&gt;$A246,COUNTIF($A$2:$A246,$A247)&gt;0),"This household appears in more than one section of the census; keep the family together; ","")&amp;IF(OR(AND($C247&lt;&gt;"",LEN($C247&amp;"")&lt;&gt;LEN(TRIM($C247&amp;""))),AND($D247&lt;&gt;"",LEN($D247&amp;"")&lt;&gt;LEN(TRIM($D247&amp;""))),AND($E247&lt;&gt;"",LEN($E247&amp;"")&lt;&gt;LEN(TRIM($E247&amp;""))),AND($F247&lt;&gt;"",LEN($F247&amp;"")&lt;&gt;LEN(TRIM($F247&amp;""))),AND($G247&lt;&gt;"",LEN($G247&amp;"")&lt;&gt;LEN(TRIM($G247&amp;""))),AND($H247&lt;&gt;"",LEN($H247&amp;"")&lt;&gt;LEN(TRIM($H247&amp;""))),AND($I247&lt;&gt;"",LEN($I247&amp;"")&lt;&gt;LEN(TRIM($I247&amp;""))),AND($J247&lt;&gt;"",LEN($J247&amp;"")&lt;&gt;LEN(TRIM($J247&amp;""))),AND($K247&lt;&gt;"",LEN($K247&amp;"")&lt;&gt;LEN(TRIM($K247&amp;""))),AND($M247&lt;&gt;"",LEN($M247&amp;"")&lt;&gt;LEN(TRIM($M247&amp;""))),AND($N247&lt;&gt;"",LEN($N247&amp;"")&lt;&gt;LEN(TRIM($N247&amp;""))),AND($O247&lt;&gt;"",LEN($O247&amp;"")&lt;&gt;LEN(TRIM($O247&amp;""))),AND($R247&lt;&gt;"",LEN($R247&amp;"")&lt;&gt;LEN(TRIM($R247&amp;""))),AND($S247&lt;&gt;"",LEN($S247&amp;"")&lt;&gt;LEN(TRIM($S247&amp;""))),AND($T247&lt;&gt;"",LEN($T247&amp;"")&lt;&gt;LEN(TRIM($T247&amp;"")))),"Remove leading or trailing spaces from text fields; ","")&amp;IF(OR(AND(LEN($C247)&gt;1,OR(EXACT($C247,UPPER($C247)),EXACT($C247,LOWER($C247)))),AND(LEN($D247)&gt;1,OR(EXACT($D247,UPPER($D247)),EXACT($D247,LOWER($D247)))),AND(LEN($H247)&gt;1,OR(EXACT($H247,UPPER($H247)),EXACT($H247,LOWER($H247))))),"Review capitalization in First Name, Last Name, or City; ","")&amp;IF(AND($N247&lt;&gt;"",NOT(EXACT($N247,LOWER($N247)))),"Email will be standardized to lowercase in the clean output; ","")&amp;IF(AND(OR('START HERE'!$C$8="Initial Enrollment",'START HERE'!$C$8="Open Enrollment"),$R247="Terminated"),"A terminated row is included in an initial or open enrollment file; confirm this is intentional; ",""))</f>
        <v/>
      </c>
      <c r="AE247">
        <f>IF(COUNTA($A247:$U247)=0,"",IF(OR($A247="",AND($A247&lt;&gt;"",NOT(IFERROR(AND(LEN($A247&amp;"")=9,ISNUMBER(--($A247&amp;""))),FALSE))),AND($A247&lt;&gt;"",OR($A247="123456789",$A247="987654321",$A247="012345678",$A247=REPT(LEFT($A247&amp;"",1),9)))),"Employee SSN, ","")&amp;IF(OR(AND($O247&lt;&gt;"",$B247=""),AND($B247&lt;&gt;"",OR(NOT(IFERROR(AND(LEN($B247&amp;"")=9,ISNUMBER(--($B247&amp;""))),FALSE)),$B247=$A247,$B247="123456789",$B247="987654321",$B247="012345678",$B247=REPT(LEFT($B247&amp;"",1),9)))),"Dependent SSN, ","")&amp;IF(OR($C247="",LEN($C247)&gt;19,AND($C247&lt;&gt;"",SUMPRODUCT(--(ROW($1:$19)&lt;=LEN($C247&amp;"")),--ISERROR(FIND(MID($C247&amp;"",ROW($1:$19),1),"ABCDEFGHIJKLMNOPQRSTUVWXYZabcdefghijklmnopqrstuvwxyz .,")))&gt;0)),"First Name, ","")&amp;IF(OR($D247="",LEN($D247)&gt;26,AND($D247&lt;&gt;"",SUMPRODUCT(--(ROW($1:$26)&lt;=LEN($D247&amp;"")),--ISERROR(FIND(MID($D247&amp;"",ROW($1:$26),1),"ABCDEFGHIJKLMNOPQRSTUVWXYZabcdefghijklmnopqrstuvwxyz .,")))&gt;0)),"Last Name, ","")&amp;IF(OR(LEN($E247)&gt;1,AND($E247&lt;&gt;"",SUMPRODUCT(--(ROW($1:$1)&lt;=LEN($E247&amp;"")),--ISERROR(FIND(MID($E247&amp;"",ROW($1:$1),1),"ABCDEFGHIJKLMNOPQRSTUVWXYZabcdefghijklmnopqrstuvwxyz .,")))&gt;0)),"Middle Initial, ","")&amp;IF(OR($F247="",LEN($F247)&gt;75),"Address, ","")&amp;IF(OR($H247="",LEN($H247)&gt;30),"City, ","")&amp;IF(AND($K247="US",OR($I247="",LEN($I247)&lt;&gt;2)),"State, ","")&amp;IF($J247="","ZIP, ","")&amp;IF(OR($K247="",AND($K247&lt;&gt;"US",$K247&lt;&gt;"CA")),"Country, ","")&amp;IF(OR($L247="",AND($L247&lt;&gt;"",OR(NOT(ISNUMBER($L247)),$L247&lt;=DATE(1900,1,1),$L247&gt;TODAY()))),"Birthdate, ","")&amp;IF(AND($N247&lt;&gt;"",NOT(IFERROR(AND(ISNUMBER(SEARCH("@",$N247)),ISNUMBER(SEARCH(".",$N247,SEARCH("@",$N247)+2))),FALSE))),"Email, ","")&amp;IF(OR(AND($B247&lt;&gt;"",$O247=""),AND($O247&lt;&gt;"",$O247&lt;&gt;"Spouse or Common Law Spouse",$O247&lt;&gt;"Domestic Partner",$O247&lt;&gt;"Child",$O247&lt;&gt;"Other",$O247&lt;&gt;"Estate",$O247&lt;&gt;"Unknown")),"Dependent Relationship, ","")&amp;IF($AA247&lt;&gt;"","Household, ","")&amp;IF(OR($P247="",AND($P247&lt;&gt;"",OR(NOT(ISNUMBER($P247)),$P247&lt;=DATE(1900,1,1)))),"Eligibility Date, ","")&amp;IF(OR(AND($R247="Terminated",$Q247=""),AND($Q247&lt;&gt;"",OR(NOT(ISNUMBER($Q247)),$Q247&lt;=DATE(1900,1,1))),AND(ISNUMBER($P247),ISNUMBER($Q247),$Q247&lt;$P247)),"Termination Date, ","")&amp;IF(OR($R247="",AND($R247&lt;&gt;"Active",$R247&lt;&gt;"Terminated"),AND('START HERE'!$C$8="Terminations Only",$R247&lt;&gt;"Terminated")),"Status, ","")&amp;IF($S247="","Plan Name, ","")&amp;IF($T247="","Coverage Level, ","")&amp;IF(AND($U247&lt;&gt;"",OR(NOT(ISNUMBER($U247)),$U247&lt;0)),"Funding, ","")&amp;IF(AND($A247&lt;&gt;"",$S247&lt;&gt;"",COUNTIFS($A$2:$A$501,$A247,$B$2:$B$501,$B247,$S$2:$S$501,$S247)&gt;1),"Duplicate Row, ",""))</f>
        <v/>
      </c>
      <c r="AF247">
        <f>IF(COUNTA($A247:$U247)=0,"",$Y247&amp;$Z247&amp;$AA247&amp;$AB247&amp;$AC247)</f>
        <v/>
      </c>
      <c r="AG247">
        <f>IF($N247="","",LOWER(TRIM($N247)))</f>
        <v/>
      </c>
      <c r="AH247">
        <f>IF($A247="","",COUNTIFS($A$2:$A$501,$A247,$AI$2:$AI$501,1))</f>
        <v/>
      </c>
      <c r="AI247">
        <f>IF(COUNTA($A247:$U247)=0,"",--($AF247&lt;&gt;""))</f>
        <v/>
      </c>
      <c r="AJ247">
        <f>IF(COUNTA($A247:$U247)=0,"",--($AD247&lt;&gt;""))</f>
        <v/>
      </c>
    </row>
    <row r="248" ht="20" customHeight="1">
      <c r="A248" s="80" t="n"/>
      <c r="B248" s="80" t="n"/>
      <c r="C248" s="81" t="n"/>
      <c r="D248" s="81" t="n"/>
      <c r="E248" s="80" t="n"/>
      <c r="F248" s="81" t="n"/>
      <c r="G248" s="81" t="n"/>
      <c r="H248" s="81" t="n"/>
      <c r="I248" s="80" t="n"/>
      <c r="J248" s="80" t="n"/>
      <c r="K248" s="80" t="n"/>
      <c r="L248" s="82" t="n"/>
      <c r="M248" s="80" t="n"/>
      <c r="N248" s="80" t="n"/>
      <c r="O248" s="80" t="n"/>
      <c r="P248" s="82" t="n"/>
      <c r="Q248" s="82" t="n"/>
      <c r="R248" s="80" t="n"/>
      <c r="S248" s="80" t="n"/>
      <c r="T248" s="80" t="n"/>
      <c r="U248" s="83" t="n"/>
      <c r="V248">
        <f>IF($A248="","",IF($A248=$A247,$V247,IF($V247="",0,1-$V247)))</f>
        <v/>
      </c>
      <c r="W248">
        <f>IF($B248&lt;&gt;"",$B248,$A248)</f>
        <v/>
      </c>
      <c r="X248">
        <f>IF(COUNTA($A248:$U248)=0,"",IF(OR($B248&lt;&gt;"",$O248&lt;&gt;""),"Dependent","Employee"))</f>
        <v/>
      </c>
      <c r="Y248">
        <f>IF(COUNTA($A248:$U248)=0,"",IF($A248="","Employee SSN is required; ","")&amp;IF($C248="","First Name is required; ","")&amp;IF(LEN($C248&amp;"")&gt;19,"First Name exceeds 19 characters; ","")&amp;IF(AND($C248&lt;&gt;"",SUMPRODUCT(--(ROW($1:$19)&lt;=LEN($C248&amp;"")),--ISERROR(FIND(MID($C248&amp;"",ROW($1:$19),1),"ABCDEFGHIJKLMNOPQRSTUVWXYZabcdefghijklmnopqrstuvwxyz .,")))&gt;0),"First Name contains unsupported or encoded characters; use plain A-Z letters only; ","")&amp;IF($D248="","Last Name is required; ","")&amp;IF(LEN($D248&amp;"")&gt;26,"Last Name exceeds 26 characters; ","")&amp;IF(AND($D248&lt;&gt;"",SUMPRODUCT(--(ROW($1:$26)&lt;=LEN($D248&amp;"")),--ISERROR(FIND(MID($D248&amp;"",ROW($1:$26),1),"ABCDEFGHIJKLMNOPQRSTUVWXYZabcdefghijklmnopqrstuvwxyz .,")))&gt;0),"Last Name contains unsupported or encoded characters; use plain A-Z letters only; ","")&amp;IF(LEN($E248&amp;"")&gt;1,"Middle Initial may contain only one character; ","")&amp;IF(AND($E248&lt;&gt;"",SUMPRODUCT(--(ROW($1:$1)&lt;=LEN($E248&amp;"")),--ISERROR(FIND(MID($E248&amp;"",ROW($1:$1),1),"ABCDEFGHIJKLMNOPQRSTUVWXYZabcdefghijklmnopqrstuvwxyz .,")))&gt;0),"Middle Initial must be a plain A-Z letter; ","")&amp;IF($F248="","Address is required; ","")&amp;IF(LEN($F248&amp;"")&gt;75,"Address exceeds 75 characters; ","")&amp;IF(LEN($G248&amp;"")&gt;75,"Address 2 exceeds 75 characters; ","")&amp;IF($H248="","City is required; ","")&amp;IF(LEN($H248&amp;"")&gt;30,"City exceeds 30 characters; ","")&amp;IF($K248="","Country is required; ","")&amp;IF(AND($K248&lt;&gt;"",$K248&lt;&gt;"US",$K248&lt;&gt;"CA"),"Country must be US or CA; ","")&amp;IF(AND($K248="US",OR($I248="",LEN($I248&amp;"")&lt;&gt;2)),"Use a 2-letter state code; ","")&amp;IF($J248="","ZIP or postal code is required; ","")&amp;IF(AND($K248="US",$J248&lt;&gt;"",NOT(IFERROR(OR(AND(LEN($J248&amp;"")=5,ISNUMBER(--($J248&amp;""))),AND(LEN($J248&amp;"")=9,ISNUMBER(--($J248&amp;""))),AND(LEN($J248&amp;"")=10,MID($J248&amp;"",6,1)="-",ISNUMBER(--SUBSTITUTE($J248&amp;"","-","")))),FALSE))),"US ZIP must be 5 or 9 digits, with an optional ZIP+4 hyphen; ","")&amp;IF(AND($N248&lt;&gt;"",NOT(IFERROR(AND(ISNUMBER(SEARCH("@",$N248)),ISNUMBER(SEARCH(".",$N248,SEARCH("@",$N248)+2))),FALSE))),"Email format appears invalid; ","")&amp;IF(AND($O248&lt;&gt;"",$B248=""),"Dependent SSN is required for every dependent; ","")&amp;IF(AND($B248&lt;&gt;"",$O248=""),"Dependent Relationship is required when Dependent SSN is entered; ","")&amp;IF(AND($O248&lt;&gt;"",$O248&lt;&gt;"Spouse or Common Law Spouse",$O248&lt;&gt;"Domestic Partner",$O248&lt;&gt;"Child",$O248&lt;&gt;"Other",$O248&lt;&gt;"Estate",$O248&lt;&gt;"Unknown"),"Dependent Relationship must use one of the approved options; ",""))</f>
        <v/>
      </c>
      <c r="Z248">
        <f>IF(COUNTA($A248:$U248)=0,"",IF(AND($A248&lt;&gt;"",NOT(IFERROR(AND(LEN($A248&amp;"")=9,ISNUMBER(--($A248&amp;""))),FALSE))),"Employee SSN must contain exactly 9 digits; ","")&amp;IF(AND($A248&lt;&gt;"",OR($A248="123456789",$A248="987654321",$A248="012345678",$A248=REPT(LEFT($A248&amp;"",1),9))),"Employee SSN appears to be a placeholder; ","")&amp;IF(AND($B248&lt;&gt;"",NOT(IFERROR(AND(LEN($B248&amp;"")=9,ISNUMBER(--($B248&amp;""))),FALSE))),"Dependent SSN must contain exactly 9 digits; ","")&amp;IF(AND($B248&lt;&gt;"",OR($B248="123456789",$B248="987654321",$B248="012345678",$B248=REPT(LEFT($B248&amp;"",1),9))),"Dependent SSN appears to be a placeholder; ","")&amp;IF(AND($A248&lt;&gt;"",$B248&lt;&gt;"",$A248&amp;""=$B248&amp;""),"Dependent SSN cannot match Employee SSN; ","")&amp;IF(AND($W248&lt;&gt;"",OR(COUNTIFS($W$2:$W$501,$W248,$C$2:$C$501,"&lt;&gt;"&amp;$C248)&gt;0,COUNTIFS($W$2:$W$501,$W248,$D$2:$D$501,"&lt;&gt;"&amp;$D248)&gt;0,COUNTIFS($W$2:$W$501,$W248,$L$2:$L$501,"&lt;&gt;"&amp;$L248)&gt;0)),"The same SSN is associated with a different name or birthdate; ",""))</f>
        <v/>
      </c>
      <c r="AA248">
        <f>IF(COUNTA($A248:$U248)=0,"",IF(AND($A248&lt;&gt;"",$S248&lt;&gt;"",COUNTIFS($A$2:$A$501,$A248,$S$2:$S$501,$S248,$B$2:$B$501,"",$O$2:$O$501,"")=0),"Add an employee row for this household and plan; ","")&amp;IF(AND($X248="Dependent",COUNTIFS($A$2:$A248,$A248,$S$2:$S248,$S248,$B$2:$B248,"",$O$2:$O248,"")=0),"Place the employee row before dependent rows for this plan; ","")&amp;IF(AND($X248="Dependent",COUNTIFS($A$2:$A$501,$A248,$S$2:$S$501,$S248,$B$2:$B$501,"",$O$2:$O$501,"")&gt;0,IFERROR(OR($P248&lt;&gt;LOOKUP(2,1/(($A$2:$A$501=$A248)*($S$2:$S$501=$S248)*($B$2:$B$501="")*($O$2:$O$501="")),$P$2:$P$501),$Q248&lt;&gt;LOOKUP(2,1/(($A$2:$A$501=$A248)*($S$2:$S$501=$S248)*($B$2:$B$501="")*($O$2:$O$501="")),$Q$2:$Q$501),$R248&lt;&gt;LOOKUP(2,1/(($A$2:$A$501=$A248)*($S$2:$S$501=$S248)*($B$2:$B$501="")*($O$2:$O$501="")),$R$2:$R$501),$T248&lt;&gt;LOOKUP(2,1/(($A$2:$A$501=$A248)*($S$2:$S$501=$S248)*($B$2:$B$501="")*($O$2:$O$501="")),$T$2:$T$501),$U248&lt;&gt;LOOKUP(2,1/(($A$2:$A$501=$A248)*($S$2:$S$501=$S248)*($B$2:$B$501="")*($O$2:$O$501="")),$U$2:$U$501)),FALSE)),"Dependent row does not match the employee row for eligibility, status, coverage level, or funding; ",""))</f>
        <v/>
      </c>
      <c r="AB248">
        <f>IF(COUNTA($A248:$U248)=0,"",IF($L248="","Birthdate is required; ","")&amp;IF(AND($L248&lt;&gt;"",OR(NOT(ISNUMBER($L248)),$L248&lt;=DATE(1900,1,1),$L248&gt;TODAY())),"Birthdate must be an exact valid past date; ","")&amp;IF($P248="","Eligibility Date is required; ","")&amp;IF(AND($P248&lt;&gt;"",OR(NOT(ISNUMBER($P248)),$P248&lt;=DATE(1900,1,1))),"Eligibility Date must be a valid date; ","")&amp;IF(AND($R248="Terminated",$Q248=""),"Termination Date is required when Status is Terminated; ","")&amp;IF(AND($Q248&lt;&gt;"",OR(NOT(ISNUMBER($Q248)),$Q248&lt;=DATE(1900,1,1))),"Termination Date must be a valid date; ","")&amp;IF(AND(ISNUMBER($P248),ISNUMBER($Q248),$Q248&lt;$P248),"Termination Date cannot be before Eligibility Date; ","")&amp;IF($R248="","Status is required; ","")&amp;IF(AND($R248&lt;&gt;"",$R248&lt;&gt;"Active",$R248&lt;&gt;"Terminated"),"Status must be Active or Terminated; ","")&amp;IF(AND('START HERE'!$C$8="Terminations Only",$R248&lt;&gt;"Terminated"),"Terminations Only files must contain terminated records; ",""))</f>
        <v/>
      </c>
      <c r="AC248">
        <f>IF(COUNTA($A248:$U248)=0,"",IF($S248="","Plan Name is required; ","")&amp;IF($T248="","Benefit Coverage Level is required; ","")&amp;IF(AND($U248&lt;&gt;"",OR(NOT(ISNUMBER($U248)),$U248&lt;0)),"Plan Funding Amount must be a nonnegative number; ","")&amp;IF(AND($A248&lt;&gt;"",$S248&lt;&gt;"",COUNTIFS($A$2:$A$501,$A248,$B$2:$B$501,$B248,$S$2:$S$501,$S248)&gt;1),"Duplicate participant and plan row; ",""))</f>
        <v/>
      </c>
      <c r="AD248">
        <f>IF(COUNTA($A248:$U248)=0,"",IF(AND($X248="Employee",$M248="",$N248=""),"No employee phone or email provided; ","")&amp;IF(AND($R248="Active",$Q248&lt;&gt;""),"Active record includes a Termination Date; confirm this is intentional; ","")&amp;IF(AND($B248&lt;&gt;"",$B248&amp;""&lt;&gt;$A248&amp;"",COUNTIF($A$2:$A$501,$B248)&gt;0),"Dependent SSN also appears as an Employee SSN elsewhere; confirm dual-employee coverage is intentional; ","")&amp;IF(AND($B248&lt;&gt;"",COUNTIF($B$2:$B$501,$B248)&gt;COUNTIFS($A$2:$A$501,$A248,$B$2:$B$501,$B248)),"Dependent SSN appears under more than one employee; confirm duplicate family coverage is intentional; ","")&amp;IF(AND(ROW()&gt;2,$A248&lt;&gt;"",$A248&lt;&gt;$A247,COUNTIF($A$2:$A247,$A248)&gt;0),"This household appears in more than one section of the census; keep the family together; ","")&amp;IF(OR(AND($C248&lt;&gt;"",LEN($C248&amp;"")&lt;&gt;LEN(TRIM($C248&amp;""))),AND($D248&lt;&gt;"",LEN($D248&amp;"")&lt;&gt;LEN(TRIM($D248&amp;""))),AND($E248&lt;&gt;"",LEN($E248&amp;"")&lt;&gt;LEN(TRIM($E248&amp;""))),AND($F248&lt;&gt;"",LEN($F248&amp;"")&lt;&gt;LEN(TRIM($F248&amp;""))),AND($G248&lt;&gt;"",LEN($G248&amp;"")&lt;&gt;LEN(TRIM($G248&amp;""))),AND($H248&lt;&gt;"",LEN($H248&amp;"")&lt;&gt;LEN(TRIM($H248&amp;""))),AND($I248&lt;&gt;"",LEN($I248&amp;"")&lt;&gt;LEN(TRIM($I248&amp;""))),AND($J248&lt;&gt;"",LEN($J248&amp;"")&lt;&gt;LEN(TRIM($J248&amp;""))),AND($K248&lt;&gt;"",LEN($K248&amp;"")&lt;&gt;LEN(TRIM($K248&amp;""))),AND($M248&lt;&gt;"",LEN($M248&amp;"")&lt;&gt;LEN(TRIM($M248&amp;""))),AND($N248&lt;&gt;"",LEN($N248&amp;"")&lt;&gt;LEN(TRIM($N248&amp;""))),AND($O248&lt;&gt;"",LEN($O248&amp;"")&lt;&gt;LEN(TRIM($O248&amp;""))),AND($R248&lt;&gt;"",LEN($R248&amp;"")&lt;&gt;LEN(TRIM($R248&amp;""))),AND($S248&lt;&gt;"",LEN($S248&amp;"")&lt;&gt;LEN(TRIM($S248&amp;""))),AND($T248&lt;&gt;"",LEN($T248&amp;"")&lt;&gt;LEN(TRIM($T248&amp;"")))),"Remove leading or trailing spaces from text fields; ","")&amp;IF(OR(AND(LEN($C248)&gt;1,OR(EXACT($C248,UPPER($C248)),EXACT($C248,LOWER($C248)))),AND(LEN($D248)&gt;1,OR(EXACT($D248,UPPER($D248)),EXACT($D248,LOWER($D248)))),AND(LEN($H248)&gt;1,OR(EXACT($H248,UPPER($H248)),EXACT($H248,LOWER($H248))))),"Review capitalization in First Name, Last Name, or City; ","")&amp;IF(AND($N248&lt;&gt;"",NOT(EXACT($N248,LOWER($N248)))),"Email will be standardized to lowercase in the clean output; ","")&amp;IF(AND(OR('START HERE'!$C$8="Initial Enrollment",'START HERE'!$C$8="Open Enrollment"),$R248="Terminated"),"A terminated row is included in an initial or open enrollment file; confirm this is intentional; ",""))</f>
        <v/>
      </c>
      <c r="AE248">
        <f>IF(COUNTA($A248:$U248)=0,"",IF(OR($A248="",AND($A248&lt;&gt;"",NOT(IFERROR(AND(LEN($A248&amp;"")=9,ISNUMBER(--($A248&amp;""))),FALSE))),AND($A248&lt;&gt;"",OR($A248="123456789",$A248="987654321",$A248="012345678",$A248=REPT(LEFT($A248&amp;"",1),9)))),"Employee SSN, ","")&amp;IF(OR(AND($O248&lt;&gt;"",$B248=""),AND($B248&lt;&gt;"",OR(NOT(IFERROR(AND(LEN($B248&amp;"")=9,ISNUMBER(--($B248&amp;""))),FALSE)),$B248=$A248,$B248="123456789",$B248="987654321",$B248="012345678",$B248=REPT(LEFT($B248&amp;"",1),9)))),"Dependent SSN, ","")&amp;IF(OR($C248="",LEN($C248)&gt;19,AND($C248&lt;&gt;"",SUMPRODUCT(--(ROW($1:$19)&lt;=LEN($C248&amp;"")),--ISERROR(FIND(MID($C248&amp;"",ROW($1:$19),1),"ABCDEFGHIJKLMNOPQRSTUVWXYZabcdefghijklmnopqrstuvwxyz .,")))&gt;0)),"First Name, ","")&amp;IF(OR($D248="",LEN($D248)&gt;26,AND($D248&lt;&gt;"",SUMPRODUCT(--(ROW($1:$26)&lt;=LEN($D248&amp;"")),--ISERROR(FIND(MID($D248&amp;"",ROW($1:$26),1),"ABCDEFGHIJKLMNOPQRSTUVWXYZabcdefghijklmnopqrstuvwxyz .,")))&gt;0)),"Last Name, ","")&amp;IF(OR(LEN($E248)&gt;1,AND($E248&lt;&gt;"",SUMPRODUCT(--(ROW($1:$1)&lt;=LEN($E248&amp;"")),--ISERROR(FIND(MID($E248&amp;"",ROW($1:$1),1),"ABCDEFGHIJKLMNOPQRSTUVWXYZabcdefghijklmnopqrstuvwxyz .,")))&gt;0)),"Middle Initial, ","")&amp;IF(OR($F248="",LEN($F248)&gt;75),"Address, ","")&amp;IF(OR($H248="",LEN($H248)&gt;30),"City, ","")&amp;IF(AND($K248="US",OR($I248="",LEN($I248)&lt;&gt;2)),"State, ","")&amp;IF($J248="","ZIP, ","")&amp;IF(OR($K248="",AND($K248&lt;&gt;"US",$K248&lt;&gt;"CA")),"Country, ","")&amp;IF(OR($L248="",AND($L248&lt;&gt;"",OR(NOT(ISNUMBER($L248)),$L248&lt;=DATE(1900,1,1),$L248&gt;TODAY()))),"Birthdate, ","")&amp;IF(AND($N248&lt;&gt;"",NOT(IFERROR(AND(ISNUMBER(SEARCH("@",$N248)),ISNUMBER(SEARCH(".",$N248,SEARCH("@",$N248)+2))),FALSE))),"Email, ","")&amp;IF(OR(AND($B248&lt;&gt;"",$O248=""),AND($O248&lt;&gt;"",$O248&lt;&gt;"Spouse or Common Law Spouse",$O248&lt;&gt;"Domestic Partner",$O248&lt;&gt;"Child",$O248&lt;&gt;"Other",$O248&lt;&gt;"Estate",$O248&lt;&gt;"Unknown")),"Dependent Relationship, ","")&amp;IF($AA248&lt;&gt;"","Household, ","")&amp;IF(OR($P248="",AND($P248&lt;&gt;"",OR(NOT(ISNUMBER($P248)),$P248&lt;=DATE(1900,1,1)))),"Eligibility Date, ","")&amp;IF(OR(AND($R248="Terminated",$Q248=""),AND($Q248&lt;&gt;"",OR(NOT(ISNUMBER($Q248)),$Q248&lt;=DATE(1900,1,1))),AND(ISNUMBER($P248),ISNUMBER($Q248),$Q248&lt;$P248)),"Termination Date, ","")&amp;IF(OR($R248="",AND($R248&lt;&gt;"Active",$R248&lt;&gt;"Terminated"),AND('START HERE'!$C$8="Terminations Only",$R248&lt;&gt;"Terminated")),"Status, ","")&amp;IF($S248="","Plan Name, ","")&amp;IF($T248="","Coverage Level, ","")&amp;IF(AND($U248&lt;&gt;"",OR(NOT(ISNUMBER($U248)),$U248&lt;0)),"Funding, ","")&amp;IF(AND($A248&lt;&gt;"",$S248&lt;&gt;"",COUNTIFS($A$2:$A$501,$A248,$B$2:$B$501,$B248,$S$2:$S$501,$S248)&gt;1),"Duplicate Row, ",""))</f>
        <v/>
      </c>
      <c r="AF248">
        <f>IF(COUNTA($A248:$U248)=0,"",$Y248&amp;$Z248&amp;$AA248&amp;$AB248&amp;$AC248)</f>
        <v/>
      </c>
      <c r="AG248">
        <f>IF($N248="","",LOWER(TRIM($N248)))</f>
        <v/>
      </c>
      <c r="AH248">
        <f>IF($A248="","",COUNTIFS($A$2:$A$501,$A248,$AI$2:$AI$501,1))</f>
        <v/>
      </c>
      <c r="AI248">
        <f>IF(COUNTA($A248:$U248)=0,"",--($AF248&lt;&gt;""))</f>
        <v/>
      </c>
      <c r="AJ248">
        <f>IF(COUNTA($A248:$U248)=0,"",--($AD248&lt;&gt;""))</f>
        <v/>
      </c>
    </row>
    <row r="249" ht="20" customHeight="1">
      <c r="A249" s="80" t="n"/>
      <c r="B249" s="80" t="n"/>
      <c r="C249" s="81" t="n"/>
      <c r="D249" s="81" t="n"/>
      <c r="E249" s="80" t="n"/>
      <c r="F249" s="81" t="n"/>
      <c r="G249" s="81" t="n"/>
      <c r="H249" s="81" t="n"/>
      <c r="I249" s="80" t="n"/>
      <c r="J249" s="80" t="n"/>
      <c r="K249" s="80" t="n"/>
      <c r="L249" s="82" t="n"/>
      <c r="M249" s="80" t="n"/>
      <c r="N249" s="80" t="n"/>
      <c r="O249" s="80" t="n"/>
      <c r="P249" s="82" t="n"/>
      <c r="Q249" s="82" t="n"/>
      <c r="R249" s="80" t="n"/>
      <c r="S249" s="80" t="n"/>
      <c r="T249" s="80" t="n"/>
      <c r="U249" s="83" t="n"/>
      <c r="V249">
        <f>IF($A249="","",IF($A249=$A248,$V248,IF($V248="",0,1-$V248)))</f>
        <v/>
      </c>
      <c r="W249">
        <f>IF($B249&lt;&gt;"",$B249,$A249)</f>
        <v/>
      </c>
      <c r="X249">
        <f>IF(COUNTA($A249:$U249)=0,"",IF(OR($B249&lt;&gt;"",$O249&lt;&gt;""),"Dependent","Employee"))</f>
        <v/>
      </c>
      <c r="Y249">
        <f>IF(COUNTA($A249:$U249)=0,"",IF($A249="","Employee SSN is required; ","")&amp;IF($C249="","First Name is required; ","")&amp;IF(LEN($C249&amp;"")&gt;19,"First Name exceeds 19 characters; ","")&amp;IF(AND($C249&lt;&gt;"",SUMPRODUCT(--(ROW($1:$19)&lt;=LEN($C249&amp;"")),--ISERROR(FIND(MID($C249&amp;"",ROW($1:$19),1),"ABCDEFGHIJKLMNOPQRSTUVWXYZabcdefghijklmnopqrstuvwxyz .,")))&gt;0),"First Name contains unsupported or encoded characters; use plain A-Z letters only; ","")&amp;IF($D249="","Last Name is required; ","")&amp;IF(LEN($D249&amp;"")&gt;26,"Last Name exceeds 26 characters; ","")&amp;IF(AND($D249&lt;&gt;"",SUMPRODUCT(--(ROW($1:$26)&lt;=LEN($D249&amp;"")),--ISERROR(FIND(MID($D249&amp;"",ROW($1:$26),1),"ABCDEFGHIJKLMNOPQRSTUVWXYZabcdefghijklmnopqrstuvwxyz .,")))&gt;0),"Last Name contains unsupported or encoded characters; use plain A-Z letters only; ","")&amp;IF(LEN($E249&amp;"")&gt;1,"Middle Initial may contain only one character; ","")&amp;IF(AND($E249&lt;&gt;"",SUMPRODUCT(--(ROW($1:$1)&lt;=LEN($E249&amp;"")),--ISERROR(FIND(MID($E249&amp;"",ROW($1:$1),1),"ABCDEFGHIJKLMNOPQRSTUVWXYZabcdefghijklmnopqrstuvwxyz .,")))&gt;0),"Middle Initial must be a plain A-Z letter; ","")&amp;IF($F249="","Address is required; ","")&amp;IF(LEN($F249&amp;"")&gt;75,"Address exceeds 75 characters; ","")&amp;IF(LEN($G249&amp;"")&gt;75,"Address 2 exceeds 75 characters; ","")&amp;IF($H249="","City is required; ","")&amp;IF(LEN($H249&amp;"")&gt;30,"City exceeds 30 characters; ","")&amp;IF($K249="","Country is required; ","")&amp;IF(AND($K249&lt;&gt;"",$K249&lt;&gt;"US",$K249&lt;&gt;"CA"),"Country must be US or CA; ","")&amp;IF(AND($K249="US",OR($I249="",LEN($I249&amp;"")&lt;&gt;2)),"Use a 2-letter state code; ","")&amp;IF($J249="","ZIP or postal code is required; ","")&amp;IF(AND($K249="US",$J249&lt;&gt;"",NOT(IFERROR(OR(AND(LEN($J249&amp;"")=5,ISNUMBER(--($J249&amp;""))),AND(LEN($J249&amp;"")=9,ISNUMBER(--($J249&amp;""))),AND(LEN($J249&amp;"")=10,MID($J249&amp;"",6,1)="-",ISNUMBER(--SUBSTITUTE($J249&amp;"","-","")))),FALSE))),"US ZIP must be 5 or 9 digits, with an optional ZIP+4 hyphen; ","")&amp;IF(AND($N249&lt;&gt;"",NOT(IFERROR(AND(ISNUMBER(SEARCH("@",$N249)),ISNUMBER(SEARCH(".",$N249,SEARCH("@",$N249)+2))),FALSE))),"Email format appears invalid; ","")&amp;IF(AND($O249&lt;&gt;"",$B249=""),"Dependent SSN is required for every dependent; ","")&amp;IF(AND($B249&lt;&gt;"",$O249=""),"Dependent Relationship is required when Dependent SSN is entered; ","")&amp;IF(AND($O249&lt;&gt;"",$O249&lt;&gt;"Spouse or Common Law Spouse",$O249&lt;&gt;"Domestic Partner",$O249&lt;&gt;"Child",$O249&lt;&gt;"Other",$O249&lt;&gt;"Estate",$O249&lt;&gt;"Unknown"),"Dependent Relationship must use one of the approved options; ",""))</f>
        <v/>
      </c>
      <c r="Z249">
        <f>IF(COUNTA($A249:$U249)=0,"",IF(AND($A249&lt;&gt;"",NOT(IFERROR(AND(LEN($A249&amp;"")=9,ISNUMBER(--($A249&amp;""))),FALSE))),"Employee SSN must contain exactly 9 digits; ","")&amp;IF(AND($A249&lt;&gt;"",OR($A249="123456789",$A249="987654321",$A249="012345678",$A249=REPT(LEFT($A249&amp;"",1),9))),"Employee SSN appears to be a placeholder; ","")&amp;IF(AND($B249&lt;&gt;"",NOT(IFERROR(AND(LEN($B249&amp;"")=9,ISNUMBER(--($B249&amp;""))),FALSE))),"Dependent SSN must contain exactly 9 digits; ","")&amp;IF(AND($B249&lt;&gt;"",OR($B249="123456789",$B249="987654321",$B249="012345678",$B249=REPT(LEFT($B249&amp;"",1),9))),"Dependent SSN appears to be a placeholder; ","")&amp;IF(AND($A249&lt;&gt;"",$B249&lt;&gt;"",$A249&amp;""=$B249&amp;""),"Dependent SSN cannot match Employee SSN; ","")&amp;IF(AND($W249&lt;&gt;"",OR(COUNTIFS($W$2:$W$501,$W249,$C$2:$C$501,"&lt;&gt;"&amp;$C249)&gt;0,COUNTIFS($W$2:$W$501,$W249,$D$2:$D$501,"&lt;&gt;"&amp;$D249)&gt;0,COUNTIFS($W$2:$W$501,$W249,$L$2:$L$501,"&lt;&gt;"&amp;$L249)&gt;0)),"The same SSN is associated with a different name or birthdate; ",""))</f>
        <v/>
      </c>
      <c r="AA249">
        <f>IF(COUNTA($A249:$U249)=0,"",IF(AND($A249&lt;&gt;"",$S249&lt;&gt;"",COUNTIFS($A$2:$A$501,$A249,$S$2:$S$501,$S249,$B$2:$B$501,"",$O$2:$O$501,"")=0),"Add an employee row for this household and plan; ","")&amp;IF(AND($X249="Dependent",COUNTIFS($A$2:$A249,$A249,$S$2:$S249,$S249,$B$2:$B249,"",$O$2:$O249,"")=0),"Place the employee row before dependent rows for this plan; ","")&amp;IF(AND($X249="Dependent",COUNTIFS($A$2:$A$501,$A249,$S$2:$S$501,$S249,$B$2:$B$501,"",$O$2:$O$501,"")&gt;0,IFERROR(OR($P249&lt;&gt;LOOKUP(2,1/(($A$2:$A$501=$A249)*($S$2:$S$501=$S249)*($B$2:$B$501="")*($O$2:$O$501="")),$P$2:$P$501),$Q249&lt;&gt;LOOKUP(2,1/(($A$2:$A$501=$A249)*($S$2:$S$501=$S249)*($B$2:$B$501="")*($O$2:$O$501="")),$Q$2:$Q$501),$R249&lt;&gt;LOOKUP(2,1/(($A$2:$A$501=$A249)*($S$2:$S$501=$S249)*($B$2:$B$501="")*($O$2:$O$501="")),$R$2:$R$501),$T249&lt;&gt;LOOKUP(2,1/(($A$2:$A$501=$A249)*($S$2:$S$501=$S249)*($B$2:$B$501="")*($O$2:$O$501="")),$T$2:$T$501),$U249&lt;&gt;LOOKUP(2,1/(($A$2:$A$501=$A249)*($S$2:$S$501=$S249)*($B$2:$B$501="")*($O$2:$O$501="")),$U$2:$U$501)),FALSE)),"Dependent row does not match the employee row for eligibility, status, coverage level, or funding; ",""))</f>
        <v/>
      </c>
      <c r="AB249">
        <f>IF(COUNTA($A249:$U249)=0,"",IF($L249="","Birthdate is required; ","")&amp;IF(AND($L249&lt;&gt;"",OR(NOT(ISNUMBER($L249)),$L249&lt;=DATE(1900,1,1),$L249&gt;TODAY())),"Birthdate must be an exact valid past date; ","")&amp;IF($P249="","Eligibility Date is required; ","")&amp;IF(AND($P249&lt;&gt;"",OR(NOT(ISNUMBER($P249)),$P249&lt;=DATE(1900,1,1))),"Eligibility Date must be a valid date; ","")&amp;IF(AND($R249="Terminated",$Q249=""),"Termination Date is required when Status is Terminated; ","")&amp;IF(AND($Q249&lt;&gt;"",OR(NOT(ISNUMBER($Q249)),$Q249&lt;=DATE(1900,1,1))),"Termination Date must be a valid date; ","")&amp;IF(AND(ISNUMBER($P249),ISNUMBER($Q249),$Q249&lt;$P249),"Termination Date cannot be before Eligibility Date; ","")&amp;IF($R249="","Status is required; ","")&amp;IF(AND($R249&lt;&gt;"",$R249&lt;&gt;"Active",$R249&lt;&gt;"Terminated"),"Status must be Active or Terminated; ","")&amp;IF(AND('START HERE'!$C$8="Terminations Only",$R249&lt;&gt;"Terminated"),"Terminations Only files must contain terminated records; ",""))</f>
        <v/>
      </c>
      <c r="AC249">
        <f>IF(COUNTA($A249:$U249)=0,"",IF($S249="","Plan Name is required; ","")&amp;IF($T249="","Benefit Coverage Level is required; ","")&amp;IF(AND($U249&lt;&gt;"",OR(NOT(ISNUMBER($U249)),$U249&lt;0)),"Plan Funding Amount must be a nonnegative number; ","")&amp;IF(AND($A249&lt;&gt;"",$S249&lt;&gt;"",COUNTIFS($A$2:$A$501,$A249,$B$2:$B$501,$B249,$S$2:$S$501,$S249)&gt;1),"Duplicate participant and plan row; ",""))</f>
        <v/>
      </c>
      <c r="AD249">
        <f>IF(COUNTA($A249:$U249)=0,"",IF(AND($X249="Employee",$M249="",$N249=""),"No employee phone or email provided; ","")&amp;IF(AND($R249="Active",$Q249&lt;&gt;""),"Active record includes a Termination Date; confirm this is intentional; ","")&amp;IF(AND($B249&lt;&gt;"",$B249&amp;""&lt;&gt;$A249&amp;"",COUNTIF($A$2:$A$501,$B249)&gt;0),"Dependent SSN also appears as an Employee SSN elsewhere; confirm dual-employee coverage is intentional; ","")&amp;IF(AND($B249&lt;&gt;"",COUNTIF($B$2:$B$501,$B249)&gt;COUNTIFS($A$2:$A$501,$A249,$B$2:$B$501,$B249)),"Dependent SSN appears under more than one employee; confirm duplicate family coverage is intentional; ","")&amp;IF(AND(ROW()&gt;2,$A249&lt;&gt;"",$A249&lt;&gt;$A248,COUNTIF($A$2:$A248,$A249)&gt;0),"This household appears in more than one section of the census; keep the family together; ","")&amp;IF(OR(AND($C249&lt;&gt;"",LEN($C249&amp;"")&lt;&gt;LEN(TRIM($C249&amp;""))),AND($D249&lt;&gt;"",LEN($D249&amp;"")&lt;&gt;LEN(TRIM($D249&amp;""))),AND($E249&lt;&gt;"",LEN($E249&amp;"")&lt;&gt;LEN(TRIM($E249&amp;""))),AND($F249&lt;&gt;"",LEN($F249&amp;"")&lt;&gt;LEN(TRIM($F249&amp;""))),AND($G249&lt;&gt;"",LEN($G249&amp;"")&lt;&gt;LEN(TRIM($G249&amp;""))),AND($H249&lt;&gt;"",LEN($H249&amp;"")&lt;&gt;LEN(TRIM($H249&amp;""))),AND($I249&lt;&gt;"",LEN($I249&amp;"")&lt;&gt;LEN(TRIM($I249&amp;""))),AND($J249&lt;&gt;"",LEN($J249&amp;"")&lt;&gt;LEN(TRIM($J249&amp;""))),AND($K249&lt;&gt;"",LEN($K249&amp;"")&lt;&gt;LEN(TRIM($K249&amp;""))),AND($M249&lt;&gt;"",LEN($M249&amp;"")&lt;&gt;LEN(TRIM($M249&amp;""))),AND($N249&lt;&gt;"",LEN($N249&amp;"")&lt;&gt;LEN(TRIM($N249&amp;""))),AND($O249&lt;&gt;"",LEN($O249&amp;"")&lt;&gt;LEN(TRIM($O249&amp;""))),AND($R249&lt;&gt;"",LEN($R249&amp;"")&lt;&gt;LEN(TRIM($R249&amp;""))),AND($S249&lt;&gt;"",LEN($S249&amp;"")&lt;&gt;LEN(TRIM($S249&amp;""))),AND($T249&lt;&gt;"",LEN($T249&amp;"")&lt;&gt;LEN(TRIM($T249&amp;"")))),"Remove leading or trailing spaces from text fields; ","")&amp;IF(OR(AND(LEN($C249)&gt;1,OR(EXACT($C249,UPPER($C249)),EXACT($C249,LOWER($C249)))),AND(LEN($D249)&gt;1,OR(EXACT($D249,UPPER($D249)),EXACT($D249,LOWER($D249)))),AND(LEN($H249)&gt;1,OR(EXACT($H249,UPPER($H249)),EXACT($H249,LOWER($H249))))),"Review capitalization in First Name, Last Name, or City; ","")&amp;IF(AND($N249&lt;&gt;"",NOT(EXACT($N249,LOWER($N249)))),"Email will be standardized to lowercase in the clean output; ","")&amp;IF(AND(OR('START HERE'!$C$8="Initial Enrollment",'START HERE'!$C$8="Open Enrollment"),$R249="Terminated"),"A terminated row is included in an initial or open enrollment file; confirm this is intentional; ",""))</f>
        <v/>
      </c>
      <c r="AE249">
        <f>IF(COUNTA($A249:$U249)=0,"",IF(OR($A249="",AND($A249&lt;&gt;"",NOT(IFERROR(AND(LEN($A249&amp;"")=9,ISNUMBER(--($A249&amp;""))),FALSE))),AND($A249&lt;&gt;"",OR($A249="123456789",$A249="987654321",$A249="012345678",$A249=REPT(LEFT($A249&amp;"",1),9)))),"Employee SSN, ","")&amp;IF(OR(AND($O249&lt;&gt;"",$B249=""),AND($B249&lt;&gt;"",OR(NOT(IFERROR(AND(LEN($B249&amp;"")=9,ISNUMBER(--($B249&amp;""))),FALSE)),$B249=$A249,$B249="123456789",$B249="987654321",$B249="012345678",$B249=REPT(LEFT($B249&amp;"",1),9)))),"Dependent SSN, ","")&amp;IF(OR($C249="",LEN($C249)&gt;19,AND($C249&lt;&gt;"",SUMPRODUCT(--(ROW($1:$19)&lt;=LEN($C249&amp;"")),--ISERROR(FIND(MID($C249&amp;"",ROW($1:$19),1),"ABCDEFGHIJKLMNOPQRSTUVWXYZabcdefghijklmnopqrstuvwxyz .,")))&gt;0)),"First Name, ","")&amp;IF(OR($D249="",LEN($D249)&gt;26,AND($D249&lt;&gt;"",SUMPRODUCT(--(ROW($1:$26)&lt;=LEN($D249&amp;"")),--ISERROR(FIND(MID($D249&amp;"",ROW($1:$26),1),"ABCDEFGHIJKLMNOPQRSTUVWXYZabcdefghijklmnopqrstuvwxyz .,")))&gt;0)),"Last Name, ","")&amp;IF(OR(LEN($E249)&gt;1,AND($E249&lt;&gt;"",SUMPRODUCT(--(ROW($1:$1)&lt;=LEN($E249&amp;"")),--ISERROR(FIND(MID($E249&amp;"",ROW($1:$1),1),"ABCDEFGHIJKLMNOPQRSTUVWXYZabcdefghijklmnopqrstuvwxyz .,")))&gt;0)),"Middle Initial, ","")&amp;IF(OR($F249="",LEN($F249)&gt;75),"Address, ","")&amp;IF(OR($H249="",LEN($H249)&gt;30),"City, ","")&amp;IF(AND($K249="US",OR($I249="",LEN($I249)&lt;&gt;2)),"State, ","")&amp;IF($J249="","ZIP, ","")&amp;IF(OR($K249="",AND($K249&lt;&gt;"US",$K249&lt;&gt;"CA")),"Country, ","")&amp;IF(OR($L249="",AND($L249&lt;&gt;"",OR(NOT(ISNUMBER($L249)),$L249&lt;=DATE(1900,1,1),$L249&gt;TODAY()))),"Birthdate, ","")&amp;IF(AND($N249&lt;&gt;"",NOT(IFERROR(AND(ISNUMBER(SEARCH("@",$N249)),ISNUMBER(SEARCH(".",$N249,SEARCH("@",$N249)+2))),FALSE))),"Email, ","")&amp;IF(OR(AND($B249&lt;&gt;"",$O249=""),AND($O249&lt;&gt;"",$O249&lt;&gt;"Spouse or Common Law Spouse",$O249&lt;&gt;"Domestic Partner",$O249&lt;&gt;"Child",$O249&lt;&gt;"Other",$O249&lt;&gt;"Estate",$O249&lt;&gt;"Unknown")),"Dependent Relationship, ","")&amp;IF($AA249&lt;&gt;"","Household, ","")&amp;IF(OR($P249="",AND($P249&lt;&gt;"",OR(NOT(ISNUMBER($P249)),$P249&lt;=DATE(1900,1,1)))),"Eligibility Date, ","")&amp;IF(OR(AND($R249="Terminated",$Q249=""),AND($Q249&lt;&gt;"",OR(NOT(ISNUMBER($Q249)),$Q249&lt;=DATE(1900,1,1))),AND(ISNUMBER($P249),ISNUMBER($Q249),$Q249&lt;$P249)),"Termination Date, ","")&amp;IF(OR($R249="",AND($R249&lt;&gt;"Active",$R249&lt;&gt;"Terminated"),AND('START HERE'!$C$8="Terminations Only",$R249&lt;&gt;"Terminated")),"Status, ","")&amp;IF($S249="","Plan Name, ","")&amp;IF($T249="","Coverage Level, ","")&amp;IF(AND($U249&lt;&gt;"",OR(NOT(ISNUMBER($U249)),$U249&lt;0)),"Funding, ","")&amp;IF(AND($A249&lt;&gt;"",$S249&lt;&gt;"",COUNTIFS($A$2:$A$501,$A249,$B$2:$B$501,$B249,$S$2:$S$501,$S249)&gt;1),"Duplicate Row, ",""))</f>
        <v/>
      </c>
      <c r="AF249">
        <f>IF(COUNTA($A249:$U249)=0,"",$Y249&amp;$Z249&amp;$AA249&amp;$AB249&amp;$AC249)</f>
        <v/>
      </c>
      <c r="AG249">
        <f>IF($N249="","",LOWER(TRIM($N249)))</f>
        <v/>
      </c>
      <c r="AH249">
        <f>IF($A249="","",COUNTIFS($A$2:$A$501,$A249,$AI$2:$AI$501,1))</f>
        <v/>
      </c>
      <c r="AI249">
        <f>IF(COUNTA($A249:$U249)=0,"",--($AF249&lt;&gt;""))</f>
        <v/>
      </c>
      <c r="AJ249">
        <f>IF(COUNTA($A249:$U249)=0,"",--($AD249&lt;&gt;""))</f>
        <v/>
      </c>
    </row>
    <row r="250" ht="20" customHeight="1">
      <c r="A250" s="80" t="n"/>
      <c r="B250" s="80" t="n"/>
      <c r="C250" s="81" t="n"/>
      <c r="D250" s="81" t="n"/>
      <c r="E250" s="80" t="n"/>
      <c r="F250" s="81" t="n"/>
      <c r="G250" s="81" t="n"/>
      <c r="H250" s="81" t="n"/>
      <c r="I250" s="80" t="n"/>
      <c r="J250" s="80" t="n"/>
      <c r="K250" s="80" t="n"/>
      <c r="L250" s="82" t="n"/>
      <c r="M250" s="80" t="n"/>
      <c r="N250" s="80" t="n"/>
      <c r="O250" s="80" t="n"/>
      <c r="P250" s="82" t="n"/>
      <c r="Q250" s="82" t="n"/>
      <c r="R250" s="80" t="n"/>
      <c r="S250" s="80" t="n"/>
      <c r="T250" s="80" t="n"/>
      <c r="U250" s="83" t="n"/>
      <c r="V250">
        <f>IF($A250="","",IF($A250=$A249,$V249,IF($V249="",0,1-$V249)))</f>
        <v/>
      </c>
      <c r="W250">
        <f>IF($B250&lt;&gt;"",$B250,$A250)</f>
        <v/>
      </c>
      <c r="X250">
        <f>IF(COUNTA($A250:$U250)=0,"",IF(OR($B250&lt;&gt;"",$O250&lt;&gt;""),"Dependent","Employee"))</f>
        <v/>
      </c>
      <c r="Y250">
        <f>IF(COUNTA($A250:$U250)=0,"",IF($A250="","Employee SSN is required; ","")&amp;IF($C250="","First Name is required; ","")&amp;IF(LEN($C250&amp;"")&gt;19,"First Name exceeds 19 characters; ","")&amp;IF(AND($C250&lt;&gt;"",SUMPRODUCT(--(ROW($1:$19)&lt;=LEN($C250&amp;"")),--ISERROR(FIND(MID($C250&amp;"",ROW($1:$19),1),"ABCDEFGHIJKLMNOPQRSTUVWXYZabcdefghijklmnopqrstuvwxyz .,")))&gt;0),"First Name contains unsupported or encoded characters; use plain A-Z letters only; ","")&amp;IF($D250="","Last Name is required; ","")&amp;IF(LEN($D250&amp;"")&gt;26,"Last Name exceeds 26 characters; ","")&amp;IF(AND($D250&lt;&gt;"",SUMPRODUCT(--(ROW($1:$26)&lt;=LEN($D250&amp;"")),--ISERROR(FIND(MID($D250&amp;"",ROW($1:$26),1),"ABCDEFGHIJKLMNOPQRSTUVWXYZabcdefghijklmnopqrstuvwxyz .,")))&gt;0),"Last Name contains unsupported or encoded characters; use plain A-Z letters only; ","")&amp;IF(LEN($E250&amp;"")&gt;1,"Middle Initial may contain only one character; ","")&amp;IF(AND($E250&lt;&gt;"",SUMPRODUCT(--(ROW($1:$1)&lt;=LEN($E250&amp;"")),--ISERROR(FIND(MID($E250&amp;"",ROW($1:$1),1),"ABCDEFGHIJKLMNOPQRSTUVWXYZabcdefghijklmnopqrstuvwxyz .,")))&gt;0),"Middle Initial must be a plain A-Z letter; ","")&amp;IF($F250="","Address is required; ","")&amp;IF(LEN($F250&amp;"")&gt;75,"Address exceeds 75 characters; ","")&amp;IF(LEN($G250&amp;"")&gt;75,"Address 2 exceeds 75 characters; ","")&amp;IF($H250="","City is required; ","")&amp;IF(LEN($H250&amp;"")&gt;30,"City exceeds 30 characters; ","")&amp;IF($K250="","Country is required; ","")&amp;IF(AND($K250&lt;&gt;"",$K250&lt;&gt;"US",$K250&lt;&gt;"CA"),"Country must be US or CA; ","")&amp;IF(AND($K250="US",OR($I250="",LEN($I250&amp;"")&lt;&gt;2)),"Use a 2-letter state code; ","")&amp;IF($J250="","ZIP or postal code is required; ","")&amp;IF(AND($K250="US",$J250&lt;&gt;"",NOT(IFERROR(OR(AND(LEN($J250&amp;"")=5,ISNUMBER(--($J250&amp;""))),AND(LEN($J250&amp;"")=9,ISNUMBER(--($J250&amp;""))),AND(LEN($J250&amp;"")=10,MID($J250&amp;"",6,1)="-",ISNUMBER(--SUBSTITUTE($J250&amp;"","-","")))),FALSE))),"US ZIP must be 5 or 9 digits, with an optional ZIP+4 hyphen; ","")&amp;IF(AND($N250&lt;&gt;"",NOT(IFERROR(AND(ISNUMBER(SEARCH("@",$N250)),ISNUMBER(SEARCH(".",$N250,SEARCH("@",$N250)+2))),FALSE))),"Email format appears invalid; ","")&amp;IF(AND($O250&lt;&gt;"",$B250=""),"Dependent SSN is required for every dependent; ","")&amp;IF(AND($B250&lt;&gt;"",$O250=""),"Dependent Relationship is required when Dependent SSN is entered; ","")&amp;IF(AND($O250&lt;&gt;"",$O250&lt;&gt;"Spouse or Common Law Spouse",$O250&lt;&gt;"Domestic Partner",$O250&lt;&gt;"Child",$O250&lt;&gt;"Other",$O250&lt;&gt;"Estate",$O250&lt;&gt;"Unknown"),"Dependent Relationship must use one of the approved options; ",""))</f>
        <v/>
      </c>
      <c r="Z250">
        <f>IF(COUNTA($A250:$U250)=0,"",IF(AND($A250&lt;&gt;"",NOT(IFERROR(AND(LEN($A250&amp;"")=9,ISNUMBER(--($A250&amp;""))),FALSE))),"Employee SSN must contain exactly 9 digits; ","")&amp;IF(AND($A250&lt;&gt;"",OR($A250="123456789",$A250="987654321",$A250="012345678",$A250=REPT(LEFT($A250&amp;"",1),9))),"Employee SSN appears to be a placeholder; ","")&amp;IF(AND($B250&lt;&gt;"",NOT(IFERROR(AND(LEN($B250&amp;"")=9,ISNUMBER(--($B250&amp;""))),FALSE))),"Dependent SSN must contain exactly 9 digits; ","")&amp;IF(AND($B250&lt;&gt;"",OR($B250="123456789",$B250="987654321",$B250="012345678",$B250=REPT(LEFT($B250&amp;"",1),9))),"Dependent SSN appears to be a placeholder; ","")&amp;IF(AND($A250&lt;&gt;"",$B250&lt;&gt;"",$A250&amp;""=$B250&amp;""),"Dependent SSN cannot match Employee SSN; ","")&amp;IF(AND($W250&lt;&gt;"",OR(COUNTIFS($W$2:$W$501,$W250,$C$2:$C$501,"&lt;&gt;"&amp;$C250)&gt;0,COUNTIFS($W$2:$W$501,$W250,$D$2:$D$501,"&lt;&gt;"&amp;$D250)&gt;0,COUNTIFS($W$2:$W$501,$W250,$L$2:$L$501,"&lt;&gt;"&amp;$L250)&gt;0)),"The same SSN is associated with a different name or birthdate; ",""))</f>
        <v/>
      </c>
      <c r="AA250">
        <f>IF(COUNTA($A250:$U250)=0,"",IF(AND($A250&lt;&gt;"",$S250&lt;&gt;"",COUNTIFS($A$2:$A$501,$A250,$S$2:$S$501,$S250,$B$2:$B$501,"",$O$2:$O$501,"")=0),"Add an employee row for this household and plan; ","")&amp;IF(AND($X250="Dependent",COUNTIFS($A$2:$A250,$A250,$S$2:$S250,$S250,$B$2:$B250,"",$O$2:$O250,"")=0),"Place the employee row before dependent rows for this plan; ","")&amp;IF(AND($X250="Dependent",COUNTIFS($A$2:$A$501,$A250,$S$2:$S$501,$S250,$B$2:$B$501,"",$O$2:$O$501,"")&gt;0,IFERROR(OR($P250&lt;&gt;LOOKUP(2,1/(($A$2:$A$501=$A250)*($S$2:$S$501=$S250)*($B$2:$B$501="")*($O$2:$O$501="")),$P$2:$P$501),$Q250&lt;&gt;LOOKUP(2,1/(($A$2:$A$501=$A250)*($S$2:$S$501=$S250)*($B$2:$B$501="")*($O$2:$O$501="")),$Q$2:$Q$501),$R250&lt;&gt;LOOKUP(2,1/(($A$2:$A$501=$A250)*($S$2:$S$501=$S250)*($B$2:$B$501="")*($O$2:$O$501="")),$R$2:$R$501),$T250&lt;&gt;LOOKUP(2,1/(($A$2:$A$501=$A250)*($S$2:$S$501=$S250)*($B$2:$B$501="")*($O$2:$O$501="")),$T$2:$T$501),$U250&lt;&gt;LOOKUP(2,1/(($A$2:$A$501=$A250)*($S$2:$S$501=$S250)*($B$2:$B$501="")*($O$2:$O$501="")),$U$2:$U$501)),FALSE)),"Dependent row does not match the employee row for eligibility, status, coverage level, or funding; ",""))</f>
        <v/>
      </c>
      <c r="AB250">
        <f>IF(COUNTA($A250:$U250)=0,"",IF($L250="","Birthdate is required; ","")&amp;IF(AND($L250&lt;&gt;"",OR(NOT(ISNUMBER($L250)),$L250&lt;=DATE(1900,1,1),$L250&gt;TODAY())),"Birthdate must be an exact valid past date; ","")&amp;IF($P250="","Eligibility Date is required; ","")&amp;IF(AND($P250&lt;&gt;"",OR(NOT(ISNUMBER($P250)),$P250&lt;=DATE(1900,1,1))),"Eligibility Date must be a valid date; ","")&amp;IF(AND($R250="Terminated",$Q250=""),"Termination Date is required when Status is Terminated; ","")&amp;IF(AND($Q250&lt;&gt;"",OR(NOT(ISNUMBER($Q250)),$Q250&lt;=DATE(1900,1,1))),"Termination Date must be a valid date; ","")&amp;IF(AND(ISNUMBER($P250),ISNUMBER($Q250),$Q250&lt;$P250),"Termination Date cannot be before Eligibility Date; ","")&amp;IF($R250="","Status is required; ","")&amp;IF(AND($R250&lt;&gt;"",$R250&lt;&gt;"Active",$R250&lt;&gt;"Terminated"),"Status must be Active or Terminated; ","")&amp;IF(AND('START HERE'!$C$8="Terminations Only",$R250&lt;&gt;"Terminated"),"Terminations Only files must contain terminated records; ",""))</f>
        <v/>
      </c>
      <c r="AC250">
        <f>IF(COUNTA($A250:$U250)=0,"",IF($S250="","Plan Name is required; ","")&amp;IF($T250="","Benefit Coverage Level is required; ","")&amp;IF(AND($U250&lt;&gt;"",OR(NOT(ISNUMBER($U250)),$U250&lt;0)),"Plan Funding Amount must be a nonnegative number; ","")&amp;IF(AND($A250&lt;&gt;"",$S250&lt;&gt;"",COUNTIFS($A$2:$A$501,$A250,$B$2:$B$501,$B250,$S$2:$S$501,$S250)&gt;1),"Duplicate participant and plan row; ",""))</f>
        <v/>
      </c>
      <c r="AD250">
        <f>IF(COUNTA($A250:$U250)=0,"",IF(AND($X250="Employee",$M250="",$N250=""),"No employee phone or email provided; ","")&amp;IF(AND($R250="Active",$Q250&lt;&gt;""),"Active record includes a Termination Date; confirm this is intentional; ","")&amp;IF(AND($B250&lt;&gt;"",$B250&amp;""&lt;&gt;$A250&amp;"",COUNTIF($A$2:$A$501,$B250)&gt;0),"Dependent SSN also appears as an Employee SSN elsewhere; confirm dual-employee coverage is intentional; ","")&amp;IF(AND($B250&lt;&gt;"",COUNTIF($B$2:$B$501,$B250)&gt;COUNTIFS($A$2:$A$501,$A250,$B$2:$B$501,$B250)),"Dependent SSN appears under more than one employee; confirm duplicate family coverage is intentional; ","")&amp;IF(AND(ROW()&gt;2,$A250&lt;&gt;"",$A250&lt;&gt;$A249,COUNTIF($A$2:$A249,$A250)&gt;0),"This household appears in more than one section of the census; keep the family together; ","")&amp;IF(OR(AND($C250&lt;&gt;"",LEN($C250&amp;"")&lt;&gt;LEN(TRIM($C250&amp;""))),AND($D250&lt;&gt;"",LEN($D250&amp;"")&lt;&gt;LEN(TRIM($D250&amp;""))),AND($E250&lt;&gt;"",LEN($E250&amp;"")&lt;&gt;LEN(TRIM($E250&amp;""))),AND($F250&lt;&gt;"",LEN($F250&amp;"")&lt;&gt;LEN(TRIM($F250&amp;""))),AND($G250&lt;&gt;"",LEN($G250&amp;"")&lt;&gt;LEN(TRIM($G250&amp;""))),AND($H250&lt;&gt;"",LEN($H250&amp;"")&lt;&gt;LEN(TRIM($H250&amp;""))),AND($I250&lt;&gt;"",LEN($I250&amp;"")&lt;&gt;LEN(TRIM($I250&amp;""))),AND($J250&lt;&gt;"",LEN($J250&amp;"")&lt;&gt;LEN(TRIM($J250&amp;""))),AND($K250&lt;&gt;"",LEN($K250&amp;"")&lt;&gt;LEN(TRIM($K250&amp;""))),AND($M250&lt;&gt;"",LEN($M250&amp;"")&lt;&gt;LEN(TRIM($M250&amp;""))),AND($N250&lt;&gt;"",LEN($N250&amp;"")&lt;&gt;LEN(TRIM($N250&amp;""))),AND($O250&lt;&gt;"",LEN($O250&amp;"")&lt;&gt;LEN(TRIM($O250&amp;""))),AND($R250&lt;&gt;"",LEN($R250&amp;"")&lt;&gt;LEN(TRIM($R250&amp;""))),AND($S250&lt;&gt;"",LEN($S250&amp;"")&lt;&gt;LEN(TRIM($S250&amp;""))),AND($T250&lt;&gt;"",LEN($T250&amp;"")&lt;&gt;LEN(TRIM($T250&amp;"")))),"Remove leading or trailing spaces from text fields; ","")&amp;IF(OR(AND(LEN($C250)&gt;1,OR(EXACT($C250,UPPER($C250)),EXACT($C250,LOWER($C250)))),AND(LEN($D250)&gt;1,OR(EXACT($D250,UPPER($D250)),EXACT($D250,LOWER($D250)))),AND(LEN($H250)&gt;1,OR(EXACT($H250,UPPER($H250)),EXACT($H250,LOWER($H250))))),"Review capitalization in First Name, Last Name, or City; ","")&amp;IF(AND($N250&lt;&gt;"",NOT(EXACT($N250,LOWER($N250)))),"Email will be standardized to lowercase in the clean output; ","")&amp;IF(AND(OR('START HERE'!$C$8="Initial Enrollment",'START HERE'!$C$8="Open Enrollment"),$R250="Terminated"),"A terminated row is included in an initial or open enrollment file; confirm this is intentional; ",""))</f>
        <v/>
      </c>
      <c r="AE250">
        <f>IF(COUNTA($A250:$U250)=0,"",IF(OR($A250="",AND($A250&lt;&gt;"",NOT(IFERROR(AND(LEN($A250&amp;"")=9,ISNUMBER(--($A250&amp;""))),FALSE))),AND($A250&lt;&gt;"",OR($A250="123456789",$A250="987654321",$A250="012345678",$A250=REPT(LEFT($A250&amp;"",1),9)))),"Employee SSN, ","")&amp;IF(OR(AND($O250&lt;&gt;"",$B250=""),AND($B250&lt;&gt;"",OR(NOT(IFERROR(AND(LEN($B250&amp;"")=9,ISNUMBER(--($B250&amp;""))),FALSE)),$B250=$A250,$B250="123456789",$B250="987654321",$B250="012345678",$B250=REPT(LEFT($B250&amp;"",1),9)))),"Dependent SSN, ","")&amp;IF(OR($C250="",LEN($C250)&gt;19,AND($C250&lt;&gt;"",SUMPRODUCT(--(ROW($1:$19)&lt;=LEN($C250&amp;"")),--ISERROR(FIND(MID($C250&amp;"",ROW($1:$19),1),"ABCDEFGHIJKLMNOPQRSTUVWXYZabcdefghijklmnopqrstuvwxyz .,")))&gt;0)),"First Name, ","")&amp;IF(OR($D250="",LEN($D250)&gt;26,AND($D250&lt;&gt;"",SUMPRODUCT(--(ROW($1:$26)&lt;=LEN($D250&amp;"")),--ISERROR(FIND(MID($D250&amp;"",ROW($1:$26),1),"ABCDEFGHIJKLMNOPQRSTUVWXYZabcdefghijklmnopqrstuvwxyz .,")))&gt;0)),"Last Name, ","")&amp;IF(OR(LEN($E250)&gt;1,AND($E250&lt;&gt;"",SUMPRODUCT(--(ROW($1:$1)&lt;=LEN($E250&amp;"")),--ISERROR(FIND(MID($E250&amp;"",ROW($1:$1),1),"ABCDEFGHIJKLMNOPQRSTUVWXYZabcdefghijklmnopqrstuvwxyz .,")))&gt;0)),"Middle Initial, ","")&amp;IF(OR($F250="",LEN($F250)&gt;75),"Address, ","")&amp;IF(OR($H250="",LEN($H250)&gt;30),"City, ","")&amp;IF(AND($K250="US",OR($I250="",LEN($I250)&lt;&gt;2)),"State, ","")&amp;IF($J250="","ZIP, ","")&amp;IF(OR($K250="",AND($K250&lt;&gt;"US",$K250&lt;&gt;"CA")),"Country, ","")&amp;IF(OR($L250="",AND($L250&lt;&gt;"",OR(NOT(ISNUMBER($L250)),$L250&lt;=DATE(1900,1,1),$L250&gt;TODAY()))),"Birthdate, ","")&amp;IF(AND($N250&lt;&gt;"",NOT(IFERROR(AND(ISNUMBER(SEARCH("@",$N250)),ISNUMBER(SEARCH(".",$N250,SEARCH("@",$N250)+2))),FALSE))),"Email, ","")&amp;IF(OR(AND($B250&lt;&gt;"",$O250=""),AND($O250&lt;&gt;"",$O250&lt;&gt;"Spouse or Common Law Spouse",$O250&lt;&gt;"Domestic Partner",$O250&lt;&gt;"Child",$O250&lt;&gt;"Other",$O250&lt;&gt;"Estate",$O250&lt;&gt;"Unknown")),"Dependent Relationship, ","")&amp;IF($AA250&lt;&gt;"","Household, ","")&amp;IF(OR($P250="",AND($P250&lt;&gt;"",OR(NOT(ISNUMBER($P250)),$P250&lt;=DATE(1900,1,1)))),"Eligibility Date, ","")&amp;IF(OR(AND($R250="Terminated",$Q250=""),AND($Q250&lt;&gt;"",OR(NOT(ISNUMBER($Q250)),$Q250&lt;=DATE(1900,1,1))),AND(ISNUMBER($P250),ISNUMBER($Q250),$Q250&lt;$P250)),"Termination Date, ","")&amp;IF(OR($R250="",AND($R250&lt;&gt;"Active",$R250&lt;&gt;"Terminated"),AND('START HERE'!$C$8="Terminations Only",$R250&lt;&gt;"Terminated")),"Status, ","")&amp;IF($S250="","Plan Name, ","")&amp;IF($T250="","Coverage Level, ","")&amp;IF(AND($U250&lt;&gt;"",OR(NOT(ISNUMBER($U250)),$U250&lt;0)),"Funding, ","")&amp;IF(AND($A250&lt;&gt;"",$S250&lt;&gt;"",COUNTIFS($A$2:$A$501,$A250,$B$2:$B$501,$B250,$S$2:$S$501,$S250)&gt;1),"Duplicate Row, ",""))</f>
        <v/>
      </c>
      <c r="AF250">
        <f>IF(COUNTA($A250:$U250)=0,"",$Y250&amp;$Z250&amp;$AA250&amp;$AB250&amp;$AC250)</f>
        <v/>
      </c>
      <c r="AG250">
        <f>IF($N250="","",LOWER(TRIM($N250)))</f>
        <v/>
      </c>
      <c r="AH250">
        <f>IF($A250="","",COUNTIFS($A$2:$A$501,$A250,$AI$2:$AI$501,1))</f>
        <v/>
      </c>
      <c r="AI250">
        <f>IF(COUNTA($A250:$U250)=0,"",--($AF250&lt;&gt;""))</f>
        <v/>
      </c>
      <c r="AJ250">
        <f>IF(COUNTA($A250:$U250)=0,"",--($AD250&lt;&gt;""))</f>
        <v/>
      </c>
    </row>
    <row r="251" ht="20" customHeight="1">
      <c r="A251" s="80" t="n"/>
      <c r="B251" s="80" t="n"/>
      <c r="C251" s="81" t="n"/>
      <c r="D251" s="81" t="n"/>
      <c r="E251" s="80" t="n"/>
      <c r="F251" s="81" t="n"/>
      <c r="G251" s="81" t="n"/>
      <c r="H251" s="81" t="n"/>
      <c r="I251" s="80" t="n"/>
      <c r="J251" s="80" t="n"/>
      <c r="K251" s="80" t="n"/>
      <c r="L251" s="82" t="n"/>
      <c r="M251" s="80" t="n"/>
      <c r="N251" s="80" t="n"/>
      <c r="O251" s="80" t="n"/>
      <c r="P251" s="82" t="n"/>
      <c r="Q251" s="82" t="n"/>
      <c r="R251" s="80" t="n"/>
      <c r="S251" s="80" t="n"/>
      <c r="T251" s="80" t="n"/>
      <c r="U251" s="83" t="n"/>
      <c r="V251">
        <f>IF($A251="","",IF($A251=$A250,$V250,IF($V250="",0,1-$V250)))</f>
        <v/>
      </c>
      <c r="W251">
        <f>IF($B251&lt;&gt;"",$B251,$A251)</f>
        <v/>
      </c>
      <c r="X251">
        <f>IF(COUNTA($A251:$U251)=0,"",IF(OR($B251&lt;&gt;"",$O251&lt;&gt;""),"Dependent","Employee"))</f>
        <v/>
      </c>
      <c r="Y251">
        <f>IF(COUNTA($A251:$U251)=0,"",IF($A251="","Employee SSN is required; ","")&amp;IF($C251="","First Name is required; ","")&amp;IF(LEN($C251&amp;"")&gt;19,"First Name exceeds 19 characters; ","")&amp;IF(AND($C251&lt;&gt;"",SUMPRODUCT(--(ROW($1:$19)&lt;=LEN($C251&amp;"")),--ISERROR(FIND(MID($C251&amp;"",ROW($1:$19),1),"ABCDEFGHIJKLMNOPQRSTUVWXYZabcdefghijklmnopqrstuvwxyz .,")))&gt;0),"First Name contains unsupported or encoded characters; use plain A-Z letters only; ","")&amp;IF($D251="","Last Name is required; ","")&amp;IF(LEN($D251&amp;"")&gt;26,"Last Name exceeds 26 characters; ","")&amp;IF(AND($D251&lt;&gt;"",SUMPRODUCT(--(ROW($1:$26)&lt;=LEN($D251&amp;"")),--ISERROR(FIND(MID($D251&amp;"",ROW($1:$26),1),"ABCDEFGHIJKLMNOPQRSTUVWXYZabcdefghijklmnopqrstuvwxyz .,")))&gt;0),"Last Name contains unsupported or encoded characters; use plain A-Z letters only; ","")&amp;IF(LEN($E251&amp;"")&gt;1,"Middle Initial may contain only one character; ","")&amp;IF(AND($E251&lt;&gt;"",SUMPRODUCT(--(ROW($1:$1)&lt;=LEN($E251&amp;"")),--ISERROR(FIND(MID($E251&amp;"",ROW($1:$1),1),"ABCDEFGHIJKLMNOPQRSTUVWXYZabcdefghijklmnopqrstuvwxyz .,")))&gt;0),"Middle Initial must be a plain A-Z letter; ","")&amp;IF($F251="","Address is required; ","")&amp;IF(LEN($F251&amp;"")&gt;75,"Address exceeds 75 characters; ","")&amp;IF(LEN($G251&amp;"")&gt;75,"Address 2 exceeds 75 characters; ","")&amp;IF($H251="","City is required; ","")&amp;IF(LEN($H251&amp;"")&gt;30,"City exceeds 30 characters; ","")&amp;IF($K251="","Country is required; ","")&amp;IF(AND($K251&lt;&gt;"",$K251&lt;&gt;"US",$K251&lt;&gt;"CA"),"Country must be US or CA; ","")&amp;IF(AND($K251="US",OR($I251="",LEN($I251&amp;"")&lt;&gt;2)),"Use a 2-letter state code; ","")&amp;IF($J251="","ZIP or postal code is required; ","")&amp;IF(AND($K251="US",$J251&lt;&gt;"",NOT(IFERROR(OR(AND(LEN($J251&amp;"")=5,ISNUMBER(--($J251&amp;""))),AND(LEN($J251&amp;"")=9,ISNUMBER(--($J251&amp;""))),AND(LEN($J251&amp;"")=10,MID($J251&amp;"",6,1)="-",ISNUMBER(--SUBSTITUTE($J251&amp;"","-","")))),FALSE))),"US ZIP must be 5 or 9 digits, with an optional ZIP+4 hyphen; ","")&amp;IF(AND($N251&lt;&gt;"",NOT(IFERROR(AND(ISNUMBER(SEARCH("@",$N251)),ISNUMBER(SEARCH(".",$N251,SEARCH("@",$N251)+2))),FALSE))),"Email format appears invalid; ","")&amp;IF(AND($O251&lt;&gt;"",$B251=""),"Dependent SSN is required for every dependent; ","")&amp;IF(AND($B251&lt;&gt;"",$O251=""),"Dependent Relationship is required when Dependent SSN is entered; ","")&amp;IF(AND($O251&lt;&gt;"",$O251&lt;&gt;"Spouse or Common Law Spouse",$O251&lt;&gt;"Domestic Partner",$O251&lt;&gt;"Child",$O251&lt;&gt;"Other",$O251&lt;&gt;"Estate",$O251&lt;&gt;"Unknown"),"Dependent Relationship must use one of the approved options; ",""))</f>
        <v/>
      </c>
      <c r="Z251">
        <f>IF(COUNTA($A251:$U251)=0,"",IF(AND($A251&lt;&gt;"",NOT(IFERROR(AND(LEN($A251&amp;"")=9,ISNUMBER(--($A251&amp;""))),FALSE))),"Employee SSN must contain exactly 9 digits; ","")&amp;IF(AND($A251&lt;&gt;"",OR($A251="123456789",$A251="987654321",$A251="012345678",$A251=REPT(LEFT($A251&amp;"",1),9))),"Employee SSN appears to be a placeholder; ","")&amp;IF(AND($B251&lt;&gt;"",NOT(IFERROR(AND(LEN($B251&amp;"")=9,ISNUMBER(--($B251&amp;""))),FALSE))),"Dependent SSN must contain exactly 9 digits; ","")&amp;IF(AND($B251&lt;&gt;"",OR($B251="123456789",$B251="987654321",$B251="012345678",$B251=REPT(LEFT($B251&amp;"",1),9))),"Dependent SSN appears to be a placeholder; ","")&amp;IF(AND($A251&lt;&gt;"",$B251&lt;&gt;"",$A251&amp;""=$B251&amp;""),"Dependent SSN cannot match Employee SSN; ","")&amp;IF(AND($W251&lt;&gt;"",OR(COUNTIFS($W$2:$W$501,$W251,$C$2:$C$501,"&lt;&gt;"&amp;$C251)&gt;0,COUNTIFS($W$2:$W$501,$W251,$D$2:$D$501,"&lt;&gt;"&amp;$D251)&gt;0,COUNTIFS($W$2:$W$501,$W251,$L$2:$L$501,"&lt;&gt;"&amp;$L251)&gt;0)),"The same SSN is associated with a different name or birthdate; ",""))</f>
        <v/>
      </c>
      <c r="AA251">
        <f>IF(COUNTA($A251:$U251)=0,"",IF(AND($A251&lt;&gt;"",$S251&lt;&gt;"",COUNTIFS($A$2:$A$501,$A251,$S$2:$S$501,$S251,$B$2:$B$501,"",$O$2:$O$501,"")=0),"Add an employee row for this household and plan; ","")&amp;IF(AND($X251="Dependent",COUNTIFS($A$2:$A251,$A251,$S$2:$S251,$S251,$B$2:$B251,"",$O$2:$O251,"")=0),"Place the employee row before dependent rows for this plan; ","")&amp;IF(AND($X251="Dependent",COUNTIFS($A$2:$A$501,$A251,$S$2:$S$501,$S251,$B$2:$B$501,"",$O$2:$O$501,"")&gt;0,IFERROR(OR($P251&lt;&gt;LOOKUP(2,1/(($A$2:$A$501=$A251)*($S$2:$S$501=$S251)*($B$2:$B$501="")*($O$2:$O$501="")),$P$2:$P$501),$Q251&lt;&gt;LOOKUP(2,1/(($A$2:$A$501=$A251)*($S$2:$S$501=$S251)*($B$2:$B$501="")*($O$2:$O$501="")),$Q$2:$Q$501),$R251&lt;&gt;LOOKUP(2,1/(($A$2:$A$501=$A251)*($S$2:$S$501=$S251)*($B$2:$B$501="")*($O$2:$O$501="")),$R$2:$R$501),$T251&lt;&gt;LOOKUP(2,1/(($A$2:$A$501=$A251)*($S$2:$S$501=$S251)*($B$2:$B$501="")*($O$2:$O$501="")),$T$2:$T$501),$U251&lt;&gt;LOOKUP(2,1/(($A$2:$A$501=$A251)*($S$2:$S$501=$S251)*($B$2:$B$501="")*($O$2:$O$501="")),$U$2:$U$501)),FALSE)),"Dependent row does not match the employee row for eligibility, status, coverage level, or funding; ",""))</f>
        <v/>
      </c>
      <c r="AB251">
        <f>IF(COUNTA($A251:$U251)=0,"",IF($L251="","Birthdate is required; ","")&amp;IF(AND($L251&lt;&gt;"",OR(NOT(ISNUMBER($L251)),$L251&lt;=DATE(1900,1,1),$L251&gt;TODAY())),"Birthdate must be an exact valid past date; ","")&amp;IF($P251="","Eligibility Date is required; ","")&amp;IF(AND($P251&lt;&gt;"",OR(NOT(ISNUMBER($P251)),$P251&lt;=DATE(1900,1,1))),"Eligibility Date must be a valid date; ","")&amp;IF(AND($R251="Terminated",$Q251=""),"Termination Date is required when Status is Terminated; ","")&amp;IF(AND($Q251&lt;&gt;"",OR(NOT(ISNUMBER($Q251)),$Q251&lt;=DATE(1900,1,1))),"Termination Date must be a valid date; ","")&amp;IF(AND(ISNUMBER($P251),ISNUMBER($Q251),$Q251&lt;$P251),"Termination Date cannot be before Eligibility Date; ","")&amp;IF($R251="","Status is required; ","")&amp;IF(AND($R251&lt;&gt;"",$R251&lt;&gt;"Active",$R251&lt;&gt;"Terminated"),"Status must be Active or Terminated; ","")&amp;IF(AND('START HERE'!$C$8="Terminations Only",$R251&lt;&gt;"Terminated"),"Terminations Only files must contain terminated records; ",""))</f>
        <v/>
      </c>
      <c r="AC251">
        <f>IF(COUNTA($A251:$U251)=0,"",IF($S251="","Plan Name is required; ","")&amp;IF($T251="","Benefit Coverage Level is required; ","")&amp;IF(AND($U251&lt;&gt;"",OR(NOT(ISNUMBER($U251)),$U251&lt;0)),"Plan Funding Amount must be a nonnegative number; ","")&amp;IF(AND($A251&lt;&gt;"",$S251&lt;&gt;"",COUNTIFS($A$2:$A$501,$A251,$B$2:$B$501,$B251,$S$2:$S$501,$S251)&gt;1),"Duplicate participant and plan row; ",""))</f>
        <v/>
      </c>
      <c r="AD251">
        <f>IF(COUNTA($A251:$U251)=0,"",IF(AND($X251="Employee",$M251="",$N251=""),"No employee phone or email provided; ","")&amp;IF(AND($R251="Active",$Q251&lt;&gt;""),"Active record includes a Termination Date; confirm this is intentional; ","")&amp;IF(AND($B251&lt;&gt;"",$B251&amp;""&lt;&gt;$A251&amp;"",COUNTIF($A$2:$A$501,$B251)&gt;0),"Dependent SSN also appears as an Employee SSN elsewhere; confirm dual-employee coverage is intentional; ","")&amp;IF(AND($B251&lt;&gt;"",COUNTIF($B$2:$B$501,$B251)&gt;COUNTIFS($A$2:$A$501,$A251,$B$2:$B$501,$B251)),"Dependent SSN appears under more than one employee; confirm duplicate family coverage is intentional; ","")&amp;IF(AND(ROW()&gt;2,$A251&lt;&gt;"",$A251&lt;&gt;$A250,COUNTIF($A$2:$A250,$A251)&gt;0),"This household appears in more than one section of the census; keep the family together; ","")&amp;IF(OR(AND($C251&lt;&gt;"",LEN($C251&amp;"")&lt;&gt;LEN(TRIM($C251&amp;""))),AND($D251&lt;&gt;"",LEN($D251&amp;"")&lt;&gt;LEN(TRIM($D251&amp;""))),AND($E251&lt;&gt;"",LEN($E251&amp;"")&lt;&gt;LEN(TRIM($E251&amp;""))),AND($F251&lt;&gt;"",LEN($F251&amp;"")&lt;&gt;LEN(TRIM($F251&amp;""))),AND($G251&lt;&gt;"",LEN($G251&amp;"")&lt;&gt;LEN(TRIM($G251&amp;""))),AND($H251&lt;&gt;"",LEN($H251&amp;"")&lt;&gt;LEN(TRIM($H251&amp;""))),AND($I251&lt;&gt;"",LEN($I251&amp;"")&lt;&gt;LEN(TRIM($I251&amp;""))),AND($J251&lt;&gt;"",LEN($J251&amp;"")&lt;&gt;LEN(TRIM($J251&amp;""))),AND($K251&lt;&gt;"",LEN($K251&amp;"")&lt;&gt;LEN(TRIM($K251&amp;""))),AND($M251&lt;&gt;"",LEN($M251&amp;"")&lt;&gt;LEN(TRIM($M251&amp;""))),AND($N251&lt;&gt;"",LEN($N251&amp;"")&lt;&gt;LEN(TRIM($N251&amp;""))),AND($O251&lt;&gt;"",LEN($O251&amp;"")&lt;&gt;LEN(TRIM($O251&amp;""))),AND($R251&lt;&gt;"",LEN($R251&amp;"")&lt;&gt;LEN(TRIM($R251&amp;""))),AND($S251&lt;&gt;"",LEN($S251&amp;"")&lt;&gt;LEN(TRIM($S251&amp;""))),AND($T251&lt;&gt;"",LEN($T251&amp;"")&lt;&gt;LEN(TRIM($T251&amp;"")))),"Remove leading or trailing spaces from text fields; ","")&amp;IF(OR(AND(LEN($C251)&gt;1,OR(EXACT($C251,UPPER($C251)),EXACT($C251,LOWER($C251)))),AND(LEN($D251)&gt;1,OR(EXACT($D251,UPPER($D251)),EXACT($D251,LOWER($D251)))),AND(LEN($H251)&gt;1,OR(EXACT($H251,UPPER($H251)),EXACT($H251,LOWER($H251))))),"Review capitalization in First Name, Last Name, or City; ","")&amp;IF(AND($N251&lt;&gt;"",NOT(EXACT($N251,LOWER($N251)))),"Email will be standardized to lowercase in the clean output; ","")&amp;IF(AND(OR('START HERE'!$C$8="Initial Enrollment",'START HERE'!$C$8="Open Enrollment"),$R251="Terminated"),"A terminated row is included in an initial or open enrollment file; confirm this is intentional; ",""))</f>
        <v/>
      </c>
      <c r="AE251">
        <f>IF(COUNTA($A251:$U251)=0,"",IF(OR($A251="",AND($A251&lt;&gt;"",NOT(IFERROR(AND(LEN($A251&amp;"")=9,ISNUMBER(--($A251&amp;""))),FALSE))),AND($A251&lt;&gt;"",OR($A251="123456789",$A251="987654321",$A251="012345678",$A251=REPT(LEFT($A251&amp;"",1),9)))),"Employee SSN, ","")&amp;IF(OR(AND($O251&lt;&gt;"",$B251=""),AND($B251&lt;&gt;"",OR(NOT(IFERROR(AND(LEN($B251&amp;"")=9,ISNUMBER(--($B251&amp;""))),FALSE)),$B251=$A251,$B251="123456789",$B251="987654321",$B251="012345678",$B251=REPT(LEFT($B251&amp;"",1),9)))),"Dependent SSN, ","")&amp;IF(OR($C251="",LEN($C251)&gt;19,AND($C251&lt;&gt;"",SUMPRODUCT(--(ROW($1:$19)&lt;=LEN($C251&amp;"")),--ISERROR(FIND(MID($C251&amp;"",ROW($1:$19),1),"ABCDEFGHIJKLMNOPQRSTUVWXYZabcdefghijklmnopqrstuvwxyz .,")))&gt;0)),"First Name, ","")&amp;IF(OR($D251="",LEN($D251)&gt;26,AND($D251&lt;&gt;"",SUMPRODUCT(--(ROW($1:$26)&lt;=LEN($D251&amp;"")),--ISERROR(FIND(MID($D251&amp;"",ROW($1:$26),1),"ABCDEFGHIJKLMNOPQRSTUVWXYZabcdefghijklmnopqrstuvwxyz .,")))&gt;0)),"Last Name, ","")&amp;IF(OR(LEN($E251)&gt;1,AND($E251&lt;&gt;"",SUMPRODUCT(--(ROW($1:$1)&lt;=LEN($E251&amp;"")),--ISERROR(FIND(MID($E251&amp;"",ROW($1:$1),1),"ABCDEFGHIJKLMNOPQRSTUVWXYZabcdefghijklmnopqrstuvwxyz .,")))&gt;0)),"Middle Initial, ","")&amp;IF(OR($F251="",LEN($F251)&gt;75),"Address, ","")&amp;IF(OR($H251="",LEN($H251)&gt;30),"City, ","")&amp;IF(AND($K251="US",OR($I251="",LEN($I251)&lt;&gt;2)),"State, ","")&amp;IF($J251="","ZIP, ","")&amp;IF(OR($K251="",AND($K251&lt;&gt;"US",$K251&lt;&gt;"CA")),"Country, ","")&amp;IF(OR($L251="",AND($L251&lt;&gt;"",OR(NOT(ISNUMBER($L251)),$L251&lt;=DATE(1900,1,1),$L251&gt;TODAY()))),"Birthdate, ","")&amp;IF(AND($N251&lt;&gt;"",NOT(IFERROR(AND(ISNUMBER(SEARCH("@",$N251)),ISNUMBER(SEARCH(".",$N251,SEARCH("@",$N251)+2))),FALSE))),"Email, ","")&amp;IF(OR(AND($B251&lt;&gt;"",$O251=""),AND($O251&lt;&gt;"",$O251&lt;&gt;"Spouse or Common Law Spouse",$O251&lt;&gt;"Domestic Partner",$O251&lt;&gt;"Child",$O251&lt;&gt;"Other",$O251&lt;&gt;"Estate",$O251&lt;&gt;"Unknown")),"Dependent Relationship, ","")&amp;IF($AA251&lt;&gt;"","Household, ","")&amp;IF(OR($P251="",AND($P251&lt;&gt;"",OR(NOT(ISNUMBER($P251)),$P251&lt;=DATE(1900,1,1)))),"Eligibility Date, ","")&amp;IF(OR(AND($R251="Terminated",$Q251=""),AND($Q251&lt;&gt;"",OR(NOT(ISNUMBER($Q251)),$Q251&lt;=DATE(1900,1,1))),AND(ISNUMBER($P251),ISNUMBER($Q251),$Q251&lt;$P251)),"Termination Date, ","")&amp;IF(OR($R251="",AND($R251&lt;&gt;"Active",$R251&lt;&gt;"Terminated"),AND('START HERE'!$C$8="Terminations Only",$R251&lt;&gt;"Terminated")),"Status, ","")&amp;IF($S251="","Plan Name, ","")&amp;IF($T251="","Coverage Level, ","")&amp;IF(AND($U251&lt;&gt;"",OR(NOT(ISNUMBER($U251)),$U251&lt;0)),"Funding, ","")&amp;IF(AND($A251&lt;&gt;"",$S251&lt;&gt;"",COUNTIFS($A$2:$A$501,$A251,$B$2:$B$501,$B251,$S$2:$S$501,$S251)&gt;1),"Duplicate Row, ",""))</f>
        <v/>
      </c>
      <c r="AF251">
        <f>IF(COUNTA($A251:$U251)=0,"",$Y251&amp;$Z251&amp;$AA251&amp;$AB251&amp;$AC251)</f>
        <v/>
      </c>
      <c r="AG251">
        <f>IF($N251="","",LOWER(TRIM($N251)))</f>
        <v/>
      </c>
      <c r="AH251">
        <f>IF($A251="","",COUNTIFS($A$2:$A$501,$A251,$AI$2:$AI$501,1))</f>
        <v/>
      </c>
      <c r="AI251">
        <f>IF(COUNTA($A251:$U251)=0,"",--($AF251&lt;&gt;""))</f>
        <v/>
      </c>
      <c r="AJ251">
        <f>IF(COUNTA($A251:$U251)=0,"",--($AD251&lt;&gt;""))</f>
        <v/>
      </c>
    </row>
    <row r="252" ht="20" customHeight="1">
      <c r="A252" s="80" t="n"/>
      <c r="B252" s="80" t="n"/>
      <c r="C252" s="81" t="n"/>
      <c r="D252" s="81" t="n"/>
      <c r="E252" s="80" t="n"/>
      <c r="F252" s="81" t="n"/>
      <c r="G252" s="81" t="n"/>
      <c r="H252" s="81" t="n"/>
      <c r="I252" s="80" t="n"/>
      <c r="J252" s="80" t="n"/>
      <c r="K252" s="80" t="n"/>
      <c r="L252" s="82" t="n"/>
      <c r="M252" s="80" t="n"/>
      <c r="N252" s="80" t="n"/>
      <c r="O252" s="80" t="n"/>
      <c r="P252" s="82" t="n"/>
      <c r="Q252" s="82" t="n"/>
      <c r="R252" s="80" t="n"/>
      <c r="S252" s="80" t="n"/>
      <c r="T252" s="80" t="n"/>
      <c r="U252" s="83" t="n"/>
      <c r="V252">
        <f>IF($A252="","",IF($A252=$A251,$V251,IF($V251="",0,1-$V251)))</f>
        <v/>
      </c>
      <c r="W252">
        <f>IF($B252&lt;&gt;"",$B252,$A252)</f>
        <v/>
      </c>
      <c r="X252">
        <f>IF(COUNTA($A252:$U252)=0,"",IF(OR($B252&lt;&gt;"",$O252&lt;&gt;""),"Dependent","Employee"))</f>
        <v/>
      </c>
      <c r="Y252">
        <f>IF(COUNTA($A252:$U252)=0,"",IF($A252="","Employee SSN is required; ","")&amp;IF($C252="","First Name is required; ","")&amp;IF(LEN($C252&amp;"")&gt;19,"First Name exceeds 19 characters; ","")&amp;IF(AND($C252&lt;&gt;"",SUMPRODUCT(--(ROW($1:$19)&lt;=LEN($C252&amp;"")),--ISERROR(FIND(MID($C252&amp;"",ROW($1:$19),1),"ABCDEFGHIJKLMNOPQRSTUVWXYZabcdefghijklmnopqrstuvwxyz .,")))&gt;0),"First Name contains unsupported or encoded characters; use plain A-Z letters only; ","")&amp;IF($D252="","Last Name is required; ","")&amp;IF(LEN($D252&amp;"")&gt;26,"Last Name exceeds 26 characters; ","")&amp;IF(AND($D252&lt;&gt;"",SUMPRODUCT(--(ROW($1:$26)&lt;=LEN($D252&amp;"")),--ISERROR(FIND(MID($D252&amp;"",ROW($1:$26),1),"ABCDEFGHIJKLMNOPQRSTUVWXYZabcdefghijklmnopqrstuvwxyz .,")))&gt;0),"Last Name contains unsupported or encoded characters; use plain A-Z letters only; ","")&amp;IF(LEN($E252&amp;"")&gt;1,"Middle Initial may contain only one character; ","")&amp;IF(AND($E252&lt;&gt;"",SUMPRODUCT(--(ROW($1:$1)&lt;=LEN($E252&amp;"")),--ISERROR(FIND(MID($E252&amp;"",ROW($1:$1),1),"ABCDEFGHIJKLMNOPQRSTUVWXYZabcdefghijklmnopqrstuvwxyz .,")))&gt;0),"Middle Initial must be a plain A-Z letter; ","")&amp;IF($F252="","Address is required; ","")&amp;IF(LEN($F252&amp;"")&gt;75,"Address exceeds 75 characters; ","")&amp;IF(LEN($G252&amp;"")&gt;75,"Address 2 exceeds 75 characters; ","")&amp;IF($H252="","City is required; ","")&amp;IF(LEN($H252&amp;"")&gt;30,"City exceeds 30 characters; ","")&amp;IF($K252="","Country is required; ","")&amp;IF(AND($K252&lt;&gt;"",$K252&lt;&gt;"US",$K252&lt;&gt;"CA"),"Country must be US or CA; ","")&amp;IF(AND($K252="US",OR($I252="",LEN($I252&amp;"")&lt;&gt;2)),"Use a 2-letter state code; ","")&amp;IF($J252="","ZIP or postal code is required; ","")&amp;IF(AND($K252="US",$J252&lt;&gt;"",NOT(IFERROR(OR(AND(LEN($J252&amp;"")=5,ISNUMBER(--($J252&amp;""))),AND(LEN($J252&amp;"")=9,ISNUMBER(--($J252&amp;""))),AND(LEN($J252&amp;"")=10,MID($J252&amp;"",6,1)="-",ISNUMBER(--SUBSTITUTE($J252&amp;"","-","")))),FALSE))),"US ZIP must be 5 or 9 digits, with an optional ZIP+4 hyphen; ","")&amp;IF(AND($N252&lt;&gt;"",NOT(IFERROR(AND(ISNUMBER(SEARCH("@",$N252)),ISNUMBER(SEARCH(".",$N252,SEARCH("@",$N252)+2))),FALSE))),"Email format appears invalid; ","")&amp;IF(AND($O252&lt;&gt;"",$B252=""),"Dependent SSN is required for every dependent; ","")&amp;IF(AND($B252&lt;&gt;"",$O252=""),"Dependent Relationship is required when Dependent SSN is entered; ","")&amp;IF(AND($O252&lt;&gt;"",$O252&lt;&gt;"Spouse or Common Law Spouse",$O252&lt;&gt;"Domestic Partner",$O252&lt;&gt;"Child",$O252&lt;&gt;"Other",$O252&lt;&gt;"Estate",$O252&lt;&gt;"Unknown"),"Dependent Relationship must use one of the approved options; ",""))</f>
        <v/>
      </c>
      <c r="Z252">
        <f>IF(COUNTA($A252:$U252)=0,"",IF(AND($A252&lt;&gt;"",NOT(IFERROR(AND(LEN($A252&amp;"")=9,ISNUMBER(--($A252&amp;""))),FALSE))),"Employee SSN must contain exactly 9 digits; ","")&amp;IF(AND($A252&lt;&gt;"",OR($A252="123456789",$A252="987654321",$A252="012345678",$A252=REPT(LEFT($A252&amp;"",1),9))),"Employee SSN appears to be a placeholder; ","")&amp;IF(AND($B252&lt;&gt;"",NOT(IFERROR(AND(LEN($B252&amp;"")=9,ISNUMBER(--($B252&amp;""))),FALSE))),"Dependent SSN must contain exactly 9 digits; ","")&amp;IF(AND($B252&lt;&gt;"",OR($B252="123456789",$B252="987654321",$B252="012345678",$B252=REPT(LEFT($B252&amp;"",1),9))),"Dependent SSN appears to be a placeholder; ","")&amp;IF(AND($A252&lt;&gt;"",$B252&lt;&gt;"",$A252&amp;""=$B252&amp;""),"Dependent SSN cannot match Employee SSN; ","")&amp;IF(AND($W252&lt;&gt;"",OR(COUNTIFS($W$2:$W$501,$W252,$C$2:$C$501,"&lt;&gt;"&amp;$C252)&gt;0,COUNTIFS($W$2:$W$501,$W252,$D$2:$D$501,"&lt;&gt;"&amp;$D252)&gt;0,COUNTIFS($W$2:$W$501,$W252,$L$2:$L$501,"&lt;&gt;"&amp;$L252)&gt;0)),"The same SSN is associated with a different name or birthdate; ",""))</f>
        <v/>
      </c>
      <c r="AA252">
        <f>IF(COUNTA($A252:$U252)=0,"",IF(AND($A252&lt;&gt;"",$S252&lt;&gt;"",COUNTIFS($A$2:$A$501,$A252,$S$2:$S$501,$S252,$B$2:$B$501,"",$O$2:$O$501,"")=0),"Add an employee row for this household and plan; ","")&amp;IF(AND($X252="Dependent",COUNTIFS($A$2:$A252,$A252,$S$2:$S252,$S252,$B$2:$B252,"",$O$2:$O252,"")=0),"Place the employee row before dependent rows for this plan; ","")&amp;IF(AND($X252="Dependent",COUNTIFS($A$2:$A$501,$A252,$S$2:$S$501,$S252,$B$2:$B$501,"",$O$2:$O$501,"")&gt;0,IFERROR(OR($P252&lt;&gt;LOOKUP(2,1/(($A$2:$A$501=$A252)*($S$2:$S$501=$S252)*($B$2:$B$501="")*($O$2:$O$501="")),$P$2:$P$501),$Q252&lt;&gt;LOOKUP(2,1/(($A$2:$A$501=$A252)*($S$2:$S$501=$S252)*($B$2:$B$501="")*($O$2:$O$501="")),$Q$2:$Q$501),$R252&lt;&gt;LOOKUP(2,1/(($A$2:$A$501=$A252)*($S$2:$S$501=$S252)*($B$2:$B$501="")*($O$2:$O$501="")),$R$2:$R$501),$T252&lt;&gt;LOOKUP(2,1/(($A$2:$A$501=$A252)*($S$2:$S$501=$S252)*($B$2:$B$501="")*($O$2:$O$501="")),$T$2:$T$501),$U252&lt;&gt;LOOKUP(2,1/(($A$2:$A$501=$A252)*($S$2:$S$501=$S252)*($B$2:$B$501="")*($O$2:$O$501="")),$U$2:$U$501)),FALSE)),"Dependent row does not match the employee row for eligibility, status, coverage level, or funding; ",""))</f>
        <v/>
      </c>
      <c r="AB252">
        <f>IF(COUNTA($A252:$U252)=0,"",IF($L252="","Birthdate is required; ","")&amp;IF(AND($L252&lt;&gt;"",OR(NOT(ISNUMBER($L252)),$L252&lt;=DATE(1900,1,1),$L252&gt;TODAY())),"Birthdate must be an exact valid past date; ","")&amp;IF($P252="","Eligibility Date is required; ","")&amp;IF(AND($P252&lt;&gt;"",OR(NOT(ISNUMBER($P252)),$P252&lt;=DATE(1900,1,1))),"Eligibility Date must be a valid date; ","")&amp;IF(AND($R252="Terminated",$Q252=""),"Termination Date is required when Status is Terminated; ","")&amp;IF(AND($Q252&lt;&gt;"",OR(NOT(ISNUMBER($Q252)),$Q252&lt;=DATE(1900,1,1))),"Termination Date must be a valid date; ","")&amp;IF(AND(ISNUMBER($P252),ISNUMBER($Q252),$Q252&lt;$P252),"Termination Date cannot be before Eligibility Date; ","")&amp;IF($R252="","Status is required; ","")&amp;IF(AND($R252&lt;&gt;"",$R252&lt;&gt;"Active",$R252&lt;&gt;"Terminated"),"Status must be Active or Terminated; ","")&amp;IF(AND('START HERE'!$C$8="Terminations Only",$R252&lt;&gt;"Terminated"),"Terminations Only files must contain terminated records; ",""))</f>
        <v/>
      </c>
      <c r="AC252">
        <f>IF(COUNTA($A252:$U252)=0,"",IF($S252="","Plan Name is required; ","")&amp;IF($T252="","Benefit Coverage Level is required; ","")&amp;IF(AND($U252&lt;&gt;"",OR(NOT(ISNUMBER($U252)),$U252&lt;0)),"Plan Funding Amount must be a nonnegative number; ","")&amp;IF(AND($A252&lt;&gt;"",$S252&lt;&gt;"",COUNTIFS($A$2:$A$501,$A252,$B$2:$B$501,$B252,$S$2:$S$501,$S252)&gt;1),"Duplicate participant and plan row; ",""))</f>
        <v/>
      </c>
      <c r="AD252">
        <f>IF(COUNTA($A252:$U252)=0,"",IF(AND($X252="Employee",$M252="",$N252=""),"No employee phone or email provided; ","")&amp;IF(AND($R252="Active",$Q252&lt;&gt;""),"Active record includes a Termination Date; confirm this is intentional; ","")&amp;IF(AND($B252&lt;&gt;"",$B252&amp;""&lt;&gt;$A252&amp;"",COUNTIF($A$2:$A$501,$B252)&gt;0),"Dependent SSN also appears as an Employee SSN elsewhere; confirm dual-employee coverage is intentional; ","")&amp;IF(AND($B252&lt;&gt;"",COUNTIF($B$2:$B$501,$B252)&gt;COUNTIFS($A$2:$A$501,$A252,$B$2:$B$501,$B252)),"Dependent SSN appears under more than one employee; confirm duplicate family coverage is intentional; ","")&amp;IF(AND(ROW()&gt;2,$A252&lt;&gt;"",$A252&lt;&gt;$A251,COUNTIF($A$2:$A251,$A252)&gt;0),"This household appears in more than one section of the census; keep the family together; ","")&amp;IF(OR(AND($C252&lt;&gt;"",LEN($C252&amp;"")&lt;&gt;LEN(TRIM($C252&amp;""))),AND($D252&lt;&gt;"",LEN($D252&amp;"")&lt;&gt;LEN(TRIM($D252&amp;""))),AND($E252&lt;&gt;"",LEN($E252&amp;"")&lt;&gt;LEN(TRIM($E252&amp;""))),AND($F252&lt;&gt;"",LEN($F252&amp;"")&lt;&gt;LEN(TRIM($F252&amp;""))),AND($G252&lt;&gt;"",LEN($G252&amp;"")&lt;&gt;LEN(TRIM($G252&amp;""))),AND($H252&lt;&gt;"",LEN($H252&amp;"")&lt;&gt;LEN(TRIM($H252&amp;""))),AND($I252&lt;&gt;"",LEN($I252&amp;"")&lt;&gt;LEN(TRIM($I252&amp;""))),AND($J252&lt;&gt;"",LEN($J252&amp;"")&lt;&gt;LEN(TRIM($J252&amp;""))),AND($K252&lt;&gt;"",LEN($K252&amp;"")&lt;&gt;LEN(TRIM($K252&amp;""))),AND($M252&lt;&gt;"",LEN($M252&amp;"")&lt;&gt;LEN(TRIM($M252&amp;""))),AND($N252&lt;&gt;"",LEN($N252&amp;"")&lt;&gt;LEN(TRIM($N252&amp;""))),AND($O252&lt;&gt;"",LEN($O252&amp;"")&lt;&gt;LEN(TRIM($O252&amp;""))),AND($R252&lt;&gt;"",LEN($R252&amp;"")&lt;&gt;LEN(TRIM($R252&amp;""))),AND($S252&lt;&gt;"",LEN($S252&amp;"")&lt;&gt;LEN(TRIM($S252&amp;""))),AND($T252&lt;&gt;"",LEN($T252&amp;"")&lt;&gt;LEN(TRIM($T252&amp;"")))),"Remove leading or trailing spaces from text fields; ","")&amp;IF(OR(AND(LEN($C252)&gt;1,OR(EXACT($C252,UPPER($C252)),EXACT($C252,LOWER($C252)))),AND(LEN($D252)&gt;1,OR(EXACT($D252,UPPER($D252)),EXACT($D252,LOWER($D252)))),AND(LEN($H252)&gt;1,OR(EXACT($H252,UPPER($H252)),EXACT($H252,LOWER($H252))))),"Review capitalization in First Name, Last Name, or City; ","")&amp;IF(AND($N252&lt;&gt;"",NOT(EXACT($N252,LOWER($N252)))),"Email will be standardized to lowercase in the clean output; ","")&amp;IF(AND(OR('START HERE'!$C$8="Initial Enrollment",'START HERE'!$C$8="Open Enrollment"),$R252="Terminated"),"A terminated row is included in an initial or open enrollment file; confirm this is intentional; ",""))</f>
        <v/>
      </c>
      <c r="AE252">
        <f>IF(COUNTA($A252:$U252)=0,"",IF(OR($A252="",AND($A252&lt;&gt;"",NOT(IFERROR(AND(LEN($A252&amp;"")=9,ISNUMBER(--($A252&amp;""))),FALSE))),AND($A252&lt;&gt;"",OR($A252="123456789",$A252="987654321",$A252="012345678",$A252=REPT(LEFT($A252&amp;"",1),9)))),"Employee SSN, ","")&amp;IF(OR(AND($O252&lt;&gt;"",$B252=""),AND($B252&lt;&gt;"",OR(NOT(IFERROR(AND(LEN($B252&amp;"")=9,ISNUMBER(--($B252&amp;""))),FALSE)),$B252=$A252,$B252="123456789",$B252="987654321",$B252="012345678",$B252=REPT(LEFT($B252&amp;"",1),9)))),"Dependent SSN, ","")&amp;IF(OR($C252="",LEN($C252)&gt;19,AND($C252&lt;&gt;"",SUMPRODUCT(--(ROW($1:$19)&lt;=LEN($C252&amp;"")),--ISERROR(FIND(MID($C252&amp;"",ROW($1:$19),1),"ABCDEFGHIJKLMNOPQRSTUVWXYZabcdefghijklmnopqrstuvwxyz .,")))&gt;0)),"First Name, ","")&amp;IF(OR($D252="",LEN($D252)&gt;26,AND($D252&lt;&gt;"",SUMPRODUCT(--(ROW($1:$26)&lt;=LEN($D252&amp;"")),--ISERROR(FIND(MID($D252&amp;"",ROW($1:$26),1),"ABCDEFGHIJKLMNOPQRSTUVWXYZabcdefghijklmnopqrstuvwxyz .,")))&gt;0)),"Last Name, ","")&amp;IF(OR(LEN($E252)&gt;1,AND($E252&lt;&gt;"",SUMPRODUCT(--(ROW($1:$1)&lt;=LEN($E252&amp;"")),--ISERROR(FIND(MID($E252&amp;"",ROW($1:$1),1),"ABCDEFGHIJKLMNOPQRSTUVWXYZabcdefghijklmnopqrstuvwxyz .,")))&gt;0)),"Middle Initial, ","")&amp;IF(OR($F252="",LEN($F252)&gt;75),"Address, ","")&amp;IF(OR($H252="",LEN($H252)&gt;30),"City, ","")&amp;IF(AND($K252="US",OR($I252="",LEN($I252)&lt;&gt;2)),"State, ","")&amp;IF($J252="","ZIP, ","")&amp;IF(OR($K252="",AND($K252&lt;&gt;"US",$K252&lt;&gt;"CA")),"Country, ","")&amp;IF(OR($L252="",AND($L252&lt;&gt;"",OR(NOT(ISNUMBER($L252)),$L252&lt;=DATE(1900,1,1),$L252&gt;TODAY()))),"Birthdate, ","")&amp;IF(AND($N252&lt;&gt;"",NOT(IFERROR(AND(ISNUMBER(SEARCH("@",$N252)),ISNUMBER(SEARCH(".",$N252,SEARCH("@",$N252)+2))),FALSE))),"Email, ","")&amp;IF(OR(AND($B252&lt;&gt;"",$O252=""),AND($O252&lt;&gt;"",$O252&lt;&gt;"Spouse or Common Law Spouse",$O252&lt;&gt;"Domestic Partner",$O252&lt;&gt;"Child",$O252&lt;&gt;"Other",$O252&lt;&gt;"Estate",$O252&lt;&gt;"Unknown")),"Dependent Relationship, ","")&amp;IF($AA252&lt;&gt;"","Household, ","")&amp;IF(OR($P252="",AND($P252&lt;&gt;"",OR(NOT(ISNUMBER($P252)),$P252&lt;=DATE(1900,1,1)))),"Eligibility Date, ","")&amp;IF(OR(AND($R252="Terminated",$Q252=""),AND($Q252&lt;&gt;"",OR(NOT(ISNUMBER($Q252)),$Q252&lt;=DATE(1900,1,1))),AND(ISNUMBER($P252),ISNUMBER($Q252),$Q252&lt;$P252)),"Termination Date, ","")&amp;IF(OR($R252="",AND($R252&lt;&gt;"Active",$R252&lt;&gt;"Terminated"),AND('START HERE'!$C$8="Terminations Only",$R252&lt;&gt;"Terminated")),"Status, ","")&amp;IF($S252="","Plan Name, ","")&amp;IF($T252="","Coverage Level, ","")&amp;IF(AND($U252&lt;&gt;"",OR(NOT(ISNUMBER($U252)),$U252&lt;0)),"Funding, ","")&amp;IF(AND($A252&lt;&gt;"",$S252&lt;&gt;"",COUNTIFS($A$2:$A$501,$A252,$B$2:$B$501,$B252,$S$2:$S$501,$S252)&gt;1),"Duplicate Row, ",""))</f>
        <v/>
      </c>
      <c r="AF252">
        <f>IF(COUNTA($A252:$U252)=0,"",$Y252&amp;$Z252&amp;$AA252&amp;$AB252&amp;$AC252)</f>
        <v/>
      </c>
      <c r="AG252">
        <f>IF($N252="","",LOWER(TRIM($N252)))</f>
        <v/>
      </c>
      <c r="AH252">
        <f>IF($A252="","",COUNTIFS($A$2:$A$501,$A252,$AI$2:$AI$501,1))</f>
        <v/>
      </c>
      <c r="AI252">
        <f>IF(COUNTA($A252:$U252)=0,"",--($AF252&lt;&gt;""))</f>
        <v/>
      </c>
      <c r="AJ252">
        <f>IF(COUNTA($A252:$U252)=0,"",--($AD252&lt;&gt;""))</f>
        <v/>
      </c>
    </row>
    <row r="253" ht="20" customHeight="1">
      <c r="A253" s="80" t="n"/>
      <c r="B253" s="80" t="n"/>
      <c r="C253" s="81" t="n"/>
      <c r="D253" s="81" t="n"/>
      <c r="E253" s="80" t="n"/>
      <c r="F253" s="81" t="n"/>
      <c r="G253" s="81" t="n"/>
      <c r="H253" s="81" t="n"/>
      <c r="I253" s="80" t="n"/>
      <c r="J253" s="80" t="n"/>
      <c r="K253" s="80" t="n"/>
      <c r="L253" s="82" t="n"/>
      <c r="M253" s="80" t="n"/>
      <c r="N253" s="80" t="n"/>
      <c r="O253" s="80" t="n"/>
      <c r="P253" s="82" t="n"/>
      <c r="Q253" s="82" t="n"/>
      <c r="R253" s="80" t="n"/>
      <c r="S253" s="80" t="n"/>
      <c r="T253" s="80" t="n"/>
      <c r="U253" s="83" t="n"/>
      <c r="V253">
        <f>IF($A253="","",IF($A253=$A252,$V252,IF($V252="",0,1-$V252)))</f>
        <v/>
      </c>
      <c r="W253">
        <f>IF($B253&lt;&gt;"",$B253,$A253)</f>
        <v/>
      </c>
      <c r="X253">
        <f>IF(COUNTA($A253:$U253)=0,"",IF(OR($B253&lt;&gt;"",$O253&lt;&gt;""),"Dependent","Employee"))</f>
        <v/>
      </c>
      <c r="Y253">
        <f>IF(COUNTA($A253:$U253)=0,"",IF($A253="","Employee SSN is required; ","")&amp;IF($C253="","First Name is required; ","")&amp;IF(LEN($C253&amp;"")&gt;19,"First Name exceeds 19 characters; ","")&amp;IF(AND($C253&lt;&gt;"",SUMPRODUCT(--(ROW($1:$19)&lt;=LEN($C253&amp;"")),--ISERROR(FIND(MID($C253&amp;"",ROW($1:$19),1),"ABCDEFGHIJKLMNOPQRSTUVWXYZabcdefghijklmnopqrstuvwxyz .,")))&gt;0),"First Name contains unsupported or encoded characters; use plain A-Z letters only; ","")&amp;IF($D253="","Last Name is required; ","")&amp;IF(LEN($D253&amp;"")&gt;26,"Last Name exceeds 26 characters; ","")&amp;IF(AND($D253&lt;&gt;"",SUMPRODUCT(--(ROW($1:$26)&lt;=LEN($D253&amp;"")),--ISERROR(FIND(MID($D253&amp;"",ROW($1:$26),1),"ABCDEFGHIJKLMNOPQRSTUVWXYZabcdefghijklmnopqrstuvwxyz .,")))&gt;0),"Last Name contains unsupported or encoded characters; use plain A-Z letters only; ","")&amp;IF(LEN($E253&amp;"")&gt;1,"Middle Initial may contain only one character; ","")&amp;IF(AND($E253&lt;&gt;"",SUMPRODUCT(--(ROW($1:$1)&lt;=LEN($E253&amp;"")),--ISERROR(FIND(MID($E253&amp;"",ROW($1:$1),1),"ABCDEFGHIJKLMNOPQRSTUVWXYZabcdefghijklmnopqrstuvwxyz .,")))&gt;0),"Middle Initial must be a plain A-Z letter; ","")&amp;IF($F253="","Address is required; ","")&amp;IF(LEN($F253&amp;"")&gt;75,"Address exceeds 75 characters; ","")&amp;IF(LEN($G253&amp;"")&gt;75,"Address 2 exceeds 75 characters; ","")&amp;IF($H253="","City is required; ","")&amp;IF(LEN($H253&amp;"")&gt;30,"City exceeds 30 characters; ","")&amp;IF($K253="","Country is required; ","")&amp;IF(AND($K253&lt;&gt;"",$K253&lt;&gt;"US",$K253&lt;&gt;"CA"),"Country must be US or CA; ","")&amp;IF(AND($K253="US",OR($I253="",LEN($I253&amp;"")&lt;&gt;2)),"Use a 2-letter state code; ","")&amp;IF($J253="","ZIP or postal code is required; ","")&amp;IF(AND($K253="US",$J253&lt;&gt;"",NOT(IFERROR(OR(AND(LEN($J253&amp;"")=5,ISNUMBER(--($J253&amp;""))),AND(LEN($J253&amp;"")=9,ISNUMBER(--($J253&amp;""))),AND(LEN($J253&amp;"")=10,MID($J253&amp;"",6,1)="-",ISNUMBER(--SUBSTITUTE($J253&amp;"","-","")))),FALSE))),"US ZIP must be 5 or 9 digits, with an optional ZIP+4 hyphen; ","")&amp;IF(AND($N253&lt;&gt;"",NOT(IFERROR(AND(ISNUMBER(SEARCH("@",$N253)),ISNUMBER(SEARCH(".",$N253,SEARCH("@",$N253)+2))),FALSE))),"Email format appears invalid; ","")&amp;IF(AND($O253&lt;&gt;"",$B253=""),"Dependent SSN is required for every dependent; ","")&amp;IF(AND($B253&lt;&gt;"",$O253=""),"Dependent Relationship is required when Dependent SSN is entered; ","")&amp;IF(AND($O253&lt;&gt;"",$O253&lt;&gt;"Spouse or Common Law Spouse",$O253&lt;&gt;"Domestic Partner",$O253&lt;&gt;"Child",$O253&lt;&gt;"Other",$O253&lt;&gt;"Estate",$O253&lt;&gt;"Unknown"),"Dependent Relationship must use one of the approved options; ",""))</f>
        <v/>
      </c>
      <c r="Z253">
        <f>IF(COUNTA($A253:$U253)=0,"",IF(AND($A253&lt;&gt;"",NOT(IFERROR(AND(LEN($A253&amp;"")=9,ISNUMBER(--($A253&amp;""))),FALSE))),"Employee SSN must contain exactly 9 digits; ","")&amp;IF(AND($A253&lt;&gt;"",OR($A253="123456789",$A253="987654321",$A253="012345678",$A253=REPT(LEFT($A253&amp;"",1),9))),"Employee SSN appears to be a placeholder; ","")&amp;IF(AND($B253&lt;&gt;"",NOT(IFERROR(AND(LEN($B253&amp;"")=9,ISNUMBER(--($B253&amp;""))),FALSE))),"Dependent SSN must contain exactly 9 digits; ","")&amp;IF(AND($B253&lt;&gt;"",OR($B253="123456789",$B253="987654321",$B253="012345678",$B253=REPT(LEFT($B253&amp;"",1),9))),"Dependent SSN appears to be a placeholder; ","")&amp;IF(AND($A253&lt;&gt;"",$B253&lt;&gt;"",$A253&amp;""=$B253&amp;""),"Dependent SSN cannot match Employee SSN; ","")&amp;IF(AND($W253&lt;&gt;"",OR(COUNTIFS($W$2:$W$501,$W253,$C$2:$C$501,"&lt;&gt;"&amp;$C253)&gt;0,COUNTIFS($W$2:$W$501,$W253,$D$2:$D$501,"&lt;&gt;"&amp;$D253)&gt;0,COUNTIFS($W$2:$W$501,$W253,$L$2:$L$501,"&lt;&gt;"&amp;$L253)&gt;0)),"The same SSN is associated with a different name or birthdate; ",""))</f>
        <v/>
      </c>
      <c r="AA253">
        <f>IF(COUNTA($A253:$U253)=0,"",IF(AND($A253&lt;&gt;"",$S253&lt;&gt;"",COUNTIFS($A$2:$A$501,$A253,$S$2:$S$501,$S253,$B$2:$B$501,"",$O$2:$O$501,"")=0),"Add an employee row for this household and plan; ","")&amp;IF(AND($X253="Dependent",COUNTIFS($A$2:$A253,$A253,$S$2:$S253,$S253,$B$2:$B253,"",$O$2:$O253,"")=0),"Place the employee row before dependent rows for this plan; ","")&amp;IF(AND($X253="Dependent",COUNTIFS($A$2:$A$501,$A253,$S$2:$S$501,$S253,$B$2:$B$501,"",$O$2:$O$501,"")&gt;0,IFERROR(OR($P253&lt;&gt;LOOKUP(2,1/(($A$2:$A$501=$A253)*($S$2:$S$501=$S253)*($B$2:$B$501="")*($O$2:$O$501="")),$P$2:$P$501),$Q253&lt;&gt;LOOKUP(2,1/(($A$2:$A$501=$A253)*($S$2:$S$501=$S253)*($B$2:$B$501="")*($O$2:$O$501="")),$Q$2:$Q$501),$R253&lt;&gt;LOOKUP(2,1/(($A$2:$A$501=$A253)*($S$2:$S$501=$S253)*($B$2:$B$501="")*($O$2:$O$501="")),$R$2:$R$501),$T253&lt;&gt;LOOKUP(2,1/(($A$2:$A$501=$A253)*($S$2:$S$501=$S253)*($B$2:$B$501="")*($O$2:$O$501="")),$T$2:$T$501),$U253&lt;&gt;LOOKUP(2,1/(($A$2:$A$501=$A253)*($S$2:$S$501=$S253)*($B$2:$B$501="")*($O$2:$O$501="")),$U$2:$U$501)),FALSE)),"Dependent row does not match the employee row for eligibility, status, coverage level, or funding; ",""))</f>
        <v/>
      </c>
      <c r="AB253">
        <f>IF(COUNTA($A253:$U253)=0,"",IF($L253="","Birthdate is required; ","")&amp;IF(AND($L253&lt;&gt;"",OR(NOT(ISNUMBER($L253)),$L253&lt;=DATE(1900,1,1),$L253&gt;TODAY())),"Birthdate must be an exact valid past date; ","")&amp;IF($P253="","Eligibility Date is required; ","")&amp;IF(AND($P253&lt;&gt;"",OR(NOT(ISNUMBER($P253)),$P253&lt;=DATE(1900,1,1))),"Eligibility Date must be a valid date; ","")&amp;IF(AND($R253="Terminated",$Q253=""),"Termination Date is required when Status is Terminated; ","")&amp;IF(AND($Q253&lt;&gt;"",OR(NOT(ISNUMBER($Q253)),$Q253&lt;=DATE(1900,1,1))),"Termination Date must be a valid date; ","")&amp;IF(AND(ISNUMBER($P253),ISNUMBER($Q253),$Q253&lt;$P253),"Termination Date cannot be before Eligibility Date; ","")&amp;IF($R253="","Status is required; ","")&amp;IF(AND($R253&lt;&gt;"",$R253&lt;&gt;"Active",$R253&lt;&gt;"Terminated"),"Status must be Active or Terminated; ","")&amp;IF(AND('START HERE'!$C$8="Terminations Only",$R253&lt;&gt;"Terminated"),"Terminations Only files must contain terminated records; ",""))</f>
        <v/>
      </c>
      <c r="AC253">
        <f>IF(COUNTA($A253:$U253)=0,"",IF($S253="","Plan Name is required; ","")&amp;IF($T253="","Benefit Coverage Level is required; ","")&amp;IF(AND($U253&lt;&gt;"",OR(NOT(ISNUMBER($U253)),$U253&lt;0)),"Plan Funding Amount must be a nonnegative number; ","")&amp;IF(AND($A253&lt;&gt;"",$S253&lt;&gt;"",COUNTIFS($A$2:$A$501,$A253,$B$2:$B$501,$B253,$S$2:$S$501,$S253)&gt;1),"Duplicate participant and plan row; ",""))</f>
        <v/>
      </c>
      <c r="AD253">
        <f>IF(COUNTA($A253:$U253)=0,"",IF(AND($X253="Employee",$M253="",$N253=""),"No employee phone or email provided; ","")&amp;IF(AND($R253="Active",$Q253&lt;&gt;""),"Active record includes a Termination Date; confirm this is intentional; ","")&amp;IF(AND($B253&lt;&gt;"",$B253&amp;""&lt;&gt;$A253&amp;"",COUNTIF($A$2:$A$501,$B253)&gt;0),"Dependent SSN also appears as an Employee SSN elsewhere; confirm dual-employee coverage is intentional; ","")&amp;IF(AND($B253&lt;&gt;"",COUNTIF($B$2:$B$501,$B253)&gt;COUNTIFS($A$2:$A$501,$A253,$B$2:$B$501,$B253)),"Dependent SSN appears under more than one employee; confirm duplicate family coverage is intentional; ","")&amp;IF(AND(ROW()&gt;2,$A253&lt;&gt;"",$A253&lt;&gt;$A252,COUNTIF($A$2:$A252,$A253)&gt;0),"This household appears in more than one section of the census; keep the family together; ","")&amp;IF(OR(AND($C253&lt;&gt;"",LEN($C253&amp;"")&lt;&gt;LEN(TRIM($C253&amp;""))),AND($D253&lt;&gt;"",LEN($D253&amp;"")&lt;&gt;LEN(TRIM($D253&amp;""))),AND($E253&lt;&gt;"",LEN($E253&amp;"")&lt;&gt;LEN(TRIM($E253&amp;""))),AND($F253&lt;&gt;"",LEN($F253&amp;"")&lt;&gt;LEN(TRIM($F253&amp;""))),AND($G253&lt;&gt;"",LEN($G253&amp;"")&lt;&gt;LEN(TRIM($G253&amp;""))),AND($H253&lt;&gt;"",LEN($H253&amp;"")&lt;&gt;LEN(TRIM($H253&amp;""))),AND($I253&lt;&gt;"",LEN($I253&amp;"")&lt;&gt;LEN(TRIM($I253&amp;""))),AND($J253&lt;&gt;"",LEN($J253&amp;"")&lt;&gt;LEN(TRIM($J253&amp;""))),AND($K253&lt;&gt;"",LEN($K253&amp;"")&lt;&gt;LEN(TRIM($K253&amp;""))),AND($M253&lt;&gt;"",LEN($M253&amp;"")&lt;&gt;LEN(TRIM($M253&amp;""))),AND($N253&lt;&gt;"",LEN($N253&amp;"")&lt;&gt;LEN(TRIM($N253&amp;""))),AND($O253&lt;&gt;"",LEN($O253&amp;"")&lt;&gt;LEN(TRIM($O253&amp;""))),AND($R253&lt;&gt;"",LEN($R253&amp;"")&lt;&gt;LEN(TRIM($R253&amp;""))),AND($S253&lt;&gt;"",LEN($S253&amp;"")&lt;&gt;LEN(TRIM($S253&amp;""))),AND($T253&lt;&gt;"",LEN($T253&amp;"")&lt;&gt;LEN(TRIM($T253&amp;"")))),"Remove leading or trailing spaces from text fields; ","")&amp;IF(OR(AND(LEN($C253)&gt;1,OR(EXACT($C253,UPPER($C253)),EXACT($C253,LOWER($C253)))),AND(LEN($D253)&gt;1,OR(EXACT($D253,UPPER($D253)),EXACT($D253,LOWER($D253)))),AND(LEN($H253)&gt;1,OR(EXACT($H253,UPPER($H253)),EXACT($H253,LOWER($H253))))),"Review capitalization in First Name, Last Name, or City; ","")&amp;IF(AND($N253&lt;&gt;"",NOT(EXACT($N253,LOWER($N253)))),"Email will be standardized to lowercase in the clean output; ","")&amp;IF(AND(OR('START HERE'!$C$8="Initial Enrollment",'START HERE'!$C$8="Open Enrollment"),$R253="Terminated"),"A terminated row is included in an initial or open enrollment file; confirm this is intentional; ",""))</f>
        <v/>
      </c>
      <c r="AE253">
        <f>IF(COUNTA($A253:$U253)=0,"",IF(OR($A253="",AND($A253&lt;&gt;"",NOT(IFERROR(AND(LEN($A253&amp;"")=9,ISNUMBER(--($A253&amp;""))),FALSE))),AND($A253&lt;&gt;"",OR($A253="123456789",$A253="987654321",$A253="012345678",$A253=REPT(LEFT($A253&amp;"",1),9)))),"Employee SSN, ","")&amp;IF(OR(AND($O253&lt;&gt;"",$B253=""),AND($B253&lt;&gt;"",OR(NOT(IFERROR(AND(LEN($B253&amp;"")=9,ISNUMBER(--($B253&amp;""))),FALSE)),$B253=$A253,$B253="123456789",$B253="987654321",$B253="012345678",$B253=REPT(LEFT($B253&amp;"",1),9)))),"Dependent SSN, ","")&amp;IF(OR($C253="",LEN($C253)&gt;19,AND($C253&lt;&gt;"",SUMPRODUCT(--(ROW($1:$19)&lt;=LEN($C253&amp;"")),--ISERROR(FIND(MID($C253&amp;"",ROW($1:$19),1),"ABCDEFGHIJKLMNOPQRSTUVWXYZabcdefghijklmnopqrstuvwxyz .,")))&gt;0)),"First Name, ","")&amp;IF(OR($D253="",LEN($D253)&gt;26,AND($D253&lt;&gt;"",SUMPRODUCT(--(ROW($1:$26)&lt;=LEN($D253&amp;"")),--ISERROR(FIND(MID($D253&amp;"",ROW($1:$26),1),"ABCDEFGHIJKLMNOPQRSTUVWXYZabcdefghijklmnopqrstuvwxyz .,")))&gt;0)),"Last Name, ","")&amp;IF(OR(LEN($E253)&gt;1,AND($E253&lt;&gt;"",SUMPRODUCT(--(ROW($1:$1)&lt;=LEN($E253&amp;"")),--ISERROR(FIND(MID($E253&amp;"",ROW($1:$1),1),"ABCDEFGHIJKLMNOPQRSTUVWXYZabcdefghijklmnopqrstuvwxyz .,")))&gt;0)),"Middle Initial, ","")&amp;IF(OR($F253="",LEN($F253)&gt;75),"Address, ","")&amp;IF(OR($H253="",LEN($H253)&gt;30),"City, ","")&amp;IF(AND($K253="US",OR($I253="",LEN($I253)&lt;&gt;2)),"State, ","")&amp;IF($J253="","ZIP, ","")&amp;IF(OR($K253="",AND($K253&lt;&gt;"US",$K253&lt;&gt;"CA")),"Country, ","")&amp;IF(OR($L253="",AND($L253&lt;&gt;"",OR(NOT(ISNUMBER($L253)),$L253&lt;=DATE(1900,1,1),$L253&gt;TODAY()))),"Birthdate, ","")&amp;IF(AND($N253&lt;&gt;"",NOT(IFERROR(AND(ISNUMBER(SEARCH("@",$N253)),ISNUMBER(SEARCH(".",$N253,SEARCH("@",$N253)+2))),FALSE))),"Email, ","")&amp;IF(OR(AND($B253&lt;&gt;"",$O253=""),AND($O253&lt;&gt;"",$O253&lt;&gt;"Spouse or Common Law Spouse",$O253&lt;&gt;"Domestic Partner",$O253&lt;&gt;"Child",$O253&lt;&gt;"Other",$O253&lt;&gt;"Estate",$O253&lt;&gt;"Unknown")),"Dependent Relationship, ","")&amp;IF($AA253&lt;&gt;"","Household, ","")&amp;IF(OR($P253="",AND($P253&lt;&gt;"",OR(NOT(ISNUMBER($P253)),$P253&lt;=DATE(1900,1,1)))),"Eligibility Date, ","")&amp;IF(OR(AND($R253="Terminated",$Q253=""),AND($Q253&lt;&gt;"",OR(NOT(ISNUMBER($Q253)),$Q253&lt;=DATE(1900,1,1))),AND(ISNUMBER($P253),ISNUMBER($Q253),$Q253&lt;$P253)),"Termination Date, ","")&amp;IF(OR($R253="",AND($R253&lt;&gt;"Active",$R253&lt;&gt;"Terminated"),AND('START HERE'!$C$8="Terminations Only",$R253&lt;&gt;"Terminated")),"Status, ","")&amp;IF($S253="","Plan Name, ","")&amp;IF($T253="","Coverage Level, ","")&amp;IF(AND($U253&lt;&gt;"",OR(NOT(ISNUMBER($U253)),$U253&lt;0)),"Funding, ","")&amp;IF(AND($A253&lt;&gt;"",$S253&lt;&gt;"",COUNTIFS($A$2:$A$501,$A253,$B$2:$B$501,$B253,$S$2:$S$501,$S253)&gt;1),"Duplicate Row, ",""))</f>
        <v/>
      </c>
      <c r="AF253">
        <f>IF(COUNTA($A253:$U253)=0,"",$Y253&amp;$Z253&amp;$AA253&amp;$AB253&amp;$AC253)</f>
        <v/>
      </c>
      <c r="AG253">
        <f>IF($N253="","",LOWER(TRIM($N253)))</f>
        <v/>
      </c>
      <c r="AH253">
        <f>IF($A253="","",COUNTIFS($A$2:$A$501,$A253,$AI$2:$AI$501,1))</f>
        <v/>
      </c>
      <c r="AI253">
        <f>IF(COUNTA($A253:$U253)=0,"",--($AF253&lt;&gt;""))</f>
        <v/>
      </c>
      <c r="AJ253">
        <f>IF(COUNTA($A253:$U253)=0,"",--($AD253&lt;&gt;""))</f>
        <v/>
      </c>
    </row>
    <row r="254" ht="20" customHeight="1">
      <c r="A254" s="80" t="n"/>
      <c r="B254" s="80" t="n"/>
      <c r="C254" s="81" t="n"/>
      <c r="D254" s="81" t="n"/>
      <c r="E254" s="80" t="n"/>
      <c r="F254" s="81" t="n"/>
      <c r="G254" s="81" t="n"/>
      <c r="H254" s="81" t="n"/>
      <c r="I254" s="80" t="n"/>
      <c r="J254" s="80" t="n"/>
      <c r="K254" s="80" t="n"/>
      <c r="L254" s="82" t="n"/>
      <c r="M254" s="80" t="n"/>
      <c r="N254" s="80" t="n"/>
      <c r="O254" s="80" t="n"/>
      <c r="P254" s="82" t="n"/>
      <c r="Q254" s="82" t="n"/>
      <c r="R254" s="80" t="n"/>
      <c r="S254" s="80" t="n"/>
      <c r="T254" s="80" t="n"/>
      <c r="U254" s="83" t="n"/>
      <c r="V254">
        <f>IF($A254="","",IF($A254=$A253,$V253,IF($V253="",0,1-$V253)))</f>
        <v/>
      </c>
      <c r="W254">
        <f>IF($B254&lt;&gt;"",$B254,$A254)</f>
        <v/>
      </c>
      <c r="X254">
        <f>IF(COUNTA($A254:$U254)=0,"",IF(OR($B254&lt;&gt;"",$O254&lt;&gt;""),"Dependent","Employee"))</f>
        <v/>
      </c>
      <c r="Y254">
        <f>IF(COUNTA($A254:$U254)=0,"",IF($A254="","Employee SSN is required; ","")&amp;IF($C254="","First Name is required; ","")&amp;IF(LEN($C254&amp;"")&gt;19,"First Name exceeds 19 characters; ","")&amp;IF(AND($C254&lt;&gt;"",SUMPRODUCT(--(ROW($1:$19)&lt;=LEN($C254&amp;"")),--ISERROR(FIND(MID($C254&amp;"",ROW($1:$19),1),"ABCDEFGHIJKLMNOPQRSTUVWXYZabcdefghijklmnopqrstuvwxyz .,")))&gt;0),"First Name contains unsupported or encoded characters; use plain A-Z letters only; ","")&amp;IF($D254="","Last Name is required; ","")&amp;IF(LEN($D254&amp;"")&gt;26,"Last Name exceeds 26 characters; ","")&amp;IF(AND($D254&lt;&gt;"",SUMPRODUCT(--(ROW($1:$26)&lt;=LEN($D254&amp;"")),--ISERROR(FIND(MID($D254&amp;"",ROW($1:$26),1),"ABCDEFGHIJKLMNOPQRSTUVWXYZabcdefghijklmnopqrstuvwxyz .,")))&gt;0),"Last Name contains unsupported or encoded characters; use plain A-Z letters only; ","")&amp;IF(LEN($E254&amp;"")&gt;1,"Middle Initial may contain only one character; ","")&amp;IF(AND($E254&lt;&gt;"",SUMPRODUCT(--(ROW($1:$1)&lt;=LEN($E254&amp;"")),--ISERROR(FIND(MID($E254&amp;"",ROW($1:$1),1),"ABCDEFGHIJKLMNOPQRSTUVWXYZabcdefghijklmnopqrstuvwxyz .,")))&gt;0),"Middle Initial must be a plain A-Z letter; ","")&amp;IF($F254="","Address is required; ","")&amp;IF(LEN($F254&amp;"")&gt;75,"Address exceeds 75 characters; ","")&amp;IF(LEN($G254&amp;"")&gt;75,"Address 2 exceeds 75 characters; ","")&amp;IF($H254="","City is required; ","")&amp;IF(LEN($H254&amp;"")&gt;30,"City exceeds 30 characters; ","")&amp;IF($K254="","Country is required; ","")&amp;IF(AND($K254&lt;&gt;"",$K254&lt;&gt;"US",$K254&lt;&gt;"CA"),"Country must be US or CA; ","")&amp;IF(AND($K254="US",OR($I254="",LEN($I254&amp;"")&lt;&gt;2)),"Use a 2-letter state code; ","")&amp;IF($J254="","ZIP or postal code is required; ","")&amp;IF(AND($K254="US",$J254&lt;&gt;"",NOT(IFERROR(OR(AND(LEN($J254&amp;"")=5,ISNUMBER(--($J254&amp;""))),AND(LEN($J254&amp;"")=9,ISNUMBER(--($J254&amp;""))),AND(LEN($J254&amp;"")=10,MID($J254&amp;"",6,1)="-",ISNUMBER(--SUBSTITUTE($J254&amp;"","-","")))),FALSE))),"US ZIP must be 5 or 9 digits, with an optional ZIP+4 hyphen; ","")&amp;IF(AND($N254&lt;&gt;"",NOT(IFERROR(AND(ISNUMBER(SEARCH("@",$N254)),ISNUMBER(SEARCH(".",$N254,SEARCH("@",$N254)+2))),FALSE))),"Email format appears invalid; ","")&amp;IF(AND($O254&lt;&gt;"",$B254=""),"Dependent SSN is required for every dependent; ","")&amp;IF(AND($B254&lt;&gt;"",$O254=""),"Dependent Relationship is required when Dependent SSN is entered; ","")&amp;IF(AND($O254&lt;&gt;"",$O254&lt;&gt;"Spouse or Common Law Spouse",$O254&lt;&gt;"Domestic Partner",$O254&lt;&gt;"Child",$O254&lt;&gt;"Other",$O254&lt;&gt;"Estate",$O254&lt;&gt;"Unknown"),"Dependent Relationship must use one of the approved options; ",""))</f>
        <v/>
      </c>
      <c r="Z254">
        <f>IF(COUNTA($A254:$U254)=0,"",IF(AND($A254&lt;&gt;"",NOT(IFERROR(AND(LEN($A254&amp;"")=9,ISNUMBER(--($A254&amp;""))),FALSE))),"Employee SSN must contain exactly 9 digits; ","")&amp;IF(AND($A254&lt;&gt;"",OR($A254="123456789",$A254="987654321",$A254="012345678",$A254=REPT(LEFT($A254&amp;"",1),9))),"Employee SSN appears to be a placeholder; ","")&amp;IF(AND($B254&lt;&gt;"",NOT(IFERROR(AND(LEN($B254&amp;"")=9,ISNUMBER(--($B254&amp;""))),FALSE))),"Dependent SSN must contain exactly 9 digits; ","")&amp;IF(AND($B254&lt;&gt;"",OR($B254="123456789",$B254="987654321",$B254="012345678",$B254=REPT(LEFT($B254&amp;"",1),9))),"Dependent SSN appears to be a placeholder; ","")&amp;IF(AND($A254&lt;&gt;"",$B254&lt;&gt;"",$A254&amp;""=$B254&amp;""),"Dependent SSN cannot match Employee SSN; ","")&amp;IF(AND($W254&lt;&gt;"",OR(COUNTIFS($W$2:$W$501,$W254,$C$2:$C$501,"&lt;&gt;"&amp;$C254)&gt;0,COUNTIFS($W$2:$W$501,$W254,$D$2:$D$501,"&lt;&gt;"&amp;$D254)&gt;0,COUNTIFS($W$2:$W$501,$W254,$L$2:$L$501,"&lt;&gt;"&amp;$L254)&gt;0)),"The same SSN is associated with a different name or birthdate; ",""))</f>
        <v/>
      </c>
      <c r="AA254">
        <f>IF(COUNTA($A254:$U254)=0,"",IF(AND($A254&lt;&gt;"",$S254&lt;&gt;"",COUNTIFS($A$2:$A$501,$A254,$S$2:$S$501,$S254,$B$2:$B$501,"",$O$2:$O$501,"")=0),"Add an employee row for this household and plan; ","")&amp;IF(AND($X254="Dependent",COUNTIFS($A$2:$A254,$A254,$S$2:$S254,$S254,$B$2:$B254,"",$O$2:$O254,"")=0),"Place the employee row before dependent rows for this plan; ","")&amp;IF(AND($X254="Dependent",COUNTIFS($A$2:$A$501,$A254,$S$2:$S$501,$S254,$B$2:$B$501,"",$O$2:$O$501,"")&gt;0,IFERROR(OR($P254&lt;&gt;LOOKUP(2,1/(($A$2:$A$501=$A254)*($S$2:$S$501=$S254)*($B$2:$B$501="")*($O$2:$O$501="")),$P$2:$P$501),$Q254&lt;&gt;LOOKUP(2,1/(($A$2:$A$501=$A254)*($S$2:$S$501=$S254)*($B$2:$B$501="")*($O$2:$O$501="")),$Q$2:$Q$501),$R254&lt;&gt;LOOKUP(2,1/(($A$2:$A$501=$A254)*($S$2:$S$501=$S254)*($B$2:$B$501="")*($O$2:$O$501="")),$R$2:$R$501),$T254&lt;&gt;LOOKUP(2,1/(($A$2:$A$501=$A254)*($S$2:$S$501=$S254)*($B$2:$B$501="")*($O$2:$O$501="")),$T$2:$T$501),$U254&lt;&gt;LOOKUP(2,1/(($A$2:$A$501=$A254)*($S$2:$S$501=$S254)*($B$2:$B$501="")*($O$2:$O$501="")),$U$2:$U$501)),FALSE)),"Dependent row does not match the employee row for eligibility, status, coverage level, or funding; ",""))</f>
        <v/>
      </c>
      <c r="AB254">
        <f>IF(COUNTA($A254:$U254)=0,"",IF($L254="","Birthdate is required; ","")&amp;IF(AND($L254&lt;&gt;"",OR(NOT(ISNUMBER($L254)),$L254&lt;=DATE(1900,1,1),$L254&gt;TODAY())),"Birthdate must be an exact valid past date; ","")&amp;IF($P254="","Eligibility Date is required; ","")&amp;IF(AND($P254&lt;&gt;"",OR(NOT(ISNUMBER($P254)),$P254&lt;=DATE(1900,1,1))),"Eligibility Date must be a valid date; ","")&amp;IF(AND($R254="Terminated",$Q254=""),"Termination Date is required when Status is Terminated; ","")&amp;IF(AND($Q254&lt;&gt;"",OR(NOT(ISNUMBER($Q254)),$Q254&lt;=DATE(1900,1,1))),"Termination Date must be a valid date; ","")&amp;IF(AND(ISNUMBER($P254),ISNUMBER($Q254),$Q254&lt;$P254),"Termination Date cannot be before Eligibility Date; ","")&amp;IF($R254="","Status is required; ","")&amp;IF(AND($R254&lt;&gt;"",$R254&lt;&gt;"Active",$R254&lt;&gt;"Terminated"),"Status must be Active or Terminated; ","")&amp;IF(AND('START HERE'!$C$8="Terminations Only",$R254&lt;&gt;"Terminated"),"Terminations Only files must contain terminated records; ",""))</f>
        <v/>
      </c>
      <c r="AC254">
        <f>IF(COUNTA($A254:$U254)=0,"",IF($S254="","Plan Name is required; ","")&amp;IF($T254="","Benefit Coverage Level is required; ","")&amp;IF(AND($U254&lt;&gt;"",OR(NOT(ISNUMBER($U254)),$U254&lt;0)),"Plan Funding Amount must be a nonnegative number; ","")&amp;IF(AND($A254&lt;&gt;"",$S254&lt;&gt;"",COUNTIFS($A$2:$A$501,$A254,$B$2:$B$501,$B254,$S$2:$S$501,$S254)&gt;1),"Duplicate participant and plan row; ",""))</f>
        <v/>
      </c>
      <c r="AD254">
        <f>IF(COUNTA($A254:$U254)=0,"",IF(AND($X254="Employee",$M254="",$N254=""),"No employee phone or email provided; ","")&amp;IF(AND($R254="Active",$Q254&lt;&gt;""),"Active record includes a Termination Date; confirm this is intentional; ","")&amp;IF(AND($B254&lt;&gt;"",$B254&amp;""&lt;&gt;$A254&amp;"",COUNTIF($A$2:$A$501,$B254)&gt;0),"Dependent SSN also appears as an Employee SSN elsewhere; confirm dual-employee coverage is intentional; ","")&amp;IF(AND($B254&lt;&gt;"",COUNTIF($B$2:$B$501,$B254)&gt;COUNTIFS($A$2:$A$501,$A254,$B$2:$B$501,$B254)),"Dependent SSN appears under more than one employee; confirm duplicate family coverage is intentional; ","")&amp;IF(AND(ROW()&gt;2,$A254&lt;&gt;"",$A254&lt;&gt;$A253,COUNTIF($A$2:$A253,$A254)&gt;0),"This household appears in more than one section of the census; keep the family together; ","")&amp;IF(OR(AND($C254&lt;&gt;"",LEN($C254&amp;"")&lt;&gt;LEN(TRIM($C254&amp;""))),AND($D254&lt;&gt;"",LEN($D254&amp;"")&lt;&gt;LEN(TRIM($D254&amp;""))),AND($E254&lt;&gt;"",LEN($E254&amp;"")&lt;&gt;LEN(TRIM($E254&amp;""))),AND($F254&lt;&gt;"",LEN($F254&amp;"")&lt;&gt;LEN(TRIM($F254&amp;""))),AND($G254&lt;&gt;"",LEN($G254&amp;"")&lt;&gt;LEN(TRIM($G254&amp;""))),AND($H254&lt;&gt;"",LEN($H254&amp;"")&lt;&gt;LEN(TRIM($H254&amp;""))),AND($I254&lt;&gt;"",LEN($I254&amp;"")&lt;&gt;LEN(TRIM($I254&amp;""))),AND($J254&lt;&gt;"",LEN($J254&amp;"")&lt;&gt;LEN(TRIM($J254&amp;""))),AND($K254&lt;&gt;"",LEN($K254&amp;"")&lt;&gt;LEN(TRIM($K254&amp;""))),AND($M254&lt;&gt;"",LEN($M254&amp;"")&lt;&gt;LEN(TRIM($M254&amp;""))),AND($N254&lt;&gt;"",LEN($N254&amp;"")&lt;&gt;LEN(TRIM($N254&amp;""))),AND($O254&lt;&gt;"",LEN($O254&amp;"")&lt;&gt;LEN(TRIM($O254&amp;""))),AND($R254&lt;&gt;"",LEN($R254&amp;"")&lt;&gt;LEN(TRIM($R254&amp;""))),AND($S254&lt;&gt;"",LEN($S254&amp;"")&lt;&gt;LEN(TRIM($S254&amp;""))),AND($T254&lt;&gt;"",LEN($T254&amp;"")&lt;&gt;LEN(TRIM($T254&amp;"")))),"Remove leading or trailing spaces from text fields; ","")&amp;IF(OR(AND(LEN($C254)&gt;1,OR(EXACT($C254,UPPER($C254)),EXACT($C254,LOWER($C254)))),AND(LEN($D254)&gt;1,OR(EXACT($D254,UPPER($D254)),EXACT($D254,LOWER($D254)))),AND(LEN($H254)&gt;1,OR(EXACT($H254,UPPER($H254)),EXACT($H254,LOWER($H254))))),"Review capitalization in First Name, Last Name, or City; ","")&amp;IF(AND($N254&lt;&gt;"",NOT(EXACT($N254,LOWER($N254)))),"Email will be standardized to lowercase in the clean output; ","")&amp;IF(AND(OR('START HERE'!$C$8="Initial Enrollment",'START HERE'!$C$8="Open Enrollment"),$R254="Terminated"),"A terminated row is included in an initial or open enrollment file; confirm this is intentional; ",""))</f>
        <v/>
      </c>
      <c r="AE254">
        <f>IF(COUNTA($A254:$U254)=0,"",IF(OR($A254="",AND($A254&lt;&gt;"",NOT(IFERROR(AND(LEN($A254&amp;"")=9,ISNUMBER(--($A254&amp;""))),FALSE))),AND($A254&lt;&gt;"",OR($A254="123456789",$A254="987654321",$A254="012345678",$A254=REPT(LEFT($A254&amp;"",1),9)))),"Employee SSN, ","")&amp;IF(OR(AND($O254&lt;&gt;"",$B254=""),AND($B254&lt;&gt;"",OR(NOT(IFERROR(AND(LEN($B254&amp;"")=9,ISNUMBER(--($B254&amp;""))),FALSE)),$B254=$A254,$B254="123456789",$B254="987654321",$B254="012345678",$B254=REPT(LEFT($B254&amp;"",1),9)))),"Dependent SSN, ","")&amp;IF(OR($C254="",LEN($C254)&gt;19,AND($C254&lt;&gt;"",SUMPRODUCT(--(ROW($1:$19)&lt;=LEN($C254&amp;"")),--ISERROR(FIND(MID($C254&amp;"",ROW($1:$19),1),"ABCDEFGHIJKLMNOPQRSTUVWXYZabcdefghijklmnopqrstuvwxyz .,")))&gt;0)),"First Name, ","")&amp;IF(OR($D254="",LEN($D254)&gt;26,AND($D254&lt;&gt;"",SUMPRODUCT(--(ROW($1:$26)&lt;=LEN($D254&amp;"")),--ISERROR(FIND(MID($D254&amp;"",ROW($1:$26),1),"ABCDEFGHIJKLMNOPQRSTUVWXYZabcdefghijklmnopqrstuvwxyz .,")))&gt;0)),"Last Name, ","")&amp;IF(OR(LEN($E254)&gt;1,AND($E254&lt;&gt;"",SUMPRODUCT(--(ROW($1:$1)&lt;=LEN($E254&amp;"")),--ISERROR(FIND(MID($E254&amp;"",ROW($1:$1),1),"ABCDEFGHIJKLMNOPQRSTUVWXYZabcdefghijklmnopqrstuvwxyz .,")))&gt;0)),"Middle Initial, ","")&amp;IF(OR($F254="",LEN($F254)&gt;75),"Address, ","")&amp;IF(OR($H254="",LEN($H254)&gt;30),"City, ","")&amp;IF(AND($K254="US",OR($I254="",LEN($I254)&lt;&gt;2)),"State, ","")&amp;IF($J254="","ZIP, ","")&amp;IF(OR($K254="",AND($K254&lt;&gt;"US",$K254&lt;&gt;"CA")),"Country, ","")&amp;IF(OR($L254="",AND($L254&lt;&gt;"",OR(NOT(ISNUMBER($L254)),$L254&lt;=DATE(1900,1,1),$L254&gt;TODAY()))),"Birthdate, ","")&amp;IF(AND($N254&lt;&gt;"",NOT(IFERROR(AND(ISNUMBER(SEARCH("@",$N254)),ISNUMBER(SEARCH(".",$N254,SEARCH("@",$N254)+2))),FALSE))),"Email, ","")&amp;IF(OR(AND($B254&lt;&gt;"",$O254=""),AND($O254&lt;&gt;"",$O254&lt;&gt;"Spouse or Common Law Spouse",$O254&lt;&gt;"Domestic Partner",$O254&lt;&gt;"Child",$O254&lt;&gt;"Other",$O254&lt;&gt;"Estate",$O254&lt;&gt;"Unknown")),"Dependent Relationship, ","")&amp;IF($AA254&lt;&gt;"","Household, ","")&amp;IF(OR($P254="",AND($P254&lt;&gt;"",OR(NOT(ISNUMBER($P254)),$P254&lt;=DATE(1900,1,1)))),"Eligibility Date, ","")&amp;IF(OR(AND($R254="Terminated",$Q254=""),AND($Q254&lt;&gt;"",OR(NOT(ISNUMBER($Q254)),$Q254&lt;=DATE(1900,1,1))),AND(ISNUMBER($P254),ISNUMBER($Q254),$Q254&lt;$P254)),"Termination Date, ","")&amp;IF(OR($R254="",AND($R254&lt;&gt;"Active",$R254&lt;&gt;"Terminated"),AND('START HERE'!$C$8="Terminations Only",$R254&lt;&gt;"Terminated")),"Status, ","")&amp;IF($S254="","Plan Name, ","")&amp;IF($T254="","Coverage Level, ","")&amp;IF(AND($U254&lt;&gt;"",OR(NOT(ISNUMBER($U254)),$U254&lt;0)),"Funding, ","")&amp;IF(AND($A254&lt;&gt;"",$S254&lt;&gt;"",COUNTIFS($A$2:$A$501,$A254,$B$2:$B$501,$B254,$S$2:$S$501,$S254)&gt;1),"Duplicate Row, ",""))</f>
        <v/>
      </c>
      <c r="AF254">
        <f>IF(COUNTA($A254:$U254)=0,"",$Y254&amp;$Z254&amp;$AA254&amp;$AB254&amp;$AC254)</f>
        <v/>
      </c>
      <c r="AG254">
        <f>IF($N254="","",LOWER(TRIM($N254)))</f>
        <v/>
      </c>
      <c r="AH254">
        <f>IF($A254="","",COUNTIFS($A$2:$A$501,$A254,$AI$2:$AI$501,1))</f>
        <v/>
      </c>
      <c r="AI254">
        <f>IF(COUNTA($A254:$U254)=0,"",--($AF254&lt;&gt;""))</f>
        <v/>
      </c>
      <c r="AJ254">
        <f>IF(COUNTA($A254:$U254)=0,"",--($AD254&lt;&gt;""))</f>
        <v/>
      </c>
    </row>
    <row r="255" ht="20" customHeight="1">
      <c r="A255" s="80" t="n"/>
      <c r="B255" s="80" t="n"/>
      <c r="C255" s="81" t="n"/>
      <c r="D255" s="81" t="n"/>
      <c r="E255" s="80" t="n"/>
      <c r="F255" s="81" t="n"/>
      <c r="G255" s="81" t="n"/>
      <c r="H255" s="81" t="n"/>
      <c r="I255" s="80" t="n"/>
      <c r="J255" s="80" t="n"/>
      <c r="K255" s="80" t="n"/>
      <c r="L255" s="82" t="n"/>
      <c r="M255" s="80" t="n"/>
      <c r="N255" s="80" t="n"/>
      <c r="O255" s="80" t="n"/>
      <c r="P255" s="82" t="n"/>
      <c r="Q255" s="82" t="n"/>
      <c r="R255" s="80" t="n"/>
      <c r="S255" s="80" t="n"/>
      <c r="T255" s="80" t="n"/>
      <c r="U255" s="83" t="n"/>
      <c r="V255">
        <f>IF($A255="","",IF($A255=$A254,$V254,IF($V254="",0,1-$V254)))</f>
        <v/>
      </c>
      <c r="W255">
        <f>IF($B255&lt;&gt;"",$B255,$A255)</f>
        <v/>
      </c>
      <c r="X255">
        <f>IF(COUNTA($A255:$U255)=0,"",IF(OR($B255&lt;&gt;"",$O255&lt;&gt;""),"Dependent","Employee"))</f>
        <v/>
      </c>
      <c r="Y255">
        <f>IF(COUNTA($A255:$U255)=0,"",IF($A255="","Employee SSN is required; ","")&amp;IF($C255="","First Name is required; ","")&amp;IF(LEN($C255&amp;"")&gt;19,"First Name exceeds 19 characters; ","")&amp;IF(AND($C255&lt;&gt;"",SUMPRODUCT(--(ROW($1:$19)&lt;=LEN($C255&amp;"")),--ISERROR(FIND(MID($C255&amp;"",ROW($1:$19),1),"ABCDEFGHIJKLMNOPQRSTUVWXYZabcdefghijklmnopqrstuvwxyz .,")))&gt;0),"First Name contains unsupported or encoded characters; use plain A-Z letters only; ","")&amp;IF($D255="","Last Name is required; ","")&amp;IF(LEN($D255&amp;"")&gt;26,"Last Name exceeds 26 characters; ","")&amp;IF(AND($D255&lt;&gt;"",SUMPRODUCT(--(ROW($1:$26)&lt;=LEN($D255&amp;"")),--ISERROR(FIND(MID($D255&amp;"",ROW($1:$26),1),"ABCDEFGHIJKLMNOPQRSTUVWXYZabcdefghijklmnopqrstuvwxyz .,")))&gt;0),"Last Name contains unsupported or encoded characters; use plain A-Z letters only; ","")&amp;IF(LEN($E255&amp;"")&gt;1,"Middle Initial may contain only one character; ","")&amp;IF(AND($E255&lt;&gt;"",SUMPRODUCT(--(ROW($1:$1)&lt;=LEN($E255&amp;"")),--ISERROR(FIND(MID($E255&amp;"",ROW($1:$1),1),"ABCDEFGHIJKLMNOPQRSTUVWXYZabcdefghijklmnopqrstuvwxyz .,")))&gt;0),"Middle Initial must be a plain A-Z letter; ","")&amp;IF($F255="","Address is required; ","")&amp;IF(LEN($F255&amp;"")&gt;75,"Address exceeds 75 characters; ","")&amp;IF(LEN($G255&amp;"")&gt;75,"Address 2 exceeds 75 characters; ","")&amp;IF($H255="","City is required; ","")&amp;IF(LEN($H255&amp;"")&gt;30,"City exceeds 30 characters; ","")&amp;IF($K255="","Country is required; ","")&amp;IF(AND($K255&lt;&gt;"",$K255&lt;&gt;"US",$K255&lt;&gt;"CA"),"Country must be US or CA; ","")&amp;IF(AND($K255="US",OR($I255="",LEN($I255&amp;"")&lt;&gt;2)),"Use a 2-letter state code; ","")&amp;IF($J255="","ZIP or postal code is required; ","")&amp;IF(AND($K255="US",$J255&lt;&gt;"",NOT(IFERROR(OR(AND(LEN($J255&amp;"")=5,ISNUMBER(--($J255&amp;""))),AND(LEN($J255&amp;"")=9,ISNUMBER(--($J255&amp;""))),AND(LEN($J255&amp;"")=10,MID($J255&amp;"",6,1)="-",ISNUMBER(--SUBSTITUTE($J255&amp;"","-","")))),FALSE))),"US ZIP must be 5 or 9 digits, with an optional ZIP+4 hyphen; ","")&amp;IF(AND($N255&lt;&gt;"",NOT(IFERROR(AND(ISNUMBER(SEARCH("@",$N255)),ISNUMBER(SEARCH(".",$N255,SEARCH("@",$N255)+2))),FALSE))),"Email format appears invalid; ","")&amp;IF(AND($O255&lt;&gt;"",$B255=""),"Dependent SSN is required for every dependent; ","")&amp;IF(AND($B255&lt;&gt;"",$O255=""),"Dependent Relationship is required when Dependent SSN is entered; ","")&amp;IF(AND($O255&lt;&gt;"",$O255&lt;&gt;"Spouse or Common Law Spouse",$O255&lt;&gt;"Domestic Partner",$O255&lt;&gt;"Child",$O255&lt;&gt;"Other",$O255&lt;&gt;"Estate",$O255&lt;&gt;"Unknown"),"Dependent Relationship must use one of the approved options; ",""))</f>
        <v/>
      </c>
      <c r="Z255">
        <f>IF(COUNTA($A255:$U255)=0,"",IF(AND($A255&lt;&gt;"",NOT(IFERROR(AND(LEN($A255&amp;"")=9,ISNUMBER(--($A255&amp;""))),FALSE))),"Employee SSN must contain exactly 9 digits; ","")&amp;IF(AND($A255&lt;&gt;"",OR($A255="123456789",$A255="987654321",$A255="012345678",$A255=REPT(LEFT($A255&amp;"",1),9))),"Employee SSN appears to be a placeholder; ","")&amp;IF(AND($B255&lt;&gt;"",NOT(IFERROR(AND(LEN($B255&amp;"")=9,ISNUMBER(--($B255&amp;""))),FALSE))),"Dependent SSN must contain exactly 9 digits; ","")&amp;IF(AND($B255&lt;&gt;"",OR($B255="123456789",$B255="987654321",$B255="012345678",$B255=REPT(LEFT($B255&amp;"",1),9))),"Dependent SSN appears to be a placeholder; ","")&amp;IF(AND($A255&lt;&gt;"",$B255&lt;&gt;"",$A255&amp;""=$B255&amp;""),"Dependent SSN cannot match Employee SSN; ","")&amp;IF(AND($W255&lt;&gt;"",OR(COUNTIFS($W$2:$W$501,$W255,$C$2:$C$501,"&lt;&gt;"&amp;$C255)&gt;0,COUNTIFS($W$2:$W$501,$W255,$D$2:$D$501,"&lt;&gt;"&amp;$D255)&gt;0,COUNTIFS($W$2:$W$501,$W255,$L$2:$L$501,"&lt;&gt;"&amp;$L255)&gt;0)),"The same SSN is associated with a different name or birthdate; ",""))</f>
        <v/>
      </c>
      <c r="AA255">
        <f>IF(COUNTA($A255:$U255)=0,"",IF(AND($A255&lt;&gt;"",$S255&lt;&gt;"",COUNTIFS($A$2:$A$501,$A255,$S$2:$S$501,$S255,$B$2:$B$501,"",$O$2:$O$501,"")=0),"Add an employee row for this household and plan; ","")&amp;IF(AND($X255="Dependent",COUNTIFS($A$2:$A255,$A255,$S$2:$S255,$S255,$B$2:$B255,"",$O$2:$O255,"")=0),"Place the employee row before dependent rows for this plan; ","")&amp;IF(AND($X255="Dependent",COUNTIFS($A$2:$A$501,$A255,$S$2:$S$501,$S255,$B$2:$B$501,"",$O$2:$O$501,"")&gt;0,IFERROR(OR($P255&lt;&gt;LOOKUP(2,1/(($A$2:$A$501=$A255)*($S$2:$S$501=$S255)*($B$2:$B$501="")*($O$2:$O$501="")),$P$2:$P$501),$Q255&lt;&gt;LOOKUP(2,1/(($A$2:$A$501=$A255)*($S$2:$S$501=$S255)*($B$2:$B$501="")*($O$2:$O$501="")),$Q$2:$Q$501),$R255&lt;&gt;LOOKUP(2,1/(($A$2:$A$501=$A255)*($S$2:$S$501=$S255)*($B$2:$B$501="")*($O$2:$O$501="")),$R$2:$R$501),$T255&lt;&gt;LOOKUP(2,1/(($A$2:$A$501=$A255)*($S$2:$S$501=$S255)*($B$2:$B$501="")*($O$2:$O$501="")),$T$2:$T$501),$U255&lt;&gt;LOOKUP(2,1/(($A$2:$A$501=$A255)*($S$2:$S$501=$S255)*($B$2:$B$501="")*($O$2:$O$501="")),$U$2:$U$501)),FALSE)),"Dependent row does not match the employee row for eligibility, status, coverage level, or funding; ",""))</f>
        <v/>
      </c>
      <c r="AB255">
        <f>IF(COUNTA($A255:$U255)=0,"",IF($L255="","Birthdate is required; ","")&amp;IF(AND($L255&lt;&gt;"",OR(NOT(ISNUMBER($L255)),$L255&lt;=DATE(1900,1,1),$L255&gt;TODAY())),"Birthdate must be an exact valid past date; ","")&amp;IF($P255="","Eligibility Date is required; ","")&amp;IF(AND($P255&lt;&gt;"",OR(NOT(ISNUMBER($P255)),$P255&lt;=DATE(1900,1,1))),"Eligibility Date must be a valid date; ","")&amp;IF(AND($R255="Terminated",$Q255=""),"Termination Date is required when Status is Terminated; ","")&amp;IF(AND($Q255&lt;&gt;"",OR(NOT(ISNUMBER($Q255)),$Q255&lt;=DATE(1900,1,1))),"Termination Date must be a valid date; ","")&amp;IF(AND(ISNUMBER($P255),ISNUMBER($Q255),$Q255&lt;$P255),"Termination Date cannot be before Eligibility Date; ","")&amp;IF($R255="","Status is required; ","")&amp;IF(AND($R255&lt;&gt;"",$R255&lt;&gt;"Active",$R255&lt;&gt;"Terminated"),"Status must be Active or Terminated; ","")&amp;IF(AND('START HERE'!$C$8="Terminations Only",$R255&lt;&gt;"Terminated"),"Terminations Only files must contain terminated records; ",""))</f>
        <v/>
      </c>
      <c r="AC255">
        <f>IF(COUNTA($A255:$U255)=0,"",IF($S255="","Plan Name is required; ","")&amp;IF($T255="","Benefit Coverage Level is required; ","")&amp;IF(AND($U255&lt;&gt;"",OR(NOT(ISNUMBER($U255)),$U255&lt;0)),"Plan Funding Amount must be a nonnegative number; ","")&amp;IF(AND($A255&lt;&gt;"",$S255&lt;&gt;"",COUNTIFS($A$2:$A$501,$A255,$B$2:$B$501,$B255,$S$2:$S$501,$S255)&gt;1),"Duplicate participant and plan row; ",""))</f>
        <v/>
      </c>
      <c r="AD255">
        <f>IF(COUNTA($A255:$U255)=0,"",IF(AND($X255="Employee",$M255="",$N255=""),"No employee phone or email provided; ","")&amp;IF(AND($R255="Active",$Q255&lt;&gt;""),"Active record includes a Termination Date; confirm this is intentional; ","")&amp;IF(AND($B255&lt;&gt;"",$B255&amp;""&lt;&gt;$A255&amp;"",COUNTIF($A$2:$A$501,$B255)&gt;0),"Dependent SSN also appears as an Employee SSN elsewhere; confirm dual-employee coverage is intentional; ","")&amp;IF(AND($B255&lt;&gt;"",COUNTIF($B$2:$B$501,$B255)&gt;COUNTIFS($A$2:$A$501,$A255,$B$2:$B$501,$B255)),"Dependent SSN appears under more than one employee; confirm duplicate family coverage is intentional; ","")&amp;IF(AND(ROW()&gt;2,$A255&lt;&gt;"",$A255&lt;&gt;$A254,COUNTIF($A$2:$A254,$A255)&gt;0),"This household appears in more than one section of the census; keep the family together; ","")&amp;IF(OR(AND($C255&lt;&gt;"",LEN($C255&amp;"")&lt;&gt;LEN(TRIM($C255&amp;""))),AND($D255&lt;&gt;"",LEN($D255&amp;"")&lt;&gt;LEN(TRIM($D255&amp;""))),AND($E255&lt;&gt;"",LEN($E255&amp;"")&lt;&gt;LEN(TRIM($E255&amp;""))),AND($F255&lt;&gt;"",LEN($F255&amp;"")&lt;&gt;LEN(TRIM($F255&amp;""))),AND($G255&lt;&gt;"",LEN($G255&amp;"")&lt;&gt;LEN(TRIM($G255&amp;""))),AND($H255&lt;&gt;"",LEN($H255&amp;"")&lt;&gt;LEN(TRIM($H255&amp;""))),AND($I255&lt;&gt;"",LEN($I255&amp;"")&lt;&gt;LEN(TRIM($I255&amp;""))),AND($J255&lt;&gt;"",LEN($J255&amp;"")&lt;&gt;LEN(TRIM($J255&amp;""))),AND($K255&lt;&gt;"",LEN($K255&amp;"")&lt;&gt;LEN(TRIM($K255&amp;""))),AND($M255&lt;&gt;"",LEN($M255&amp;"")&lt;&gt;LEN(TRIM($M255&amp;""))),AND($N255&lt;&gt;"",LEN($N255&amp;"")&lt;&gt;LEN(TRIM($N255&amp;""))),AND($O255&lt;&gt;"",LEN($O255&amp;"")&lt;&gt;LEN(TRIM($O255&amp;""))),AND($R255&lt;&gt;"",LEN($R255&amp;"")&lt;&gt;LEN(TRIM($R255&amp;""))),AND($S255&lt;&gt;"",LEN($S255&amp;"")&lt;&gt;LEN(TRIM($S255&amp;""))),AND($T255&lt;&gt;"",LEN($T255&amp;"")&lt;&gt;LEN(TRIM($T255&amp;"")))),"Remove leading or trailing spaces from text fields; ","")&amp;IF(OR(AND(LEN($C255)&gt;1,OR(EXACT($C255,UPPER($C255)),EXACT($C255,LOWER($C255)))),AND(LEN($D255)&gt;1,OR(EXACT($D255,UPPER($D255)),EXACT($D255,LOWER($D255)))),AND(LEN($H255)&gt;1,OR(EXACT($H255,UPPER($H255)),EXACT($H255,LOWER($H255))))),"Review capitalization in First Name, Last Name, or City; ","")&amp;IF(AND($N255&lt;&gt;"",NOT(EXACT($N255,LOWER($N255)))),"Email will be standardized to lowercase in the clean output; ","")&amp;IF(AND(OR('START HERE'!$C$8="Initial Enrollment",'START HERE'!$C$8="Open Enrollment"),$R255="Terminated"),"A terminated row is included in an initial or open enrollment file; confirm this is intentional; ",""))</f>
        <v/>
      </c>
      <c r="AE255">
        <f>IF(COUNTA($A255:$U255)=0,"",IF(OR($A255="",AND($A255&lt;&gt;"",NOT(IFERROR(AND(LEN($A255&amp;"")=9,ISNUMBER(--($A255&amp;""))),FALSE))),AND($A255&lt;&gt;"",OR($A255="123456789",$A255="987654321",$A255="012345678",$A255=REPT(LEFT($A255&amp;"",1),9)))),"Employee SSN, ","")&amp;IF(OR(AND($O255&lt;&gt;"",$B255=""),AND($B255&lt;&gt;"",OR(NOT(IFERROR(AND(LEN($B255&amp;"")=9,ISNUMBER(--($B255&amp;""))),FALSE)),$B255=$A255,$B255="123456789",$B255="987654321",$B255="012345678",$B255=REPT(LEFT($B255&amp;"",1),9)))),"Dependent SSN, ","")&amp;IF(OR($C255="",LEN($C255)&gt;19,AND($C255&lt;&gt;"",SUMPRODUCT(--(ROW($1:$19)&lt;=LEN($C255&amp;"")),--ISERROR(FIND(MID($C255&amp;"",ROW($1:$19),1),"ABCDEFGHIJKLMNOPQRSTUVWXYZabcdefghijklmnopqrstuvwxyz .,")))&gt;0)),"First Name, ","")&amp;IF(OR($D255="",LEN($D255)&gt;26,AND($D255&lt;&gt;"",SUMPRODUCT(--(ROW($1:$26)&lt;=LEN($D255&amp;"")),--ISERROR(FIND(MID($D255&amp;"",ROW($1:$26),1),"ABCDEFGHIJKLMNOPQRSTUVWXYZabcdefghijklmnopqrstuvwxyz .,")))&gt;0)),"Last Name, ","")&amp;IF(OR(LEN($E255)&gt;1,AND($E255&lt;&gt;"",SUMPRODUCT(--(ROW($1:$1)&lt;=LEN($E255&amp;"")),--ISERROR(FIND(MID($E255&amp;"",ROW($1:$1),1),"ABCDEFGHIJKLMNOPQRSTUVWXYZabcdefghijklmnopqrstuvwxyz .,")))&gt;0)),"Middle Initial, ","")&amp;IF(OR($F255="",LEN($F255)&gt;75),"Address, ","")&amp;IF(OR($H255="",LEN($H255)&gt;30),"City, ","")&amp;IF(AND($K255="US",OR($I255="",LEN($I255)&lt;&gt;2)),"State, ","")&amp;IF($J255="","ZIP, ","")&amp;IF(OR($K255="",AND($K255&lt;&gt;"US",$K255&lt;&gt;"CA")),"Country, ","")&amp;IF(OR($L255="",AND($L255&lt;&gt;"",OR(NOT(ISNUMBER($L255)),$L255&lt;=DATE(1900,1,1),$L255&gt;TODAY()))),"Birthdate, ","")&amp;IF(AND($N255&lt;&gt;"",NOT(IFERROR(AND(ISNUMBER(SEARCH("@",$N255)),ISNUMBER(SEARCH(".",$N255,SEARCH("@",$N255)+2))),FALSE))),"Email, ","")&amp;IF(OR(AND($B255&lt;&gt;"",$O255=""),AND($O255&lt;&gt;"",$O255&lt;&gt;"Spouse or Common Law Spouse",$O255&lt;&gt;"Domestic Partner",$O255&lt;&gt;"Child",$O255&lt;&gt;"Other",$O255&lt;&gt;"Estate",$O255&lt;&gt;"Unknown")),"Dependent Relationship, ","")&amp;IF($AA255&lt;&gt;"","Household, ","")&amp;IF(OR($P255="",AND($P255&lt;&gt;"",OR(NOT(ISNUMBER($P255)),$P255&lt;=DATE(1900,1,1)))),"Eligibility Date, ","")&amp;IF(OR(AND($R255="Terminated",$Q255=""),AND($Q255&lt;&gt;"",OR(NOT(ISNUMBER($Q255)),$Q255&lt;=DATE(1900,1,1))),AND(ISNUMBER($P255),ISNUMBER($Q255),$Q255&lt;$P255)),"Termination Date, ","")&amp;IF(OR($R255="",AND($R255&lt;&gt;"Active",$R255&lt;&gt;"Terminated"),AND('START HERE'!$C$8="Terminations Only",$R255&lt;&gt;"Terminated")),"Status, ","")&amp;IF($S255="","Plan Name, ","")&amp;IF($T255="","Coverage Level, ","")&amp;IF(AND($U255&lt;&gt;"",OR(NOT(ISNUMBER($U255)),$U255&lt;0)),"Funding, ","")&amp;IF(AND($A255&lt;&gt;"",$S255&lt;&gt;"",COUNTIFS($A$2:$A$501,$A255,$B$2:$B$501,$B255,$S$2:$S$501,$S255)&gt;1),"Duplicate Row, ",""))</f>
        <v/>
      </c>
      <c r="AF255">
        <f>IF(COUNTA($A255:$U255)=0,"",$Y255&amp;$Z255&amp;$AA255&amp;$AB255&amp;$AC255)</f>
        <v/>
      </c>
      <c r="AG255">
        <f>IF($N255="","",LOWER(TRIM($N255)))</f>
        <v/>
      </c>
      <c r="AH255">
        <f>IF($A255="","",COUNTIFS($A$2:$A$501,$A255,$AI$2:$AI$501,1))</f>
        <v/>
      </c>
      <c r="AI255">
        <f>IF(COUNTA($A255:$U255)=0,"",--($AF255&lt;&gt;""))</f>
        <v/>
      </c>
      <c r="AJ255">
        <f>IF(COUNTA($A255:$U255)=0,"",--($AD255&lt;&gt;""))</f>
        <v/>
      </c>
    </row>
    <row r="256" ht="20" customHeight="1">
      <c r="A256" s="80" t="n"/>
      <c r="B256" s="80" t="n"/>
      <c r="C256" s="81" t="n"/>
      <c r="D256" s="81" t="n"/>
      <c r="E256" s="80" t="n"/>
      <c r="F256" s="81" t="n"/>
      <c r="G256" s="81" t="n"/>
      <c r="H256" s="81" t="n"/>
      <c r="I256" s="80" t="n"/>
      <c r="J256" s="80" t="n"/>
      <c r="K256" s="80" t="n"/>
      <c r="L256" s="82" t="n"/>
      <c r="M256" s="80" t="n"/>
      <c r="N256" s="80" t="n"/>
      <c r="O256" s="80" t="n"/>
      <c r="P256" s="82" t="n"/>
      <c r="Q256" s="82" t="n"/>
      <c r="R256" s="80" t="n"/>
      <c r="S256" s="80" t="n"/>
      <c r="T256" s="80" t="n"/>
      <c r="U256" s="83" t="n"/>
      <c r="V256">
        <f>IF($A256="","",IF($A256=$A255,$V255,IF($V255="",0,1-$V255)))</f>
        <v/>
      </c>
      <c r="W256">
        <f>IF($B256&lt;&gt;"",$B256,$A256)</f>
        <v/>
      </c>
      <c r="X256">
        <f>IF(COUNTA($A256:$U256)=0,"",IF(OR($B256&lt;&gt;"",$O256&lt;&gt;""),"Dependent","Employee"))</f>
        <v/>
      </c>
      <c r="Y256">
        <f>IF(COUNTA($A256:$U256)=0,"",IF($A256="","Employee SSN is required; ","")&amp;IF($C256="","First Name is required; ","")&amp;IF(LEN($C256&amp;"")&gt;19,"First Name exceeds 19 characters; ","")&amp;IF(AND($C256&lt;&gt;"",SUMPRODUCT(--(ROW($1:$19)&lt;=LEN($C256&amp;"")),--ISERROR(FIND(MID($C256&amp;"",ROW($1:$19),1),"ABCDEFGHIJKLMNOPQRSTUVWXYZabcdefghijklmnopqrstuvwxyz .,")))&gt;0),"First Name contains unsupported or encoded characters; use plain A-Z letters only; ","")&amp;IF($D256="","Last Name is required; ","")&amp;IF(LEN($D256&amp;"")&gt;26,"Last Name exceeds 26 characters; ","")&amp;IF(AND($D256&lt;&gt;"",SUMPRODUCT(--(ROW($1:$26)&lt;=LEN($D256&amp;"")),--ISERROR(FIND(MID($D256&amp;"",ROW($1:$26),1),"ABCDEFGHIJKLMNOPQRSTUVWXYZabcdefghijklmnopqrstuvwxyz .,")))&gt;0),"Last Name contains unsupported or encoded characters; use plain A-Z letters only; ","")&amp;IF(LEN($E256&amp;"")&gt;1,"Middle Initial may contain only one character; ","")&amp;IF(AND($E256&lt;&gt;"",SUMPRODUCT(--(ROW($1:$1)&lt;=LEN($E256&amp;"")),--ISERROR(FIND(MID($E256&amp;"",ROW($1:$1),1),"ABCDEFGHIJKLMNOPQRSTUVWXYZabcdefghijklmnopqrstuvwxyz .,")))&gt;0),"Middle Initial must be a plain A-Z letter; ","")&amp;IF($F256="","Address is required; ","")&amp;IF(LEN($F256&amp;"")&gt;75,"Address exceeds 75 characters; ","")&amp;IF(LEN($G256&amp;"")&gt;75,"Address 2 exceeds 75 characters; ","")&amp;IF($H256="","City is required; ","")&amp;IF(LEN($H256&amp;"")&gt;30,"City exceeds 30 characters; ","")&amp;IF($K256="","Country is required; ","")&amp;IF(AND($K256&lt;&gt;"",$K256&lt;&gt;"US",$K256&lt;&gt;"CA"),"Country must be US or CA; ","")&amp;IF(AND($K256="US",OR($I256="",LEN($I256&amp;"")&lt;&gt;2)),"Use a 2-letter state code; ","")&amp;IF($J256="","ZIP or postal code is required; ","")&amp;IF(AND($K256="US",$J256&lt;&gt;"",NOT(IFERROR(OR(AND(LEN($J256&amp;"")=5,ISNUMBER(--($J256&amp;""))),AND(LEN($J256&amp;"")=9,ISNUMBER(--($J256&amp;""))),AND(LEN($J256&amp;"")=10,MID($J256&amp;"",6,1)="-",ISNUMBER(--SUBSTITUTE($J256&amp;"","-","")))),FALSE))),"US ZIP must be 5 or 9 digits, with an optional ZIP+4 hyphen; ","")&amp;IF(AND($N256&lt;&gt;"",NOT(IFERROR(AND(ISNUMBER(SEARCH("@",$N256)),ISNUMBER(SEARCH(".",$N256,SEARCH("@",$N256)+2))),FALSE))),"Email format appears invalid; ","")&amp;IF(AND($O256&lt;&gt;"",$B256=""),"Dependent SSN is required for every dependent; ","")&amp;IF(AND($B256&lt;&gt;"",$O256=""),"Dependent Relationship is required when Dependent SSN is entered; ","")&amp;IF(AND($O256&lt;&gt;"",$O256&lt;&gt;"Spouse or Common Law Spouse",$O256&lt;&gt;"Domestic Partner",$O256&lt;&gt;"Child",$O256&lt;&gt;"Other",$O256&lt;&gt;"Estate",$O256&lt;&gt;"Unknown"),"Dependent Relationship must use one of the approved options; ",""))</f>
        <v/>
      </c>
      <c r="Z256">
        <f>IF(COUNTA($A256:$U256)=0,"",IF(AND($A256&lt;&gt;"",NOT(IFERROR(AND(LEN($A256&amp;"")=9,ISNUMBER(--($A256&amp;""))),FALSE))),"Employee SSN must contain exactly 9 digits; ","")&amp;IF(AND($A256&lt;&gt;"",OR($A256="123456789",$A256="987654321",$A256="012345678",$A256=REPT(LEFT($A256&amp;"",1),9))),"Employee SSN appears to be a placeholder; ","")&amp;IF(AND($B256&lt;&gt;"",NOT(IFERROR(AND(LEN($B256&amp;"")=9,ISNUMBER(--($B256&amp;""))),FALSE))),"Dependent SSN must contain exactly 9 digits; ","")&amp;IF(AND($B256&lt;&gt;"",OR($B256="123456789",$B256="987654321",$B256="012345678",$B256=REPT(LEFT($B256&amp;"",1),9))),"Dependent SSN appears to be a placeholder; ","")&amp;IF(AND($A256&lt;&gt;"",$B256&lt;&gt;"",$A256&amp;""=$B256&amp;""),"Dependent SSN cannot match Employee SSN; ","")&amp;IF(AND($W256&lt;&gt;"",OR(COUNTIFS($W$2:$W$501,$W256,$C$2:$C$501,"&lt;&gt;"&amp;$C256)&gt;0,COUNTIFS($W$2:$W$501,$W256,$D$2:$D$501,"&lt;&gt;"&amp;$D256)&gt;0,COUNTIFS($W$2:$W$501,$W256,$L$2:$L$501,"&lt;&gt;"&amp;$L256)&gt;0)),"The same SSN is associated with a different name or birthdate; ",""))</f>
        <v/>
      </c>
      <c r="AA256">
        <f>IF(COUNTA($A256:$U256)=0,"",IF(AND($A256&lt;&gt;"",$S256&lt;&gt;"",COUNTIFS($A$2:$A$501,$A256,$S$2:$S$501,$S256,$B$2:$B$501,"",$O$2:$O$501,"")=0),"Add an employee row for this household and plan; ","")&amp;IF(AND($X256="Dependent",COUNTIFS($A$2:$A256,$A256,$S$2:$S256,$S256,$B$2:$B256,"",$O$2:$O256,"")=0),"Place the employee row before dependent rows for this plan; ","")&amp;IF(AND($X256="Dependent",COUNTIFS($A$2:$A$501,$A256,$S$2:$S$501,$S256,$B$2:$B$501,"",$O$2:$O$501,"")&gt;0,IFERROR(OR($P256&lt;&gt;LOOKUP(2,1/(($A$2:$A$501=$A256)*($S$2:$S$501=$S256)*($B$2:$B$501="")*($O$2:$O$501="")),$P$2:$P$501),$Q256&lt;&gt;LOOKUP(2,1/(($A$2:$A$501=$A256)*($S$2:$S$501=$S256)*($B$2:$B$501="")*($O$2:$O$501="")),$Q$2:$Q$501),$R256&lt;&gt;LOOKUP(2,1/(($A$2:$A$501=$A256)*($S$2:$S$501=$S256)*($B$2:$B$501="")*($O$2:$O$501="")),$R$2:$R$501),$T256&lt;&gt;LOOKUP(2,1/(($A$2:$A$501=$A256)*($S$2:$S$501=$S256)*($B$2:$B$501="")*($O$2:$O$501="")),$T$2:$T$501),$U256&lt;&gt;LOOKUP(2,1/(($A$2:$A$501=$A256)*($S$2:$S$501=$S256)*($B$2:$B$501="")*($O$2:$O$501="")),$U$2:$U$501)),FALSE)),"Dependent row does not match the employee row for eligibility, status, coverage level, or funding; ",""))</f>
        <v/>
      </c>
      <c r="AB256">
        <f>IF(COUNTA($A256:$U256)=0,"",IF($L256="","Birthdate is required; ","")&amp;IF(AND($L256&lt;&gt;"",OR(NOT(ISNUMBER($L256)),$L256&lt;=DATE(1900,1,1),$L256&gt;TODAY())),"Birthdate must be an exact valid past date; ","")&amp;IF($P256="","Eligibility Date is required; ","")&amp;IF(AND($P256&lt;&gt;"",OR(NOT(ISNUMBER($P256)),$P256&lt;=DATE(1900,1,1))),"Eligibility Date must be a valid date; ","")&amp;IF(AND($R256="Terminated",$Q256=""),"Termination Date is required when Status is Terminated; ","")&amp;IF(AND($Q256&lt;&gt;"",OR(NOT(ISNUMBER($Q256)),$Q256&lt;=DATE(1900,1,1))),"Termination Date must be a valid date; ","")&amp;IF(AND(ISNUMBER($P256),ISNUMBER($Q256),$Q256&lt;$P256),"Termination Date cannot be before Eligibility Date; ","")&amp;IF($R256="","Status is required; ","")&amp;IF(AND($R256&lt;&gt;"",$R256&lt;&gt;"Active",$R256&lt;&gt;"Terminated"),"Status must be Active or Terminated; ","")&amp;IF(AND('START HERE'!$C$8="Terminations Only",$R256&lt;&gt;"Terminated"),"Terminations Only files must contain terminated records; ",""))</f>
        <v/>
      </c>
      <c r="AC256">
        <f>IF(COUNTA($A256:$U256)=0,"",IF($S256="","Plan Name is required; ","")&amp;IF($T256="","Benefit Coverage Level is required; ","")&amp;IF(AND($U256&lt;&gt;"",OR(NOT(ISNUMBER($U256)),$U256&lt;0)),"Plan Funding Amount must be a nonnegative number; ","")&amp;IF(AND($A256&lt;&gt;"",$S256&lt;&gt;"",COUNTIFS($A$2:$A$501,$A256,$B$2:$B$501,$B256,$S$2:$S$501,$S256)&gt;1),"Duplicate participant and plan row; ",""))</f>
        <v/>
      </c>
      <c r="AD256">
        <f>IF(COUNTA($A256:$U256)=0,"",IF(AND($X256="Employee",$M256="",$N256=""),"No employee phone or email provided; ","")&amp;IF(AND($R256="Active",$Q256&lt;&gt;""),"Active record includes a Termination Date; confirm this is intentional; ","")&amp;IF(AND($B256&lt;&gt;"",$B256&amp;""&lt;&gt;$A256&amp;"",COUNTIF($A$2:$A$501,$B256)&gt;0),"Dependent SSN also appears as an Employee SSN elsewhere; confirm dual-employee coverage is intentional; ","")&amp;IF(AND($B256&lt;&gt;"",COUNTIF($B$2:$B$501,$B256)&gt;COUNTIFS($A$2:$A$501,$A256,$B$2:$B$501,$B256)),"Dependent SSN appears under more than one employee; confirm duplicate family coverage is intentional; ","")&amp;IF(AND(ROW()&gt;2,$A256&lt;&gt;"",$A256&lt;&gt;$A255,COUNTIF($A$2:$A255,$A256)&gt;0),"This household appears in more than one section of the census; keep the family together; ","")&amp;IF(OR(AND($C256&lt;&gt;"",LEN($C256&amp;"")&lt;&gt;LEN(TRIM($C256&amp;""))),AND($D256&lt;&gt;"",LEN($D256&amp;"")&lt;&gt;LEN(TRIM($D256&amp;""))),AND($E256&lt;&gt;"",LEN($E256&amp;"")&lt;&gt;LEN(TRIM($E256&amp;""))),AND($F256&lt;&gt;"",LEN($F256&amp;"")&lt;&gt;LEN(TRIM($F256&amp;""))),AND($G256&lt;&gt;"",LEN($G256&amp;"")&lt;&gt;LEN(TRIM($G256&amp;""))),AND($H256&lt;&gt;"",LEN($H256&amp;"")&lt;&gt;LEN(TRIM($H256&amp;""))),AND($I256&lt;&gt;"",LEN($I256&amp;"")&lt;&gt;LEN(TRIM($I256&amp;""))),AND($J256&lt;&gt;"",LEN($J256&amp;"")&lt;&gt;LEN(TRIM($J256&amp;""))),AND($K256&lt;&gt;"",LEN($K256&amp;"")&lt;&gt;LEN(TRIM($K256&amp;""))),AND($M256&lt;&gt;"",LEN($M256&amp;"")&lt;&gt;LEN(TRIM($M256&amp;""))),AND($N256&lt;&gt;"",LEN($N256&amp;"")&lt;&gt;LEN(TRIM($N256&amp;""))),AND($O256&lt;&gt;"",LEN($O256&amp;"")&lt;&gt;LEN(TRIM($O256&amp;""))),AND($R256&lt;&gt;"",LEN($R256&amp;"")&lt;&gt;LEN(TRIM($R256&amp;""))),AND($S256&lt;&gt;"",LEN($S256&amp;"")&lt;&gt;LEN(TRIM($S256&amp;""))),AND($T256&lt;&gt;"",LEN($T256&amp;"")&lt;&gt;LEN(TRIM($T256&amp;"")))),"Remove leading or trailing spaces from text fields; ","")&amp;IF(OR(AND(LEN($C256)&gt;1,OR(EXACT($C256,UPPER($C256)),EXACT($C256,LOWER($C256)))),AND(LEN($D256)&gt;1,OR(EXACT($D256,UPPER($D256)),EXACT($D256,LOWER($D256)))),AND(LEN($H256)&gt;1,OR(EXACT($H256,UPPER($H256)),EXACT($H256,LOWER($H256))))),"Review capitalization in First Name, Last Name, or City; ","")&amp;IF(AND($N256&lt;&gt;"",NOT(EXACT($N256,LOWER($N256)))),"Email will be standardized to lowercase in the clean output; ","")&amp;IF(AND(OR('START HERE'!$C$8="Initial Enrollment",'START HERE'!$C$8="Open Enrollment"),$R256="Terminated"),"A terminated row is included in an initial or open enrollment file; confirm this is intentional; ",""))</f>
        <v/>
      </c>
      <c r="AE256">
        <f>IF(COUNTA($A256:$U256)=0,"",IF(OR($A256="",AND($A256&lt;&gt;"",NOT(IFERROR(AND(LEN($A256&amp;"")=9,ISNUMBER(--($A256&amp;""))),FALSE))),AND($A256&lt;&gt;"",OR($A256="123456789",$A256="987654321",$A256="012345678",$A256=REPT(LEFT($A256&amp;"",1),9)))),"Employee SSN, ","")&amp;IF(OR(AND($O256&lt;&gt;"",$B256=""),AND($B256&lt;&gt;"",OR(NOT(IFERROR(AND(LEN($B256&amp;"")=9,ISNUMBER(--($B256&amp;""))),FALSE)),$B256=$A256,$B256="123456789",$B256="987654321",$B256="012345678",$B256=REPT(LEFT($B256&amp;"",1),9)))),"Dependent SSN, ","")&amp;IF(OR($C256="",LEN($C256)&gt;19,AND($C256&lt;&gt;"",SUMPRODUCT(--(ROW($1:$19)&lt;=LEN($C256&amp;"")),--ISERROR(FIND(MID($C256&amp;"",ROW($1:$19),1),"ABCDEFGHIJKLMNOPQRSTUVWXYZabcdefghijklmnopqrstuvwxyz .,")))&gt;0)),"First Name, ","")&amp;IF(OR($D256="",LEN($D256)&gt;26,AND($D256&lt;&gt;"",SUMPRODUCT(--(ROW($1:$26)&lt;=LEN($D256&amp;"")),--ISERROR(FIND(MID($D256&amp;"",ROW($1:$26),1),"ABCDEFGHIJKLMNOPQRSTUVWXYZabcdefghijklmnopqrstuvwxyz .,")))&gt;0)),"Last Name, ","")&amp;IF(OR(LEN($E256)&gt;1,AND($E256&lt;&gt;"",SUMPRODUCT(--(ROW($1:$1)&lt;=LEN($E256&amp;"")),--ISERROR(FIND(MID($E256&amp;"",ROW($1:$1),1),"ABCDEFGHIJKLMNOPQRSTUVWXYZabcdefghijklmnopqrstuvwxyz .,")))&gt;0)),"Middle Initial, ","")&amp;IF(OR($F256="",LEN($F256)&gt;75),"Address, ","")&amp;IF(OR($H256="",LEN($H256)&gt;30),"City, ","")&amp;IF(AND($K256="US",OR($I256="",LEN($I256)&lt;&gt;2)),"State, ","")&amp;IF($J256="","ZIP, ","")&amp;IF(OR($K256="",AND($K256&lt;&gt;"US",$K256&lt;&gt;"CA")),"Country, ","")&amp;IF(OR($L256="",AND($L256&lt;&gt;"",OR(NOT(ISNUMBER($L256)),$L256&lt;=DATE(1900,1,1),$L256&gt;TODAY()))),"Birthdate, ","")&amp;IF(AND($N256&lt;&gt;"",NOT(IFERROR(AND(ISNUMBER(SEARCH("@",$N256)),ISNUMBER(SEARCH(".",$N256,SEARCH("@",$N256)+2))),FALSE))),"Email, ","")&amp;IF(OR(AND($B256&lt;&gt;"",$O256=""),AND($O256&lt;&gt;"",$O256&lt;&gt;"Spouse or Common Law Spouse",$O256&lt;&gt;"Domestic Partner",$O256&lt;&gt;"Child",$O256&lt;&gt;"Other",$O256&lt;&gt;"Estate",$O256&lt;&gt;"Unknown")),"Dependent Relationship, ","")&amp;IF($AA256&lt;&gt;"","Household, ","")&amp;IF(OR($P256="",AND($P256&lt;&gt;"",OR(NOT(ISNUMBER($P256)),$P256&lt;=DATE(1900,1,1)))),"Eligibility Date, ","")&amp;IF(OR(AND($R256="Terminated",$Q256=""),AND($Q256&lt;&gt;"",OR(NOT(ISNUMBER($Q256)),$Q256&lt;=DATE(1900,1,1))),AND(ISNUMBER($P256),ISNUMBER($Q256),$Q256&lt;$P256)),"Termination Date, ","")&amp;IF(OR($R256="",AND($R256&lt;&gt;"Active",$R256&lt;&gt;"Terminated"),AND('START HERE'!$C$8="Terminations Only",$R256&lt;&gt;"Terminated")),"Status, ","")&amp;IF($S256="","Plan Name, ","")&amp;IF($T256="","Coverage Level, ","")&amp;IF(AND($U256&lt;&gt;"",OR(NOT(ISNUMBER($U256)),$U256&lt;0)),"Funding, ","")&amp;IF(AND($A256&lt;&gt;"",$S256&lt;&gt;"",COUNTIFS($A$2:$A$501,$A256,$B$2:$B$501,$B256,$S$2:$S$501,$S256)&gt;1),"Duplicate Row, ",""))</f>
        <v/>
      </c>
      <c r="AF256">
        <f>IF(COUNTA($A256:$U256)=0,"",$Y256&amp;$Z256&amp;$AA256&amp;$AB256&amp;$AC256)</f>
        <v/>
      </c>
      <c r="AG256">
        <f>IF($N256="","",LOWER(TRIM($N256)))</f>
        <v/>
      </c>
      <c r="AH256">
        <f>IF($A256="","",COUNTIFS($A$2:$A$501,$A256,$AI$2:$AI$501,1))</f>
        <v/>
      </c>
      <c r="AI256">
        <f>IF(COUNTA($A256:$U256)=0,"",--($AF256&lt;&gt;""))</f>
        <v/>
      </c>
      <c r="AJ256">
        <f>IF(COUNTA($A256:$U256)=0,"",--($AD256&lt;&gt;""))</f>
        <v/>
      </c>
    </row>
    <row r="257" ht="20" customHeight="1">
      <c r="A257" s="80" t="n"/>
      <c r="B257" s="80" t="n"/>
      <c r="C257" s="81" t="n"/>
      <c r="D257" s="81" t="n"/>
      <c r="E257" s="80" t="n"/>
      <c r="F257" s="81" t="n"/>
      <c r="G257" s="81" t="n"/>
      <c r="H257" s="81" t="n"/>
      <c r="I257" s="80" t="n"/>
      <c r="J257" s="80" t="n"/>
      <c r="K257" s="80" t="n"/>
      <c r="L257" s="82" t="n"/>
      <c r="M257" s="80" t="n"/>
      <c r="N257" s="80" t="n"/>
      <c r="O257" s="80" t="n"/>
      <c r="P257" s="82" t="n"/>
      <c r="Q257" s="82" t="n"/>
      <c r="R257" s="80" t="n"/>
      <c r="S257" s="80" t="n"/>
      <c r="T257" s="80" t="n"/>
      <c r="U257" s="83" t="n"/>
      <c r="V257">
        <f>IF($A257="","",IF($A257=$A256,$V256,IF($V256="",0,1-$V256)))</f>
        <v/>
      </c>
      <c r="W257">
        <f>IF($B257&lt;&gt;"",$B257,$A257)</f>
        <v/>
      </c>
      <c r="X257">
        <f>IF(COUNTA($A257:$U257)=0,"",IF(OR($B257&lt;&gt;"",$O257&lt;&gt;""),"Dependent","Employee"))</f>
        <v/>
      </c>
      <c r="Y257">
        <f>IF(COUNTA($A257:$U257)=0,"",IF($A257="","Employee SSN is required; ","")&amp;IF($C257="","First Name is required; ","")&amp;IF(LEN($C257&amp;"")&gt;19,"First Name exceeds 19 characters; ","")&amp;IF(AND($C257&lt;&gt;"",SUMPRODUCT(--(ROW($1:$19)&lt;=LEN($C257&amp;"")),--ISERROR(FIND(MID($C257&amp;"",ROW($1:$19),1),"ABCDEFGHIJKLMNOPQRSTUVWXYZabcdefghijklmnopqrstuvwxyz .,")))&gt;0),"First Name contains unsupported or encoded characters; use plain A-Z letters only; ","")&amp;IF($D257="","Last Name is required; ","")&amp;IF(LEN($D257&amp;"")&gt;26,"Last Name exceeds 26 characters; ","")&amp;IF(AND($D257&lt;&gt;"",SUMPRODUCT(--(ROW($1:$26)&lt;=LEN($D257&amp;"")),--ISERROR(FIND(MID($D257&amp;"",ROW($1:$26),1),"ABCDEFGHIJKLMNOPQRSTUVWXYZabcdefghijklmnopqrstuvwxyz .,")))&gt;0),"Last Name contains unsupported or encoded characters; use plain A-Z letters only; ","")&amp;IF(LEN($E257&amp;"")&gt;1,"Middle Initial may contain only one character; ","")&amp;IF(AND($E257&lt;&gt;"",SUMPRODUCT(--(ROW($1:$1)&lt;=LEN($E257&amp;"")),--ISERROR(FIND(MID($E257&amp;"",ROW($1:$1),1),"ABCDEFGHIJKLMNOPQRSTUVWXYZabcdefghijklmnopqrstuvwxyz .,")))&gt;0),"Middle Initial must be a plain A-Z letter; ","")&amp;IF($F257="","Address is required; ","")&amp;IF(LEN($F257&amp;"")&gt;75,"Address exceeds 75 characters; ","")&amp;IF(LEN($G257&amp;"")&gt;75,"Address 2 exceeds 75 characters; ","")&amp;IF($H257="","City is required; ","")&amp;IF(LEN($H257&amp;"")&gt;30,"City exceeds 30 characters; ","")&amp;IF($K257="","Country is required; ","")&amp;IF(AND($K257&lt;&gt;"",$K257&lt;&gt;"US",$K257&lt;&gt;"CA"),"Country must be US or CA; ","")&amp;IF(AND($K257="US",OR($I257="",LEN($I257&amp;"")&lt;&gt;2)),"Use a 2-letter state code; ","")&amp;IF($J257="","ZIP or postal code is required; ","")&amp;IF(AND($K257="US",$J257&lt;&gt;"",NOT(IFERROR(OR(AND(LEN($J257&amp;"")=5,ISNUMBER(--($J257&amp;""))),AND(LEN($J257&amp;"")=9,ISNUMBER(--($J257&amp;""))),AND(LEN($J257&amp;"")=10,MID($J257&amp;"",6,1)="-",ISNUMBER(--SUBSTITUTE($J257&amp;"","-","")))),FALSE))),"US ZIP must be 5 or 9 digits, with an optional ZIP+4 hyphen; ","")&amp;IF(AND($N257&lt;&gt;"",NOT(IFERROR(AND(ISNUMBER(SEARCH("@",$N257)),ISNUMBER(SEARCH(".",$N257,SEARCH("@",$N257)+2))),FALSE))),"Email format appears invalid; ","")&amp;IF(AND($O257&lt;&gt;"",$B257=""),"Dependent SSN is required for every dependent; ","")&amp;IF(AND($B257&lt;&gt;"",$O257=""),"Dependent Relationship is required when Dependent SSN is entered; ","")&amp;IF(AND($O257&lt;&gt;"",$O257&lt;&gt;"Spouse or Common Law Spouse",$O257&lt;&gt;"Domestic Partner",$O257&lt;&gt;"Child",$O257&lt;&gt;"Other",$O257&lt;&gt;"Estate",$O257&lt;&gt;"Unknown"),"Dependent Relationship must use one of the approved options; ",""))</f>
        <v/>
      </c>
      <c r="Z257">
        <f>IF(COUNTA($A257:$U257)=0,"",IF(AND($A257&lt;&gt;"",NOT(IFERROR(AND(LEN($A257&amp;"")=9,ISNUMBER(--($A257&amp;""))),FALSE))),"Employee SSN must contain exactly 9 digits; ","")&amp;IF(AND($A257&lt;&gt;"",OR($A257="123456789",$A257="987654321",$A257="012345678",$A257=REPT(LEFT($A257&amp;"",1),9))),"Employee SSN appears to be a placeholder; ","")&amp;IF(AND($B257&lt;&gt;"",NOT(IFERROR(AND(LEN($B257&amp;"")=9,ISNUMBER(--($B257&amp;""))),FALSE))),"Dependent SSN must contain exactly 9 digits; ","")&amp;IF(AND($B257&lt;&gt;"",OR($B257="123456789",$B257="987654321",$B257="012345678",$B257=REPT(LEFT($B257&amp;"",1),9))),"Dependent SSN appears to be a placeholder; ","")&amp;IF(AND($A257&lt;&gt;"",$B257&lt;&gt;"",$A257&amp;""=$B257&amp;""),"Dependent SSN cannot match Employee SSN; ","")&amp;IF(AND($W257&lt;&gt;"",OR(COUNTIFS($W$2:$W$501,$W257,$C$2:$C$501,"&lt;&gt;"&amp;$C257)&gt;0,COUNTIFS($W$2:$W$501,$W257,$D$2:$D$501,"&lt;&gt;"&amp;$D257)&gt;0,COUNTIFS($W$2:$W$501,$W257,$L$2:$L$501,"&lt;&gt;"&amp;$L257)&gt;0)),"The same SSN is associated with a different name or birthdate; ",""))</f>
        <v/>
      </c>
      <c r="AA257">
        <f>IF(COUNTA($A257:$U257)=0,"",IF(AND($A257&lt;&gt;"",$S257&lt;&gt;"",COUNTIFS($A$2:$A$501,$A257,$S$2:$S$501,$S257,$B$2:$B$501,"",$O$2:$O$501,"")=0),"Add an employee row for this household and plan; ","")&amp;IF(AND($X257="Dependent",COUNTIFS($A$2:$A257,$A257,$S$2:$S257,$S257,$B$2:$B257,"",$O$2:$O257,"")=0),"Place the employee row before dependent rows for this plan; ","")&amp;IF(AND($X257="Dependent",COUNTIFS($A$2:$A$501,$A257,$S$2:$S$501,$S257,$B$2:$B$501,"",$O$2:$O$501,"")&gt;0,IFERROR(OR($P257&lt;&gt;LOOKUP(2,1/(($A$2:$A$501=$A257)*($S$2:$S$501=$S257)*($B$2:$B$501="")*($O$2:$O$501="")),$P$2:$P$501),$Q257&lt;&gt;LOOKUP(2,1/(($A$2:$A$501=$A257)*($S$2:$S$501=$S257)*($B$2:$B$501="")*($O$2:$O$501="")),$Q$2:$Q$501),$R257&lt;&gt;LOOKUP(2,1/(($A$2:$A$501=$A257)*($S$2:$S$501=$S257)*($B$2:$B$501="")*($O$2:$O$501="")),$R$2:$R$501),$T257&lt;&gt;LOOKUP(2,1/(($A$2:$A$501=$A257)*($S$2:$S$501=$S257)*($B$2:$B$501="")*($O$2:$O$501="")),$T$2:$T$501),$U257&lt;&gt;LOOKUP(2,1/(($A$2:$A$501=$A257)*($S$2:$S$501=$S257)*($B$2:$B$501="")*($O$2:$O$501="")),$U$2:$U$501)),FALSE)),"Dependent row does not match the employee row for eligibility, status, coverage level, or funding; ",""))</f>
        <v/>
      </c>
      <c r="AB257">
        <f>IF(COUNTA($A257:$U257)=0,"",IF($L257="","Birthdate is required; ","")&amp;IF(AND($L257&lt;&gt;"",OR(NOT(ISNUMBER($L257)),$L257&lt;=DATE(1900,1,1),$L257&gt;TODAY())),"Birthdate must be an exact valid past date; ","")&amp;IF($P257="","Eligibility Date is required; ","")&amp;IF(AND($P257&lt;&gt;"",OR(NOT(ISNUMBER($P257)),$P257&lt;=DATE(1900,1,1))),"Eligibility Date must be a valid date; ","")&amp;IF(AND($R257="Terminated",$Q257=""),"Termination Date is required when Status is Terminated; ","")&amp;IF(AND($Q257&lt;&gt;"",OR(NOT(ISNUMBER($Q257)),$Q257&lt;=DATE(1900,1,1))),"Termination Date must be a valid date; ","")&amp;IF(AND(ISNUMBER($P257),ISNUMBER($Q257),$Q257&lt;$P257),"Termination Date cannot be before Eligibility Date; ","")&amp;IF($R257="","Status is required; ","")&amp;IF(AND($R257&lt;&gt;"",$R257&lt;&gt;"Active",$R257&lt;&gt;"Terminated"),"Status must be Active or Terminated; ","")&amp;IF(AND('START HERE'!$C$8="Terminations Only",$R257&lt;&gt;"Terminated"),"Terminations Only files must contain terminated records; ",""))</f>
        <v/>
      </c>
      <c r="AC257">
        <f>IF(COUNTA($A257:$U257)=0,"",IF($S257="","Plan Name is required; ","")&amp;IF($T257="","Benefit Coverage Level is required; ","")&amp;IF(AND($U257&lt;&gt;"",OR(NOT(ISNUMBER($U257)),$U257&lt;0)),"Plan Funding Amount must be a nonnegative number; ","")&amp;IF(AND($A257&lt;&gt;"",$S257&lt;&gt;"",COUNTIFS($A$2:$A$501,$A257,$B$2:$B$501,$B257,$S$2:$S$501,$S257)&gt;1),"Duplicate participant and plan row; ",""))</f>
        <v/>
      </c>
      <c r="AD257">
        <f>IF(COUNTA($A257:$U257)=0,"",IF(AND($X257="Employee",$M257="",$N257=""),"No employee phone or email provided; ","")&amp;IF(AND($R257="Active",$Q257&lt;&gt;""),"Active record includes a Termination Date; confirm this is intentional; ","")&amp;IF(AND($B257&lt;&gt;"",$B257&amp;""&lt;&gt;$A257&amp;"",COUNTIF($A$2:$A$501,$B257)&gt;0),"Dependent SSN also appears as an Employee SSN elsewhere; confirm dual-employee coverage is intentional; ","")&amp;IF(AND($B257&lt;&gt;"",COUNTIF($B$2:$B$501,$B257)&gt;COUNTIFS($A$2:$A$501,$A257,$B$2:$B$501,$B257)),"Dependent SSN appears under more than one employee; confirm duplicate family coverage is intentional; ","")&amp;IF(AND(ROW()&gt;2,$A257&lt;&gt;"",$A257&lt;&gt;$A256,COUNTIF($A$2:$A256,$A257)&gt;0),"This household appears in more than one section of the census; keep the family together; ","")&amp;IF(OR(AND($C257&lt;&gt;"",LEN($C257&amp;"")&lt;&gt;LEN(TRIM($C257&amp;""))),AND($D257&lt;&gt;"",LEN($D257&amp;"")&lt;&gt;LEN(TRIM($D257&amp;""))),AND($E257&lt;&gt;"",LEN($E257&amp;"")&lt;&gt;LEN(TRIM($E257&amp;""))),AND($F257&lt;&gt;"",LEN($F257&amp;"")&lt;&gt;LEN(TRIM($F257&amp;""))),AND($G257&lt;&gt;"",LEN($G257&amp;"")&lt;&gt;LEN(TRIM($G257&amp;""))),AND($H257&lt;&gt;"",LEN($H257&amp;"")&lt;&gt;LEN(TRIM($H257&amp;""))),AND($I257&lt;&gt;"",LEN($I257&amp;"")&lt;&gt;LEN(TRIM($I257&amp;""))),AND($J257&lt;&gt;"",LEN($J257&amp;"")&lt;&gt;LEN(TRIM($J257&amp;""))),AND($K257&lt;&gt;"",LEN($K257&amp;"")&lt;&gt;LEN(TRIM($K257&amp;""))),AND($M257&lt;&gt;"",LEN($M257&amp;"")&lt;&gt;LEN(TRIM($M257&amp;""))),AND($N257&lt;&gt;"",LEN($N257&amp;"")&lt;&gt;LEN(TRIM($N257&amp;""))),AND($O257&lt;&gt;"",LEN($O257&amp;"")&lt;&gt;LEN(TRIM($O257&amp;""))),AND($R257&lt;&gt;"",LEN($R257&amp;"")&lt;&gt;LEN(TRIM($R257&amp;""))),AND($S257&lt;&gt;"",LEN($S257&amp;"")&lt;&gt;LEN(TRIM($S257&amp;""))),AND($T257&lt;&gt;"",LEN($T257&amp;"")&lt;&gt;LEN(TRIM($T257&amp;"")))),"Remove leading or trailing spaces from text fields; ","")&amp;IF(OR(AND(LEN($C257)&gt;1,OR(EXACT($C257,UPPER($C257)),EXACT($C257,LOWER($C257)))),AND(LEN($D257)&gt;1,OR(EXACT($D257,UPPER($D257)),EXACT($D257,LOWER($D257)))),AND(LEN($H257)&gt;1,OR(EXACT($H257,UPPER($H257)),EXACT($H257,LOWER($H257))))),"Review capitalization in First Name, Last Name, or City; ","")&amp;IF(AND($N257&lt;&gt;"",NOT(EXACT($N257,LOWER($N257)))),"Email will be standardized to lowercase in the clean output; ","")&amp;IF(AND(OR('START HERE'!$C$8="Initial Enrollment",'START HERE'!$C$8="Open Enrollment"),$R257="Terminated"),"A terminated row is included in an initial or open enrollment file; confirm this is intentional; ",""))</f>
        <v/>
      </c>
      <c r="AE257">
        <f>IF(COUNTA($A257:$U257)=0,"",IF(OR($A257="",AND($A257&lt;&gt;"",NOT(IFERROR(AND(LEN($A257&amp;"")=9,ISNUMBER(--($A257&amp;""))),FALSE))),AND($A257&lt;&gt;"",OR($A257="123456789",$A257="987654321",$A257="012345678",$A257=REPT(LEFT($A257&amp;"",1),9)))),"Employee SSN, ","")&amp;IF(OR(AND($O257&lt;&gt;"",$B257=""),AND($B257&lt;&gt;"",OR(NOT(IFERROR(AND(LEN($B257&amp;"")=9,ISNUMBER(--($B257&amp;""))),FALSE)),$B257=$A257,$B257="123456789",$B257="987654321",$B257="012345678",$B257=REPT(LEFT($B257&amp;"",1),9)))),"Dependent SSN, ","")&amp;IF(OR($C257="",LEN($C257)&gt;19,AND($C257&lt;&gt;"",SUMPRODUCT(--(ROW($1:$19)&lt;=LEN($C257&amp;"")),--ISERROR(FIND(MID($C257&amp;"",ROW($1:$19),1),"ABCDEFGHIJKLMNOPQRSTUVWXYZabcdefghijklmnopqrstuvwxyz .,")))&gt;0)),"First Name, ","")&amp;IF(OR($D257="",LEN($D257)&gt;26,AND($D257&lt;&gt;"",SUMPRODUCT(--(ROW($1:$26)&lt;=LEN($D257&amp;"")),--ISERROR(FIND(MID($D257&amp;"",ROW($1:$26),1),"ABCDEFGHIJKLMNOPQRSTUVWXYZabcdefghijklmnopqrstuvwxyz .,")))&gt;0)),"Last Name, ","")&amp;IF(OR(LEN($E257)&gt;1,AND($E257&lt;&gt;"",SUMPRODUCT(--(ROW($1:$1)&lt;=LEN($E257&amp;"")),--ISERROR(FIND(MID($E257&amp;"",ROW($1:$1),1),"ABCDEFGHIJKLMNOPQRSTUVWXYZabcdefghijklmnopqrstuvwxyz .,")))&gt;0)),"Middle Initial, ","")&amp;IF(OR($F257="",LEN($F257)&gt;75),"Address, ","")&amp;IF(OR($H257="",LEN($H257)&gt;30),"City, ","")&amp;IF(AND($K257="US",OR($I257="",LEN($I257)&lt;&gt;2)),"State, ","")&amp;IF($J257="","ZIP, ","")&amp;IF(OR($K257="",AND($K257&lt;&gt;"US",$K257&lt;&gt;"CA")),"Country, ","")&amp;IF(OR($L257="",AND($L257&lt;&gt;"",OR(NOT(ISNUMBER($L257)),$L257&lt;=DATE(1900,1,1),$L257&gt;TODAY()))),"Birthdate, ","")&amp;IF(AND($N257&lt;&gt;"",NOT(IFERROR(AND(ISNUMBER(SEARCH("@",$N257)),ISNUMBER(SEARCH(".",$N257,SEARCH("@",$N257)+2))),FALSE))),"Email, ","")&amp;IF(OR(AND($B257&lt;&gt;"",$O257=""),AND($O257&lt;&gt;"",$O257&lt;&gt;"Spouse or Common Law Spouse",$O257&lt;&gt;"Domestic Partner",$O257&lt;&gt;"Child",$O257&lt;&gt;"Other",$O257&lt;&gt;"Estate",$O257&lt;&gt;"Unknown")),"Dependent Relationship, ","")&amp;IF($AA257&lt;&gt;"","Household, ","")&amp;IF(OR($P257="",AND($P257&lt;&gt;"",OR(NOT(ISNUMBER($P257)),$P257&lt;=DATE(1900,1,1)))),"Eligibility Date, ","")&amp;IF(OR(AND($R257="Terminated",$Q257=""),AND($Q257&lt;&gt;"",OR(NOT(ISNUMBER($Q257)),$Q257&lt;=DATE(1900,1,1))),AND(ISNUMBER($P257),ISNUMBER($Q257),$Q257&lt;$P257)),"Termination Date, ","")&amp;IF(OR($R257="",AND($R257&lt;&gt;"Active",$R257&lt;&gt;"Terminated"),AND('START HERE'!$C$8="Terminations Only",$R257&lt;&gt;"Terminated")),"Status, ","")&amp;IF($S257="","Plan Name, ","")&amp;IF($T257="","Coverage Level, ","")&amp;IF(AND($U257&lt;&gt;"",OR(NOT(ISNUMBER($U257)),$U257&lt;0)),"Funding, ","")&amp;IF(AND($A257&lt;&gt;"",$S257&lt;&gt;"",COUNTIFS($A$2:$A$501,$A257,$B$2:$B$501,$B257,$S$2:$S$501,$S257)&gt;1),"Duplicate Row, ",""))</f>
        <v/>
      </c>
      <c r="AF257">
        <f>IF(COUNTA($A257:$U257)=0,"",$Y257&amp;$Z257&amp;$AA257&amp;$AB257&amp;$AC257)</f>
        <v/>
      </c>
      <c r="AG257">
        <f>IF($N257="","",LOWER(TRIM($N257)))</f>
        <v/>
      </c>
      <c r="AH257">
        <f>IF($A257="","",COUNTIFS($A$2:$A$501,$A257,$AI$2:$AI$501,1))</f>
        <v/>
      </c>
      <c r="AI257">
        <f>IF(COUNTA($A257:$U257)=0,"",--($AF257&lt;&gt;""))</f>
        <v/>
      </c>
      <c r="AJ257">
        <f>IF(COUNTA($A257:$U257)=0,"",--($AD257&lt;&gt;""))</f>
        <v/>
      </c>
    </row>
    <row r="258" ht="20" customHeight="1">
      <c r="A258" s="80" t="n"/>
      <c r="B258" s="80" t="n"/>
      <c r="C258" s="81" t="n"/>
      <c r="D258" s="81" t="n"/>
      <c r="E258" s="80" t="n"/>
      <c r="F258" s="81" t="n"/>
      <c r="G258" s="81" t="n"/>
      <c r="H258" s="81" t="n"/>
      <c r="I258" s="80" t="n"/>
      <c r="J258" s="80" t="n"/>
      <c r="K258" s="80" t="n"/>
      <c r="L258" s="82" t="n"/>
      <c r="M258" s="80" t="n"/>
      <c r="N258" s="80" t="n"/>
      <c r="O258" s="80" t="n"/>
      <c r="P258" s="82" t="n"/>
      <c r="Q258" s="82" t="n"/>
      <c r="R258" s="80" t="n"/>
      <c r="S258" s="80" t="n"/>
      <c r="T258" s="80" t="n"/>
      <c r="U258" s="83" t="n"/>
      <c r="V258">
        <f>IF($A258="","",IF($A258=$A257,$V257,IF($V257="",0,1-$V257)))</f>
        <v/>
      </c>
      <c r="W258">
        <f>IF($B258&lt;&gt;"",$B258,$A258)</f>
        <v/>
      </c>
      <c r="X258">
        <f>IF(COUNTA($A258:$U258)=0,"",IF(OR($B258&lt;&gt;"",$O258&lt;&gt;""),"Dependent","Employee"))</f>
        <v/>
      </c>
      <c r="Y258">
        <f>IF(COUNTA($A258:$U258)=0,"",IF($A258="","Employee SSN is required; ","")&amp;IF($C258="","First Name is required; ","")&amp;IF(LEN($C258&amp;"")&gt;19,"First Name exceeds 19 characters; ","")&amp;IF(AND($C258&lt;&gt;"",SUMPRODUCT(--(ROW($1:$19)&lt;=LEN($C258&amp;"")),--ISERROR(FIND(MID($C258&amp;"",ROW($1:$19),1),"ABCDEFGHIJKLMNOPQRSTUVWXYZabcdefghijklmnopqrstuvwxyz .,")))&gt;0),"First Name contains unsupported or encoded characters; use plain A-Z letters only; ","")&amp;IF($D258="","Last Name is required; ","")&amp;IF(LEN($D258&amp;"")&gt;26,"Last Name exceeds 26 characters; ","")&amp;IF(AND($D258&lt;&gt;"",SUMPRODUCT(--(ROW($1:$26)&lt;=LEN($D258&amp;"")),--ISERROR(FIND(MID($D258&amp;"",ROW($1:$26),1),"ABCDEFGHIJKLMNOPQRSTUVWXYZabcdefghijklmnopqrstuvwxyz .,")))&gt;0),"Last Name contains unsupported or encoded characters; use plain A-Z letters only; ","")&amp;IF(LEN($E258&amp;"")&gt;1,"Middle Initial may contain only one character; ","")&amp;IF(AND($E258&lt;&gt;"",SUMPRODUCT(--(ROW($1:$1)&lt;=LEN($E258&amp;"")),--ISERROR(FIND(MID($E258&amp;"",ROW($1:$1),1),"ABCDEFGHIJKLMNOPQRSTUVWXYZabcdefghijklmnopqrstuvwxyz .,")))&gt;0),"Middle Initial must be a plain A-Z letter; ","")&amp;IF($F258="","Address is required; ","")&amp;IF(LEN($F258&amp;"")&gt;75,"Address exceeds 75 characters; ","")&amp;IF(LEN($G258&amp;"")&gt;75,"Address 2 exceeds 75 characters; ","")&amp;IF($H258="","City is required; ","")&amp;IF(LEN($H258&amp;"")&gt;30,"City exceeds 30 characters; ","")&amp;IF($K258="","Country is required; ","")&amp;IF(AND($K258&lt;&gt;"",$K258&lt;&gt;"US",$K258&lt;&gt;"CA"),"Country must be US or CA; ","")&amp;IF(AND($K258="US",OR($I258="",LEN($I258&amp;"")&lt;&gt;2)),"Use a 2-letter state code; ","")&amp;IF($J258="","ZIP or postal code is required; ","")&amp;IF(AND($K258="US",$J258&lt;&gt;"",NOT(IFERROR(OR(AND(LEN($J258&amp;"")=5,ISNUMBER(--($J258&amp;""))),AND(LEN($J258&amp;"")=9,ISNUMBER(--($J258&amp;""))),AND(LEN($J258&amp;"")=10,MID($J258&amp;"",6,1)="-",ISNUMBER(--SUBSTITUTE($J258&amp;"","-","")))),FALSE))),"US ZIP must be 5 or 9 digits, with an optional ZIP+4 hyphen; ","")&amp;IF(AND($N258&lt;&gt;"",NOT(IFERROR(AND(ISNUMBER(SEARCH("@",$N258)),ISNUMBER(SEARCH(".",$N258,SEARCH("@",$N258)+2))),FALSE))),"Email format appears invalid; ","")&amp;IF(AND($O258&lt;&gt;"",$B258=""),"Dependent SSN is required for every dependent; ","")&amp;IF(AND($B258&lt;&gt;"",$O258=""),"Dependent Relationship is required when Dependent SSN is entered; ","")&amp;IF(AND($O258&lt;&gt;"",$O258&lt;&gt;"Spouse or Common Law Spouse",$O258&lt;&gt;"Domestic Partner",$O258&lt;&gt;"Child",$O258&lt;&gt;"Other",$O258&lt;&gt;"Estate",$O258&lt;&gt;"Unknown"),"Dependent Relationship must use one of the approved options; ",""))</f>
        <v/>
      </c>
      <c r="Z258">
        <f>IF(COUNTA($A258:$U258)=0,"",IF(AND($A258&lt;&gt;"",NOT(IFERROR(AND(LEN($A258&amp;"")=9,ISNUMBER(--($A258&amp;""))),FALSE))),"Employee SSN must contain exactly 9 digits; ","")&amp;IF(AND($A258&lt;&gt;"",OR($A258="123456789",$A258="987654321",$A258="012345678",$A258=REPT(LEFT($A258&amp;"",1),9))),"Employee SSN appears to be a placeholder; ","")&amp;IF(AND($B258&lt;&gt;"",NOT(IFERROR(AND(LEN($B258&amp;"")=9,ISNUMBER(--($B258&amp;""))),FALSE))),"Dependent SSN must contain exactly 9 digits; ","")&amp;IF(AND($B258&lt;&gt;"",OR($B258="123456789",$B258="987654321",$B258="012345678",$B258=REPT(LEFT($B258&amp;"",1),9))),"Dependent SSN appears to be a placeholder; ","")&amp;IF(AND($A258&lt;&gt;"",$B258&lt;&gt;"",$A258&amp;""=$B258&amp;""),"Dependent SSN cannot match Employee SSN; ","")&amp;IF(AND($W258&lt;&gt;"",OR(COUNTIFS($W$2:$W$501,$W258,$C$2:$C$501,"&lt;&gt;"&amp;$C258)&gt;0,COUNTIFS($W$2:$W$501,$W258,$D$2:$D$501,"&lt;&gt;"&amp;$D258)&gt;0,COUNTIFS($W$2:$W$501,$W258,$L$2:$L$501,"&lt;&gt;"&amp;$L258)&gt;0)),"The same SSN is associated with a different name or birthdate; ",""))</f>
        <v/>
      </c>
      <c r="AA258">
        <f>IF(COUNTA($A258:$U258)=0,"",IF(AND($A258&lt;&gt;"",$S258&lt;&gt;"",COUNTIFS($A$2:$A$501,$A258,$S$2:$S$501,$S258,$B$2:$B$501,"",$O$2:$O$501,"")=0),"Add an employee row for this household and plan; ","")&amp;IF(AND($X258="Dependent",COUNTIFS($A$2:$A258,$A258,$S$2:$S258,$S258,$B$2:$B258,"",$O$2:$O258,"")=0),"Place the employee row before dependent rows for this plan; ","")&amp;IF(AND($X258="Dependent",COUNTIFS($A$2:$A$501,$A258,$S$2:$S$501,$S258,$B$2:$B$501,"",$O$2:$O$501,"")&gt;0,IFERROR(OR($P258&lt;&gt;LOOKUP(2,1/(($A$2:$A$501=$A258)*($S$2:$S$501=$S258)*($B$2:$B$501="")*($O$2:$O$501="")),$P$2:$P$501),$Q258&lt;&gt;LOOKUP(2,1/(($A$2:$A$501=$A258)*($S$2:$S$501=$S258)*($B$2:$B$501="")*($O$2:$O$501="")),$Q$2:$Q$501),$R258&lt;&gt;LOOKUP(2,1/(($A$2:$A$501=$A258)*($S$2:$S$501=$S258)*($B$2:$B$501="")*($O$2:$O$501="")),$R$2:$R$501),$T258&lt;&gt;LOOKUP(2,1/(($A$2:$A$501=$A258)*($S$2:$S$501=$S258)*($B$2:$B$501="")*($O$2:$O$501="")),$T$2:$T$501),$U258&lt;&gt;LOOKUP(2,1/(($A$2:$A$501=$A258)*($S$2:$S$501=$S258)*($B$2:$B$501="")*($O$2:$O$501="")),$U$2:$U$501)),FALSE)),"Dependent row does not match the employee row for eligibility, status, coverage level, or funding; ",""))</f>
        <v/>
      </c>
      <c r="AB258">
        <f>IF(COUNTA($A258:$U258)=0,"",IF($L258="","Birthdate is required; ","")&amp;IF(AND($L258&lt;&gt;"",OR(NOT(ISNUMBER($L258)),$L258&lt;=DATE(1900,1,1),$L258&gt;TODAY())),"Birthdate must be an exact valid past date; ","")&amp;IF($P258="","Eligibility Date is required; ","")&amp;IF(AND($P258&lt;&gt;"",OR(NOT(ISNUMBER($P258)),$P258&lt;=DATE(1900,1,1))),"Eligibility Date must be a valid date; ","")&amp;IF(AND($R258="Terminated",$Q258=""),"Termination Date is required when Status is Terminated; ","")&amp;IF(AND($Q258&lt;&gt;"",OR(NOT(ISNUMBER($Q258)),$Q258&lt;=DATE(1900,1,1))),"Termination Date must be a valid date; ","")&amp;IF(AND(ISNUMBER($P258),ISNUMBER($Q258),$Q258&lt;$P258),"Termination Date cannot be before Eligibility Date; ","")&amp;IF($R258="","Status is required; ","")&amp;IF(AND($R258&lt;&gt;"",$R258&lt;&gt;"Active",$R258&lt;&gt;"Terminated"),"Status must be Active or Terminated; ","")&amp;IF(AND('START HERE'!$C$8="Terminations Only",$R258&lt;&gt;"Terminated"),"Terminations Only files must contain terminated records; ",""))</f>
        <v/>
      </c>
      <c r="AC258">
        <f>IF(COUNTA($A258:$U258)=0,"",IF($S258="","Plan Name is required; ","")&amp;IF($T258="","Benefit Coverage Level is required; ","")&amp;IF(AND($U258&lt;&gt;"",OR(NOT(ISNUMBER($U258)),$U258&lt;0)),"Plan Funding Amount must be a nonnegative number; ","")&amp;IF(AND($A258&lt;&gt;"",$S258&lt;&gt;"",COUNTIFS($A$2:$A$501,$A258,$B$2:$B$501,$B258,$S$2:$S$501,$S258)&gt;1),"Duplicate participant and plan row; ",""))</f>
        <v/>
      </c>
      <c r="AD258">
        <f>IF(COUNTA($A258:$U258)=0,"",IF(AND($X258="Employee",$M258="",$N258=""),"No employee phone or email provided; ","")&amp;IF(AND($R258="Active",$Q258&lt;&gt;""),"Active record includes a Termination Date; confirm this is intentional; ","")&amp;IF(AND($B258&lt;&gt;"",$B258&amp;""&lt;&gt;$A258&amp;"",COUNTIF($A$2:$A$501,$B258)&gt;0),"Dependent SSN also appears as an Employee SSN elsewhere; confirm dual-employee coverage is intentional; ","")&amp;IF(AND($B258&lt;&gt;"",COUNTIF($B$2:$B$501,$B258)&gt;COUNTIFS($A$2:$A$501,$A258,$B$2:$B$501,$B258)),"Dependent SSN appears under more than one employee; confirm duplicate family coverage is intentional; ","")&amp;IF(AND(ROW()&gt;2,$A258&lt;&gt;"",$A258&lt;&gt;$A257,COUNTIF($A$2:$A257,$A258)&gt;0),"This household appears in more than one section of the census; keep the family together; ","")&amp;IF(OR(AND($C258&lt;&gt;"",LEN($C258&amp;"")&lt;&gt;LEN(TRIM($C258&amp;""))),AND($D258&lt;&gt;"",LEN($D258&amp;"")&lt;&gt;LEN(TRIM($D258&amp;""))),AND($E258&lt;&gt;"",LEN($E258&amp;"")&lt;&gt;LEN(TRIM($E258&amp;""))),AND($F258&lt;&gt;"",LEN($F258&amp;"")&lt;&gt;LEN(TRIM($F258&amp;""))),AND($G258&lt;&gt;"",LEN($G258&amp;"")&lt;&gt;LEN(TRIM($G258&amp;""))),AND($H258&lt;&gt;"",LEN($H258&amp;"")&lt;&gt;LEN(TRIM($H258&amp;""))),AND($I258&lt;&gt;"",LEN($I258&amp;"")&lt;&gt;LEN(TRIM($I258&amp;""))),AND($J258&lt;&gt;"",LEN($J258&amp;"")&lt;&gt;LEN(TRIM($J258&amp;""))),AND($K258&lt;&gt;"",LEN($K258&amp;"")&lt;&gt;LEN(TRIM($K258&amp;""))),AND($M258&lt;&gt;"",LEN($M258&amp;"")&lt;&gt;LEN(TRIM($M258&amp;""))),AND($N258&lt;&gt;"",LEN($N258&amp;"")&lt;&gt;LEN(TRIM($N258&amp;""))),AND($O258&lt;&gt;"",LEN($O258&amp;"")&lt;&gt;LEN(TRIM($O258&amp;""))),AND($R258&lt;&gt;"",LEN($R258&amp;"")&lt;&gt;LEN(TRIM($R258&amp;""))),AND($S258&lt;&gt;"",LEN($S258&amp;"")&lt;&gt;LEN(TRIM($S258&amp;""))),AND($T258&lt;&gt;"",LEN($T258&amp;"")&lt;&gt;LEN(TRIM($T258&amp;"")))),"Remove leading or trailing spaces from text fields; ","")&amp;IF(OR(AND(LEN($C258)&gt;1,OR(EXACT($C258,UPPER($C258)),EXACT($C258,LOWER($C258)))),AND(LEN($D258)&gt;1,OR(EXACT($D258,UPPER($D258)),EXACT($D258,LOWER($D258)))),AND(LEN($H258)&gt;1,OR(EXACT($H258,UPPER($H258)),EXACT($H258,LOWER($H258))))),"Review capitalization in First Name, Last Name, or City; ","")&amp;IF(AND($N258&lt;&gt;"",NOT(EXACT($N258,LOWER($N258)))),"Email will be standardized to lowercase in the clean output; ","")&amp;IF(AND(OR('START HERE'!$C$8="Initial Enrollment",'START HERE'!$C$8="Open Enrollment"),$R258="Terminated"),"A terminated row is included in an initial or open enrollment file; confirm this is intentional; ",""))</f>
        <v/>
      </c>
      <c r="AE258">
        <f>IF(COUNTA($A258:$U258)=0,"",IF(OR($A258="",AND($A258&lt;&gt;"",NOT(IFERROR(AND(LEN($A258&amp;"")=9,ISNUMBER(--($A258&amp;""))),FALSE))),AND($A258&lt;&gt;"",OR($A258="123456789",$A258="987654321",$A258="012345678",$A258=REPT(LEFT($A258&amp;"",1),9)))),"Employee SSN, ","")&amp;IF(OR(AND($O258&lt;&gt;"",$B258=""),AND($B258&lt;&gt;"",OR(NOT(IFERROR(AND(LEN($B258&amp;"")=9,ISNUMBER(--($B258&amp;""))),FALSE)),$B258=$A258,$B258="123456789",$B258="987654321",$B258="012345678",$B258=REPT(LEFT($B258&amp;"",1),9)))),"Dependent SSN, ","")&amp;IF(OR($C258="",LEN($C258)&gt;19,AND($C258&lt;&gt;"",SUMPRODUCT(--(ROW($1:$19)&lt;=LEN($C258&amp;"")),--ISERROR(FIND(MID($C258&amp;"",ROW($1:$19),1),"ABCDEFGHIJKLMNOPQRSTUVWXYZabcdefghijklmnopqrstuvwxyz .,")))&gt;0)),"First Name, ","")&amp;IF(OR($D258="",LEN($D258)&gt;26,AND($D258&lt;&gt;"",SUMPRODUCT(--(ROW($1:$26)&lt;=LEN($D258&amp;"")),--ISERROR(FIND(MID($D258&amp;"",ROW($1:$26),1),"ABCDEFGHIJKLMNOPQRSTUVWXYZabcdefghijklmnopqrstuvwxyz .,")))&gt;0)),"Last Name, ","")&amp;IF(OR(LEN($E258)&gt;1,AND($E258&lt;&gt;"",SUMPRODUCT(--(ROW($1:$1)&lt;=LEN($E258&amp;"")),--ISERROR(FIND(MID($E258&amp;"",ROW($1:$1),1),"ABCDEFGHIJKLMNOPQRSTUVWXYZabcdefghijklmnopqrstuvwxyz .,")))&gt;0)),"Middle Initial, ","")&amp;IF(OR($F258="",LEN($F258)&gt;75),"Address, ","")&amp;IF(OR($H258="",LEN($H258)&gt;30),"City, ","")&amp;IF(AND($K258="US",OR($I258="",LEN($I258)&lt;&gt;2)),"State, ","")&amp;IF($J258="","ZIP, ","")&amp;IF(OR($K258="",AND($K258&lt;&gt;"US",$K258&lt;&gt;"CA")),"Country, ","")&amp;IF(OR($L258="",AND($L258&lt;&gt;"",OR(NOT(ISNUMBER($L258)),$L258&lt;=DATE(1900,1,1),$L258&gt;TODAY()))),"Birthdate, ","")&amp;IF(AND($N258&lt;&gt;"",NOT(IFERROR(AND(ISNUMBER(SEARCH("@",$N258)),ISNUMBER(SEARCH(".",$N258,SEARCH("@",$N258)+2))),FALSE))),"Email, ","")&amp;IF(OR(AND($B258&lt;&gt;"",$O258=""),AND($O258&lt;&gt;"",$O258&lt;&gt;"Spouse or Common Law Spouse",$O258&lt;&gt;"Domestic Partner",$O258&lt;&gt;"Child",$O258&lt;&gt;"Other",$O258&lt;&gt;"Estate",$O258&lt;&gt;"Unknown")),"Dependent Relationship, ","")&amp;IF($AA258&lt;&gt;"","Household, ","")&amp;IF(OR($P258="",AND($P258&lt;&gt;"",OR(NOT(ISNUMBER($P258)),$P258&lt;=DATE(1900,1,1)))),"Eligibility Date, ","")&amp;IF(OR(AND($R258="Terminated",$Q258=""),AND($Q258&lt;&gt;"",OR(NOT(ISNUMBER($Q258)),$Q258&lt;=DATE(1900,1,1))),AND(ISNUMBER($P258),ISNUMBER($Q258),$Q258&lt;$P258)),"Termination Date, ","")&amp;IF(OR($R258="",AND($R258&lt;&gt;"Active",$R258&lt;&gt;"Terminated"),AND('START HERE'!$C$8="Terminations Only",$R258&lt;&gt;"Terminated")),"Status, ","")&amp;IF($S258="","Plan Name, ","")&amp;IF($T258="","Coverage Level, ","")&amp;IF(AND($U258&lt;&gt;"",OR(NOT(ISNUMBER($U258)),$U258&lt;0)),"Funding, ","")&amp;IF(AND($A258&lt;&gt;"",$S258&lt;&gt;"",COUNTIFS($A$2:$A$501,$A258,$B$2:$B$501,$B258,$S$2:$S$501,$S258)&gt;1),"Duplicate Row, ",""))</f>
        <v/>
      </c>
      <c r="AF258">
        <f>IF(COUNTA($A258:$U258)=0,"",$Y258&amp;$Z258&amp;$AA258&amp;$AB258&amp;$AC258)</f>
        <v/>
      </c>
      <c r="AG258">
        <f>IF($N258="","",LOWER(TRIM($N258)))</f>
        <v/>
      </c>
      <c r="AH258">
        <f>IF($A258="","",COUNTIFS($A$2:$A$501,$A258,$AI$2:$AI$501,1))</f>
        <v/>
      </c>
      <c r="AI258">
        <f>IF(COUNTA($A258:$U258)=0,"",--($AF258&lt;&gt;""))</f>
        <v/>
      </c>
      <c r="AJ258">
        <f>IF(COUNTA($A258:$U258)=0,"",--($AD258&lt;&gt;""))</f>
        <v/>
      </c>
    </row>
    <row r="259" ht="20" customHeight="1">
      <c r="A259" s="80" t="n"/>
      <c r="B259" s="80" t="n"/>
      <c r="C259" s="81" t="n"/>
      <c r="D259" s="81" t="n"/>
      <c r="E259" s="80" t="n"/>
      <c r="F259" s="81" t="n"/>
      <c r="G259" s="81" t="n"/>
      <c r="H259" s="81" t="n"/>
      <c r="I259" s="80" t="n"/>
      <c r="J259" s="80" t="n"/>
      <c r="K259" s="80" t="n"/>
      <c r="L259" s="82" t="n"/>
      <c r="M259" s="80" t="n"/>
      <c r="N259" s="80" t="n"/>
      <c r="O259" s="80" t="n"/>
      <c r="P259" s="82" t="n"/>
      <c r="Q259" s="82" t="n"/>
      <c r="R259" s="80" t="n"/>
      <c r="S259" s="80" t="n"/>
      <c r="T259" s="80" t="n"/>
      <c r="U259" s="83" t="n"/>
      <c r="V259">
        <f>IF($A259="","",IF($A259=$A258,$V258,IF($V258="",0,1-$V258)))</f>
        <v/>
      </c>
      <c r="W259">
        <f>IF($B259&lt;&gt;"",$B259,$A259)</f>
        <v/>
      </c>
      <c r="X259">
        <f>IF(COUNTA($A259:$U259)=0,"",IF(OR($B259&lt;&gt;"",$O259&lt;&gt;""),"Dependent","Employee"))</f>
        <v/>
      </c>
      <c r="Y259">
        <f>IF(COUNTA($A259:$U259)=0,"",IF($A259="","Employee SSN is required; ","")&amp;IF($C259="","First Name is required; ","")&amp;IF(LEN($C259&amp;"")&gt;19,"First Name exceeds 19 characters; ","")&amp;IF(AND($C259&lt;&gt;"",SUMPRODUCT(--(ROW($1:$19)&lt;=LEN($C259&amp;"")),--ISERROR(FIND(MID($C259&amp;"",ROW($1:$19),1),"ABCDEFGHIJKLMNOPQRSTUVWXYZabcdefghijklmnopqrstuvwxyz .,")))&gt;0),"First Name contains unsupported or encoded characters; use plain A-Z letters only; ","")&amp;IF($D259="","Last Name is required; ","")&amp;IF(LEN($D259&amp;"")&gt;26,"Last Name exceeds 26 characters; ","")&amp;IF(AND($D259&lt;&gt;"",SUMPRODUCT(--(ROW($1:$26)&lt;=LEN($D259&amp;"")),--ISERROR(FIND(MID($D259&amp;"",ROW($1:$26),1),"ABCDEFGHIJKLMNOPQRSTUVWXYZabcdefghijklmnopqrstuvwxyz .,")))&gt;0),"Last Name contains unsupported or encoded characters; use plain A-Z letters only; ","")&amp;IF(LEN($E259&amp;"")&gt;1,"Middle Initial may contain only one character; ","")&amp;IF(AND($E259&lt;&gt;"",SUMPRODUCT(--(ROW($1:$1)&lt;=LEN($E259&amp;"")),--ISERROR(FIND(MID($E259&amp;"",ROW($1:$1),1),"ABCDEFGHIJKLMNOPQRSTUVWXYZabcdefghijklmnopqrstuvwxyz .,")))&gt;0),"Middle Initial must be a plain A-Z letter; ","")&amp;IF($F259="","Address is required; ","")&amp;IF(LEN($F259&amp;"")&gt;75,"Address exceeds 75 characters; ","")&amp;IF(LEN($G259&amp;"")&gt;75,"Address 2 exceeds 75 characters; ","")&amp;IF($H259="","City is required; ","")&amp;IF(LEN($H259&amp;"")&gt;30,"City exceeds 30 characters; ","")&amp;IF($K259="","Country is required; ","")&amp;IF(AND($K259&lt;&gt;"",$K259&lt;&gt;"US",$K259&lt;&gt;"CA"),"Country must be US or CA; ","")&amp;IF(AND($K259="US",OR($I259="",LEN($I259&amp;"")&lt;&gt;2)),"Use a 2-letter state code; ","")&amp;IF($J259="","ZIP or postal code is required; ","")&amp;IF(AND($K259="US",$J259&lt;&gt;"",NOT(IFERROR(OR(AND(LEN($J259&amp;"")=5,ISNUMBER(--($J259&amp;""))),AND(LEN($J259&amp;"")=9,ISNUMBER(--($J259&amp;""))),AND(LEN($J259&amp;"")=10,MID($J259&amp;"",6,1)="-",ISNUMBER(--SUBSTITUTE($J259&amp;"","-","")))),FALSE))),"US ZIP must be 5 or 9 digits, with an optional ZIP+4 hyphen; ","")&amp;IF(AND($N259&lt;&gt;"",NOT(IFERROR(AND(ISNUMBER(SEARCH("@",$N259)),ISNUMBER(SEARCH(".",$N259,SEARCH("@",$N259)+2))),FALSE))),"Email format appears invalid; ","")&amp;IF(AND($O259&lt;&gt;"",$B259=""),"Dependent SSN is required for every dependent; ","")&amp;IF(AND($B259&lt;&gt;"",$O259=""),"Dependent Relationship is required when Dependent SSN is entered; ","")&amp;IF(AND($O259&lt;&gt;"",$O259&lt;&gt;"Spouse or Common Law Spouse",$O259&lt;&gt;"Domestic Partner",$O259&lt;&gt;"Child",$O259&lt;&gt;"Other",$O259&lt;&gt;"Estate",$O259&lt;&gt;"Unknown"),"Dependent Relationship must use one of the approved options; ",""))</f>
        <v/>
      </c>
      <c r="Z259">
        <f>IF(COUNTA($A259:$U259)=0,"",IF(AND($A259&lt;&gt;"",NOT(IFERROR(AND(LEN($A259&amp;"")=9,ISNUMBER(--($A259&amp;""))),FALSE))),"Employee SSN must contain exactly 9 digits; ","")&amp;IF(AND($A259&lt;&gt;"",OR($A259="123456789",$A259="987654321",$A259="012345678",$A259=REPT(LEFT($A259&amp;"",1),9))),"Employee SSN appears to be a placeholder; ","")&amp;IF(AND($B259&lt;&gt;"",NOT(IFERROR(AND(LEN($B259&amp;"")=9,ISNUMBER(--($B259&amp;""))),FALSE))),"Dependent SSN must contain exactly 9 digits; ","")&amp;IF(AND($B259&lt;&gt;"",OR($B259="123456789",$B259="987654321",$B259="012345678",$B259=REPT(LEFT($B259&amp;"",1),9))),"Dependent SSN appears to be a placeholder; ","")&amp;IF(AND($A259&lt;&gt;"",$B259&lt;&gt;"",$A259&amp;""=$B259&amp;""),"Dependent SSN cannot match Employee SSN; ","")&amp;IF(AND($W259&lt;&gt;"",OR(COUNTIFS($W$2:$W$501,$W259,$C$2:$C$501,"&lt;&gt;"&amp;$C259)&gt;0,COUNTIFS($W$2:$W$501,$W259,$D$2:$D$501,"&lt;&gt;"&amp;$D259)&gt;0,COUNTIFS($W$2:$W$501,$W259,$L$2:$L$501,"&lt;&gt;"&amp;$L259)&gt;0)),"The same SSN is associated with a different name or birthdate; ",""))</f>
        <v/>
      </c>
      <c r="AA259">
        <f>IF(COUNTA($A259:$U259)=0,"",IF(AND($A259&lt;&gt;"",$S259&lt;&gt;"",COUNTIFS($A$2:$A$501,$A259,$S$2:$S$501,$S259,$B$2:$B$501,"",$O$2:$O$501,"")=0),"Add an employee row for this household and plan; ","")&amp;IF(AND($X259="Dependent",COUNTIFS($A$2:$A259,$A259,$S$2:$S259,$S259,$B$2:$B259,"",$O$2:$O259,"")=0),"Place the employee row before dependent rows for this plan; ","")&amp;IF(AND($X259="Dependent",COUNTIFS($A$2:$A$501,$A259,$S$2:$S$501,$S259,$B$2:$B$501,"",$O$2:$O$501,"")&gt;0,IFERROR(OR($P259&lt;&gt;LOOKUP(2,1/(($A$2:$A$501=$A259)*($S$2:$S$501=$S259)*($B$2:$B$501="")*($O$2:$O$501="")),$P$2:$P$501),$Q259&lt;&gt;LOOKUP(2,1/(($A$2:$A$501=$A259)*($S$2:$S$501=$S259)*($B$2:$B$501="")*($O$2:$O$501="")),$Q$2:$Q$501),$R259&lt;&gt;LOOKUP(2,1/(($A$2:$A$501=$A259)*($S$2:$S$501=$S259)*($B$2:$B$501="")*($O$2:$O$501="")),$R$2:$R$501),$T259&lt;&gt;LOOKUP(2,1/(($A$2:$A$501=$A259)*($S$2:$S$501=$S259)*($B$2:$B$501="")*($O$2:$O$501="")),$T$2:$T$501),$U259&lt;&gt;LOOKUP(2,1/(($A$2:$A$501=$A259)*($S$2:$S$501=$S259)*($B$2:$B$501="")*($O$2:$O$501="")),$U$2:$U$501)),FALSE)),"Dependent row does not match the employee row for eligibility, status, coverage level, or funding; ",""))</f>
        <v/>
      </c>
      <c r="AB259">
        <f>IF(COUNTA($A259:$U259)=0,"",IF($L259="","Birthdate is required; ","")&amp;IF(AND($L259&lt;&gt;"",OR(NOT(ISNUMBER($L259)),$L259&lt;=DATE(1900,1,1),$L259&gt;TODAY())),"Birthdate must be an exact valid past date; ","")&amp;IF($P259="","Eligibility Date is required; ","")&amp;IF(AND($P259&lt;&gt;"",OR(NOT(ISNUMBER($P259)),$P259&lt;=DATE(1900,1,1))),"Eligibility Date must be a valid date; ","")&amp;IF(AND($R259="Terminated",$Q259=""),"Termination Date is required when Status is Terminated; ","")&amp;IF(AND($Q259&lt;&gt;"",OR(NOT(ISNUMBER($Q259)),$Q259&lt;=DATE(1900,1,1))),"Termination Date must be a valid date; ","")&amp;IF(AND(ISNUMBER($P259),ISNUMBER($Q259),$Q259&lt;$P259),"Termination Date cannot be before Eligibility Date; ","")&amp;IF($R259="","Status is required; ","")&amp;IF(AND($R259&lt;&gt;"",$R259&lt;&gt;"Active",$R259&lt;&gt;"Terminated"),"Status must be Active or Terminated; ","")&amp;IF(AND('START HERE'!$C$8="Terminations Only",$R259&lt;&gt;"Terminated"),"Terminations Only files must contain terminated records; ",""))</f>
        <v/>
      </c>
      <c r="AC259">
        <f>IF(COUNTA($A259:$U259)=0,"",IF($S259="","Plan Name is required; ","")&amp;IF($T259="","Benefit Coverage Level is required; ","")&amp;IF(AND($U259&lt;&gt;"",OR(NOT(ISNUMBER($U259)),$U259&lt;0)),"Plan Funding Amount must be a nonnegative number; ","")&amp;IF(AND($A259&lt;&gt;"",$S259&lt;&gt;"",COUNTIFS($A$2:$A$501,$A259,$B$2:$B$501,$B259,$S$2:$S$501,$S259)&gt;1),"Duplicate participant and plan row; ",""))</f>
        <v/>
      </c>
      <c r="AD259">
        <f>IF(COUNTA($A259:$U259)=0,"",IF(AND($X259="Employee",$M259="",$N259=""),"No employee phone or email provided; ","")&amp;IF(AND($R259="Active",$Q259&lt;&gt;""),"Active record includes a Termination Date; confirm this is intentional; ","")&amp;IF(AND($B259&lt;&gt;"",$B259&amp;""&lt;&gt;$A259&amp;"",COUNTIF($A$2:$A$501,$B259)&gt;0),"Dependent SSN also appears as an Employee SSN elsewhere; confirm dual-employee coverage is intentional; ","")&amp;IF(AND($B259&lt;&gt;"",COUNTIF($B$2:$B$501,$B259)&gt;COUNTIFS($A$2:$A$501,$A259,$B$2:$B$501,$B259)),"Dependent SSN appears under more than one employee; confirm duplicate family coverage is intentional; ","")&amp;IF(AND(ROW()&gt;2,$A259&lt;&gt;"",$A259&lt;&gt;$A258,COUNTIF($A$2:$A258,$A259)&gt;0),"This household appears in more than one section of the census; keep the family together; ","")&amp;IF(OR(AND($C259&lt;&gt;"",LEN($C259&amp;"")&lt;&gt;LEN(TRIM($C259&amp;""))),AND($D259&lt;&gt;"",LEN($D259&amp;"")&lt;&gt;LEN(TRIM($D259&amp;""))),AND($E259&lt;&gt;"",LEN($E259&amp;"")&lt;&gt;LEN(TRIM($E259&amp;""))),AND($F259&lt;&gt;"",LEN($F259&amp;"")&lt;&gt;LEN(TRIM($F259&amp;""))),AND($G259&lt;&gt;"",LEN($G259&amp;"")&lt;&gt;LEN(TRIM($G259&amp;""))),AND($H259&lt;&gt;"",LEN($H259&amp;"")&lt;&gt;LEN(TRIM($H259&amp;""))),AND($I259&lt;&gt;"",LEN($I259&amp;"")&lt;&gt;LEN(TRIM($I259&amp;""))),AND($J259&lt;&gt;"",LEN($J259&amp;"")&lt;&gt;LEN(TRIM($J259&amp;""))),AND($K259&lt;&gt;"",LEN($K259&amp;"")&lt;&gt;LEN(TRIM($K259&amp;""))),AND($M259&lt;&gt;"",LEN($M259&amp;"")&lt;&gt;LEN(TRIM($M259&amp;""))),AND($N259&lt;&gt;"",LEN($N259&amp;"")&lt;&gt;LEN(TRIM($N259&amp;""))),AND($O259&lt;&gt;"",LEN($O259&amp;"")&lt;&gt;LEN(TRIM($O259&amp;""))),AND($R259&lt;&gt;"",LEN($R259&amp;"")&lt;&gt;LEN(TRIM($R259&amp;""))),AND($S259&lt;&gt;"",LEN($S259&amp;"")&lt;&gt;LEN(TRIM($S259&amp;""))),AND($T259&lt;&gt;"",LEN($T259&amp;"")&lt;&gt;LEN(TRIM($T259&amp;"")))),"Remove leading or trailing spaces from text fields; ","")&amp;IF(OR(AND(LEN($C259)&gt;1,OR(EXACT($C259,UPPER($C259)),EXACT($C259,LOWER($C259)))),AND(LEN($D259)&gt;1,OR(EXACT($D259,UPPER($D259)),EXACT($D259,LOWER($D259)))),AND(LEN($H259)&gt;1,OR(EXACT($H259,UPPER($H259)),EXACT($H259,LOWER($H259))))),"Review capitalization in First Name, Last Name, or City; ","")&amp;IF(AND($N259&lt;&gt;"",NOT(EXACT($N259,LOWER($N259)))),"Email will be standardized to lowercase in the clean output; ","")&amp;IF(AND(OR('START HERE'!$C$8="Initial Enrollment",'START HERE'!$C$8="Open Enrollment"),$R259="Terminated"),"A terminated row is included in an initial or open enrollment file; confirm this is intentional; ",""))</f>
        <v/>
      </c>
      <c r="AE259">
        <f>IF(COUNTA($A259:$U259)=0,"",IF(OR($A259="",AND($A259&lt;&gt;"",NOT(IFERROR(AND(LEN($A259&amp;"")=9,ISNUMBER(--($A259&amp;""))),FALSE))),AND($A259&lt;&gt;"",OR($A259="123456789",$A259="987654321",$A259="012345678",$A259=REPT(LEFT($A259&amp;"",1),9)))),"Employee SSN, ","")&amp;IF(OR(AND($O259&lt;&gt;"",$B259=""),AND($B259&lt;&gt;"",OR(NOT(IFERROR(AND(LEN($B259&amp;"")=9,ISNUMBER(--($B259&amp;""))),FALSE)),$B259=$A259,$B259="123456789",$B259="987654321",$B259="012345678",$B259=REPT(LEFT($B259&amp;"",1),9)))),"Dependent SSN, ","")&amp;IF(OR($C259="",LEN($C259)&gt;19,AND($C259&lt;&gt;"",SUMPRODUCT(--(ROW($1:$19)&lt;=LEN($C259&amp;"")),--ISERROR(FIND(MID($C259&amp;"",ROW($1:$19),1),"ABCDEFGHIJKLMNOPQRSTUVWXYZabcdefghijklmnopqrstuvwxyz .,")))&gt;0)),"First Name, ","")&amp;IF(OR($D259="",LEN($D259)&gt;26,AND($D259&lt;&gt;"",SUMPRODUCT(--(ROW($1:$26)&lt;=LEN($D259&amp;"")),--ISERROR(FIND(MID($D259&amp;"",ROW($1:$26),1),"ABCDEFGHIJKLMNOPQRSTUVWXYZabcdefghijklmnopqrstuvwxyz .,")))&gt;0)),"Last Name, ","")&amp;IF(OR(LEN($E259)&gt;1,AND($E259&lt;&gt;"",SUMPRODUCT(--(ROW($1:$1)&lt;=LEN($E259&amp;"")),--ISERROR(FIND(MID($E259&amp;"",ROW($1:$1),1),"ABCDEFGHIJKLMNOPQRSTUVWXYZabcdefghijklmnopqrstuvwxyz .,")))&gt;0)),"Middle Initial, ","")&amp;IF(OR($F259="",LEN($F259)&gt;75),"Address, ","")&amp;IF(OR($H259="",LEN($H259)&gt;30),"City, ","")&amp;IF(AND($K259="US",OR($I259="",LEN($I259)&lt;&gt;2)),"State, ","")&amp;IF($J259="","ZIP, ","")&amp;IF(OR($K259="",AND($K259&lt;&gt;"US",$K259&lt;&gt;"CA")),"Country, ","")&amp;IF(OR($L259="",AND($L259&lt;&gt;"",OR(NOT(ISNUMBER($L259)),$L259&lt;=DATE(1900,1,1),$L259&gt;TODAY()))),"Birthdate, ","")&amp;IF(AND($N259&lt;&gt;"",NOT(IFERROR(AND(ISNUMBER(SEARCH("@",$N259)),ISNUMBER(SEARCH(".",$N259,SEARCH("@",$N259)+2))),FALSE))),"Email, ","")&amp;IF(OR(AND($B259&lt;&gt;"",$O259=""),AND($O259&lt;&gt;"",$O259&lt;&gt;"Spouse or Common Law Spouse",$O259&lt;&gt;"Domestic Partner",$O259&lt;&gt;"Child",$O259&lt;&gt;"Other",$O259&lt;&gt;"Estate",$O259&lt;&gt;"Unknown")),"Dependent Relationship, ","")&amp;IF($AA259&lt;&gt;"","Household, ","")&amp;IF(OR($P259="",AND($P259&lt;&gt;"",OR(NOT(ISNUMBER($P259)),$P259&lt;=DATE(1900,1,1)))),"Eligibility Date, ","")&amp;IF(OR(AND($R259="Terminated",$Q259=""),AND($Q259&lt;&gt;"",OR(NOT(ISNUMBER($Q259)),$Q259&lt;=DATE(1900,1,1))),AND(ISNUMBER($P259),ISNUMBER($Q259),$Q259&lt;$P259)),"Termination Date, ","")&amp;IF(OR($R259="",AND($R259&lt;&gt;"Active",$R259&lt;&gt;"Terminated"),AND('START HERE'!$C$8="Terminations Only",$R259&lt;&gt;"Terminated")),"Status, ","")&amp;IF($S259="","Plan Name, ","")&amp;IF($T259="","Coverage Level, ","")&amp;IF(AND($U259&lt;&gt;"",OR(NOT(ISNUMBER($U259)),$U259&lt;0)),"Funding, ","")&amp;IF(AND($A259&lt;&gt;"",$S259&lt;&gt;"",COUNTIFS($A$2:$A$501,$A259,$B$2:$B$501,$B259,$S$2:$S$501,$S259)&gt;1),"Duplicate Row, ",""))</f>
        <v/>
      </c>
      <c r="AF259">
        <f>IF(COUNTA($A259:$U259)=0,"",$Y259&amp;$Z259&amp;$AA259&amp;$AB259&amp;$AC259)</f>
        <v/>
      </c>
      <c r="AG259">
        <f>IF($N259="","",LOWER(TRIM($N259)))</f>
        <v/>
      </c>
      <c r="AH259">
        <f>IF($A259="","",COUNTIFS($A$2:$A$501,$A259,$AI$2:$AI$501,1))</f>
        <v/>
      </c>
      <c r="AI259">
        <f>IF(COUNTA($A259:$U259)=0,"",--($AF259&lt;&gt;""))</f>
        <v/>
      </c>
      <c r="AJ259">
        <f>IF(COUNTA($A259:$U259)=0,"",--($AD259&lt;&gt;""))</f>
        <v/>
      </c>
    </row>
    <row r="260" ht="20" customHeight="1">
      <c r="A260" s="80" t="n"/>
      <c r="B260" s="80" t="n"/>
      <c r="C260" s="81" t="n"/>
      <c r="D260" s="81" t="n"/>
      <c r="E260" s="80" t="n"/>
      <c r="F260" s="81" t="n"/>
      <c r="G260" s="81" t="n"/>
      <c r="H260" s="81" t="n"/>
      <c r="I260" s="80" t="n"/>
      <c r="J260" s="80" t="n"/>
      <c r="K260" s="80" t="n"/>
      <c r="L260" s="82" t="n"/>
      <c r="M260" s="80" t="n"/>
      <c r="N260" s="80" t="n"/>
      <c r="O260" s="80" t="n"/>
      <c r="P260" s="82" t="n"/>
      <c r="Q260" s="82" t="n"/>
      <c r="R260" s="80" t="n"/>
      <c r="S260" s="80" t="n"/>
      <c r="T260" s="80" t="n"/>
      <c r="U260" s="83" t="n"/>
      <c r="V260">
        <f>IF($A260="","",IF($A260=$A259,$V259,IF($V259="",0,1-$V259)))</f>
        <v/>
      </c>
      <c r="W260">
        <f>IF($B260&lt;&gt;"",$B260,$A260)</f>
        <v/>
      </c>
      <c r="X260">
        <f>IF(COUNTA($A260:$U260)=0,"",IF(OR($B260&lt;&gt;"",$O260&lt;&gt;""),"Dependent","Employee"))</f>
        <v/>
      </c>
      <c r="Y260">
        <f>IF(COUNTA($A260:$U260)=0,"",IF($A260="","Employee SSN is required; ","")&amp;IF($C260="","First Name is required; ","")&amp;IF(LEN($C260&amp;"")&gt;19,"First Name exceeds 19 characters; ","")&amp;IF(AND($C260&lt;&gt;"",SUMPRODUCT(--(ROW($1:$19)&lt;=LEN($C260&amp;"")),--ISERROR(FIND(MID($C260&amp;"",ROW($1:$19),1),"ABCDEFGHIJKLMNOPQRSTUVWXYZabcdefghijklmnopqrstuvwxyz .,")))&gt;0),"First Name contains unsupported or encoded characters; use plain A-Z letters only; ","")&amp;IF($D260="","Last Name is required; ","")&amp;IF(LEN($D260&amp;"")&gt;26,"Last Name exceeds 26 characters; ","")&amp;IF(AND($D260&lt;&gt;"",SUMPRODUCT(--(ROW($1:$26)&lt;=LEN($D260&amp;"")),--ISERROR(FIND(MID($D260&amp;"",ROW($1:$26),1),"ABCDEFGHIJKLMNOPQRSTUVWXYZabcdefghijklmnopqrstuvwxyz .,")))&gt;0),"Last Name contains unsupported or encoded characters; use plain A-Z letters only; ","")&amp;IF(LEN($E260&amp;"")&gt;1,"Middle Initial may contain only one character; ","")&amp;IF(AND($E260&lt;&gt;"",SUMPRODUCT(--(ROW($1:$1)&lt;=LEN($E260&amp;"")),--ISERROR(FIND(MID($E260&amp;"",ROW($1:$1),1),"ABCDEFGHIJKLMNOPQRSTUVWXYZabcdefghijklmnopqrstuvwxyz .,")))&gt;0),"Middle Initial must be a plain A-Z letter; ","")&amp;IF($F260="","Address is required; ","")&amp;IF(LEN($F260&amp;"")&gt;75,"Address exceeds 75 characters; ","")&amp;IF(LEN($G260&amp;"")&gt;75,"Address 2 exceeds 75 characters; ","")&amp;IF($H260="","City is required; ","")&amp;IF(LEN($H260&amp;"")&gt;30,"City exceeds 30 characters; ","")&amp;IF($K260="","Country is required; ","")&amp;IF(AND($K260&lt;&gt;"",$K260&lt;&gt;"US",$K260&lt;&gt;"CA"),"Country must be US or CA; ","")&amp;IF(AND($K260="US",OR($I260="",LEN($I260&amp;"")&lt;&gt;2)),"Use a 2-letter state code; ","")&amp;IF($J260="","ZIP or postal code is required; ","")&amp;IF(AND($K260="US",$J260&lt;&gt;"",NOT(IFERROR(OR(AND(LEN($J260&amp;"")=5,ISNUMBER(--($J260&amp;""))),AND(LEN($J260&amp;"")=9,ISNUMBER(--($J260&amp;""))),AND(LEN($J260&amp;"")=10,MID($J260&amp;"",6,1)="-",ISNUMBER(--SUBSTITUTE($J260&amp;"","-","")))),FALSE))),"US ZIP must be 5 or 9 digits, with an optional ZIP+4 hyphen; ","")&amp;IF(AND($N260&lt;&gt;"",NOT(IFERROR(AND(ISNUMBER(SEARCH("@",$N260)),ISNUMBER(SEARCH(".",$N260,SEARCH("@",$N260)+2))),FALSE))),"Email format appears invalid; ","")&amp;IF(AND($O260&lt;&gt;"",$B260=""),"Dependent SSN is required for every dependent; ","")&amp;IF(AND($B260&lt;&gt;"",$O260=""),"Dependent Relationship is required when Dependent SSN is entered; ","")&amp;IF(AND($O260&lt;&gt;"",$O260&lt;&gt;"Spouse or Common Law Spouse",$O260&lt;&gt;"Domestic Partner",$O260&lt;&gt;"Child",$O260&lt;&gt;"Other",$O260&lt;&gt;"Estate",$O260&lt;&gt;"Unknown"),"Dependent Relationship must use one of the approved options; ",""))</f>
        <v/>
      </c>
      <c r="Z260">
        <f>IF(COUNTA($A260:$U260)=0,"",IF(AND($A260&lt;&gt;"",NOT(IFERROR(AND(LEN($A260&amp;"")=9,ISNUMBER(--($A260&amp;""))),FALSE))),"Employee SSN must contain exactly 9 digits; ","")&amp;IF(AND($A260&lt;&gt;"",OR($A260="123456789",$A260="987654321",$A260="012345678",$A260=REPT(LEFT($A260&amp;"",1),9))),"Employee SSN appears to be a placeholder; ","")&amp;IF(AND($B260&lt;&gt;"",NOT(IFERROR(AND(LEN($B260&amp;"")=9,ISNUMBER(--($B260&amp;""))),FALSE))),"Dependent SSN must contain exactly 9 digits; ","")&amp;IF(AND($B260&lt;&gt;"",OR($B260="123456789",$B260="987654321",$B260="012345678",$B260=REPT(LEFT($B260&amp;"",1),9))),"Dependent SSN appears to be a placeholder; ","")&amp;IF(AND($A260&lt;&gt;"",$B260&lt;&gt;"",$A260&amp;""=$B260&amp;""),"Dependent SSN cannot match Employee SSN; ","")&amp;IF(AND($W260&lt;&gt;"",OR(COUNTIFS($W$2:$W$501,$W260,$C$2:$C$501,"&lt;&gt;"&amp;$C260)&gt;0,COUNTIFS($W$2:$W$501,$W260,$D$2:$D$501,"&lt;&gt;"&amp;$D260)&gt;0,COUNTIFS($W$2:$W$501,$W260,$L$2:$L$501,"&lt;&gt;"&amp;$L260)&gt;0)),"The same SSN is associated with a different name or birthdate; ",""))</f>
        <v/>
      </c>
      <c r="AA260">
        <f>IF(COUNTA($A260:$U260)=0,"",IF(AND($A260&lt;&gt;"",$S260&lt;&gt;"",COUNTIFS($A$2:$A$501,$A260,$S$2:$S$501,$S260,$B$2:$B$501,"",$O$2:$O$501,"")=0),"Add an employee row for this household and plan; ","")&amp;IF(AND($X260="Dependent",COUNTIFS($A$2:$A260,$A260,$S$2:$S260,$S260,$B$2:$B260,"",$O$2:$O260,"")=0),"Place the employee row before dependent rows for this plan; ","")&amp;IF(AND($X260="Dependent",COUNTIFS($A$2:$A$501,$A260,$S$2:$S$501,$S260,$B$2:$B$501,"",$O$2:$O$501,"")&gt;0,IFERROR(OR($P260&lt;&gt;LOOKUP(2,1/(($A$2:$A$501=$A260)*($S$2:$S$501=$S260)*($B$2:$B$501="")*($O$2:$O$501="")),$P$2:$P$501),$Q260&lt;&gt;LOOKUP(2,1/(($A$2:$A$501=$A260)*($S$2:$S$501=$S260)*($B$2:$B$501="")*($O$2:$O$501="")),$Q$2:$Q$501),$R260&lt;&gt;LOOKUP(2,1/(($A$2:$A$501=$A260)*($S$2:$S$501=$S260)*($B$2:$B$501="")*($O$2:$O$501="")),$R$2:$R$501),$T260&lt;&gt;LOOKUP(2,1/(($A$2:$A$501=$A260)*($S$2:$S$501=$S260)*($B$2:$B$501="")*($O$2:$O$501="")),$T$2:$T$501),$U260&lt;&gt;LOOKUP(2,1/(($A$2:$A$501=$A260)*($S$2:$S$501=$S260)*($B$2:$B$501="")*($O$2:$O$501="")),$U$2:$U$501)),FALSE)),"Dependent row does not match the employee row for eligibility, status, coverage level, or funding; ",""))</f>
        <v/>
      </c>
      <c r="AB260">
        <f>IF(COUNTA($A260:$U260)=0,"",IF($L260="","Birthdate is required; ","")&amp;IF(AND($L260&lt;&gt;"",OR(NOT(ISNUMBER($L260)),$L260&lt;=DATE(1900,1,1),$L260&gt;TODAY())),"Birthdate must be an exact valid past date; ","")&amp;IF($P260="","Eligibility Date is required; ","")&amp;IF(AND($P260&lt;&gt;"",OR(NOT(ISNUMBER($P260)),$P260&lt;=DATE(1900,1,1))),"Eligibility Date must be a valid date; ","")&amp;IF(AND($R260="Terminated",$Q260=""),"Termination Date is required when Status is Terminated; ","")&amp;IF(AND($Q260&lt;&gt;"",OR(NOT(ISNUMBER($Q260)),$Q260&lt;=DATE(1900,1,1))),"Termination Date must be a valid date; ","")&amp;IF(AND(ISNUMBER($P260),ISNUMBER($Q260),$Q260&lt;$P260),"Termination Date cannot be before Eligibility Date; ","")&amp;IF($R260="","Status is required; ","")&amp;IF(AND($R260&lt;&gt;"",$R260&lt;&gt;"Active",$R260&lt;&gt;"Terminated"),"Status must be Active or Terminated; ","")&amp;IF(AND('START HERE'!$C$8="Terminations Only",$R260&lt;&gt;"Terminated"),"Terminations Only files must contain terminated records; ",""))</f>
        <v/>
      </c>
      <c r="AC260">
        <f>IF(COUNTA($A260:$U260)=0,"",IF($S260="","Plan Name is required; ","")&amp;IF($T260="","Benefit Coverage Level is required; ","")&amp;IF(AND($U260&lt;&gt;"",OR(NOT(ISNUMBER($U260)),$U260&lt;0)),"Plan Funding Amount must be a nonnegative number; ","")&amp;IF(AND($A260&lt;&gt;"",$S260&lt;&gt;"",COUNTIFS($A$2:$A$501,$A260,$B$2:$B$501,$B260,$S$2:$S$501,$S260)&gt;1),"Duplicate participant and plan row; ",""))</f>
        <v/>
      </c>
      <c r="AD260">
        <f>IF(COUNTA($A260:$U260)=0,"",IF(AND($X260="Employee",$M260="",$N260=""),"No employee phone or email provided; ","")&amp;IF(AND($R260="Active",$Q260&lt;&gt;""),"Active record includes a Termination Date; confirm this is intentional; ","")&amp;IF(AND($B260&lt;&gt;"",$B260&amp;""&lt;&gt;$A260&amp;"",COUNTIF($A$2:$A$501,$B260)&gt;0),"Dependent SSN also appears as an Employee SSN elsewhere; confirm dual-employee coverage is intentional; ","")&amp;IF(AND($B260&lt;&gt;"",COUNTIF($B$2:$B$501,$B260)&gt;COUNTIFS($A$2:$A$501,$A260,$B$2:$B$501,$B260)),"Dependent SSN appears under more than one employee; confirm duplicate family coverage is intentional; ","")&amp;IF(AND(ROW()&gt;2,$A260&lt;&gt;"",$A260&lt;&gt;$A259,COUNTIF($A$2:$A259,$A260)&gt;0),"This household appears in more than one section of the census; keep the family together; ","")&amp;IF(OR(AND($C260&lt;&gt;"",LEN($C260&amp;"")&lt;&gt;LEN(TRIM($C260&amp;""))),AND($D260&lt;&gt;"",LEN($D260&amp;"")&lt;&gt;LEN(TRIM($D260&amp;""))),AND($E260&lt;&gt;"",LEN($E260&amp;"")&lt;&gt;LEN(TRIM($E260&amp;""))),AND($F260&lt;&gt;"",LEN($F260&amp;"")&lt;&gt;LEN(TRIM($F260&amp;""))),AND($G260&lt;&gt;"",LEN($G260&amp;"")&lt;&gt;LEN(TRIM($G260&amp;""))),AND($H260&lt;&gt;"",LEN($H260&amp;"")&lt;&gt;LEN(TRIM($H260&amp;""))),AND($I260&lt;&gt;"",LEN($I260&amp;"")&lt;&gt;LEN(TRIM($I260&amp;""))),AND($J260&lt;&gt;"",LEN($J260&amp;"")&lt;&gt;LEN(TRIM($J260&amp;""))),AND($K260&lt;&gt;"",LEN($K260&amp;"")&lt;&gt;LEN(TRIM($K260&amp;""))),AND($M260&lt;&gt;"",LEN($M260&amp;"")&lt;&gt;LEN(TRIM($M260&amp;""))),AND($N260&lt;&gt;"",LEN($N260&amp;"")&lt;&gt;LEN(TRIM($N260&amp;""))),AND($O260&lt;&gt;"",LEN($O260&amp;"")&lt;&gt;LEN(TRIM($O260&amp;""))),AND($R260&lt;&gt;"",LEN($R260&amp;"")&lt;&gt;LEN(TRIM($R260&amp;""))),AND($S260&lt;&gt;"",LEN($S260&amp;"")&lt;&gt;LEN(TRIM($S260&amp;""))),AND($T260&lt;&gt;"",LEN($T260&amp;"")&lt;&gt;LEN(TRIM($T260&amp;"")))),"Remove leading or trailing spaces from text fields; ","")&amp;IF(OR(AND(LEN($C260)&gt;1,OR(EXACT($C260,UPPER($C260)),EXACT($C260,LOWER($C260)))),AND(LEN($D260)&gt;1,OR(EXACT($D260,UPPER($D260)),EXACT($D260,LOWER($D260)))),AND(LEN($H260)&gt;1,OR(EXACT($H260,UPPER($H260)),EXACT($H260,LOWER($H260))))),"Review capitalization in First Name, Last Name, or City; ","")&amp;IF(AND($N260&lt;&gt;"",NOT(EXACT($N260,LOWER($N260)))),"Email will be standardized to lowercase in the clean output; ","")&amp;IF(AND(OR('START HERE'!$C$8="Initial Enrollment",'START HERE'!$C$8="Open Enrollment"),$R260="Terminated"),"A terminated row is included in an initial or open enrollment file; confirm this is intentional; ",""))</f>
        <v/>
      </c>
      <c r="AE260">
        <f>IF(COUNTA($A260:$U260)=0,"",IF(OR($A260="",AND($A260&lt;&gt;"",NOT(IFERROR(AND(LEN($A260&amp;"")=9,ISNUMBER(--($A260&amp;""))),FALSE))),AND($A260&lt;&gt;"",OR($A260="123456789",$A260="987654321",$A260="012345678",$A260=REPT(LEFT($A260&amp;"",1),9)))),"Employee SSN, ","")&amp;IF(OR(AND($O260&lt;&gt;"",$B260=""),AND($B260&lt;&gt;"",OR(NOT(IFERROR(AND(LEN($B260&amp;"")=9,ISNUMBER(--($B260&amp;""))),FALSE)),$B260=$A260,$B260="123456789",$B260="987654321",$B260="012345678",$B260=REPT(LEFT($B260&amp;"",1),9)))),"Dependent SSN, ","")&amp;IF(OR($C260="",LEN($C260)&gt;19,AND($C260&lt;&gt;"",SUMPRODUCT(--(ROW($1:$19)&lt;=LEN($C260&amp;"")),--ISERROR(FIND(MID($C260&amp;"",ROW($1:$19),1),"ABCDEFGHIJKLMNOPQRSTUVWXYZabcdefghijklmnopqrstuvwxyz .,")))&gt;0)),"First Name, ","")&amp;IF(OR($D260="",LEN($D260)&gt;26,AND($D260&lt;&gt;"",SUMPRODUCT(--(ROW($1:$26)&lt;=LEN($D260&amp;"")),--ISERROR(FIND(MID($D260&amp;"",ROW($1:$26),1),"ABCDEFGHIJKLMNOPQRSTUVWXYZabcdefghijklmnopqrstuvwxyz .,")))&gt;0)),"Last Name, ","")&amp;IF(OR(LEN($E260)&gt;1,AND($E260&lt;&gt;"",SUMPRODUCT(--(ROW($1:$1)&lt;=LEN($E260&amp;"")),--ISERROR(FIND(MID($E260&amp;"",ROW($1:$1),1),"ABCDEFGHIJKLMNOPQRSTUVWXYZabcdefghijklmnopqrstuvwxyz .,")))&gt;0)),"Middle Initial, ","")&amp;IF(OR($F260="",LEN($F260)&gt;75),"Address, ","")&amp;IF(OR($H260="",LEN($H260)&gt;30),"City, ","")&amp;IF(AND($K260="US",OR($I260="",LEN($I260)&lt;&gt;2)),"State, ","")&amp;IF($J260="","ZIP, ","")&amp;IF(OR($K260="",AND($K260&lt;&gt;"US",$K260&lt;&gt;"CA")),"Country, ","")&amp;IF(OR($L260="",AND($L260&lt;&gt;"",OR(NOT(ISNUMBER($L260)),$L260&lt;=DATE(1900,1,1),$L260&gt;TODAY()))),"Birthdate, ","")&amp;IF(AND($N260&lt;&gt;"",NOT(IFERROR(AND(ISNUMBER(SEARCH("@",$N260)),ISNUMBER(SEARCH(".",$N260,SEARCH("@",$N260)+2))),FALSE))),"Email, ","")&amp;IF(OR(AND($B260&lt;&gt;"",$O260=""),AND($O260&lt;&gt;"",$O260&lt;&gt;"Spouse or Common Law Spouse",$O260&lt;&gt;"Domestic Partner",$O260&lt;&gt;"Child",$O260&lt;&gt;"Other",$O260&lt;&gt;"Estate",$O260&lt;&gt;"Unknown")),"Dependent Relationship, ","")&amp;IF($AA260&lt;&gt;"","Household, ","")&amp;IF(OR($P260="",AND($P260&lt;&gt;"",OR(NOT(ISNUMBER($P260)),$P260&lt;=DATE(1900,1,1)))),"Eligibility Date, ","")&amp;IF(OR(AND($R260="Terminated",$Q260=""),AND($Q260&lt;&gt;"",OR(NOT(ISNUMBER($Q260)),$Q260&lt;=DATE(1900,1,1))),AND(ISNUMBER($P260),ISNUMBER($Q260),$Q260&lt;$P260)),"Termination Date, ","")&amp;IF(OR($R260="",AND($R260&lt;&gt;"Active",$R260&lt;&gt;"Terminated"),AND('START HERE'!$C$8="Terminations Only",$R260&lt;&gt;"Terminated")),"Status, ","")&amp;IF($S260="","Plan Name, ","")&amp;IF($T260="","Coverage Level, ","")&amp;IF(AND($U260&lt;&gt;"",OR(NOT(ISNUMBER($U260)),$U260&lt;0)),"Funding, ","")&amp;IF(AND($A260&lt;&gt;"",$S260&lt;&gt;"",COUNTIFS($A$2:$A$501,$A260,$B$2:$B$501,$B260,$S$2:$S$501,$S260)&gt;1),"Duplicate Row, ",""))</f>
        <v/>
      </c>
      <c r="AF260">
        <f>IF(COUNTA($A260:$U260)=0,"",$Y260&amp;$Z260&amp;$AA260&amp;$AB260&amp;$AC260)</f>
        <v/>
      </c>
      <c r="AG260">
        <f>IF($N260="","",LOWER(TRIM($N260)))</f>
        <v/>
      </c>
      <c r="AH260">
        <f>IF($A260="","",COUNTIFS($A$2:$A$501,$A260,$AI$2:$AI$501,1))</f>
        <v/>
      </c>
      <c r="AI260">
        <f>IF(COUNTA($A260:$U260)=0,"",--($AF260&lt;&gt;""))</f>
        <v/>
      </c>
      <c r="AJ260">
        <f>IF(COUNTA($A260:$U260)=0,"",--($AD260&lt;&gt;""))</f>
        <v/>
      </c>
    </row>
    <row r="261" ht="20" customHeight="1">
      <c r="A261" s="80" t="n"/>
      <c r="B261" s="80" t="n"/>
      <c r="C261" s="81" t="n"/>
      <c r="D261" s="81" t="n"/>
      <c r="E261" s="80" t="n"/>
      <c r="F261" s="81" t="n"/>
      <c r="G261" s="81" t="n"/>
      <c r="H261" s="81" t="n"/>
      <c r="I261" s="80" t="n"/>
      <c r="J261" s="80" t="n"/>
      <c r="K261" s="80" t="n"/>
      <c r="L261" s="82" t="n"/>
      <c r="M261" s="80" t="n"/>
      <c r="N261" s="80" t="n"/>
      <c r="O261" s="80" t="n"/>
      <c r="P261" s="82" t="n"/>
      <c r="Q261" s="82" t="n"/>
      <c r="R261" s="80" t="n"/>
      <c r="S261" s="80" t="n"/>
      <c r="T261" s="80" t="n"/>
      <c r="U261" s="83" t="n"/>
      <c r="V261">
        <f>IF($A261="","",IF($A261=$A260,$V260,IF($V260="",0,1-$V260)))</f>
        <v/>
      </c>
      <c r="W261">
        <f>IF($B261&lt;&gt;"",$B261,$A261)</f>
        <v/>
      </c>
      <c r="X261">
        <f>IF(COUNTA($A261:$U261)=0,"",IF(OR($B261&lt;&gt;"",$O261&lt;&gt;""),"Dependent","Employee"))</f>
        <v/>
      </c>
      <c r="Y261">
        <f>IF(COUNTA($A261:$U261)=0,"",IF($A261="","Employee SSN is required; ","")&amp;IF($C261="","First Name is required; ","")&amp;IF(LEN($C261&amp;"")&gt;19,"First Name exceeds 19 characters; ","")&amp;IF(AND($C261&lt;&gt;"",SUMPRODUCT(--(ROW($1:$19)&lt;=LEN($C261&amp;"")),--ISERROR(FIND(MID($C261&amp;"",ROW($1:$19),1),"ABCDEFGHIJKLMNOPQRSTUVWXYZabcdefghijklmnopqrstuvwxyz .,")))&gt;0),"First Name contains unsupported or encoded characters; use plain A-Z letters only; ","")&amp;IF($D261="","Last Name is required; ","")&amp;IF(LEN($D261&amp;"")&gt;26,"Last Name exceeds 26 characters; ","")&amp;IF(AND($D261&lt;&gt;"",SUMPRODUCT(--(ROW($1:$26)&lt;=LEN($D261&amp;"")),--ISERROR(FIND(MID($D261&amp;"",ROW($1:$26),1),"ABCDEFGHIJKLMNOPQRSTUVWXYZabcdefghijklmnopqrstuvwxyz .,")))&gt;0),"Last Name contains unsupported or encoded characters; use plain A-Z letters only; ","")&amp;IF(LEN($E261&amp;"")&gt;1,"Middle Initial may contain only one character; ","")&amp;IF(AND($E261&lt;&gt;"",SUMPRODUCT(--(ROW($1:$1)&lt;=LEN($E261&amp;"")),--ISERROR(FIND(MID($E261&amp;"",ROW($1:$1),1),"ABCDEFGHIJKLMNOPQRSTUVWXYZabcdefghijklmnopqrstuvwxyz .,")))&gt;0),"Middle Initial must be a plain A-Z letter; ","")&amp;IF($F261="","Address is required; ","")&amp;IF(LEN($F261&amp;"")&gt;75,"Address exceeds 75 characters; ","")&amp;IF(LEN($G261&amp;"")&gt;75,"Address 2 exceeds 75 characters; ","")&amp;IF($H261="","City is required; ","")&amp;IF(LEN($H261&amp;"")&gt;30,"City exceeds 30 characters; ","")&amp;IF($K261="","Country is required; ","")&amp;IF(AND($K261&lt;&gt;"",$K261&lt;&gt;"US",$K261&lt;&gt;"CA"),"Country must be US or CA; ","")&amp;IF(AND($K261="US",OR($I261="",LEN($I261&amp;"")&lt;&gt;2)),"Use a 2-letter state code; ","")&amp;IF($J261="","ZIP or postal code is required; ","")&amp;IF(AND($K261="US",$J261&lt;&gt;"",NOT(IFERROR(OR(AND(LEN($J261&amp;"")=5,ISNUMBER(--($J261&amp;""))),AND(LEN($J261&amp;"")=9,ISNUMBER(--($J261&amp;""))),AND(LEN($J261&amp;"")=10,MID($J261&amp;"",6,1)="-",ISNUMBER(--SUBSTITUTE($J261&amp;"","-","")))),FALSE))),"US ZIP must be 5 or 9 digits, with an optional ZIP+4 hyphen; ","")&amp;IF(AND($N261&lt;&gt;"",NOT(IFERROR(AND(ISNUMBER(SEARCH("@",$N261)),ISNUMBER(SEARCH(".",$N261,SEARCH("@",$N261)+2))),FALSE))),"Email format appears invalid; ","")&amp;IF(AND($O261&lt;&gt;"",$B261=""),"Dependent SSN is required for every dependent; ","")&amp;IF(AND($B261&lt;&gt;"",$O261=""),"Dependent Relationship is required when Dependent SSN is entered; ","")&amp;IF(AND($O261&lt;&gt;"",$O261&lt;&gt;"Spouse or Common Law Spouse",$O261&lt;&gt;"Domestic Partner",$O261&lt;&gt;"Child",$O261&lt;&gt;"Other",$O261&lt;&gt;"Estate",$O261&lt;&gt;"Unknown"),"Dependent Relationship must use one of the approved options; ",""))</f>
        <v/>
      </c>
      <c r="Z261">
        <f>IF(COUNTA($A261:$U261)=0,"",IF(AND($A261&lt;&gt;"",NOT(IFERROR(AND(LEN($A261&amp;"")=9,ISNUMBER(--($A261&amp;""))),FALSE))),"Employee SSN must contain exactly 9 digits; ","")&amp;IF(AND($A261&lt;&gt;"",OR($A261="123456789",$A261="987654321",$A261="012345678",$A261=REPT(LEFT($A261&amp;"",1),9))),"Employee SSN appears to be a placeholder; ","")&amp;IF(AND($B261&lt;&gt;"",NOT(IFERROR(AND(LEN($B261&amp;"")=9,ISNUMBER(--($B261&amp;""))),FALSE))),"Dependent SSN must contain exactly 9 digits; ","")&amp;IF(AND($B261&lt;&gt;"",OR($B261="123456789",$B261="987654321",$B261="012345678",$B261=REPT(LEFT($B261&amp;"",1),9))),"Dependent SSN appears to be a placeholder; ","")&amp;IF(AND($A261&lt;&gt;"",$B261&lt;&gt;"",$A261&amp;""=$B261&amp;""),"Dependent SSN cannot match Employee SSN; ","")&amp;IF(AND($W261&lt;&gt;"",OR(COUNTIFS($W$2:$W$501,$W261,$C$2:$C$501,"&lt;&gt;"&amp;$C261)&gt;0,COUNTIFS($W$2:$W$501,$W261,$D$2:$D$501,"&lt;&gt;"&amp;$D261)&gt;0,COUNTIFS($W$2:$W$501,$W261,$L$2:$L$501,"&lt;&gt;"&amp;$L261)&gt;0)),"The same SSN is associated with a different name or birthdate; ",""))</f>
        <v/>
      </c>
      <c r="AA261">
        <f>IF(COUNTA($A261:$U261)=0,"",IF(AND($A261&lt;&gt;"",$S261&lt;&gt;"",COUNTIFS($A$2:$A$501,$A261,$S$2:$S$501,$S261,$B$2:$B$501,"",$O$2:$O$501,"")=0),"Add an employee row for this household and plan; ","")&amp;IF(AND($X261="Dependent",COUNTIFS($A$2:$A261,$A261,$S$2:$S261,$S261,$B$2:$B261,"",$O$2:$O261,"")=0),"Place the employee row before dependent rows for this plan; ","")&amp;IF(AND($X261="Dependent",COUNTIFS($A$2:$A$501,$A261,$S$2:$S$501,$S261,$B$2:$B$501,"",$O$2:$O$501,"")&gt;0,IFERROR(OR($P261&lt;&gt;LOOKUP(2,1/(($A$2:$A$501=$A261)*($S$2:$S$501=$S261)*($B$2:$B$501="")*($O$2:$O$501="")),$P$2:$P$501),$Q261&lt;&gt;LOOKUP(2,1/(($A$2:$A$501=$A261)*($S$2:$S$501=$S261)*($B$2:$B$501="")*($O$2:$O$501="")),$Q$2:$Q$501),$R261&lt;&gt;LOOKUP(2,1/(($A$2:$A$501=$A261)*($S$2:$S$501=$S261)*($B$2:$B$501="")*($O$2:$O$501="")),$R$2:$R$501),$T261&lt;&gt;LOOKUP(2,1/(($A$2:$A$501=$A261)*($S$2:$S$501=$S261)*($B$2:$B$501="")*($O$2:$O$501="")),$T$2:$T$501),$U261&lt;&gt;LOOKUP(2,1/(($A$2:$A$501=$A261)*($S$2:$S$501=$S261)*($B$2:$B$501="")*($O$2:$O$501="")),$U$2:$U$501)),FALSE)),"Dependent row does not match the employee row for eligibility, status, coverage level, or funding; ",""))</f>
        <v/>
      </c>
      <c r="AB261">
        <f>IF(COUNTA($A261:$U261)=0,"",IF($L261="","Birthdate is required; ","")&amp;IF(AND($L261&lt;&gt;"",OR(NOT(ISNUMBER($L261)),$L261&lt;=DATE(1900,1,1),$L261&gt;TODAY())),"Birthdate must be an exact valid past date; ","")&amp;IF($P261="","Eligibility Date is required; ","")&amp;IF(AND($P261&lt;&gt;"",OR(NOT(ISNUMBER($P261)),$P261&lt;=DATE(1900,1,1))),"Eligibility Date must be a valid date; ","")&amp;IF(AND($R261="Terminated",$Q261=""),"Termination Date is required when Status is Terminated; ","")&amp;IF(AND($Q261&lt;&gt;"",OR(NOT(ISNUMBER($Q261)),$Q261&lt;=DATE(1900,1,1))),"Termination Date must be a valid date; ","")&amp;IF(AND(ISNUMBER($P261),ISNUMBER($Q261),$Q261&lt;$P261),"Termination Date cannot be before Eligibility Date; ","")&amp;IF($R261="","Status is required; ","")&amp;IF(AND($R261&lt;&gt;"",$R261&lt;&gt;"Active",$R261&lt;&gt;"Terminated"),"Status must be Active or Terminated; ","")&amp;IF(AND('START HERE'!$C$8="Terminations Only",$R261&lt;&gt;"Terminated"),"Terminations Only files must contain terminated records; ",""))</f>
        <v/>
      </c>
      <c r="AC261">
        <f>IF(COUNTA($A261:$U261)=0,"",IF($S261="","Plan Name is required; ","")&amp;IF($T261="","Benefit Coverage Level is required; ","")&amp;IF(AND($U261&lt;&gt;"",OR(NOT(ISNUMBER($U261)),$U261&lt;0)),"Plan Funding Amount must be a nonnegative number; ","")&amp;IF(AND($A261&lt;&gt;"",$S261&lt;&gt;"",COUNTIFS($A$2:$A$501,$A261,$B$2:$B$501,$B261,$S$2:$S$501,$S261)&gt;1),"Duplicate participant and plan row; ",""))</f>
        <v/>
      </c>
      <c r="AD261">
        <f>IF(COUNTA($A261:$U261)=0,"",IF(AND($X261="Employee",$M261="",$N261=""),"No employee phone or email provided; ","")&amp;IF(AND($R261="Active",$Q261&lt;&gt;""),"Active record includes a Termination Date; confirm this is intentional; ","")&amp;IF(AND($B261&lt;&gt;"",$B261&amp;""&lt;&gt;$A261&amp;"",COUNTIF($A$2:$A$501,$B261)&gt;0),"Dependent SSN also appears as an Employee SSN elsewhere; confirm dual-employee coverage is intentional; ","")&amp;IF(AND($B261&lt;&gt;"",COUNTIF($B$2:$B$501,$B261)&gt;COUNTIFS($A$2:$A$501,$A261,$B$2:$B$501,$B261)),"Dependent SSN appears under more than one employee; confirm duplicate family coverage is intentional; ","")&amp;IF(AND(ROW()&gt;2,$A261&lt;&gt;"",$A261&lt;&gt;$A260,COUNTIF($A$2:$A260,$A261)&gt;0),"This household appears in more than one section of the census; keep the family together; ","")&amp;IF(OR(AND($C261&lt;&gt;"",LEN($C261&amp;"")&lt;&gt;LEN(TRIM($C261&amp;""))),AND($D261&lt;&gt;"",LEN($D261&amp;"")&lt;&gt;LEN(TRIM($D261&amp;""))),AND($E261&lt;&gt;"",LEN($E261&amp;"")&lt;&gt;LEN(TRIM($E261&amp;""))),AND($F261&lt;&gt;"",LEN($F261&amp;"")&lt;&gt;LEN(TRIM($F261&amp;""))),AND($G261&lt;&gt;"",LEN($G261&amp;"")&lt;&gt;LEN(TRIM($G261&amp;""))),AND($H261&lt;&gt;"",LEN($H261&amp;"")&lt;&gt;LEN(TRIM($H261&amp;""))),AND($I261&lt;&gt;"",LEN($I261&amp;"")&lt;&gt;LEN(TRIM($I261&amp;""))),AND($J261&lt;&gt;"",LEN($J261&amp;"")&lt;&gt;LEN(TRIM($J261&amp;""))),AND($K261&lt;&gt;"",LEN($K261&amp;"")&lt;&gt;LEN(TRIM($K261&amp;""))),AND($M261&lt;&gt;"",LEN($M261&amp;"")&lt;&gt;LEN(TRIM($M261&amp;""))),AND($N261&lt;&gt;"",LEN($N261&amp;"")&lt;&gt;LEN(TRIM($N261&amp;""))),AND($O261&lt;&gt;"",LEN($O261&amp;"")&lt;&gt;LEN(TRIM($O261&amp;""))),AND($R261&lt;&gt;"",LEN($R261&amp;"")&lt;&gt;LEN(TRIM($R261&amp;""))),AND($S261&lt;&gt;"",LEN($S261&amp;"")&lt;&gt;LEN(TRIM($S261&amp;""))),AND($T261&lt;&gt;"",LEN($T261&amp;"")&lt;&gt;LEN(TRIM($T261&amp;"")))),"Remove leading or trailing spaces from text fields; ","")&amp;IF(OR(AND(LEN($C261)&gt;1,OR(EXACT($C261,UPPER($C261)),EXACT($C261,LOWER($C261)))),AND(LEN($D261)&gt;1,OR(EXACT($D261,UPPER($D261)),EXACT($D261,LOWER($D261)))),AND(LEN($H261)&gt;1,OR(EXACT($H261,UPPER($H261)),EXACT($H261,LOWER($H261))))),"Review capitalization in First Name, Last Name, or City; ","")&amp;IF(AND($N261&lt;&gt;"",NOT(EXACT($N261,LOWER($N261)))),"Email will be standardized to lowercase in the clean output; ","")&amp;IF(AND(OR('START HERE'!$C$8="Initial Enrollment",'START HERE'!$C$8="Open Enrollment"),$R261="Terminated"),"A terminated row is included in an initial or open enrollment file; confirm this is intentional; ",""))</f>
        <v/>
      </c>
      <c r="AE261">
        <f>IF(COUNTA($A261:$U261)=0,"",IF(OR($A261="",AND($A261&lt;&gt;"",NOT(IFERROR(AND(LEN($A261&amp;"")=9,ISNUMBER(--($A261&amp;""))),FALSE))),AND($A261&lt;&gt;"",OR($A261="123456789",$A261="987654321",$A261="012345678",$A261=REPT(LEFT($A261&amp;"",1),9)))),"Employee SSN, ","")&amp;IF(OR(AND($O261&lt;&gt;"",$B261=""),AND($B261&lt;&gt;"",OR(NOT(IFERROR(AND(LEN($B261&amp;"")=9,ISNUMBER(--($B261&amp;""))),FALSE)),$B261=$A261,$B261="123456789",$B261="987654321",$B261="012345678",$B261=REPT(LEFT($B261&amp;"",1),9)))),"Dependent SSN, ","")&amp;IF(OR($C261="",LEN($C261)&gt;19,AND($C261&lt;&gt;"",SUMPRODUCT(--(ROW($1:$19)&lt;=LEN($C261&amp;"")),--ISERROR(FIND(MID($C261&amp;"",ROW($1:$19),1),"ABCDEFGHIJKLMNOPQRSTUVWXYZabcdefghijklmnopqrstuvwxyz .,")))&gt;0)),"First Name, ","")&amp;IF(OR($D261="",LEN($D261)&gt;26,AND($D261&lt;&gt;"",SUMPRODUCT(--(ROW($1:$26)&lt;=LEN($D261&amp;"")),--ISERROR(FIND(MID($D261&amp;"",ROW($1:$26),1),"ABCDEFGHIJKLMNOPQRSTUVWXYZabcdefghijklmnopqrstuvwxyz .,")))&gt;0)),"Last Name, ","")&amp;IF(OR(LEN($E261)&gt;1,AND($E261&lt;&gt;"",SUMPRODUCT(--(ROW($1:$1)&lt;=LEN($E261&amp;"")),--ISERROR(FIND(MID($E261&amp;"",ROW($1:$1),1),"ABCDEFGHIJKLMNOPQRSTUVWXYZabcdefghijklmnopqrstuvwxyz .,")))&gt;0)),"Middle Initial, ","")&amp;IF(OR($F261="",LEN($F261)&gt;75),"Address, ","")&amp;IF(OR($H261="",LEN($H261)&gt;30),"City, ","")&amp;IF(AND($K261="US",OR($I261="",LEN($I261)&lt;&gt;2)),"State, ","")&amp;IF($J261="","ZIP, ","")&amp;IF(OR($K261="",AND($K261&lt;&gt;"US",$K261&lt;&gt;"CA")),"Country, ","")&amp;IF(OR($L261="",AND($L261&lt;&gt;"",OR(NOT(ISNUMBER($L261)),$L261&lt;=DATE(1900,1,1),$L261&gt;TODAY()))),"Birthdate, ","")&amp;IF(AND($N261&lt;&gt;"",NOT(IFERROR(AND(ISNUMBER(SEARCH("@",$N261)),ISNUMBER(SEARCH(".",$N261,SEARCH("@",$N261)+2))),FALSE))),"Email, ","")&amp;IF(OR(AND($B261&lt;&gt;"",$O261=""),AND($O261&lt;&gt;"",$O261&lt;&gt;"Spouse or Common Law Spouse",$O261&lt;&gt;"Domestic Partner",$O261&lt;&gt;"Child",$O261&lt;&gt;"Other",$O261&lt;&gt;"Estate",$O261&lt;&gt;"Unknown")),"Dependent Relationship, ","")&amp;IF($AA261&lt;&gt;"","Household, ","")&amp;IF(OR($P261="",AND($P261&lt;&gt;"",OR(NOT(ISNUMBER($P261)),$P261&lt;=DATE(1900,1,1)))),"Eligibility Date, ","")&amp;IF(OR(AND($R261="Terminated",$Q261=""),AND($Q261&lt;&gt;"",OR(NOT(ISNUMBER($Q261)),$Q261&lt;=DATE(1900,1,1))),AND(ISNUMBER($P261),ISNUMBER($Q261),$Q261&lt;$P261)),"Termination Date, ","")&amp;IF(OR($R261="",AND($R261&lt;&gt;"Active",$R261&lt;&gt;"Terminated"),AND('START HERE'!$C$8="Terminations Only",$R261&lt;&gt;"Terminated")),"Status, ","")&amp;IF($S261="","Plan Name, ","")&amp;IF($T261="","Coverage Level, ","")&amp;IF(AND($U261&lt;&gt;"",OR(NOT(ISNUMBER($U261)),$U261&lt;0)),"Funding, ","")&amp;IF(AND($A261&lt;&gt;"",$S261&lt;&gt;"",COUNTIFS($A$2:$A$501,$A261,$B$2:$B$501,$B261,$S$2:$S$501,$S261)&gt;1),"Duplicate Row, ",""))</f>
        <v/>
      </c>
      <c r="AF261">
        <f>IF(COUNTA($A261:$U261)=0,"",$Y261&amp;$Z261&amp;$AA261&amp;$AB261&amp;$AC261)</f>
        <v/>
      </c>
      <c r="AG261">
        <f>IF($N261="","",LOWER(TRIM($N261)))</f>
        <v/>
      </c>
      <c r="AH261">
        <f>IF($A261="","",COUNTIFS($A$2:$A$501,$A261,$AI$2:$AI$501,1))</f>
        <v/>
      </c>
      <c r="AI261">
        <f>IF(COUNTA($A261:$U261)=0,"",--($AF261&lt;&gt;""))</f>
        <v/>
      </c>
      <c r="AJ261">
        <f>IF(COUNTA($A261:$U261)=0,"",--($AD261&lt;&gt;""))</f>
        <v/>
      </c>
    </row>
    <row r="262" ht="20" customHeight="1">
      <c r="A262" s="80" t="n"/>
      <c r="B262" s="80" t="n"/>
      <c r="C262" s="81" t="n"/>
      <c r="D262" s="81" t="n"/>
      <c r="E262" s="80" t="n"/>
      <c r="F262" s="81" t="n"/>
      <c r="G262" s="81" t="n"/>
      <c r="H262" s="81" t="n"/>
      <c r="I262" s="80" t="n"/>
      <c r="J262" s="80" t="n"/>
      <c r="K262" s="80" t="n"/>
      <c r="L262" s="82" t="n"/>
      <c r="M262" s="80" t="n"/>
      <c r="N262" s="80" t="n"/>
      <c r="O262" s="80" t="n"/>
      <c r="P262" s="82" t="n"/>
      <c r="Q262" s="82" t="n"/>
      <c r="R262" s="80" t="n"/>
      <c r="S262" s="80" t="n"/>
      <c r="T262" s="80" t="n"/>
      <c r="U262" s="83" t="n"/>
      <c r="V262">
        <f>IF($A262="","",IF($A262=$A261,$V261,IF($V261="",0,1-$V261)))</f>
        <v/>
      </c>
      <c r="W262">
        <f>IF($B262&lt;&gt;"",$B262,$A262)</f>
        <v/>
      </c>
      <c r="X262">
        <f>IF(COUNTA($A262:$U262)=0,"",IF(OR($B262&lt;&gt;"",$O262&lt;&gt;""),"Dependent","Employee"))</f>
        <v/>
      </c>
      <c r="Y262">
        <f>IF(COUNTA($A262:$U262)=0,"",IF($A262="","Employee SSN is required; ","")&amp;IF($C262="","First Name is required; ","")&amp;IF(LEN($C262&amp;"")&gt;19,"First Name exceeds 19 characters; ","")&amp;IF(AND($C262&lt;&gt;"",SUMPRODUCT(--(ROW($1:$19)&lt;=LEN($C262&amp;"")),--ISERROR(FIND(MID($C262&amp;"",ROW($1:$19),1),"ABCDEFGHIJKLMNOPQRSTUVWXYZabcdefghijklmnopqrstuvwxyz .,")))&gt;0),"First Name contains unsupported or encoded characters; use plain A-Z letters only; ","")&amp;IF($D262="","Last Name is required; ","")&amp;IF(LEN($D262&amp;"")&gt;26,"Last Name exceeds 26 characters; ","")&amp;IF(AND($D262&lt;&gt;"",SUMPRODUCT(--(ROW($1:$26)&lt;=LEN($D262&amp;"")),--ISERROR(FIND(MID($D262&amp;"",ROW($1:$26),1),"ABCDEFGHIJKLMNOPQRSTUVWXYZabcdefghijklmnopqrstuvwxyz .,")))&gt;0),"Last Name contains unsupported or encoded characters; use plain A-Z letters only; ","")&amp;IF(LEN($E262&amp;"")&gt;1,"Middle Initial may contain only one character; ","")&amp;IF(AND($E262&lt;&gt;"",SUMPRODUCT(--(ROW($1:$1)&lt;=LEN($E262&amp;"")),--ISERROR(FIND(MID($E262&amp;"",ROW($1:$1),1),"ABCDEFGHIJKLMNOPQRSTUVWXYZabcdefghijklmnopqrstuvwxyz .,")))&gt;0),"Middle Initial must be a plain A-Z letter; ","")&amp;IF($F262="","Address is required; ","")&amp;IF(LEN($F262&amp;"")&gt;75,"Address exceeds 75 characters; ","")&amp;IF(LEN($G262&amp;"")&gt;75,"Address 2 exceeds 75 characters; ","")&amp;IF($H262="","City is required; ","")&amp;IF(LEN($H262&amp;"")&gt;30,"City exceeds 30 characters; ","")&amp;IF($K262="","Country is required; ","")&amp;IF(AND($K262&lt;&gt;"",$K262&lt;&gt;"US",$K262&lt;&gt;"CA"),"Country must be US or CA; ","")&amp;IF(AND($K262="US",OR($I262="",LEN($I262&amp;"")&lt;&gt;2)),"Use a 2-letter state code; ","")&amp;IF($J262="","ZIP or postal code is required; ","")&amp;IF(AND($K262="US",$J262&lt;&gt;"",NOT(IFERROR(OR(AND(LEN($J262&amp;"")=5,ISNUMBER(--($J262&amp;""))),AND(LEN($J262&amp;"")=9,ISNUMBER(--($J262&amp;""))),AND(LEN($J262&amp;"")=10,MID($J262&amp;"",6,1)="-",ISNUMBER(--SUBSTITUTE($J262&amp;"","-","")))),FALSE))),"US ZIP must be 5 or 9 digits, with an optional ZIP+4 hyphen; ","")&amp;IF(AND($N262&lt;&gt;"",NOT(IFERROR(AND(ISNUMBER(SEARCH("@",$N262)),ISNUMBER(SEARCH(".",$N262,SEARCH("@",$N262)+2))),FALSE))),"Email format appears invalid; ","")&amp;IF(AND($O262&lt;&gt;"",$B262=""),"Dependent SSN is required for every dependent; ","")&amp;IF(AND($B262&lt;&gt;"",$O262=""),"Dependent Relationship is required when Dependent SSN is entered; ","")&amp;IF(AND($O262&lt;&gt;"",$O262&lt;&gt;"Spouse or Common Law Spouse",$O262&lt;&gt;"Domestic Partner",$O262&lt;&gt;"Child",$O262&lt;&gt;"Other",$O262&lt;&gt;"Estate",$O262&lt;&gt;"Unknown"),"Dependent Relationship must use one of the approved options; ",""))</f>
        <v/>
      </c>
      <c r="Z262">
        <f>IF(COUNTA($A262:$U262)=0,"",IF(AND($A262&lt;&gt;"",NOT(IFERROR(AND(LEN($A262&amp;"")=9,ISNUMBER(--($A262&amp;""))),FALSE))),"Employee SSN must contain exactly 9 digits; ","")&amp;IF(AND($A262&lt;&gt;"",OR($A262="123456789",$A262="987654321",$A262="012345678",$A262=REPT(LEFT($A262&amp;"",1),9))),"Employee SSN appears to be a placeholder; ","")&amp;IF(AND($B262&lt;&gt;"",NOT(IFERROR(AND(LEN($B262&amp;"")=9,ISNUMBER(--($B262&amp;""))),FALSE))),"Dependent SSN must contain exactly 9 digits; ","")&amp;IF(AND($B262&lt;&gt;"",OR($B262="123456789",$B262="987654321",$B262="012345678",$B262=REPT(LEFT($B262&amp;"",1),9))),"Dependent SSN appears to be a placeholder; ","")&amp;IF(AND($A262&lt;&gt;"",$B262&lt;&gt;"",$A262&amp;""=$B262&amp;""),"Dependent SSN cannot match Employee SSN; ","")&amp;IF(AND($W262&lt;&gt;"",OR(COUNTIFS($W$2:$W$501,$W262,$C$2:$C$501,"&lt;&gt;"&amp;$C262)&gt;0,COUNTIFS($W$2:$W$501,$W262,$D$2:$D$501,"&lt;&gt;"&amp;$D262)&gt;0,COUNTIFS($W$2:$W$501,$W262,$L$2:$L$501,"&lt;&gt;"&amp;$L262)&gt;0)),"The same SSN is associated with a different name or birthdate; ",""))</f>
        <v/>
      </c>
      <c r="AA262">
        <f>IF(COUNTA($A262:$U262)=0,"",IF(AND($A262&lt;&gt;"",$S262&lt;&gt;"",COUNTIFS($A$2:$A$501,$A262,$S$2:$S$501,$S262,$B$2:$B$501,"",$O$2:$O$501,"")=0),"Add an employee row for this household and plan; ","")&amp;IF(AND($X262="Dependent",COUNTIFS($A$2:$A262,$A262,$S$2:$S262,$S262,$B$2:$B262,"",$O$2:$O262,"")=0),"Place the employee row before dependent rows for this plan; ","")&amp;IF(AND($X262="Dependent",COUNTIFS($A$2:$A$501,$A262,$S$2:$S$501,$S262,$B$2:$B$501,"",$O$2:$O$501,"")&gt;0,IFERROR(OR($P262&lt;&gt;LOOKUP(2,1/(($A$2:$A$501=$A262)*($S$2:$S$501=$S262)*($B$2:$B$501="")*($O$2:$O$501="")),$P$2:$P$501),$Q262&lt;&gt;LOOKUP(2,1/(($A$2:$A$501=$A262)*($S$2:$S$501=$S262)*($B$2:$B$501="")*($O$2:$O$501="")),$Q$2:$Q$501),$R262&lt;&gt;LOOKUP(2,1/(($A$2:$A$501=$A262)*($S$2:$S$501=$S262)*($B$2:$B$501="")*($O$2:$O$501="")),$R$2:$R$501),$T262&lt;&gt;LOOKUP(2,1/(($A$2:$A$501=$A262)*($S$2:$S$501=$S262)*($B$2:$B$501="")*($O$2:$O$501="")),$T$2:$T$501),$U262&lt;&gt;LOOKUP(2,1/(($A$2:$A$501=$A262)*($S$2:$S$501=$S262)*($B$2:$B$501="")*($O$2:$O$501="")),$U$2:$U$501)),FALSE)),"Dependent row does not match the employee row for eligibility, status, coverage level, or funding; ",""))</f>
        <v/>
      </c>
      <c r="AB262">
        <f>IF(COUNTA($A262:$U262)=0,"",IF($L262="","Birthdate is required; ","")&amp;IF(AND($L262&lt;&gt;"",OR(NOT(ISNUMBER($L262)),$L262&lt;=DATE(1900,1,1),$L262&gt;TODAY())),"Birthdate must be an exact valid past date; ","")&amp;IF($P262="","Eligibility Date is required; ","")&amp;IF(AND($P262&lt;&gt;"",OR(NOT(ISNUMBER($P262)),$P262&lt;=DATE(1900,1,1))),"Eligibility Date must be a valid date; ","")&amp;IF(AND($R262="Terminated",$Q262=""),"Termination Date is required when Status is Terminated; ","")&amp;IF(AND($Q262&lt;&gt;"",OR(NOT(ISNUMBER($Q262)),$Q262&lt;=DATE(1900,1,1))),"Termination Date must be a valid date; ","")&amp;IF(AND(ISNUMBER($P262),ISNUMBER($Q262),$Q262&lt;$P262),"Termination Date cannot be before Eligibility Date; ","")&amp;IF($R262="","Status is required; ","")&amp;IF(AND($R262&lt;&gt;"",$R262&lt;&gt;"Active",$R262&lt;&gt;"Terminated"),"Status must be Active or Terminated; ","")&amp;IF(AND('START HERE'!$C$8="Terminations Only",$R262&lt;&gt;"Terminated"),"Terminations Only files must contain terminated records; ",""))</f>
        <v/>
      </c>
      <c r="AC262">
        <f>IF(COUNTA($A262:$U262)=0,"",IF($S262="","Plan Name is required; ","")&amp;IF($T262="","Benefit Coverage Level is required; ","")&amp;IF(AND($U262&lt;&gt;"",OR(NOT(ISNUMBER($U262)),$U262&lt;0)),"Plan Funding Amount must be a nonnegative number; ","")&amp;IF(AND($A262&lt;&gt;"",$S262&lt;&gt;"",COUNTIFS($A$2:$A$501,$A262,$B$2:$B$501,$B262,$S$2:$S$501,$S262)&gt;1),"Duplicate participant and plan row; ",""))</f>
        <v/>
      </c>
      <c r="AD262">
        <f>IF(COUNTA($A262:$U262)=0,"",IF(AND($X262="Employee",$M262="",$N262=""),"No employee phone or email provided; ","")&amp;IF(AND($R262="Active",$Q262&lt;&gt;""),"Active record includes a Termination Date; confirm this is intentional; ","")&amp;IF(AND($B262&lt;&gt;"",$B262&amp;""&lt;&gt;$A262&amp;"",COUNTIF($A$2:$A$501,$B262)&gt;0),"Dependent SSN also appears as an Employee SSN elsewhere; confirm dual-employee coverage is intentional; ","")&amp;IF(AND($B262&lt;&gt;"",COUNTIF($B$2:$B$501,$B262)&gt;COUNTIFS($A$2:$A$501,$A262,$B$2:$B$501,$B262)),"Dependent SSN appears under more than one employee; confirm duplicate family coverage is intentional; ","")&amp;IF(AND(ROW()&gt;2,$A262&lt;&gt;"",$A262&lt;&gt;$A261,COUNTIF($A$2:$A261,$A262)&gt;0),"This household appears in more than one section of the census; keep the family together; ","")&amp;IF(OR(AND($C262&lt;&gt;"",LEN($C262&amp;"")&lt;&gt;LEN(TRIM($C262&amp;""))),AND($D262&lt;&gt;"",LEN($D262&amp;"")&lt;&gt;LEN(TRIM($D262&amp;""))),AND($E262&lt;&gt;"",LEN($E262&amp;"")&lt;&gt;LEN(TRIM($E262&amp;""))),AND($F262&lt;&gt;"",LEN($F262&amp;"")&lt;&gt;LEN(TRIM($F262&amp;""))),AND($G262&lt;&gt;"",LEN($G262&amp;"")&lt;&gt;LEN(TRIM($G262&amp;""))),AND($H262&lt;&gt;"",LEN($H262&amp;"")&lt;&gt;LEN(TRIM($H262&amp;""))),AND($I262&lt;&gt;"",LEN($I262&amp;"")&lt;&gt;LEN(TRIM($I262&amp;""))),AND($J262&lt;&gt;"",LEN($J262&amp;"")&lt;&gt;LEN(TRIM($J262&amp;""))),AND($K262&lt;&gt;"",LEN($K262&amp;"")&lt;&gt;LEN(TRIM($K262&amp;""))),AND($M262&lt;&gt;"",LEN($M262&amp;"")&lt;&gt;LEN(TRIM($M262&amp;""))),AND($N262&lt;&gt;"",LEN($N262&amp;"")&lt;&gt;LEN(TRIM($N262&amp;""))),AND($O262&lt;&gt;"",LEN($O262&amp;"")&lt;&gt;LEN(TRIM($O262&amp;""))),AND($R262&lt;&gt;"",LEN($R262&amp;"")&lt;&gt;LEN(TRIM($R262&amp;""))),AND($S262&lt;&gt;"",LEN($S262&amp;"")&lt;&gt;LEN(TRIM($S262&amp;""))),AND($T262&lt;&gt;"",LEN($T262&amp;"")&lt;&gt;LEN(TRIM($T262&amp;"")))),"Remove leading or trailing spaces from text fields; ","")&amp;IF(OR(AND(LEN($C262)&gt;1,OR(EXACT($C262,UPPER($C262)),EXACT($C262,LOWER($C262)))),AND(LEN($D262)&gt;1,OR(EXACT($D262,UPPER($D262)),EXACT($D262,LOWER($D262)))),AND(LEN($H262)&gt;1,OR(EXACT($H262,UPPER($H262)),EXACT($H262,LOWER($H262))))),"Review capitalization in First Name, Last Name, or City; ","")&amp;IF(AND($N262&lt;&gt;"",NOT(EXACT($N262,LOWER($N262)))),"Email will be standardized to lowercase in the clean output; ","")&amp;IF(AND(OR('START HERE'!$C$8="Initial Enrollment",'START HERE'!$C$8="Open Enrollment"),$R262="Terminated"),"A terminated row is included in an initial or open enrollment file; confirm this is intentional; ",""))</f>
        <v/>
      </c>
      <c r="AE262">
        <f>IF(COUNTA($A262:$U262)=0,"",IF(OR($A262="",AND($A262&lt;&gt;"",NOT(IFERROR(AND(LEN($A262&amp;"")=9,ISNUMBER(--($A262&amp;""))),FALSE))),AND($A262&lt;&gt;"",OR($A262="123456789",$A262="987654321",$A262="012345678",$A262=REPT(LEFT($A262&amp;"",1),9)))),"Employee SSN, ","")&amp;IF(OR(AND($O262&lt;&gt;"",$B262=""),AND($B262&lt;&gt;"",OR(NOT(IFERROR(AND(LEN($B262&amp;"")=9,ISNUMBER(--($B262&amp;""))),FALSE)),$B262=$A262,$B262="123456789",$B262="987654321",$B262="012345678",$B262=REPT(LEFT($B262&amp;"",1),9)))),"Dependent SSN, ","")&amp;IF(OR($C262="",LEN($C262)&gt;19,AND($C262&lt;&gt;"",SUMPRODUCT(--(ROW($1:$19)&lt;=LEN($C262&amp;"")),--ISERROR(FIND(MID($C262&amp;"",ROW($1:$19),1),"ABCDEFGHIJKLMNOPQRSTUVWXYZabcdefghijklmnopqrstuvwxyz .,")))&gt;0)),"First Name, ","")&amp;IF(OR($D262="",LEN($D262)&gt;26,AND($D262&lt;&gt;"",SUMPRODUCT(--(ROW($1:$26)&lt;=LEN($D262&amp;"")),--ISERROR(FIND(MID($D262&amp;"",ROW($1:$26),1),"ABCDEFGHIJKLMNOPQRSTUVWXYZabcdefghijklmnopqrstuvwxyz .,")))&gt;0)),"Last Name, ","")&amp;IF(OR(LEN($E262)&gt;1,AND($E262&lt;&gt;"",SUMPRODUCT(--(ROW($1:$1)&lt;=LEN($E262&amp;"")),--ISERROR(FIND(MID($E262&amp;"",ROW($1:$1),1),"ABCDEFGHIJKLMNOPQRSTUVWXYZabcdefghijklmnopqrstuvwxyz .,")))&gt;0)),"Middle Initial, ","")&amp;IF(OR($F262="",LEN($F262)&gt;75),"Address, ","")&amp;IF(OR($H262="",LEN($H262)&gt;30),"City, ","")&amp;IF(AND($K262="US",OR($I262="",LEN($I262)&lt;&gt;2)),"State, ","")&amp;IF($J262="","ZIP, ","")&amp;IF(OR($K262="",AND($K262&lt;&gt;"US",$K262&lt;&gt;"CA")),"Country, ","")&amp;IF(OR($L262="",AND($L262&lt;&gt;"",OR(NOT(ISNUMBER($L262)),$L262&lt;=DATE(1900,1,1),$L262&gt;TODAY()))),"Birthdate, ","")&amp;IF(AND($N262&lt;&gt;"",NOT(IFERROR(AND(ISNUMBER(SEARCH("@",$N262)),ISNUMBER(SEARCH(".",$N262,SEARCH("@",$N262)+2))),FALSE))),"Email, ","")&amp;IF(OR(AND($B262&lt;&gt;"",$O262=""),AND($O262&lt;&gt;"",$O262&lt;&gt;"Spouse or Common Law Spouse",$O262&lt;&gt;"Domestic Partner",$O262&lt;&gt;"Child",$O262&lt;&gt;"Other",$O262&lt;&gt;"Estate",$O262&lt;&gt;"Unknown")),"Dependent Relationship, ","")&amp;IF($AA262&lt;&gt;"","Household, ","")&amp;IF(OR($P262="",AND($P262&lt;&gt;"",OR(NOT(ISNUMBER($P262)),$P262&lt;=DATE(1900,1,1)))),"Eligibility Date, ","")&amp;IF(OR(AND($R262="Terminated",$Q262=""),AND($Q262&lt;&gt;"",OR(NOT(ISNUMBER($Q262)),$Q262&lt;=DATE(1900,1,1))),AND(ISNUMBER($P262),ISNUMBER($Q262),$Q262&lt;$P262)),"Termination Date, ","")&amp;IF(OR($R262="",AND($R262&lt;&gt;"Active",$R262&lt;&gt;"Terminated"),AND('START HERE'!$C$8="Terminations Only",$R262&lt;&gt;"Terminated")),"Status, ","")&amp;IF($S262="","Plan Name, ","")&amp;IF($T262="","Coverage Level, ","")&amp;IF(AND($U262&lt;&gt;"",OR(NOT(ISNUMBER($U262)),$U262&lt;0)),"Funding, ","")&amp;IF(AND($A262&lt;&gt;"",$S262&lt;&gt;"",COUNTIFS($A$2:$A$501,$A262,$B$2:$B$501,$B262,$S$2:$S$501,$S262)&gt;1),"Duplicate Row, ",""))</f>
        <v/>
      </c>
      <c r="AF262">
        <f>IF(COUNTA($A262:$U262)=0,"",$Y262&amp;$Z262&amp;$AA262&amp;$AB262&amp;$AC262)</f>
        <v/>
      </c>
      <c r="AG262">
        <f>IF($N262="","",LOWER(TRIM($N262)))</f>
        <v/>
      </c>
      <c r="AH262">
        <f>IF($A262="","",COUNTIFS($A$2:$A$501,$A262,$AI$2:$AI$501,1))</f>
        <v/>
      </c>
      <c r="AI262">
        <f>IF(COUNTA($A262:$U262)=0,"",--($AF262&lt;&gt;""))</f>
        <v/>
      </c>
      <c r="AJ262">
        <f>IF(COUNTA($A262:$U262)=0,"",--($AD262&lt;&gt;""))</f>
        <v/>
      </c>
    </row>
    <row r="263" ht="20" customHeight="1">
      <c r="A263" s="80" t="n"/>
      <c r="B263" s="80" t="n"/>
      <c r="C263" s="81" t="n"/>
      <c r="D263" s="81" t="n"/>
      <c r="E263" s="80" t="n"/>
      <c r="F263" s="81" t="n"/>
      <c r="G263" s="81" t="n"/>
      <c r="H263" s="81" t="n"/>
      <c r="I263" s="80" t="n"/>
      <c r="J263" s="80" t="n"/>
      <c r="K263" s="80" t="n"/>
      <c r="L263" s="82" t="n"/>
      <c r="M263" s="80" t="n"/>
      <c r="N263" s="80" t="n"/>
      <c r="O263" s="80" t="n"/>
      <c r="P263" s="82" t="n"/>
      <c r="Q263" s="82" t="n"/>
      <c r="R263" s="80" t="n"/>
      <c r="S263" s="80" t="n"/>
      <c r="T263" s="80" t="n"/>
      <c r="U263" s="83" t="n"/>
      <c r="V263">
        <f>IF($A263="","",IF($A263=$A262,$V262,IF($V262="",0,1-$V262)))</f>
        <v/>
      </c>
      <c r="W263">
        <f>IF($B263&lt;&gt;"",$B263,$A263)</f>
        <v/>
      </c>
      <c r="X263">
        <f>IF(COUNTA($A263:$U263)=0,"",IF(OR($B263&lt;&gt;"",$O263&lt;&gt;""),"Dependent","Employee"))</f>
        <v/>
      </c>
      <c r="Y263">
        <f>IF(COUNTA($A263:$U263)=0,"",IF($A263="","Employee SSN is required; ","")&amp;IF($C263="","First Name is required; ","")&amp;IF(LEN($C263&amp;"")&gt;19,"First Name exceeds 19 characters; ","")&amp;IF(AND($C263&lt;&gt;"",SUMPRODUCT(--(ROW($1:$19)&lt;=LEN($C263&amp;"")),--ISERROR(FIND(MID($C263&amp;"",ROW($1:$19),1),"ABCDEFGHIJKLMNOPQRSTUVWXYZabcdefghijklmnopqrstuvwxyz .,")))&gt;0),"First Name contains unsupported or encoded characters; use plain A-Z letters only; ","")&amp;IF($D263="","Last Name is required; ","")&amp;IF(LEN($D263&amp;"")&gt;26,"Last Name exceeds 26 characters; ","")&amp;IF(AND($D263&lt;&gt;"",SUMPRODUCT(--(ROW($1:$26)&lt;=LEN($D263&amp;"")),--ISERROR(FIND(MID($D263&amp;"",ROW($1:$26),1),"ABCDEFGHIJKLMNOPQRSTUVWXYZabcdefghijklmnopqrstuvwxyz .,")))&gt;0),"Last Name contains unsupported or encoded characters; use plain A-Z letters only; ","")&amp;IF(LEN($E263&amp;"")&gt;1,"Middle Initial may contain only one character; ","")&amp;IF(AND($E263&lt;&gt;"",SUMPRODUCT(--(ROW($1:$1)&lt;=LEN($E263&amp;"")),--ISERROR(FIND(MID($E263&amp;"",ROW($1:$1),1),"ABCDEFGHIJKLMNOPQRSTUVWXYZabcdefghijklmnopqrstuvwxyz .,")))&gt;0),"Middle Initial must be a plain A-Z letter; ","")&amp;IF($F263="","Address is required; ","")&amp;IF(LEN($F263&amp;"")&gt;75,"Address exceeds 75 characters; ","")&amp;IF(LEN($G263&amp;"")&gt;75,"Address 2 exceeds 75 characters; ","")&amp;IF($H263="","City is required; ","")&amp;IF(LEN($H263&amp;"")&gt;30,"City exceeds 30 characters; ","")&amp;IF($K263="","Country is required; ","")&amp;IF(AND($K263&lt;&gt;"",$K263&lt;&gt;"US",$K263&lt;&gt;"CA"),"Country must be US or CA; ","")&amp;IF(AND($K263="US",OR($I263="",LEN($I263&amp;"")&lt;&gt;2)),"Use a 2-letter state code; ","")&amp;IF($J263="","ZIP or postal code is required; ","")&amp;IF(AND($K263="US",$J263&lt;&gt;"",NOT(IFERROR(OR(AND(LEN($J263&amp;"")=5,ISNUMBER(--($J263&amp;""))),AND(LEN($J263&amp;"")=9,ISNUMBER(--($J263&amp;""))),AND(LEN($J263&amp;"")=10,MID($J263&amp;"",6,1)="-",ISNUMBER(--SUBSTITUTE($J263&amp;"","-","")))),FALSE))),"US ZIP must be 5 or 9 digits, with an optional ZIP+4 hyphen; ","")&amp;IF(AND($N263&lt;&gt;"",NOT(IFERROR(AND(ISNUMBER(SEARCH("@",$N263)),ISNUMBER(SEARCH(".",$N263,SEARCH("@",$N263)+2))),FALSE))),"Email format appears invalid; ","")&amp;IF(AND($O263&lt;&gt;"",$B263=""),"Dependent SSN is required for every dependent; ","")&amp;IF(AND($B263&lt;&gt;"",$O263=""),"Dependent Relationship is required when Dependent SSN is entered; ","")&amp;IF(AND($O263&lt;&gt;"",$O263&lt;&gt;"Spouse or Common Law Spouse",$O263&lt;&gt;"Domestic Partner",$O263&lt;&gt;"Child",$O263&lt;&gt;"Other",$O263&lt;&gt;"Estate",$O263&lt;&gt;"Unknown"),"Dependent Relationship must use one of the approved options; ",""))</f>
        <v/>
      </c>
      <c r="Z263">
        <f>IF(COUNTA($A263:$U263)=0,"",IF(AND($A263&lt;&gt;"",NOT(IFERROR(AND(LEN($A263&amp;"")=9,ISNUMBER(--($A263&amp;""))),FALSE))),"Employee SSN must contain exactly 9 digits; ","")&amp;IF(AND($A263&lt;&gt;"",OR($A263="123456789",$A263="987654321",$A263="012345678",$A263=REPT(LEFT($A263&amp;"",1),9))),"Employee SSN appears to be a placeholder; ","")&amp;IF(AND($B263&lt;&gt;"",NOT(IFERROR(AND(LEN($B263&amp;"")=9,ISNUMBER(--($B263&amp;""))),FALSE))),"Dependent SSN must contain exactly 9 digits; ","")&amp;IF(AND($B263&lt;&gt;"",OR($B263="123456789",$B263="987654321",$B263="012345678",$B263=REPT(LEFT($B263&amp;"",1),9))),"Dependent SSN appears to be a placeholder; ","")&amp;IF(AND($A263&lt;&gt;"",$B263&lt;&gt;"",$A263&amp;""=$B263&amp;""),"Dependent SSN cannot match Employee SSN; ","")&amp;IF(AND($W263&lt;&gt;"",OR(COUNTIFS($W$2:$W$501,$W263,$C$2:$C$501,"&lt;&gt;"&amp;$C263)&gt;0,COUNTIFS($W$2:$W$501,$W263,$D$2:$D$501,"&lt;&gt;"&amp;$D263)&gt;0,COUNTIFS($W$2:$W$501,$W263,$L$2:$L$501,"&lt;&gt;"&amp;$L263)&gt;0)),"The same SSN is associated with a different name or birthdate; ",""))</f>
        <v/>
      </c>
      <c r="AA263">
        <f>IF(COUNTA($A263:$U263)=0,"",IF(AND($A263&lt;&gt;"",$S263&lt;&gt;"",COUNTIFS($A$2:$A$501,$A263,$S$2:$S$501,$S263,$B$2:$B$501,"",$O$2:$O$501,"")=0),"Add an employee row for this household and plan; ","")&amp;IF(AND($X263="Dependent",COUNTIFS($A$2:$A263,$A263,$S$2:$S263,$S263,$B$2:$B263,"",$O$2:$O263,"")=0),"Place the employee row before dependent rows for this plan; ","")&amp;IF(AND($X263="Dependent",COUNTIFS($A$2:$A$501,$A263,$S$2:$S$501,$S263,$B$2:$B$501,"",$O$2:$O$501,"")&gt;0,IFERROR(OR($P263&lt;&gt;LOOKUP(2,1/(($A$2:$A$501=$A263)*($S$2:$S$501=$S263)*($B$2:$B$501="")*($O$2:$O$501="")),$P$2:$P$501),$Q263&lt;&gt;LOOKUP(2,1/(($A$2:$A$501=$A263)*($S$2:$S$501=$S263)*($B$2:$B$501="")*($O$2:$O$501="")),$Q$2:$Q$501),$R263&lt;&gt;LOOKUP(2,1/(($A$2:$A$501=$A263)*($S$2:$S$501=$S263)*($B$2:$B$501="")*($O$2:$O$501="")),$R$2:$R$501),$T263&lt;&gt;LOOKUP(2,1/(($A$2:$A$501=$A263)*($S$2:$S$501=$S263)*($B$2:$B$501="")*($O$2:$O$501="")),$T$2:$T$501),$U263&lt;&gt;LOOKUP(2,1/(($A$2:$A$501=$A263)*($S$2:$S$501=$S263)*($B$2:$B$501="")*($O$2:$O$501="")),$U$2:$U$501)),FALSE)),"Dependent row does not match the employee row for eligibility, status, coverage level, or funding; ",""))</f>
        <v/>
      </c>
      <c r="AB263">
        <f>IF(COUNTA($A263:$U263)=0,"",IF($L263="","Birthdate is required; ","")&amp;IF(AND($L263&lt;&gt;"",OR(NOT(ISNUMBER($L263)),$L263&lt;=DATE(1900,1,1),$L263&gt;TODAY())),"Birthdate must be an exact valid past date; ","")&amp;IF($P263="","Eligibility Date is required; ","")&amp;IF(AND($P263&lt;&gt;"",OR(NOT(ISNUMBER($P263)),$P263&lt;=DATE(1900,1,1))),"Eligibility Date must be a valid date; ","")&amp;IF(AND($R263="Terminated",$Q263=""),"Termination Date is required when Status is Terminated; ","")&amp;IF(AND($Q263&lt;&gt;"",OR(NOT(ISNUMBER($Q263)),$Q263&lt;=DATE(1900,1,1))),"Termination Date must be a valid date; ","")&amp;IF(AND(ISNUMBER($P263),ISNUMBER($Q263),$Q263&lt;$P263),"Termination Date cannot be before Eligibility Date; ","")&amp;IF($R263="","Status is required; ","")&amp;IF(AND($R263&lt;&gt;"",$R263&lt;&gt;"Active",$R263&lt;&gt;"Terminated"),"Status must be Active or Terminated; ","")&amp;IF(AND('START HERE'!$C$8="Terminations Only",$R263&lt;&gt;"Terminated"),"Terminations Only files must contain terminated records; ",""))</f>
        <v/>
      </c>
      <c r="AC263">
        <f>IF(COUNTA($A263:$U263)=0,"",IF($S263="","Plan Name is required; ","")&amp;IF($T263="","Benefit Coverage Level is required; ","")&amp;IF(AND($U263&lt;&gt;"",OR(NOT(ISNUMBER($U263)),$U263&lt;0)),"Plan Funding Amount must be a nonnegative number; ","")&amp;IF(AND($A263&lt;&gt;"",$S263&lt;&gt;"",COUNTIFS($A$2:$A$501,$A263,$B$2:$B$501,$B263,$S$2:$S$501,$S263)&gt;1),"Duplicate participant and plan row; ",""))</f>
        <v/>
      </c>
      <c r="AD263">
        <f>IF(COUNTA($A263:$U263)=0,"",IF(AND($X263="Employee",$M263="",$N263=""),"No employee phone or email provided; ","")&amp;IF(AND($R263="Active",$Q263&lt;&gt;""),"Active record includes a Termination Date; confirm this is intentional; ","")&amp;IF(AND($B263&lt;&gt;"",$B263&amp;""&lt;&gt;$A263&amp;"",COUNTIF($A$2:$A$501,$B263)&gt;0),"Dependent SSN also appears as an Employee SSN elsewhere; confirm dual-employee coverage is intentional; ","")&amp;IF(AND($B263&lt;&gt;"",COUNTIF($B$2:$B$501,$B263)&gt;COUNTIFS($A$2:$A$501,$A263,$B$2:$B$501,$B263)),"Dependent SSN appears under more than one employee; confirm duplicate family coverage is intentional; ","")&amp;IF(AND(ROW()&gt;2,$A263&lt;&gt;"",$A263&lt;&gt;$A262,COUNTIF($A$2:$A262,$A263)&gt;0),"This household appears in more than one section of the census; keep the family together; ","")&amp;IF(OR(AND($C263&lt;&gt;"",LEN($C263&amp;"")&lt;&gt;LEN(TRIM($C263&amp;""))),AND($D263&lt;&gt;"",LEN($D263&amp;"")&lt;&gt;LEN(TRIM($D263&amp;""))),AND($E263&lt;&gt;"",LEN($E263&amp;"")&lt;&gt;LEN(TRIM($E263&amp;""))),AND($F263&lt;&gt;"",LEN($F263&amp;"")&lt;&gt;LEN(TRIM($F263&amp;""))),AND($G263&lt;&gt;"",LEN($G263&amp;"")&lt;&gt;LEN(TRIM($G263&amp;""))),AND($H263&lt;&gt;"",LEN($H263&amp;"")&lt;&gt;LEN(TRIM($H263&amp;""))),AND($I263&lt;&gt;"",LEN($I263&amp;"")&lt;&gt;LEN(TRIM($I263&amp;""))),AND($J263&lt;&gt;"",LEN($J263&amp;"")&lt;&gt;LEN(TRIM($J263&amp;""))),AND($K263&lt;&gt;"",LEN($K263&amp;"")&lt;&gt;LEN(TRIM($K263&amp;""))),AND($M263&lt;&gt;"",LEN($M263&amp;"")&lt;&gt;LEN(TRIM($M263&amp;""))),AND($N263&lt;&gt;"",LEN($N263&amp;"")&lt;&gt;LEN(TRIM($N263&amp;""))),AND($O263&lt;&gt;"",LEN($O263&amp;"")&lt;&gt;LEN(TRIM($O263&amp;""))),AND($R263&lt;&gt;"",LEN($R263&amp;"")&lt;&gt;LEN(TRIM($R263&amp;""))),AND($S263&lt;&gt;"",LEN($S263&amp;"")&lt;&gt;LEN(TRIM($S263&amp;""))),AND($T263&lt;&gt;"",LEN($T263&amp;"")&lt;&gt;LEN(TRIM($T263&amp;"")))),"Remove leading or trailing spaces from text fields; ","")&amp;IF(OR(AND(LEN($C263)&gt;1,OR(EXACT($C263,UPPER($C263)),EXACT($C263,LOWER($C263)))),AND(LEN($D263)&gt;1,OR(EXACT($D263,UPPER($D263)),EXACT($D263,LOWER($D263)))),AND(LEN($H263)&gt;1,OR(EXACT($H263,UPPER($H263)),EXACT($H263,LOWER($H263))))),"Review capitalization in First Name, Last Name, or City; ","")&amp;IF(AND($N263&lt;&gt;"",NOT(EXACT($N263,LOWER($N263)))),"Email will be standardized to lowercase in the clean output; ","")&amp;IF(AND(OR('START HERE'!$C$8="Initial Enrollment",'START HERE'!$C$8="Open Enrollment"),$R263="Terminated"),"A terminated row is included in an initial or open enrollment file; confirm this is intentional; ",""))</f>
        <v/>
      </c>
      <c r="AE263">
        <f>IF(COUNTA($A263:$U263)=0,"",IF(OR($A263="",AND($A263&lt;&gt;"",NOT(IFERROR(AND(LEN($A263&amp;"")=9,ISNUMBER(--($A263&amp;""))),FALSE))),AND($A263&lt;&gt;"",OR($A263="123456789",$A263="987654321",$A263="012345678",$A263=REPT(LEFT($A263&amp;"",1),9)))),"Employee SSN, ","")&amp;IF(OR(AND($O263&lt;&gt;"",$B263=""),AND($B263&lt;&gt;"",OR(NOT(IFERROR(AND(LEN($B263&amp;"")=9,ISNUMBER(--($B263&amp;""))),FALSE)),$B263=$A263,$B263="123456789",$B263="987654321",$B263="012345678",$B263=REPT(LEFT($B263&amp;"",1),9)))),"Dependent SSN, ","")&amp;IF(OR($C263="",LEN($C263)&gt;19,AND($C263&lt;&gt;"",SUMPRODUCT(--(ROW($1:$19)&lt;=LEN($C263&amp;"")),--ISERROR(FIND(MID($C263&amp;"",ROW($1:$19),1),"ABCDEFGHIJKLMNOPQRSTUVWXYZabcdefghijklmnopqrstuvwxyz .,")))&gt;0)),"First Name, ","")&amp;IF(OR($D263="",LEN($D263)&gt;26,AND($D263&lt;&gt;"",SUMPRODUCT(--(ROW($1:$26)&lt;=LEN($D263&amp;"")),--ISERROR(FIND(MID($D263&amp;"",ROW($1:$26),1),"ABCDEFGHIJKLMNOPQRSTUVWXYZabcdefghijklmnopqrstuvwxyz .,")))&gt;0)),"Last Name, ","")&amp;IF(OR(LEN($E263)&gt;1,AND($E263&lt;&gt;"",SUMPRODUCT(--(ROW($1:$1)&lt;=LEN($E263&amp;"")),--ISERROR(FIND(MID($E263&amp;"",ROW($1:$1),1),"ABCDEFGHIJKLMNOPQRSTUVWXYZabcdefghijklmnopqrstuvwxyz .,")))&gt;0)),"Middle Initial, ","")&amp;IF(OR($F263="",LEN($F263)&gt;75),"Address, ","")&amp;IF(OR($H263="",LEN($H263)&gt;30),"City, ","")&amp;IF(AND($K263="US",OR($I263="",LEN($I263)&lt;&gt;2)),"State, ","")&amp;IF($J263="","ZIP, ","")&amp;IF(OR($K263="",AND($K263&lt;&gt;"US",$K263&lt;&gt;"CA")),"Country, ","")&amp;IF(OR($L263="",AND($L263&lt;&gt;"",OR(NOT(ISNUMBER($L263)),$L263&lt;=DATE(1900,1,1),$L263&gt;TODAY()))),"Birthdate, ","")&amp;IF(AND($N263&lt;&gt;"",NOT(IFERROR(AND(ISNUMBER(SEARCH("@",$N263)),ISNUMBER(SEARCH(".",$N263,SEARCH("@",$N263)+2))),FALSE))),"Email, ","")&amp;IF(OR(AND($B263&lt;&gt;"",$O263=""),AND($O263&lt;&gt;"",$O263&lt;&gt;"Spouse or Common Law Spouse",$O263&lt;&gt;"Domestic Partner",$O263&lt;&gt;"Child",$O263&lt;&gt;"Other",$O263&lt;&gt;"Estate",$O263&lt;&gt;"Unknown")),"Dependent Relationship, ","")&amp;IF($AA263&lt;&gt;"","Household, ","")&amp;IF(OR($P263="",AND($P263&lt;&gt;"",OR(NOT(ISNUMBER($P263)),$P263&lt;=DATE(1900,1,1)))),"Eligibility Date, ","")&amp;IF(OR(AND($R263="Terminated",$Q263=""),AND($Q263&lt;&gt;"",OR(NOT(ISNUMBER($Q263)),$Q263&lt;=DATE(1900,1,1))),AND(ISNUMBER($P263),ISNUMBER($Q263),$Q263&lt;$P263)),"Termination Date, ","")&amp;IF(OR($R263="",AND($R263&lt;&gt;"Active",$R263&lt;&gt;"Terminated"),AND('START HERE'!$C$8="Terminations Only",$R263&lt;&gt;"Terminated")),"Status, ","")&amp;IF($S263="","Plan Name, ","")&amp;IF($T263="","Coverage Level, ","")&amp;IF(AND($U263&lt;&gt;"",OR(NOT(ISNUMBER($U263)),$U263&lt;0)),"Funding, ","")&amp;IF(AND($A263&lt;&gt;"",$S263&lt;&gt;"",COUNTIFS($A$2:$A$501,$A263,$B$2:$B$501,$B263,$S$2:$S$501,$S263)&gt;1),"Duplicate Row, ",""))</f>
        <v/>
      </c>
      <c r="AF263">
        <f>IF(COUNTA($A263:$U263)=0,"",$Y263&amp;$Z263&amp;$AA263&amp;$AB263&amp;$AC263)</f>
        <v/>
      </c>
      <c r="AG263">
        <f>IF($N263="","",LOWER(TRIM($N263)))</f>
        <v/>
      </c>
      <c r="AH263">
        <f>IF($A263="","",COUNTIFS($A$2:$A$501,$A263,$AI$2:$AI$501,1))</f>
        <v/>
      </c>
      <c r="AI263">
        <f>IF(COUNTA($A263:$U263)=0,"",--($AF263&lt;&gt;""))</f>
        <v/>
      </c>
      <c r="AJ263">
        <f>IF(COUNTA($A263:$U263)=0,"",--($AD263&lt;&gt;""))</f>
        <v/>
      </c>
    </row>
    <row r="264" ht="20" customHeight="1">
      <c r="A264" s="80" t="n"/>
      <c r="B264" s="80" t="n"/>
      <c r="C264" s="81" t="n"/>
      <c r="D264" s="81" t="n"/>
      <c r="E264" s="80" t="n"/>
      <c r="F264" s="81" t="n"/>
      <c r="G264" s="81" t="n"/>
      <c r="H264" s="81" t="n"/>
      <c r="I264" s="80" t="n"/>
      <c r="J264" s="80" t="n"/>
      <c r="K264" s="80" t="n"/>
      <c r="L264" s="82" t="n"/>
      <c r="M264" s="80" t="n"/>
      <c r="N264" s="80" t="n"/>
      <c r="O264" s="80" t="n"/>
      <c r="P264" s="82" t="n"/>
      <c r="Q264" s="82" t="n"/>
      <c r="R264" s="80" t="n"/>
      <c r="S264" s="80" t="n"/>
      <c r="T264" s="80" t="n"/>
      <c r="U264" s="83" t="n"/>
      <c r="V264">
        <f>IF($A264="","",IF($A264=$A263,$V263,IF($V263="",0,1-$V263)))</f>
        <v/>
      </c>
      <c r="W264">
        <f>IF($B264&lt;&gt;"",$B264,$A264)</f>
        <v/>
      </c>
      <c r="X264">
        <f>IF(COUNTA($A264:$U264)=0,"",IF(OR($B264&lt;&gt;"",$O264&lt;&gt;""),"Dependent","Employee"))</f>
        <v/>
      </c>
      <c r="Y264">
        <f>IF(COUNTA($A264:$U264)=0,"",IF($A264="","Employee SSN is required; ","")&amp;IF($C264="","First Name is required; ","")&amp;IF(LEN($C264&amp;"")&gt;19,"First Name exceeds 19 characters; ","")&amp;IF(AND($C264&lt;&gt;"",SUMPRODUCT(--(ROW($1:$19)&lt;=LEN($C264&amp;"")),--ISERROR(FIND(MID($C264&amp;"",ROW($1:$19),1),"ABCDEFGHIJKLMNOPQRSTUVWXYZabcdefghijklmnopqrstuvwxyz .,")))&gt;0),"First Name contains unsupported or encoded characters; use plain A-Z letters only; ","")&amp;IF($D264="","Last Name is required; ","")&amp;IF(LEN($D264&amp;"")&gt;26,"Last Name exceeds 26 characters; ","")&amp;IF(AND($D264&lt;&gt;"",SUMPRODUCT(--(ROW($1:$26)&lt;=LEN($D264&amp;"")),--ISERROR(FIND(MID($D264&amp;"",ROW($1:$26),1),"ABCDEFGHIJKLMNOPQRSTUVWXYZabcdefghijklmnopqrstuvwxyz .,")))&gt;0),"Last Name contains unsupported or encoded characters; use plain A-Z letters only; ","")&amp;IF(LEN($E264&amp;"")&gt;1,"Middle Initial may contain only one character; ","")&amp;IF(AND($E264&lt;&gt;"",SUMPRODUCT(--(ROW($1:$1)&lt;=LEN($E264&amp;"")),--ISERROR(FIND(MID($E264&amp;"",ROW($1:$1),1),"ABCDEFGHIJKLMNOPQRSTUVWXYZabcdefghijklmnopqrstuvwxyz .,")))&gt;0),"Middle Initial must be a plain A-Z letter; ","")&amp;IF($F264="","Address is required; ","")&amp;IF(LEN($F264&amp;"")&gt;75,"Address exceeds 75 characters; ","")&amp;IF(LEN($G264&amp;"")&gt;75,"Address 2 exceeds 75 characters; ","")&amp;IF($H264="","City is required; ","")&amp;IF(LEN($H264&amp;"")&gt;30,"City exceeds 30 characters; ","")&amp;IF($K264="","Country is required; ","")&amp;IF(AND($K264&lt;&gt;"",$K264&lt;&gt;"US",$K264&lt;&gt;"CA"),"Country must be US or CA; ","")&amp;IF(AND($K264="US",OR($I264="",LEN($I264&amp;"")&lt;&gt;2)),"Use a 2-letter state code; ","")&amp;IF($J264="","ZIP or postal code is required; ","")&amp;IF(AND($K264="US",$J264&lt;&gt;"",NOT(IFERROR(OR(AND(LEN($J264&amp;"")=5,ISNUMBER(--($J264&amp;""))),AND(LEN($J264&amp;"")=9,ISNUMBER(--($J264&amp;""))),AND(LEN($J264&amp;"")=10,MID($J264&amp;"",6,1)="-",ISNUMBER(--SUBSTITUTE($J264&amp;"","-","")))),FALSE))),"US ZIP must be 5 or 9 digits, with an optional ZIP+4 hyphen; ","")&amp;IF(AND($N264&lt;&gt;"",NOT(IFERROR(AND(ISNUMBER(SEARCH("@",$N264)),ISNUMBER(SEARCH(".",$N264,SEARCH("@",$N264)+2))),FALSE))),"Email format appears invalid; ","")&amp;IF(AND($O264&lt;&gt;"",$B264=""),"Dependent SSN is required for every dependent; ","")&amp;IF(AND($B264&lt;&gt;"",$O264=""),"Dependent Relationship is required when Dependent SSN is entered; ","")&amp;IF(AND($O264&lt;&gt;"",$O264&lt;&gt;"Spouse or Common Law Spouse",$O264&lt;&gt;"Domestic Partner",$O264&lt;&gt;"Child",$O264&lt;&gt;"Other",$O264&lt;&gt;"Estate",$O264&lt;&gt;"Unknown"),"Dependent Relationship must use one of the approved options; ",""))</f>
        <v/>
      </c>
      <c r="Z264">
        <f>IF(COUNTA($A264:$U264)=0,"",IF(AND($A264&lt;&gt;"",NOT(IFERROR(AND(LEN($A264&amp;"")=9,ISNUMBER(--($A264&amp;""))),FALSE))),"Employee SSN must contain exactly 9 digits; ","")&amp;IF(AND($A264&lt;&gt;"",OR($A264="123456789",$A264="987654321",$A264="012345678",$A264=REPT(LEFT($A264&amp;"",1),9))),"Employee SSN appears to be a placeholder; ","")&amp;IF(AND($B264&lt;&gt;"",NOT(IFERROR(AND(LEN($B264&amp;"")=9,ISNUMBER(--($B264&amp;""))),FALSE))),"Dependent SSN must contain exactly 9 digits; ","")&amp;IF(AND($B264&lt;&gt;"",OR($B264="123456789",$B264="987654321",$B264="012345678",$B264=REPT(LEFT($B264&amp;"",1),9))),"Dependent SSN appears to be a placeholder; ","")&amp;IF(AND($A264&lt;&gt;"",$B264&lt;&gt;"",$A264&amp;""=$B264&amp;""),"Dependent SSN cannot match Employee SSN; ","")&amp;IF(AND($W264&lt;&gt;"",OR(COUNTIFS($W$2:$W$501,$W264,$C$2:$C$501,"&lt;&gt;"&amp;$C264)&gt;0,COUNTIFS($W$2:$W$501,$W264,$D$2:$D$501,"&lt;&gt;"&amp;$D264)&gt;0,COUNTIFS($W$2:$W$501,$W264,$L$2:$L$501,"&lt;&gt;"&amp;$L264)&gt;0)),"The same SSN is associated with a different name or birthdate; ",""))</f>
        <v/>
      </c>
      <c r="AA264">
        <f>IF(COUNTA($A264:$U264)=0,"",IF(AND($A264&lt;&gt;"",$S264&lt;&gt;"",COUNTIFS($A$2:$A$501,$A264,$S$2:$S$501,$S264,$B$2:$B$501,"",$O$2:$O$501,"")=0),"Add an employee row for this household and plan; ","")&amp;IF(AND($X264="Dependent",COUNTIFS($A$2:$A264,$A264,$S$2:$S264,$S264,$B$2:$B264,"",$O$2:$O264,"")=0),"Place the employee row before dependent rows for this plan; ","")&amp;IF(AND($X264="Dependent",COUNTIFS($A$2:$A$501,$A264,$S$2:$S$501,$S264,$B$2:$B$501,"",$O$2:$O$501,"")&gt;0,IFERROR(OR($P264&lt;&gt;LOOKUP(2,1/(($A$2:$A$501=$A264)*($S$2:$S$501=$S264)*($B$2:$B$501="")*($O$2:$O$501="")),$P$2:$P$501),$Q264&lt;&gt;LOOKUP(2,1/(($A$2:$A$501=$A264)*($S$2:$S$501=$S264)*($B$2:$B$501="")*($O$2:$O$501="")),$Q$2:$Q$501),$R264&lt;&gt;LOOKUP(2,1/(($A$2:$A$501=$A264)*($S$2:$S$501=$S264)*($B$2:$B$501="")*($O$2:$O$501="")),$R$2:$R$501),$T264&lt;&gt;LOOKUP(2,1/(($A$2:$A$501=$A264)*($S$2:$S$501=$S264)*($B$2:$B$501="")*($O$2:$O$501="")),$T$2:$T$501),$U264&lt;&gt;LOOKUP(2,1/(($A$2:$A$501=$A264)*($S$2:$S$501=$S264)*($B$2:$B$501="")*($O$2:$O$501="")),$U$2:$U$501)),FALSE)),"Dependent row does not match the employee row for eligibility, status, coverage level, or funding; ",""))</f>
        <v/>
      </c>
      <c r="AB264">
        <f>IF(COUNTA($A264:$U264)=0,"",IF($L264="","Birthdate is required; ","")&amp;IF(AND($L264&lt;&gt;"",OR(NOT(ISNUMBER($L264)),$L264&lt;=DATE(1900,1,1),$L264&gt;TODAY())),"Birthdate must be an exact valid past date; ","")&amp;IF($P264="","Eligibility Date is required; ","")&amp;IF(AND($P264&lt;&gt;"",OR(NOT(ISNUMBER($P264)),$P264&lt;=DATE(1900,1,1))),"Eligibility Date must be a valid date; ","")&amp;IF(AND($R264="Terminated",$Q264=""),"Termination Date is required when Status is Terminated; ","")&amp;IF(AND($Q264&lt;&gt;"",OR(NOT(ISNUMBER($Q264)),$Q264&lt;=DATE(1900,1,1))),"Termination Date must be a valid date; ","")&amp;IF(AND(ISNUMBER($P264),ISNUMBER($Q264),$Q264&lt;$P264),"Termination Date cannot be before Eligibility Date; ","")&amp;IF($R264="","Status is required; ","")&amp;IF(AND($R264&lt;&gt;"",$R264&lt;&gt;"Active",$R264&lt;&gt;"Terminated"),"Status must be Active or Terminated; ","")&amp;IF(AND('START HERE'!$C$8="Terminations Only",$R264&lt;&gt;"Terminated"),"Terminations Only files must contain terminated records; ",""))</f>
        <v/>
      </c>
      <c r="AC264">
        <f>IF(COUNTA($A264:$U264)=0,"",IF($S264="","Plan Name is required; ","")&amp;IF($T264="","Benefit Coverage Level is required; ","")&amp;IF(AND($U264&lt;&gt;"",OR(NOT(ISNUMBER($U264)),$U264&lt;0)),"Plan Funding Amount must be a nonnegative number; ","")&amp;IF(AND($A264&lt;&gt;"",$S264&lt;&gt;"",COUNTIFS($A$2:$A$501,$A264,$B$2:$B$501,$B264,$S$2:$S$501,$S264)&gt;1),"Duplicate participant and plan row; ",""))</f>
        <v/>
      </c>
      <c r="AD264">
        <f>IF(COUNTA($A264:$U264)=0,"",IF(AND($X264="Employee",$M264="",$N264=""),"No employee phone or email provided; ","")&amp;IF(AND($R264="Active",$Q264&lt;&gt;""),"Active record includes a Termination Date; confirm this is intentional; ","")&amp;IF(AND($B264&lt;&gt;"",$B264&amp;""&lt;&gt;$A264&amp;"",COUNTIF($A$2:$A$501,$B264)&gt;0),"Dependent SSN also appears as an Employee SSN elsewhere; confirm dual-employee coverage is intentional; ","")&amp;IF(AND($B264&lt;&gt;"",COUNTIF($B$2:$B$501,$B264)&gt;COUNTIFS($A$2:$A$501,$A264,$B$2:$B$501,$B264)),"Dependent SSN appears under more than one employee; confirm duplicate family coverage is intentional; ","")&amp;IF(AND(ROW()&gt;2,$A264&lt;&gt;"",$A264&lt;&gt;$A263,COUNTIF($A$2:$A263,$A264)&gt;0),"This household appears in more than one section of the census; keep the family together; ","")&amp;IF(OR(AND($C264&lt;&gt;"",LEN($C264&amp;"")&lt;&gt;LEN(TRIM($C264&amp;""))),AND($D264&lt;&gt;"",LEN($D264&amp;"")&lt;&gt;LEN(TRIM($D264&amp;""))),AND($E264&lt;&gt;"",LEN($E264&amp;"")&lt;&gt;LEN(TRIM($E264&amp;""))),AND($F264&lt;&gt;"",LEN($F264&amp;"")&lt;&gt;LEN(TRIM($F264&amp;""))),AND($G264&lt;&gt;"",LEN($G264&amp;"")&lt;&gt;LEN(TRIM($G264&amp;""))),AND($H264&lt;&gt;"",LEN($H264&amp;"")&lt;&gt;LEN(TRIM($H264&amp;""))),AND($I264&lt;&gt;"",LEN($I264&amp;"")&lt;&gt;LEN(TRIM($I264&amp;""))),AND($J264&lt;&gt;"",LEN($J264&amp;"")&lt;&gt;LEN(TRIM($J264&amp;""))),AND($K264&lt;&gt;"",LEN($K264&amp;"")&lt;&gt;LEN(TRIM($K264&amp;""))),AND($M264&lt;&gt;"",LEN($M264&amp;"")&lt;&gt;LEN(TRIM($M264&amp;""))),AND($N264&lt;&gt;"",LEN($N264&amp;"")&lt;&gt;LEN(TRIM($N264&amp;""))),AND($O264&lt;&gt;"",LEN($O264&amp;"")&lt;&gt;LEN(TRIM($O264&amp;""))),AND($R264&lt;&gt;"",LEN($R264&amp;"")&lt;&gt;LEN(TRIM($R264&amp;""))),AND($S264&lt;&gt;"",LEN($S264&amp;"")&lt;&gt;LEN(TRIM($S264&amp;""))),AND($T264&lt;&gt;"",LEN($T264&amp;"")&lt;&gt;LEN(TRIM($T264&amp;"")))),"Remove leading or trailing spaces from text fields; ","")&amp;IF(OR(AND(LEN($C264)&gt;1,OR(EXACT($C264,UPPER($C264)),EXACT($C264,LOWER($C264)))),AND(LEN($D264)&gt;1,OR(EXACT($D264,UPPER($D264)),EXACT($D264,LOWER($D264)))),AND(LEN($H264)&gt;1,OR(EXACT($H264,UPPER($H264)),EXACT($H264,LOWER($H264))))),"Review capitalization in First Name, Last Name, or City; ","")&amp;IF(AND($N264&lt;&gt;"",NOT(EXACT($N264,LOWER($N264)))),"Email will be standardized to lowercase in the clean output; ","")&amp;IF(AND(OR('START HERE'!$C$8="Initial Enrollment",'START HERE'!$C$8="Open Enrollment"),$R264="Terminated"),"A terminated row is included in an initial or open enrollment file; confirm this is intentional; ",""))</f>
        <v/>
      </c>
      <c r="AE264">
        <f>IF(COUNTA($A264:$U264)=0,"",IF(OR($A264="",AND($A264&lt;&gt;"",NOT(IFERROR(AND(LEN($A264&amp;"")=9,ISNUMBER(--($A264&amp;""))),FALSE))),AND($A264&lt;&gt;"",OR($A264="123456789",$A264="987654321",$A264="012345678",$A264=REPT(LEFT($A264&amp;"",1),9)))),"Employee SSN, ","")&amp;IF(OR(AND($O264&lt;&gt;"",$B264=""),AND($B264&lt;&gt;"",OR(NOT(IFERROR(AND(LEN($B264&amp;"")=9,ISNUMBER(--($B264&amp;""))),FALSE)),$B264=$A264,$B264="123456789",$B264="987654321",$B264="012345678",$B264=REPT(LEFT($B264&amp;"",1),9)))),"Dependent SSN, ","")&amp;IF(OR($C264="",LEN($C264)&gt;19,AND($C264&lt;&gt;"",SUMPRODUCT(--(ROW($1:$19)&lt;=LEN($C264&amp;"")),--ISERROR(FIND(MID($C264&amp;"",ROW($1:$19),1),"ABCDEFGHIJKLMNOPQRSTUVWXYZabcdefghijklmnopqrstuvwxyz .,")))&gt;0)),"First Name, ","")&amp;IF(OR($D264="",LEN($D264)&gt;26,AND($D264&lt;&gt;"",SUMPRODUCT(--(ROW($1:$26)&lt;=LEN($D264&amp;"")),--ISERROR(FIND(MID($D264&amp;"",ROW($1:$26),1),"ABCDEFGHIJKLMNOPQRSTUVWXYZabcdefghijklmnopqrstuvwxyz .,")))&gt;0)),"Last Name, ","")&amp;IF(OR(LEN($E264)&gt;1,AND($E264&lt;&gt;"",SUMPRODUCT(--(ROW($1:$1)&lt;=LEN($E264&amp;"")),--ISERROR(FIND(MID($E264&amp;"",ROW($1:$1),1),"ABCDEFGHIJKLMNOPQRSTUVWXYZabcdefghijklmnopqrstuvwxyz .,")))&gt;0)),"Middle Initial, ","")&amp;IF(OR($F264="",LEN($F264)&gt;75),"Address, ","")&amp;IF(OR($H264="",LEN($H264)&gt;30),"City, ","")&amp;IF(AND($K264="US",OR($I264="",LEN($I264)&lt;&gt;2)),"State, ","")&amp;IF($J264="","ZIP, ","")&amp;IF(OR($K264="",AND($K264&lt;&gt;"US",$K264&lt;&gt;"CA")),"Country, ","")&amp;IF(OR($L264="",AND($L264&lt;&gt;"",OR(NOT(ISNUMBER($L264)),$L264&lt;=DATE(1900,1,1),$L264&gt;TODAY()))),"Birthdate, ","")&amp;IF(AND($N264&lt;&gt;"",NOT(IFERROR(AND(ISNUMBER(SEARCH("@",$N264)),ISNUMBER(SEARCH(".",$N264,SEARCH("@",$N264)+2))),FALSE))),"Email, ","")&amp;IF(OR(AND($B264&lt;&gt;"",$O264=""),AND($O264&lt;&gt;"",$O264&lt;&gt;"Spouse or Common Law Spouse",$O264&lt;&gt;"Domestic Partner",$O264&lt;&gt;"Child",$O264&lt;&gt;"Other",$O264&lt;&gt;"Estate",$O264&lt;&gt;"Unknown")),"Dependent Relationship, ","")&amp;IF($AA264&lt;&gt;"","Household, ","")&amp;IF(OR($P264="",AND($P264&lt;&gt;"",OR(NOT(ISNUMBER($P264)),$P264&lt;=DATE(1900,1,1)))),"Eligibility Date, ","")&amp;IF(OR(AND($R264="Terminated",$Q264=""),AND($Q264&lt;&gt;"",OR(NOT(ISNUMBER($Q264)),$Q264&lt;=DATE(1900,1,1))),AND(ISNUMBER($P264),ISNUMBER($Q264),$Q264&lt;$P264)),"Termination Date, ","")&amp;IF(OR($R264="",AND($R264&lt;&gt;"Active",$R264&lt;&gt;"Terminated"),AND('START HERE'!$C$8="Terminations Only",$R264&lt;&gt;"Terminated")),"Status, ","")&amp;IF($S264="","Plan Name, ","")&amp;IF($T264="","Coverage Level, ","")&amp;IF(AND($U264&lt;&gt;"",OR(NOT(ISNUMBER($U264)),$U264&lt;0)),"Funding, ","")&amp;IF(AND($A264&lt;&gt;"",$S264&lt;&gt;"",COUNTIFS($A$2:$A$501,$A264,$B$2:$B$501,$B264,$S$2:$S$501,$S264)&gt;1),"Duplicate Row, ",""))</f>
        <v/>
      </c>
      <c r="AF264">
        <f>IF(COUNTA($A264:$U264)=0,"",$Y264&amp;$Z264&amp;$AA264&amp;$AB264&amp;$AC264)</f>
        <v/>
      </c>
      <c r="AG264">
        <f>IF($N264="","",LOWER(TRIM($N264)))</f>
        <v/>
      </c>
      <c r="AH264">
        <f>IF($A264="","",COUNTIFS($A$2:$A$501,$A264,$AI$2:$AI$501,1))</f>
        <v/>
      </c>
      <c r="AI264">
        <f>IF(COUNTA($A264:$U264)=0,"",--($AF264&lt;&gt;""))</f>
        <v/>
      </c>
      <c r="AJ264">
        <f>IF(COUNTA($A264:$U264)=0,"",--($AD264&lt;&gt;""))</f>
        <v/>
      </c>
    </row>
    <row r="265" ht="20" customHeight="1">
      <c r="A265" s="80" t="n"/>
      <c r="B265" s="80" t="n"/>
      <c r="C265" s="81" t="n"/>
      <c r="D265" s="81" t="n"/>
      <c r="E265" s="80" t="n"/>
      <c r="F265" s="81" t="n"/>
      <c r="G265" s="81" t="n"/>
      <c r="H265" s="81" t="n"/>
      <c r="I265" s="80" t="n"/>
      <c r="J265" s="80" t="n"/>
      <c r="K265" s="80" t="n"/>
      <c r="L265" s="82" t="n"/>
      <c r="M265" s="80" t="n"/>
      <c r="N265" s="80" t="n"/>
      <c r="O265" s="80" t="n"/>
      <c r="P265" s="82" t="n"/>
      <c r="Q265" s="82" t="n"/>
      <c r="R265" s="80" t="n"/>
      <c r="S265" s="80" t="n"/>
      <c r="T265" s="80" t="n"/>
      <c r="U265" s="83" t="n"/>
      <c r="V265">
        <f>IF($A265="","",IF($A265=$A264,$V264,IF($V264="",0,1-$V264)))</f>
        <v/>
      </c>
      <c r="W265">
        <f>IF($B265&lt;&gt;"",$B265,$A265)</f>
        <v/>
      </c>
      <c r="X265">
        <f>IF(COUNTA($A265:$U265)=0,"",IF(OR($B265&lt;&gt;"",$O265&lt;&gt;""),"Dependent","Employee"))</f>
        <v/>
      </c>
      <c r="Y265">
        <f>IF(COUNTA($A265:$U265)=0,"",IF($A265="","Employee SSN is required; ","")&amp;IF($C265="","First Name is required; ","")&amp;IF(LEN($C265&amp;"")&gt;19,"First Name exceeds 19 characters; ","")&amp;IF(AND($C265&lt;&gt;"",SUMPRODUCT(--(ROW($1:$19)&lt;=LEN($C265&amp;"")),--ISERROR(FIND(MID($C265&amp;"",ROW($1:$19),1),"ABCDEFGHIJKLMNOPQRSTUVWXYZabcdefghijklmnopqrstuvwxyz .,")))&gt;0),"First Name contains unsupported or encoded characters; use plain A-Z letters only; ","")&amp;IF($D265="","Last Name is required; ","")&amp;IF(LEN($D265&amp;"")&gt;26,"Last Name exceeds 26 characters; ","")&amp;IF(AND($D265&lt;&gt;"",SUMPRODUCT(--(ROW($1:$26)&lt;=LEN($D265&amp;"")),--ISERROR(FIND(MID($D265&amp;"",ROW($1:$26),1),"ABCDEFGHIJKLMNOPQRSTUVWXYZabcdefghijklmnopqrstuvwxyz .,")))&gt;0),"Last Name contains unsupported or encoded characters; use plain A-Z letters only; ","")&amp;IF(LEN($E265&amp;"")&gt;1,"Middle Initial may contain only one character; ","")&amp;IF(AND($E265&lt;&gt;"",SUMPRODUCT(--(ROW($1:$1)&lt;=LEN($E265&amp;"")),--ISERROR(FIND(MID($E265&amp;"",ROW($1:$1),1),"ABCDEFGHIJKLMNOPQRSTUVWXYZabcdefghijklmnopqrstuvwxyz .,")))&gt;0),"Middle Initial must be a plain A-Z letter; ","")&amp;IF($F265="","Address is required; ","")&amp;IF(LEN($F265&amp;"")&gt;75,"Address exceeds 75 characters; ","")&amp;IF(LEN($G265&amp;"")&gt;75,"Address 2 exceeds 75 characters; ","")&amp;IF($H265="","City is required; ","")&amp;IF(LEN($H265&amp;"")&gt;30,"City exceeds 30 characters; ","")&amp;IF($K265="","Country is required; ","")&amp;IF(AND($K265&lt;&gt;"",$K265&lt;&gt;"US",$K265&lt;&gt;"CA"),"Country must be US or CA; ","")&amp;IF(AND($K265="US",OR($I265="",LEN($I265&amp;"")&lt;&gt;2)),"Use a 2-letter state code; ","")&amp;IF($J265="","ZIP or postal code is required; ","")&amp;IF(AND($K265="US",$J265&lt;&gt;"",NOT(IFERROR(OR(AND(LEN($J265&amp;"")=5,ISNUMBER(--($J265&amp;""))),AND(LEN($J265&amp;"")=9,ISNUMBER(--($J265&amp;""))),AND(LEN($J265&amp;"")=10,MID($J265&amp;"",6,1)="-",ISNUMBER(--SUBSTITUTE($J265&amp;"","-","")))),FALSE))),"US ZIP must be 5 or 9 digits, with an optional ZIP+4 hyphen; ","")&amp;IF(AND($N265&lt;&gt;"",NOT(IFERROR(AND(ISNUMBER(SEARCH("@",$N265)),ISNUMBER(SEARCH(".",$N265,SEARCH("@",$N265)+2))),FALSE))),"Email format appears invalid; ","")&amp;IF(AND($O265&lt;&gt;"",$B265=""),"Dependent SSN is required for every dependent; ","")&amp;IF(AND($B265&lt;&gt;"",$O265=""),"Dependent Relationship is required when Dependent SSN is entered; ","")&amp;IF(AND($O265&lt;&gt;"",$O265&lt;&gt;"Spouse or Common Law Spouse",$O265&lt;&gt;"Domestic Partner",$O265&lt;&gt;"Child",$O265&lt;&gt;"Other",$O265&lt;&gt;"Estate",$O265&lt;&gt;"Unknown"),"Dependent Relationship must use one of the approved options; ",""))</f>
        <v/>
      </c>
      <c r="Z265">
        <f>IF(COUNTA($A265:$U265)=0,"",IF(AND($A265&lt;&gt;"",NOT(IFERROR(AND(LEN($A265&amp;"")=9,ISNUMBER(--($A265&amp;""))),FALSE))),"Employee SSN must contain exactly 9 digits; ","")&amp;IF(AND($A265&lt;&gt;"",OR($A265="123456789",$A265="987654321",$A265="012345678",$A265=REPT(LEFT($A265&amp;"",1),9))),"Employee SSN appears to be a placeholder; ","")&amp;IF(AND($B265&lt;&gt;"",NOT(IFERROR(AND(LEN($B265&amp;"")=9,ISNUMBER(--($B265&amp;""))),FALSE))),"Dependent SSN must contain exactly 9 digits; ","")&amp;IF(AND($B265&lt;&gt;"",OR($B265="123456789",$B265="987654321",$B265="012345678",$B265=REPT(LEFT($B265&amp;"",1),9))),"Dependent SSN appears to be a placeholder; ","")&amp;IF(AND($A265&lt;&gt;"",$B265&lt;&gt;"",$A265&amp;""=$B265&amp;""),"Dependent SSN cannot match Employee SSN; ","")&amp;IF(AND($W265&lt;&gt;"",OR(COUNTIFS($W$2:$W$501,$W265,$C$2:$C$501,"&lt;&gt;"&amp;$C265)&gt;0,COUNTIFS($W$2:$W$501,$W265,$D$2:$D$501,"&lt;&gt;"&amp;$D265)&gt;0,COUNTIFS($W$2:$W$501,$W265,$L$2:$L$501,"&lt;&gt;"&amp;$L265)&gt;0)),"The same SSN is associated with a different name or birthdate; ",""))</f>
        <v/>
      </c>
      <c r="AA265">
        <f>IF(COUNTA($A265:$U265)=0,"",IF(AND($A265&lt;&gt;"",$S265&lt;&gt;"",COUNTIFS($A$2:$A$501,$A265,$S$2:$S$501,$S265,$B$2:$B$501,"",$O$2:$O$501,"")=0),"Add an employee row for this household and plan; ","")&amp;IF(AND($X265="Dependent",COUNTIFS($A$2:$A265,$A265,$S$2:$S265,$S265,$B$2:$B265,"",$O$2:$O265,"")=0),"Place the employee row before dependent rows for this plan; ","")&amp;IF(AND($X265="Dependent",COUNTIFS($A$2:$A$501,$A265,$S$2:$S$501,$S265,$B$2:$B$501,"",$O$2:$O$501,"")&gt;0,IFERROR(OR($P265&lt;&gt;LOOKUP(2,1/(($A$2:$A$501=$A265)*($S$2:$S$501=$S265)*($B$2:$B$501="")*($O$2:$O$501="")),$P$2:$P$501),$Q265&lt;&gt;LOOKUP(2,1/(($A$2:$A$501=$A265)*($S$2:$S$501=$S265)*($B$2:$B$501="")*($O$2:$O$501="")),$Q$2:$Q$501),$R265&lt;&gt;LOOKUP(2,1/(($A$2:$A$501=$A265)*($S$2:$S$501=$S265)*($B$2:$B$501="")*($O$2:$O$501="")),$R$2:$R$501),$T265&lt;&gt;LOOKUP(2,1/(($A$2:$A$501=$A265)*($S$2:$S$501=$S265)*($B$2:$B$501="")*($O$2:$O$501="")),$T$2:$T$501),$U265&lt;&gt;LOOKUP(2,1/(($A$2:$A$501=$A265)*($S$2:$S$501=$S265)*($B$2:$B$501="")*($O$2:$O$501="")),$U$2:$U$501)),FALSE)),"Dependent row does not match the employee row for eligibility, status, coverage level, or funding; ",""))</f>
        <v/>
      </c>
      <c r="AB265">
        <f>IF(COUNTA($A265:$U265)=0,"",IF($L265="","Birthdate is required; ","")&amp;IF(AND($L265&lt;&gt;"",OR(NOT(ISNUMBER($L265)),$L265&lt;=DATE(1900,1,1),$L265&gt;TODAY())),"Birthdate must be an exact valid past date; ","")&amp;IF($P265="","Eligibility Date is required; ","")&amp;IF(AND($P265&lt;&gt;"",OR(NOT(ISNUMBER($P265)),$P265&lt;=DATE(1900,1,1))),"Eligibility Date must be a valid date; ","")&amp;IF(AND($R265="Terminated",$Q265=""),"Termination Date is required when Status is Terminated; ","")&amp;IF(AND($Q265&lt;&gt;"",OR(NOT(ISNUMBER($Q265)),$Q265&lt;=DATE(1900,1,1))),"Termination Date must be a valid date; ","")&amp;IF(AND(ISNUMBER($P265),ISNUMBER($Q265),$Q265&lt;$P265),"Termination Date cannot be before Eligibility Date; ","")&amp;IF($R265="","Status is required; ","")&amp;IF(AND($R265&lt;&gt;"",$R265&lt;&gt;"Active",$R265&lt;&gt;"Terminated"),"Status must be Active or Terminated; ","")&amp;IF(AND('START HERE'!$C$8="Terminations Only",$R265&lt;&gt;"Terminated"),"Terminations Only files must contain terminated records; ",""))</f>
        <v/>
      </c>
      <c r="AC265">
        <f>IF(COUNTA($A265:$U265)=0,"",IF($S265="","Plan Name is required; ","")&amp;IF($T265="","Benefit Coverage Level is required; ","")&amp;IF(AND($U265&lt;&gt;"",OR(NOT(ISNUMBER($U265)),$U265&lt;0)),"Plan Funding Amount must be a nonnegative number; ","")&amp;IF(AND($A265&lt;&gt;"",$S265&lt;&gt;"",COUNTIFS($A$2:$A$501,$A265,$B$2:$B$501,$B265,$S$2:$S$501,$S265)&gt;1),"Duplicate participant and plan row; ",""))</f>
        <v/>
      </c>
      <c r="AD265">
        <f>IF(COUNTA($A265:$U265)=0,"",IF(AND($X265="Employee",$M265="",$N265=""),"No employee phone or email provided; ","")&amp;IF(AND($R265="Active",$Q265&lt;&gt;""),"Active record includes a Termination Date; confirm this is intentional; ","")&amp;IF(AND($B265&lt;&gt;"",$B265&amp;""&lt;&gt;$A265&amp;"",COUNTIF($A$2:$A$501,$B265)&gt;0),"Dependent SSN also appears as an Employee SSN elsewhere; confirm dual-employee coverage is intentional; ","")&amp;IF(AND($B265&lt;&gt;"",COUNTIF($B$2:$B$501,$B265)&gt;COUNTIFS($A$2:$A$501,$A265,$B$2:$B$501,$B265)),"Dependent SSN appears under more than one employee; confirm duplicate family coverage is intentional; ","")&amp;IF(AND(ROW()&gt;2,$A265&lt;&gt;"",$A265&lt;&gt;$A264,COUNTIF($A$2:$A264,$A265)&gt;0),"This household appears in more than one section of the census; keep the family together; ","")&amp;IF(OR(AND($C265&lt;&gt;"",LEN($C265&amp;"")&lt;&gt;LEN(TRIM($C265&amp;""))),AND($D265&lt;&gt;"",LEN($D265&amp;"")&lt;&gt;LEN(TRIM($D265&amp;""))),AND($E265&lt;&gt;"",LEN($E265&amp;"")&lt;&gt;LEN(TRIM($E265&amp;""))),AND($F265&lt;&gt;"",LEN($F265&amp;"")&lt;&gt;LEN(TRIM($F265&amp;""))),AND($G265&lt;&gt;"",LEN($G265&amp;"")&lt;&gt;LEN(TRIM($G265&amp;""))),AND($H265&lt;&gt;"",LEN($H265&amp;"")&lt;&gt;LEN(TRIM($H265&amp;""))),AND($I265&lt;&gt;"",LEN($I265&amp;"")&lt;&gt;LEN(TRIM($I265&amp;""))),AND($J265&lt;&gt;"",LEN($J265&amp;"")&lt;&gt;LEN(TRIM($J265&amp;""))),AND($K265&lt;&gt;"",LEN($K265&amp;"")&lt;&gt;LEN(TRIM($K265&amp;""))),AND($M265&lt;&gt;"",LEN($M265&amp;"")&lt;&gt;LEN(TRIM($M265&amp;""))),AND($N265&lt;&gt;"",LEN($N265&amp;"")&lt;&gt;LEN(TRIM($N265&amp;""))),AND($O265&lt;&gt;"",LEN($O265&amp;"")&lt;&gt;LEN(TRIM($O265&amp;""))),AND($R265&lt;&gt;"",LEN($R265&amp;"")&lt;&gt;LEN(TRIM($R265&amp;""))),AND($S265&lt;&gt;"",LEN($S265&amp;"")&lt;&gt;LEN(TRIM($S265&amp;""))),AND($T265&lt;&gt;"",LEN($T265&amp;"")&lt;&gt;LEN(TRIM($T265&amp;"")))),"Remove leading or trailing spaces from text fields; ","")&amp;IF(OR(AND(LEN($C265)&gt;1,OR(EXACT($C265,UPPER($C265)),EXACT($C265,LOWER($C265)))),AND(LEN($D265)&gt;1,OR(EXACT($D265,UPPER($D265)),EXACT($D265,LOWER($D265)))),AND(LEN($H265)&gt;1,OR(EXACT($H265,UPPER($H265)),EXACT($H265,LOWER($H265))))),"Review capitalization in First Name, Last Name, or City; ","")&amp;IF(AND($N265&lt;&gt;"",NOT(EXACT($N265,LOWER($N265)))),"Email will be standardized to lowercase in the clean output; ","")&amp;IF(AND(OR('START HERE'!$C$8="Initial Enrollment",'START HERE'!$C$8="Open Enrollment"),$R265="Terminated"),"A terminated row is included in an initial or open enrollment file; confirm this is intentional; ",""))</f>
        <v/>
      </c>
      <c r="AE265">
        <f>IF(COUNTA($A265:$U265)=0,"",IF(OR($A265="",AND($A265&lt;&gt;"",NOT(IFERROR(AND(LEN($A265&amp;"")=9,ISNUMBER(--($A265&amp;""))),FALSE))),AND($A265&lt;&gt;"",OR($A265="123456789",$A265="987654321",$A265="012345678",$A265=REPT(LEFT($A265&amp;"",1),9)))),"Employee SSN, ","")&amp;IF(OR(AND($O265&lt;&gt;"",$B265=""),AND($B265&lt;&gt;"",OR(NOT(IFERROR(AND(LEN($B265&amp;"")=9,ISNUMBER(--($B265&amp;""))),FALSE)),$B265=$A265,$B265="123456789",$B265="987654321",$B265="012345678",$B265=REPT(LEFT($B265&amp;"",1),9)))),"Dependent SSN, ","")&amp;IF(OR($C265="",LEN($C265)&gt;19,AND($C265&lt;&gt;"",SUMPRODUCT(--(ROW($1:$19)&lt;=LEN($C265&amp;"")),--ISERROR(FIND(MID($C265&amp;"",ROW($1:$19),1),"ABCDEFGHIJKLMNOPQRSTUVWXYZabcdefghijklmnopqrstuvwxyz .,")))&gt;0)),"First Name, ","")&amp;IF(OR($D265="",LEN($D265)&gt;26,AND($D265&lt;&gt;"",SUMPRODUCT(--(ROW($1:$26)&lt;=LEN($D265&amp;"")),--ISERROR(FIND(MID($D265&amp;"",ROW($1:$26),1),"ABCDEFGHIJKLMNOPQRSTUVWXYZabcdefghijklmnopqrstuvwxyz .,")))&gt;0)),"Last Name, ","")&amp;IF(OR(LEN($E265)&gt;1,AND($E265&lt;&gt;"",SUMPRODUCT(--(ROW($1:$1)&lt;=LEN($E265&amp;"")),--ISERROR(FIND(MID($E265&amp;"",ROW($1:$1),1),"ABCDEFGHIJKLMNOPQRSTUVWXYZabcdefghijklmnopqrstuvwxyz .,")))&gt;0)),"Middle Initial, ","")&amp;IF(OR($F265="",LEN($F265)&gt;75),"Address, ","")&amp;IF(OR($H265="",LEN($H265)&gt;30),"City, ","")&amp;IF(AND($K265="US",OR($I265="",LEN($I265)&lt;&gt;2)),"State, ","")&amp;IF($J265="","ZIP, ","")&amp;IF(OR($K265="",AND($K265&lt;&gt;"US",$K265&lt;&gt;"CA")),"Country, ","")&amp;IF(OR($L265="",AND($L265&lt;&gt;"",OR(NOT(ISNUMBER($L265)),$L265&lt;=DATE(1900,1,1),$L265&gt;TODAY()))),"Birthdate, ","")&amp;IF(AND($N265&lt;&gt;"",NOT(IFERROR(AND(ISNUMBER(SEARCH("@",$N265)),ISNUMBER(SEARCH(".",$N265,SEARCH("@",$N265)+2))),FALSE))),"Email, ","")&amp;IF(OR(AND($B265&lt;&gt;"",$O265=""),AND($O265&lt;&gt;"",$O265&lt;&gt;"Spouse or Common Law Spouse",$O265&lt;&gt;"Domestic Partner",$O265&lt;&gt;"Child",$O265&lt;&gt;"Other",$O265&lt;&gt;"Estate",$O265&lt;&gt;"Unknown")),"Dependent Relationship, ","")&amp;IF($AA265&lt;&gt;"","Household, ","")&amp;IF(OR($P265="",AND($P265&lt;&gt;"",OR(NOT(ISNUMBER($P265)),$P265&lt;=DATE(1900,1,1)))),"Eligibility Date, ","")&amp;IF(OR(AND($R265="Terminated",$Q265=""),AND($Q265&lt;&gt;"",OR(NOT(ISNUMBER($Q265)),$Q265&lt;=DATE(1900,1,1))),AND(ISNUMBER($P265),ISNUMBER($Q265),$Q265&lt;$P265)),"Termination Date, ","")&amp;IF(OR($R265="",AND($R265&lt;&gt;"Active",$R265&lt;&gt;"Terminated"),AND('START HERE'!$C$8="Terminations Only",$R265&lt;&gt;"Terminated")),"Status, ","")&amp;IF($S265="","Plan Name, ","")&amp;IF($T265="","Coverage Level, ","")&amp;IF(AND($U265&lt;&gt;"",OR(NOT(ISNUMBER($U265)),$U265&lt;0)),"Funding, ","")&amp;IF(AND($A265&lt;&gt;"",$S265&lt;&gt;"",COUNTIFS($A$2:$A$501,$A265,$B$2:$B$501,$B265,$S$2:$S$501,$S265)&gt;1),"Duplicate Row, ",""))</f>
        <v/>
      </c>
      <c r="AF265">
        <f>IF(COUNTA($A265:$U265)=0,"",$Y265&amp;$Z265&amp;$AA265&amp;$AB265&amp;$AC265)</f>
        <v/>
      </c>
      <c r="AG265">
        <f>IF($N265="","",LOWER(TRIM($N265)))</f>
        <v/>
      </c>
      <c r="AH265">
        <f>IF($A265="","",COUNTIFS($A$2:$A$501,$A265,$AI$2:$AI$501,1))</f>
        <v/>
      </c>
      <c r="AI265">
        <f>IF(COUNTA($A265:$U265)=0,"",--($AF265&lt;&gt;""))</f>
        <v/>
      </c>
      <c r="AJ265">
        <f>IF(COUNTA($A265:$U265)=0,"",--($AD265&lt;&gt;""))</f>
        <v/>
      </c>
    </row>
    <row r="266" ht="20" customHeight="1">
      <c r="A266" s="80" t="n"/>
      <c r="B266" s="80" t="n"/>
      <c r="C266" s="81" t="n"/>
      <c r="D266" s="81" t="n"/>
      <c r="E266" s="80" t="n"/>
      <c r="F266" s="81" t="n"/>
      <c r="G266" s="81" t="n"/>
      <c r="H266" s="81" t="n"/>
      <c r="I266" s="80" t="n"/>
      <c r="J266" s="80" t="n"/>
      <c r="K266" s="80" t="n"/>
      <c r="L266" s="82" t="n"/>
      <c r="M266" s="80" t="n"/>
      <c r="N266" s="80" t="n"/>
      <c r="O266" s="80" t="n"/>
      <c r="P266" s="82" t="n"/>
      <c r="Q266" s="82" t="n"/>
      <c r="R266" s="80" t="n"/>
      <c r="S266" s="80" t="n"/>
      <c r="T266" s="80" t="n"/>
      <c r="U266" s="83" t="n"/>
      <c r="V266">
        <f>IF($A266="","",IF($A266=$A265,$V265,IF($V265="",0,1-$V265)))</f>
        <v/>
      </c>
      <c r="W266">
        <f>IF($B266&lt;&gt;"",$B266,$A266)</f>
        <v/>
      </c>
      <c r="X266">
        <f>IF(COUNTA($A266:$U266)=0,"",IF(OR($B266&lt;&gt;"",$O266&lt;&gt;""),"Dependent","Employee"))</f>
        <v/>
      </c>
      <c r="Y266">
        <f>IF(COUNTA($A266:$U266)=0,"",IF($A266="","Employee SSN is required; ","")&amp;IF($C266="","First Name is required; ","")&amp;IF(LEN($C266&amp;"")&gt;19,"First Name exceeds 19 characters; ","")&amp;IF(AND($C266&lt;&gt;"",SUMPRODUCT(--(ROW($1:$19)&lt;=LEN($C266&amp;"")),--ISERROR(FIND(MID($C266&amp;"",ROW($1:$19),1),"ABCDEFGHIJKLMNOPQRSTUVWXYZabcdefghijklmnopqrstuvwxyz .,")))&gt;0),"First Name contains unsupported or encoded characters; use plain A-Z letters only; ","")&amp;IF($D266="","Last Name is required; ","")&amp;IF(LEN($D266&amp;"")&gt;26,"Last Name exceeds 26 characters; ","")&amp;IF(AND($D266&lt;&gt;"",SUMPRODUCT(--(ROW($1:$26)&lt;=LEN($D266&amp;"")),--ISERROR(FIND(MID($D266&amp;"",ROW($1:$26),1),"ABCDEFGHIJKLMNOPQRSTUVWXYZabcdefghijklmnopqrstuvwxyz .,")))&gt;0),"Last Name contains unsupported or encoded characters; use plain A-Z letters only; ","")&amp;IF(LEN($E266&amp;"")&gt;1,"Middle Initial may contain only one character; ","")&amp;IF(AND($E266&lt;&gt;"",SUMPRODUCT(--(ROW($1:$1)&lt;=LEN($E266&amp;"")),--ISERROR(FIND(MID($E266&amp;"",ROW($1:$1),1),"ABCDEFGHIJKLMNOPQRSTUVWXYZabcdefghijklmnopqrstuvwxyz .,")))&gt;0),"Middle Initial must be a plain A-Z letter; ","")&amp;IF($F266="","Address is required; ","")&amp;IF(LEN($F266&amp;"")&gt;75,"Address exceeds 75 characters; ","")&amp;IF(LEN($G266&amp;"")&gt;75,"Address 2 exceeds 75 characters; ","")&amp;IF($H266="","City is required; ","")&amp;IF(LEN($H266&amp;"")&gt;30,"City exceeds 30 characters; ","")&amp;IF($K266="","Country is required; ","")&amp;IF(AND($K266&lt;&gt;"",$K266&lt;&gt;"US",$K266&lt;&gt;"CA"),"Country must be US or CA; ","")&amp;IF(AND($K266="US",OR($I266="",LEN($I266&amp;"")&lt;&gt;2)),"Use a 2-letter state code; ","")&amp;IF($J266="","ZIP or postal code is required; ","")&amp;IF(AND($K266="US",$J266&lt;&gt;"",NOT(IFERROR(OR(AND(LEN($J266&amp;"")=5,ISNUMBER(--($J266&amp;""))),AND(LEN($J266&amp;"")=9,ISNUMBER(--($J266&amp;""))),AND(LEN($J266&amp;"")=10,MID($J266&amp;"",6,1)="-",ISNUMBER(--SUBSTITUTE($J266&amp;"","-","")))),FALSE))),"US ZIP must be 5 or 9 digits, with an optional ZIP+4 hyphen; ","")&amp;IF(AND($N266&lt;&gt;"",NOT(IFERROR(AND(ISNUMBER(SEARCH("@",$N266)),ISNUMBER(SEARCH(".",$N266,SEARCH("@",$N266)+2))),FALSE))),"Email format appears invalid; ","")&amp;IF(AND($O266&lt;&gt;"",$B266=""),"Dependent SSN is required for every dependent; ","")&amp;IF(AND($B266&lt;&gt;"",$O266=""),"Dependent Relationship is required when Dependent SSN is entered; ","")&amp;IF(AND($O266&lt;&gt;"",$O266&lt;&gt;"Spouse or Common Law Spouse",$O266&lt;&gt;"Domestic Partner",$O266&lt;&gt;"Child",$O266&lt;&gt;"Other",$O266&lt;&gt;"Estate",$O266&lt;&gt;"Unknown"),"Dependent Relationship must use one of the approved options; ",""))</f>
        <v/>
      </c>
      <c r="Z266">
        <f>IF(COUNTA($A266:$U266)=0,"",IF(AND($A266&lt;&gt;"",NOT(IFERROR(AND(LEN($A266&amp;"")=9,ISNUMBER(--($A266&amp;""))),FALSE))),"Employee SSN must contain exactly 9 digits; ","")&amp;IF(AND($A266&lt;&gt;"",OR($A266="123456789",$A266="987654321",$A266="012345678",$A266=REPT(LEFT($A266&amp;"",1),9))),"Employee SSN appears to be a placeholder; ","")&amp;IF(AND($B266&lt;&gt;"",NOT(IFERROR(AND(LEN($B266&amp;"")=9,ISNUMBER(--($B266&amp;""))),FALSE))),"Dependent SSN must contain exactly 9 digits; ","")&amp;IF(AND($B266&lt;&gt;"",OR($B266="123456789",$B266="987654321",$B266="012345678",$B266=REPT(LEFT($B266&amp;"",1),9))),"Dependent SSN appears to be a placeholder; ","")&amp;IF(AND($A266&lt;&gt;"",$B266&lt;&gt;"",$A266&amp;""=$B266&amp;""),"Dependent SSN cannot match Employee SSN; ","")&amp;IF(AND($W266&lt;&gt;"",OR(COUNTIFS($W$2:$W$501,$W266,$C$2:$C$501,"&lt;&gt;"&amp;$C266)&gt;0,COUNTIFS($W$2:$W$501,$W266,$D$2:$D$501,"&lt;&gt;"&amp;$D266)&gt;0,COUNTIFS($W$2:$W$501,$W266,$L$2:$L$501,"&lt;&gt;"&amp;$L266)&gt;0)),"The same SSN is associated with a different name or birthdate; ",""))</f>
        <v/>
      </c>
      <c r="AA266">
        <f>IF(COUNTA($A266:$U266)=0,"",IF(AND($A266&lt;&gt;"",$S266&lt;&gt;"",COUNTIFS($A$2:$A$501,$A266,$S$2:$S$501,$S266,$B$2:$B$501,"",$O$2:$O$501,"")=0),"Add an employee row for this household and plan; ","")&amp;IF(AND($X266="Dependent",COUNTIFS($A$2:$A266,$A266,$S$2:$S266,$S266,$B$2:$B266,"",$O$2:$O266,"")=0),"Place the employee row before dependent rows for this plan; ","")&amp;IF(AND($X266="Dependent",COUNTIFS($A$2:$A$501,$A266,$S$2:$S$501,$S266,$B$2:$B$501,"",$O$2:$O$501,"")&gt;0,IFERROR(OR($P266&lt;&gt;LOOKUP(2,1/(($A$2:$A$501=$A266)*($S$2:$S$501=$S266)*($B$2:$B$501="")*($O$2:$O$501="")),$P$2:$P$501),$Q266&lt;&gt;LOOKUP(2,1/(($A$2:$A$501=$A266)*($S$2:$S$501=$S266)*($B$2:$B$501="")*($O$2:$O$501="")),$Q$2:$Q$501),$R266&lt;&gt;LOOKUP(2,1/(($A$2:$A$501=$A266)*($S$2:$S$501=$S266)*($B$2:$B$501="")*($O$2:$O$501="")),$R$2:$R$501),$T266&lt;&gt;LOOKUP(2,1/(($A$2:$A$501=$A266)*($S$2:$S$501=$S266)*($B$2:$B$501="")*($O$2:$O$501="")),$T$2:$T$501),$U266&lt;&gt;LOOKUP(2,1/(($A$2:$A$501=$A266)*($S$2:$S$501=$S266)*($B$2:$B$501="")*($O$2:$O$501="")),$U$2:$U$501)),FALSE)),"Dependent row does not match the employee row for eligibility, status, coverage level, or funding; ",""))</f>
        <v/>
      </c>
      <c r="AB266">
        <f>IF(COUNTA($A266:$U266)=0,"",IF($L266="","Birthdate is required; ","")&amp;IF(AND($L266&lt;&gt;"",OR(NOT(ISNUMBER($L266)),$L266&lt;=DATE(1900,1,1),$L266&gt;TODAY())),"Birthdate must be an exact valid past date; ","")&amp;IF($P266="","Eligibility Date is required; ","")&amp;IF(AND($P266&lt;&gt;"",OR(NOT(ISNUMBER($P266)),$P266&lt;=DATE(1900,1,1))),"Eligibility Date must be a valid date; ","")&amp;IF(AND($R266="Terminated",$Q266=""),"Termination Date is required when Status is Terminated; ","")&amp;IF(AND($Q266&lt;&gt;"",OR(NOT(ISNUMBER($Q266)),$Q266&lt;=DATE(1900,1,1))),"Termination Date must be a valid date; ","")&amp;IF(AND(ISNUMBER($P266),ISNUMBER($Q266),$Q266&lt;$P266),"Termination Date cannot be before Eligibility Date; ","")&amp;IF($R266="","Status is required; ","")&amp;IF(AND($R266&lt;&gt;"",$R266&lt;&gt;"Active",$R266&lt;&gt;"Terminated"),"Status must be Active or Terminated; ","")&amp;IF(AND('START HERE'!$C$8="Terminations Only",$R266&lt;&gt;"Terminated"),"Terminations Only files must contain terminated records; ",""))</f>
        <v/>
      </c>
      <c r="AC266">
        <f>IF(COUNTA($A266:$U266)=0,"",IF($S266="","Plan Name is required; ","")&amp;IF($T266="","Benefit Coverage Level is required; ","")&amp;IF(AND($U266&lt;&gt;"",OR(NOT(ISNUMBER($U266)),$U266&lt;0)),"Plan Funding Amount must be a nonnegative number; ","")&amp;IF(AND($A266&lt;&gt;"",$S266&lt;&gt;"",COUNTIFS($A$2:$A$501,$A266,$B$2:$B$501,$B266,$S$2:$S$501,$S266)&gt;1),"Duplicate participant and plan row; ",""))</f>
        <v/>
      </c>
      <c r="AD266">
        <f>IF(COUNTA($A266:$U266)=0,"",IF(AND($X266="Employee",$M266="",$N266=""),"No employee phone or email provided; ","")&amp;IF(AND($R266="Active",$Q266&lt;&gt;""),"Active record includes a Termination Date; confirm this is intentional; ","")&amp;IF(AND($B266&lt;&gt;"",$B266&amp;""&lt;&gt;$A266&amp;"",COUNTIF($A$2:$A$501,$B266)&gt;0),"Dependent SSN also appears as an Employee SSN elsewhere; confirm dual-employee coverage is intentional; ","")&amp;IF(AND($B266&lt;&gt;"",COUNTIF($B$2:$B$501,$B266)&gt;COUNTIFS($A$2:$A$501,$A266,$B$2:$B$501,$B266)),"Dependent SSN appears under more than one employee; confirm duplicate family coverage is intentional; ","")&amp;IF(AND(ROW()&gt;2,$A266&lt;&gt;"",$A266&lt;&gt;$A265,COUNTIF($A$2:$A265,$A266)&gt;0),"This household appears in more than one section of the census; keep the family together; ","")&amp;IF(OR(AND($C266&lt;&gt;"",LEN($C266&amp;"")&lt;&gt;LEN(TRIM($C266&amp;""))),AND($D266&lt;&gt;"",LEN($D266&amp;"")&lt;&gt;LEN(TRIM($D266&amp;""))),AND($E266&lt;&gt;"",LEN($E266&amp;"")&lt;&gt;LEN(TRIM($E266&amp;""))),AND($F266&lt;&gt;"",LEN($F266&amp;"")&lt;&gt;LEN(TRIM($F266&amp;""))),AND($G266&lt;&gt;"",LEN($G266&amp;"")&lt;&gt;LEN(TRIM($G266&amp;""))),AND($H266&lt;&gt;"",LEN($H266&amp;"")&lt;&gt;LEN(TRIM($H266&amp;""))),AND($I266&lt;&gt;"",LEN($I266&amp;"")&lt;&gt;LEN(TRIM($I266&amp;""))),AND($J266&lt;&gt;"",LEN($J266&amp;"")&lt;&gt;LEN(TRIM($J266&amp;""))),AND($K266&lt;&gt;"",LEN($K266&amp;"")&lt;&gt;LEN(TRIM($K266&amp;""))),AND($M266&lt;&gt;"",LEN($M266&amp;"")&lt;&gt;LEN(TRIM($M266&amp;""))),AND($N266&lt;&gt;"",LEN($N266&amp;"")&lt;&gt;LEN(TRIM($N266&amp;""))),AND($O266&lt;&gt;"",LEN($O266&amp;"")&lt;&gt;LEN(TRIM($O266&amp;""))),AND($R266&lt;&gt;"",LEN($R266&amp;"")&lt;&gt;LEN(TRIM($R266&amp;""))),AND($S266&lt;&gt;"",LEN($S266&amp;"")&lt;&gt;LEN(TRIM($S266&amp;""))),AND($T266&lt;&gt;"",LEN($T266&amp;"")&lt;&gt;LEN(TRIM($T266&amp;"")))),"Remove leading or trailing spaces from text fields; ","")&amp;IF(OR(AND(LEN($C266)&gt;1,OR(EXACT($C266,UPPER($C266)),EXACT($C266,LOWER($C266)))),AND(LEN($D266)&gt;1,OR(EXACT($D266,UPPER($D266)),EXACT($D266,LOWER($D266)))),AND(LEN($H266)&gt;1,OR(EXACT($H266,UPPER($H266)),EXACT($H266,LOWER($H266))))),"Review capitalization in First Name, Last Name, or City; ","")&amp;IF(AND($N266&lt;&gt;"",NOT(EXACT($N266,LOWER($N266)))),"Email will be standardized to lowercase in the clean output; ","")&amp;IF(AND(OR('START HERE'!$C$8="Initial Enrollment",'START HERE'!$C$8="Open Enrollment"),$R266="Terminated"),"A terminated row is included in an initial or open enrollment file; confirm this is intentional; ",""))</f>
        <v/>
      </c>
      <c r="AE266">
        <f>IF(COUNTA($A266:$U266)=0,"",IF(OR($A266="",AND($A266&lt;&gt;"",NOT(IFERROR(AND(LEN($A266&amp;"")=9,ISNUMBER(--($A266&amp;""))),FALSE))),AND($A266&lt;&gt;"",OR($A266="123456789",$A266="987654321",$A266="012345678",$A266=REPT(LEFT($A266&amp;"",1),9)))),"Employee SSN, ","")&amp;IF(OR(AND($O266&lt;&gt;"",$B266=""),AND($B266&lt;&gt;"",OR(NOT(IFERROR(AND(LEN($B266&amp;"")=9,ISNUMBER(--($B266&amp;""))),FALSE)),$B266=$A266,$B266="123456789",$B266="987654321",$B266="012345678",$B266=REPT(LEFT($B266&amp;"",1),9)))),"Dependent SSN, ","")&amp;IF(OR($C266="",LEN($C266)&gt;19,AND($C266&lt;&gt;"",SUMPRODUCT(--(ROW($1:$19)&lt;=LEN($C266&amp;"")),--ISERROR(FIND(MID($C266&amp;"",ROW($1:$19),1),"ABCDEFGHIJKLMNOPQRSTUVWXYZabcdefghijklmnopqrstuvwxyz .,")))&gt;0)),"First Name, ","")&amp;IF(OR($D266="",LEN($D266)&gt;26,AND($D266&lt;&gt;"",SUMPRODUCT(--(ROW($1:$26)&lt;=LEN($D266&amp;"")),--ISERROR(FIND(MID($D266&amp;"",ROW($1:$26),1),"ABCDEFGHIJKLMNOPQRSTUVWXYZabcdefghijklmnopqrstuvwxyz .,")))&gt;0)),"Last Name, ","")&amp;IF(OR(LEN($E266)&gt;1,AND($E266&lt;&gt;"",SUMPRODUCT(--(ROW($1:$1)&lt;=LEN($E266&amp;"")),--ISERROR(FIND(MID($E266&amp;"",ROW($1:$1),1),"ABCDEFGHIJKLMNOPQRSTUVWXYZabcdefghijklmnopqrstuvwxyz .,")))&gt;0)),"Middle Initial, ","")&amp;IF(OR($F266="",LEN($F266)&gt;75),"Address, ","")&amp;IF(OR($H266="",LEN($H266)&gt;30),"City, ","")&amp;IF(AND($K266="US",OR($I266="",LEN($I266)&lt;&gt;2)),"State, ","")&amp;IF($J266="","ZIP, ","")&amp;IF(OR($K266="",AND($K266&lt;&gt;"US",$K266&lt;&gt;"CA")),"Country, ","")&amp;IF(OR($L266="",AND($L266&lt;&gt;"",OR(NOT(ISNUMBER($L266)),$L266&lt;=DATE(1900,1,1),$L266&gt;TODAY()))),"Birthdate, ","")&amp;IF(AND($N266&lt;&gt;"",NOT(IFERROR(AND(ISNUMBER(SEARCH("@",$N266)),ISNUMBER(SEARCH(".",$N266,SEARCH("@",$N266)+2))),FALSE))),"Email, ","")&amp;IF(OR(AND($B266&lt;&gt;"",$O266=""),AND($O266&lt;&gt;"",$O266&lt;&gt;"Spouse or Common Law Spouse",$O266&lt;&gt;"Domestic Partner",$O266&lt;&gt;"Child",$O266&lt;&gt;"Other",$O266&lt;&gt;"Estate",$O266&lt;&gt;"Unknown")),"Dependent Relationship, ","")&amp;IF($AA266&lt;&gt;"","Household, ","")&amp;IF(OR($P266="",AND($P266&lt;&gt;"",OR(NOT(ISNUMBER($P266)),$P266&lt;=DATE(1900,1,1)))),"Eligibility Date, ","")&amp;IF(OR(AND($R266="Terminated",$Q266=""),AND($Q266&lt;&gt;"",OR(NOT(ISNUMBER($Q266)),$Q266&lt;=DATE(1900,1,1))),AND(ISNUMBER($P266),ISNUMBER($Q266),$Q266&lt;$P266)),"Termination Date, ","")&amp;IF(OR($R266="",AND($R266&lt;&gt;"Active",$R266&lt;&gt;"Terminated"),AND('START HERE'!$C$8="Terminations Only",$R266&lt;&gt;"Terminated")),"Status, ","")&amp;IF($S266="","Plan Name, ","")&amp;IF($T266="","Coverage Level, ","")&amp;IF(AND($U266&lt;&gt;"",OR(NOT(ISNUMBER($U266)),$U266&lt;0)),"Funding, ","")&amp;IF(AND($A266&lt;&gt;"",$S266&lt;&gt;"",COUNTIFS($A$2:$A$501,$A266,$B$2:$B$501,$B266,$S$2:$S$501,$S266)&gt;1),"Duplicate Row, ",""))</f>
        <v/>
      </c>
      <c r="AF266">
        <f>IF(COUNTA($A266:$U266)=0,"",$Y266&amp;$Z266&amp;$AA266&amp;$AB266&amp;$AC266)</f>
        <v/>
      </c>
      <c r="AG266">
        <f>IF($N266="","",LOWER(TRIM($N266)))</f>
        <v/>
      </c>
      <c r="AH266">
        <f>IF($A266="","",COUNTIFS($A$2:$A$501,$A266,$AI$2:$AI$501,1))</f>
        <v/>
      </c>
      <c r="AI266">
        <f>IF(COUNTA($A266:$U266)=0,"",--($AF266&lt;&gt;""))</f>
        <v/>
      </c>
      <c r="AJ266">
        <f>IF(COUNTA($A266:$U266)=0,"",--($AD266&lt;&gt;""))</f>
        <v/>
      </c>
    </row>
    <row r="267" ht="20" customHeight="1">
      <c r="A267" s="80" t="n"/>
      <c r="B267" s="80" t="n"/>
      <c r="C267" s="81" t="n"/>
      <c r="D267" s="81" t="n"/>
      <c r="E267" s="80" t="n"/>
      <c r="F267" s="81" t="n"/>
      <c r="G267" s="81" t="n"/>
      <c r="H267" s="81" t="n"/>
      <c r="I267" s="80" t="n"/>
      <c r="J267" s="80" t="n"/>
      <c r="K267" s="80" t="n"/>
      <c r="L267" s="82" t="n"/>
      <c r="M267" s="80" t="n"/>
      <c r="N267" s="80" t="n"/>
      <c r="O267" s="80" t="n"/>
      <c r="P267" s="82" t="n"/>
      <c r="Q267" s="82" t="n"/>
      <c r="R267" s="80" t="n"/>
      <c r="S267" s="80" t="n"/>
      <c r="T267" s="80" t="n"/>
      <c r="U267" s="83" t="n"/>
      <c r="V267">
        <f>IF($A267="","",IF($A267=$A266,$V266,IF($V266="",0,1-$V266)))</f>
        <v/>
      </c>
      <c r="W267">
        <f>IF($B267&lt;&gt;"",$B267,$A267)</f>
        <v/>
      </c>
      <c r="X267">
        <f>IF(COUNTA($A267:$U267)=0,"",IF(OR($B267&lt;&gt;"",$O267&lt;&gt;""),"Dependent","Employee"))</f>
        <v/>
      </c>
      <c r="Y267">
        <f>IF(COUNTA($A267:$U267)=0,"",IF($A267="","Employee SSN is required; ","")&amp;IF($C267="","First Name is required; ","")&amp;IF(LEN($C267&amp;"")&gt;19,"First Name exceeds 19 characters; ","")&amp;IF(AND($C267&lt;&gt;"",SUMPRODUCT(--(ROW($1:$19)&lt;=LEN($C267&amp;"")),--ISERROR(FIND(MID($C267&amp;"",ROW($1:$19),1),"ABCDEFGHIJKLMNOPQRSTUVWXYZabcdefghijklmnopqrstuvwxyz .,")))&gt;0),"First Name contains unsupported or encoded characters; use plain A-Z letters only; ","")&amp;IF($D267="","Last Name is required; ","")&amp;IF(LEN($D267&amp;"")&gt;26,"Last Name exceeds 26 characters; ","")&amp;IF(AND($D267&lt;&gt;"",SUMPRODUCT(--(ROW($1:$26)&lt;=LEN($D267&amp;"")),--ISERROR(FIND(MID($D267&amp;"",ROW($1:$26),1),"ABCDEFGHIJKLMNOPQRSTUVWXYZabcdefghijklmnopqrstuvwxyz .,")))&gt;0),"Last Name contains unsupported or encoded characters; use plain A-Z letters only; ","")&amp;IF(LEN($E267&amp;"")&gt;1,"Middle Initial may contain only one character; ","")&amp;IF(AND($E267&lt;&gt;"",SUMPRODUCT(--(ROW($1:$1)&lt;=LEN($E267&amp;"")),--ISERROR(FIND(MID($E267&amp;"",ROW($1:$1),1),"ABCDEFGHIJKLMNOPQRSTUVWXYZabcdefghijklmnopqrstuvwxyz .,")))&gt;0),"Middle Initial must be a plain A-Z letter; ","")&amp;IF($F267="","Address is required; ","")&amp;IF(LEN($F267&amp;"")&gt;75,"Address exceeds 75 characters; ","")&amp;IF(LEN($G267&amp;"")&gt;75,"Address 2 exceeds 75 characters; ","")&amp;IF($H267="","City is required; ","")&amp;IF(LEN($H267&amp;"")&gt;30,"City exceeds 30 characters; ","")&amp;IF($K267="","Country is required; ","")&amp;IF(AND($K267&lt;&gt;"",$K267&lt;&gt;"US",$K267&lt;&gt;"CA"),"Country must be US or CA; ","")&amp;IF(AND($K267="US",OR($I267="",LEN($I267&amp;"")&lt;&gt;2)),"Use a 2-letter state code; ","")&amp;IF($J267="","ZIP or postal code is required; ","")&amp;IF(AND($K267="US",$J267&lt;&gt;"",NOT(IFERROR(OR(AND(LEN($J267&amp;"")=5,ISNUMBER(--($J267&amp;""))),AND(LEN($J267&amp;"")=9,ISNUMBER(--($J267&amp;""))),AND(LEN($J267&amp;"")=10,MID($J267&amp;"",6,1)="-",ISNUMBER(--SUBSTITUTE($J267&amp;"","-","")))),FALSE))),"US ZIP must be 5 or 9 digits, with an optional ZIP+4 hyphen; ","")&amp;IF(AND($N267&lt;&gt;"",NOT(IFERROR(AND(ISNUMBER(SEARCH("@",$N267)),ISNUMBER(SEARCH(".",$N267,SEARCH("@",$N267)+2))),FALSE))),"Email format appears invalid; ","")&amp;IF(AND($O267&lt;&gt;"",$B267=""),"Dependent SSN is required for every dependent; ","")&amp;IF(AND($B267&lt;&gt;"",$O267=""),"Dependent Relationship is required when Dependent SSN is entered; ","")&amp;IF(AND($O267&lt;&gt;"",$O267&lt;&gt;"Spouse or Common Law Spouse",$O267&lt;&gt;"Domestic Partner",$O267&lt;&gt;"Child",$O267&lt;&gt;"Other",$O267&lt;&gt;"Estate",$O267&lt;&gt;"Unknown"),"Dependent Relationship must use one of the approved options; ",""))</f>
        <v/>
      </c>
      <c r="Z267">
        <f>IF(COUNTA($A267:$U267)=0,"",IF(AND($A267&lt;&gt;"",NOT(IFERROR(AND(LEN($A267&amp;"")=9,ISNUMBER(--($A267&amp;""))),FALSE))),"Employee SSN must contain exactly 9 digits; ","")&amp;IF(AND($A267&lt;&gt;"",OR($A267="123456789",$A267="987654321",$A267="012345678",$A267=REPT(LEFT($A267&amp;"",1),9))),"Employee SSN appears to be a placeholder; ","")&amp;IF(AND($B267&lt;&gt;"",NOT(IFERROR(AND(LEN($B267&amp;"")=9,ISNUMBER(--($B267&amp;""))),FALSE))),"Dependent SSN must contain exactly 9 digits; ","")&amp;IF(AND($B267&lt;&gt;"",OR($B267="123456789",$B267="987654321",$B267="012345678",$B267=REPT(LEFT($B267&amp;"",1),9))),"Dependent SSN appears to be a placeholder; ","")&amp;IF(AND($A267&lt;&gt;"",$B267&lt;&gt;"",$A267&amp;""=$B267&amp;""),"Dependent SSN cannot match Employee SSN; ","")&amp;IF(AND($W267&lt;&gt;"",OR(COUNTIFS($W$2:$W$501,$W267,$C$2:$C$501,"&lt;&gt;"&amp;$C267)&gt;0,COUNTIFS($W$2:$W$501,$W267,$D$2:$D$501,"&lt;&gt;"&amp;$D267)&gt;0,COUNTIFS($W$2:$W$501,$W267,$L$2:$L$501,"&lt;&gt;"&amp;$L267)&gt;0)),"The same SSN is associated with a different name or birthdate; ",""))</f>
        <v/>
      </c>
      <c r="AA267">
        <f>IF(COUNTA($A267:$U267)=0,"",IF(AND($A267&lt;&gt;"",$S267&lt;&gt;"",COUNTIFS($A$2:$A$501,$A267,$S$2:$S$501,$S267,$B$2:$B$501,"",$O$2:$O$501,"")=0),"Add an employee row for this household and plan; ","")&amp;IF(AND($X267="Dependent",COUNTIFS($A$2:$A267,$A267,$S$2:$S267,$S267,$B$2:$B267,"",$O$2:$O267,"")=0),"Place the employee row before dependent rows for this plan; ","")&amp;IF(AND($X267="Dependent",COUNTIFS($A$2:$A$501,$A267,$S$2:$S$501,$S267,$B$2:$B$501,"",$O$2:$O$501,"")&gt;0,IFERROR(OR($P267&lt;&gt;LOOKUP(2,1/(($A$2:$A$501=$A267)*($S$2:$S$501=$S267)*($B$2:$B$501="")*($O$2:$O$501="")),$P$2:$P$501),$Q267&lt;&gt;LOOKUP(2,1/(($A$2:$A$501=$A267)*($S$2:$S$501=$S267)*($B$2:$B$501="")*($O$2:$O$501="")),$Q$2:$Q$501),$R267&lt;&gt;LOOKUP(2,1/(($A$2:$A$501=$A267)*($S$2:$S$501=$S267)*($B$2:$B$501="")*($O$2:$O$501="")),$R$2:$R$501),$T267&lt;&gt;LOOKUP(2,1/(($A$2:$A$501=$A267)*($S$2:$S$501=$S267)*($B$2:$B$501="")*($O$2:$O$501="")),$T$2:$T$501),$U267&lt;&gt;LOOKUP(2,1/(($A$2:$A$501=$A267)*($S$2:$S$501=$S267)*($B$2:$B$501="")*($O$2:$O$501="")),$U$2:$U$501)),FALSE)),"Dependent row does not match the employee row for eligibility, status, coverage level, or funding; ",""))</f>
        <v/>
      </c>
      <c r="AB267">
        <f>IF(COUNTA($A267:$U267)=0,"",IF($L267="","Birthdate is required; ","")&amp;IF(AND($L267&lt;&gt;"",OR(NOT(ISNUMBER($L267)),$L267&lt;=DATE(1900,1,1),$L267&gt;TODAY())),"Birthdate must be an exact valid past date; ","")&amp;IF($P267="","Eligibility Date is required; ","")&amp;IF(AND($P267&lt;&gt;"",OR(NOT(ISNUMBER($P267)),$P267&lt;=DATE(1900,1,1))),"Eligibility Date must be a valid date; ","")&amp;IF(AND($R267="Terminated",$Q267=""),"Termination Date is required when Status is Terminated; ","")&amp;IF(AND($Q267&lt;&gt;"",OR(NOT(ISNUMBER($Q267)),$Q267&lt;=DATE(1900,1,1))),"Termination Date must be a valid date; ","")&amp;IF(AND(ISNUMBER($P267),ISNUMBER($Q267),$Q267&lt;$P267),"Termination Date cannot be before Eligibility Date; ","")&amp;IF($R267="","Status is required; ","")&amp;IF(AND($R267&lt;&gt;"",$R267&lt;&gt;"Active",$R267&lt;&gt;"Terminated"),"Status must be Active or Terminated; ","")&amp;IF(AND('START HERE'!$C$8="Terminations Only",$R267&lt;&gt;"Terminated"),"Terminations Only files must contain terminated records; ",""))</f>
        <v/>
      </c>
      <c r="AC267">
        <f>IF(COUNTA($A267:$U267)=0,"",IF($S267="","Plan Name is required; ","")&amp;IF($T267="","Benefit Coverage Level is required; ","")&amp;IF(AND($U267&lt;&gt;"",OR(NOT(ISNUMBER($U267)),$U267&lt;0)),"Plan Funding Amount must be a nonnegative number; ","")&amp;IF(AND($A267&lt;&gt;"",$S267&lt;&gt;"",COUNTIFS($A$2:$A$501,$A267,$B$2:$B$501,$B267,$S$2:$S$501,$S267)&gt;1),"Duplicate participant and plan row; ",""))</f>
        <v/>
      </c>
      <c r="AD267">
        <f>IF(COUNTA($A267:$U267)=0,"",IF(AND($X267="Employee",$M267="",$N267=""),"No employee phone or email provided; ","")&amp;IF(AND($R267="Active",$Q267&lt;&gt;""),"Active record includes a Termination Date; confirm this is intentional; ","")&amp;IF(AND($B267&lt;&gt;"",$B267&amp;""&lt;&gt;$A267&amp;"",COUNTIF($A$2:$A$501,$B267)&gt;0),"Dependent SSN also appears as an Employee SSN elsewhere; confirm dual-employee coverage is intentional; ","")&amp;IF(AND($B267&lt;&gt;"",COUNTIF($B$2:$B$501,$B267)&gt;COUNTIFS($A$2:$A$501,$A267,$B$2:$B$501,$B267)),"Dependent SSN appears under more than one employee; confirm duplicate family coverage is intentional; ","")&amp;IF(AND(ROW()&gt;2,$A267&lt;&gt;"",$A267&lt;&gt;$A266,COUNTIF($A$2:$A266,$A267)&gt;0),"This household appears in more than one section of the census; keep the family together; ","")&amp;IF(OR(AND($C267&lt;&gt;"",LEN($C267&amp;"")&lt;&gt;LEN(TRIM($C267&amp;""))),AND($D267&lt;&gt;"",LEN($D267&amp;"")&lt;&gt;LEN(TRIM($D267&amp;""))),AND($E267&lt;&gt;"",LEN($E267&amp;"")&lt;&gt;LEN(TRIM($E267&amp;""))),AND($F267&lt;&gt;"",LEN($F267&amp;"")&lt;&gt;LEN(TRIM($F267&amp;""))),AND($G267&lt;&gt;"",LEN($G267&amp;"")&lt;&gt;LEN(TRIM($G267&amp;""))),AND($H267&lt;&gt;"",LEN($H267&amp;"")&lt;&gt;LEN(TRIM($H267&amp;""))),AND($I267&lt;&gt;"",LEN($I267&amp;"")&lt;&gt;LEN(TRIM($I267&amp;""))),AND($J267&lt;&gt;"",LEN($J267&amp;"")&lt;&gt;LEN(TRIM($J267&amp;""))),AND($K267&lt;&gt;"",LEN($K267&amp;"")&lt;&gt;LEN(TRIM($K267&amp;""))),AND($M267&lt;&gt;"",LEN($M267&amp;"")&lt;&gt;LEN(TRIM($M267&amp;""))),AND($N267&lt;&gt;"",LEN($N267&amp;"")&lt;&gt;LEN(TRIM($N267&amp;""))),AND($O267&lt;&gt;"",LEN($O267&amp;"")&lt;&gt;LEN(TRIM($O267&amp;""))),AND($R267&lt;&gt;"",LEN($R267&amp;"")&lt;&gt;LEN(TRIM($R267&amp;""))),AND($S267&lt;&gt;"",LEN($S267&amp;"")&lt;&gt;LEN(TRIM($S267&amp;""))),AND($T267&lt;&gt;"",LEN($T267&amp;"")&lt;&gt;LEN(TRIM($T267&amp;"")))),"Remove leading or trailing spaces from text fields; ","")&amp;IF(OR(AND(LEN($C267)&gt;1,OR(EXACT($C267,UPPER($C267)),EXACT($C267,LOWER($C267)))),AND(LEN($D267)&gt;1,OR(EXACT($D267,UPPER($D267)),EXACT($D267,LOWER($D267)))),AND(LEN($H267)&gt;1,OR(EXACT($H267,UPPER($H267)),EXACT($H267,LOWER($H267))))),"Review capitalization in First Name, Last Name, or City; ","")&amp;IF(AND($N267&lt;&gt;"",NOT(EXACT($N267,LOWER($N267)))),"Email will be standardized to lowercase in the clean output; ","")&amp;IF(AND(OR('START HERE'!$C$8="Initial Enrollment",'START HERE'!$C$8="Open Enrollment"),$R267="Terminated"),"A terminated row is included in an initial or open enrollment file; confirm this is intentional; ",""))</f>
        <v/>
      </c>
      <c r="AE267">
        <f>IF(COUNTA($A267:$U267)=0,"",IF(OR($A267="",AND($A267&lt;&gt;"",NOT(IFERROR(AND(LEN($A267&amp;"")=9,ISNUMBER(--($A267&amp;""))),FALSE))),AND($A267&lt;&gt;"",OR($A267="123456789",$A267="987654321",$A267="012345678",$A267=REPT(LEFT($A267&amp;"",1),9)))),"Employee SSN, ","")&amp;IF(OR(AND($O267&lt;&gt;"",$B267=""),AND($B267&lt;&gt;"",OR(NOT(IFERROR(AND(LEN($B267&amp;"")=9,ISNUMBER(--($B267&amp;""))),FALSE)),$B267=$A267,$B267="123456789",$B267="987654321",$B267="012345678",$B267=REPT(LEFT($B267&amp;"",1),9)))),"Dependent SSN, ","")&amp;IF(OR($C267="",LEN($C267)&gt;19,AND($C267&lt;&gt;"",SUMPRODUCT(--(ROW($1:$19)&lt;=LEN($C267&amp;"")),--ISERROR(FIND(MID($C267&amp;"",ROW($1:$19),1),"ABCDEFGHIJKLMNOPQRSTUVWXYZabcdefghijklmnopqrstuvwxyz .,")))&gt;0)),"First Name, ","")&amp;IF(OR($D267="",LEN($D267)&gt;26,AND($D267&lt;&gt;"",SUMPRODUCT(--(ROW($1:$26)&lt;=LEN($D267&amp;"")),--ISERROR(FIND(MID($D267&amp;"",ROW($1:$26),1),"ABCDEFGHIJKLMNOPQRSTUVWXYZabcdefghijklmnopqrstuvwxyz .,")))&gt;0)),"Last Name, ","")&amp;IF(OR(LEN($E267)&gt;1,AND($E267&lt;&gt;"",SUMPRODUCT(--(ROW($1:$1)&lt;=LEN($E267&amp;"")),--ISERROR(FIND(MID($E267&amp;"",ROW($1:$1),1),"ABCDEFGHIJKLMNOPQRSTUVWXYZabcdefghijklmnopqrstuvwxyz .,")))&gt;0)),"Middle Initial, ","")&amp;IF(OR($F267="",LEN($F267)&gt;75),"Address, ","")&amp;IF(OR($H267="",LEN($H267)&gt;30),"City, ","")&amp;IF(AND($K267="US",OR($I267="",LEN($I267)&lt;&gt;2)),"State, ","")&amp;IF($J267="","ZIP, ","")&amp;IF(OR($K267="",AND($K267&lt;&gt;"US",$K267&lt;&gt;"CA")),"Country, ","")&amp;IF(OR($L267="",AND($L267&lt;&gt;"",OR(NOT(ISNUMBER($L267)),$L267&lt;=DATE(1900,1,1),$L267&gt;TODAY()))),"Birthdate, ","")&amp;IF(AND($N267&lt;&gt;"",NOT(IFERROR(AND(ISNUMBER(SEARCH("@",$N267)),ISNUMBER(SEARCH(".",$N267,SEARCH("@",$N267)+2))),FALSE))),"Email, ","")&amp;IF(OR(AND($B267&lt;&gt;"",$O267=""),AND($O267&lt;&gt;"",$O267&lt;&gt;"Spouse or Common Law Spouse",$O267&lt;&gt;"Domestic Partner",$O267&lt;&gt;"Child",$O267&lt;&gt;"Other",$O267&lt;&gt;"Estate",$O267&lt;&gt;"Unknown")),"Dependent Relationship, ","")&amp;IF($AA267&lt;&gt;"","Household, ","")&amp;IF(OR($P267="",AND($P267&lt;&gt;"",OR(NOT(ISNUMBER($P267)),$P267&lt;=DATE(1900,1,1)))),"Eligibility Date, ","")&amp;IF(OR(AND($R267="Terminated",$Q267=""),AND($Q267&lt;&gt;"",OR(NOT(ISNUMBER($Q267)),$Q267&lt;=DATE(1900,1,1))),AND(ISNUMBER($P267),ISNUMBER($Q267),$Q267&lt;$P267)),"Termination Date, ","")&amp;IF(OR($R267="",AND($R267&lt;&gt;"Active",$R267&lt;&gt;"Terminated"),AND('START HERE'!$C$8="Terminations Only",$R267&lt;&gt;"Terminated")),"Status, ","")&amp;IF($S267="","Plan Name, ","")&amp;IF($T267="","Coverage Level, ","")&amp;IF(AND($U267&lt;&gt;"",OR(NOT(ISNUMBER($U267)),$U267&lt;0)),"Funding, ","")&amp;IF(AND($A267&lt;&gt;"",$S267&lt;&gt;"",COUNTIFS($A$2:$A$501,$A267,$B$2:$B$501,$B267,$S$2:$S$501,$S267)&gt;1),"Duplicate Row, ",""))</f>
        <v/>
      </c>
      <c r="AF267">
        <f>IF(COUNTA($A267:$U267)=0,"",$Y267&amp;$Z267&amp;$AA267&amp;$AB267&amp;$AC267)</f>
        <v/>
      </c>
      <c r="AG267">
        <f>IF($N267="","",LOWER(TRIM($N267)))</f>
        <v/>
      </c>
      <c r="AH267">
        <f>IF($A267="","",COUNTIFS($A$2:$A$501,$A267,$AI$2:$AI$501,1))</f>
        <v/>
      </c>
      <c r="AI267">
        <f>IF(COUNTA($A267:$U267)=0,"",--($AF267&lt;&gt;""))</f>
        <v/>
      </c>
      <c r="AJ267">
        <f>IF(COUNTA($A267:$U267)=0,"",--($AD267&lt;&gt;""))</f>
        <v/>
      </c>
    </row>
    <row r="268" ht="20" customHeight="1">
      <c r="A268" s="80" t="n"/>
      <c r="B268" s="80" t="n"/>
      <c r="C268" s="81" t="n"/>
      <c r="D268" s="81" t="n"/>
      <c r="E268" s="80" t="n"/>
      <c r="F268" s="81" t="n"/>
      <c r="G268" s="81" t="n"/>
      <c r="H268" s="81" t="n"/>
      <c r="I268" s="80" t="n"/>
      <c r="J268" s="80" t="n"/>
      <c r="K268" s="80" t="n"/>
      <c r="L268" s="82" t="n"/>
      <c r="M268" s="80" t="n"/>
      <c r="N268" s="80" t="n"/>
      <c r="O268" s="80" t="n"/>
      <c r="P268" s="82" t="n"/>
      <c r="Q268" s="82" t="n"/>
      <c r="R268" s="80" t="n"/>
      <c r="S268" s="80" t="n"/>
      <c r="T268" s="80" t="n"/>
      <c r="U268" s="83" t="n"/>
      <c r="V268">
        <f>IF($A268="","",IF($A268=$A267,$V267,IF($V267="",0,1-$V267)))</f>
        <v/>
      </c>
      <c r="W268">
        <f>IF($B268&lt;&gt;"",$B268,$A268)</f>
        <v/>
      </c>
      <c r="X268">
        <f>IF(COUNTA($A268:$U268)=0,"",IF(OR($B268&lt;&gt;"",$O268&lt;&gt;""),"Dependent","Employee"))</f>
        <v/>
      </c>
      <c r="Y268">
        <f>IF(COUNTA($A268:$U268)=0,"",IF($A268="","Employee SSN is required; ","")&amp;IF($C268="","First Name is required; ","")&amp;IF(LEN($C268&amp;"")&gt;19,"First Name exceeds 19 characters; ","")&amp;IF(AND($C268&lt;&gt;"",SUMPRODUCT(--(ROW($1:$19)&lt;=LEN($C268&amp;"")),--ISERROR(FIND(MID($C268&amp;"",ROW($1:$19),1),"ABCDEFGHIJKLMNOPQRSTUVWXYZabcdefghijklmnopqrstuvwxyz .,")))&gt;0),"First Name contains unsupported or encoded characters; use plain A-Z letters only; ","")&amp;IF($D268="","Last Name is required; ","")&amp;IF(LEN($D268&amp;"")&gt;26,"Last Name exceeds 26 characters; ","")&amp;IF(AND($D268&lt;&gt;"",SUMPRODUCT(--(ROW($1:$26)&lt;=LEN($D268&amp;"")),--ISERROR(FIND(MID($D268&amp;"",ROW($1:$26),1),"ABCDEFGHIJKLMNOPQRSTUVWXYZabcdefghijklmnopqrstuvwxyz .,")))&gt;0),"Last Name contains unsupported or encoded characters; use plain A-Z letters only; ","")&amp;IF(LEN($E268&amp;"")&gt;1,"Middle Initial may contain only one character; ","")&amp;IF(AND($E268&lt;&gt;"",SUMPRODUCT(--(ROW($1:$1)&lt;=LEN($E268&amp;"")),--ISERROR(FIND(MID($E268&amp;"",ROW($1:$1),1),"ABCDEFGHIJKLMNOPQRSTUVWXYZabcdefghijklmnopqrstuvwxyz .,")))&gt;0),"Middle Initial must be a plain A-Z letter; ","")&amp;IF($F268="","Address is required; ","")&amp;IF(LEN($F268&amp;"")&gt;75,"Address exceeds 75 characters; ","")&amp;IF(LEN($G268&amp;"")&gt;75,"Address 2 exceeds 75 characters; ","")&amp;IF($H268="","City is required; ","")&amp;IF(LEN($H268&amp;"")&gt;30,"City exceeds 30 characters; ","")&amp;IF($K268="","Country is required; ","")&amp;IF(AND($K268&lt;&gt;"",$K268&lt;&gt;"US",$K268&lt;&gt;"CA"),"Country must be US or CA; ","")&amp;IF(AND($K268="US",OR($I268="",LEN($I268&amp;"")&lt;&gt;2)),"Use a 2-letter state code; ","")&amp;IF($J268="","ZIP or postal code is required; ","")&amp;IF(AND($K268="US",$J268&lt;&gt;"",NOT(IFERROR(OR(AND(LEN($J268&amp;"")=5,ISNUMBER(--($J268&amp;""))),AND(LEN($J268&amp;"")=9,ISNUMBER(--($J268&amp;""))),AND(LEN($J268&amp;"")=10,MID($J268&amp;"",6,1)="-",ISNUMBER(--SUBSTITUTE($J268&amp;"","-","")))),FALSE))),"US ZIP must be 5 or 9 digits, with an optional ZIP+4 hyphen; ","")&amp;IF(AND($N268&lt;&gt;"",NOT(IFERROR(AND(ISNUMBER(SEARCH("@",$N268)),ISNUMBER(SEARCH(".",$N268,SEARCH("@",$N268)+2))),FALSE))),"Email format appears invalid; ","")&amp;IF(AND($O268&lt;&gt;"",$B268=""),"Dependent SSN is required for every dependent; ","")&amp;IF(AND($B268&lt;&gt;"",$O268=""),"Dependent Relationship is required when Dependent SSN is entered; ","")&amp;IF(AND($O268&lt;&gt;"",$O268&lt;&gt;"Spouse or Common Law Spouse",$O268&lt;&gt;"Domestic Partner",$O268&lt;&gt;"Child",$O268&lt;&gt;"Other",$O268&lt;&gt;"Estate",$O268&lt;&gt;"Unknown"),"Dependent Relationship must use one of the approved options; ",""))</f>
        <v/>
      </c>
      <c r="Z268">
        <f>IF(COUNTA($A268:$U268)=0,"",IF(AND($A268&lt;&gt;"",NOT(IFERROR(AND(LEN($A268&amp;"")=9,ISNUMBER(--($A268&amp;""))),FALSE))),"Employee SSN must contain exactly 9 digits; ","")&amp;IF(AND($A268&lt;&gt;"",OR($A268="123456789",$A268="987654321",$A268="012345678",$A268=REPT(LEFT($A268&amp;"",1),9))),"Employee SSN appears to be a placeholder; ","")&amp;IF(AND($B268&lt;&gt;"",NOT(IFERROR(AND(LEN($B268&amp;"")=9,ISNUMBER(--($B268&amp;""))),FALSE))),"Dependent SSN must contain exactly 9 digits; ","")&amp;IF(AND($B268&lt;&gt;"",OR($B268="123456789",$B268="987654321",$B268="012345678",$B268=REPT(LEFT($B268&amp;"",1),9))),"Dependent SSN appears to be a placeholder; ","")&amp;IF(AND($A268&lt;&gt;"",$B268&lt;&gt;"",$A268&amp;""=$B268&amp;""),"Dependent SSN cannot match Employee SSN; ","")&amp;IF(AND($W268&lt;&gt;"",OR(COUNTIFS($W$2:$W$501,$W268,$C$2:$C$501,"&lt;&gt;"&amp;$C268)&gt;0,COUNTIFS($W$2:$W$501,$W268,$D$2:$D$501,"&lt;&gt;"&amp;$D268)&gt;0,COUNTIFS($W$2:$W$501,$W268,$L$2:$L$501,"&lt;&gt;"&amp;$L268)&gt;0)),"The same SSN is associated with a different name or birthdate; ",""))</f>
        <v/>
      </c>
      <c r="AA268">
        <f>IF(COUNTA($A268:$U268)=0,"",IF(AND($A268&lt;&gt;"",$S268&lt;&gt;"",COUNTIFS($A$2:$A$501,$A268,$S$2:$S$501,$S268,$B$2:$B$501,"",$O$2:$O$501,"")=0),"Add an employee row for this household and plan; ","")&amp;IF(AND($X268="Dependent",COUNTIFS($A$2:$A268,$A268,$S$2:$S268,$S268,$B$2:$B268,"",$O$2:$O268,"")=0),"Place the employee row before dependent rows for this plan; ","")&amp;IF(AND($X268="Dependent",COUNTIFS($A$2:$A$501,$A268,$S$2:$S$501,$S268,$B$2:$B$501,"",$O$2:$O$501,"")&gt;0,IFERROR(OR($P268&lt;&gt;LOOKUP(2,1/(($A$2:$A$501=$A268)*($S$2:$S$501=$S268)*($B$2:$B$501="")*($O$2:$O$501="")),$P$2:$P$501),$Q268&lt;&gt;LOOKUP(2,1/(($A$2:$A$501=$A268)*($S$2:$S$501=$S268)*($B$2:$B$501="")*($O$2:$O$501="")),$Q$2:$Q$501),$R268&lt;&gt;LOOKUP(2,1/(($A$2:$A$501=$A268)*($S$2:$S$501=$S268)*($B$2:$B$501="")*($O$2:$O$501="")),$R$2:$R$501),$T268&lt;&gt;LOOKUP(2,1/(($A$2:$A$501=$A268)*($S$2:$S$501=$S268)*($B$2:$B$501="")*($O$2:$O$501="")),$T$2:$T$501),$U268&lt;&gt;LOOKUP(2,1/(($A$2:$A$501=$A268)*($S$2:$S$501=$S268)*($B$2:$B$501="")*($O$2:$O$501="")),$U$2:$U$501)),FALSE)),"Dependent row does not match the employee row for eligibility, status, coverage level, or funding; ",""))</f>
        <v/>
      </c>
      <c r="AB268">
        <f>IF(COUNTA($A268:$U268)=0,"",IF($L268="","Birthdate is required; ","")&amp;IF(AND($L268&lt;&gt;"",OR(NOT(ISNUMBER($L268)),$L268&lt;=DATE(1900,1,1),$L268&gt;TODAY())),"Birthdate must be an exact valid past date; ","")&amp;IF($P268="","Eligibility Date is required; ","")&amp;IF(AND($P268&lt;&gt;"",OR(NOT(ISNUMBER($P268)),$P268&lt;=DATE(1900,1,1))),"Eligibility Date must be a valid date; ","")&amp;IF(AND($R268="Terminated",$Q268=""),"Termination Date is required when Status is Terminated; ","")&amp;IF(AND($Q268&lt;&gt;"",OR(NOT(ISNUMBER($Q268)),$Q268&lt;=DATE(1900,1,1))),"Termination Date must be a valid date; ","")&amp;IF(AND(ISNUMBER($P268),ISNUMBER($Q268),$Q268&lt;$P268),"Termination Date cannot be before Eligibility Date; ","")&amp;IF($R268="","Status is required; ","")&amp;IF(AND($R268&lt;&gt;"",$R268&lt;&gt;"Active",$R268&lt;&gt;"Terminated"),"Status must be Active or Terminated; ","")&amp;IF(AND('START HERE'!$C$8="Terminations Only",$R268&lt;&gt;"Terminated"),"Terminations Only files must contain terminated records; ",""))</f>
        <v/>
      </c>
      <c r="AC268">
        <f>IF(COUNTA($A268:$U268)=0,"",IF($S268="","Plan Name is required; ","")&amp;IF($T268="","Benefit Coverage Level is required; ","")&amp;IF(AND($U268&lt;&gt;"",OR(NOT(ISNUMBER($U268)),$U268&lt;0)),"Plan Funding Amount must be a nonnegative number; ","")&amp;IF(AND($A268&lt;&gt;"",$S268&lt;&gt;"",COUNTIFS($A$2:$A$501,$A268,$B$2:$B$501,$B268,$S$2:$S$501,$S268)&gt;1),"Duplicate participant and plan row; ",""))</f>
        <v/>
      </c>
      <c r="AD268">
        <f>IF(COUNTA($A268:$U268)=0,"",IF(AND($X268="Employee",$M268="",$N268=""),"No employee phone or email provided; ","")&amp;IF(AND($R268="Active",$Q268&lt;&gt;""),"Active record includes a Termination Date; confirm this is intentional; ","")&amp;IF(AND($B268&lt;&gt;"",$B268&amp;""&lt;&gt;$A268&amp;"",COUNTIF($A$2:$A$501,$B268)&gt;0),"Dependent SSN also appears as an Employee SSN elsewhere; confirm dual-employee coverage is intentional; ","")&amp;IF(AND($B268&lt;&gt;"",COUNTIF($B$2:$B$501,$B268)&gt;COUNTIFS($A$2:$A$501,$A268,$B$2:$B$501,$B268)),"Dependent SSN appears under more than one employee; confirm duplicate family coverage is intentional; ","")&amp;IF(AND(ROW()&gt;2,$A268&lt;&gt;"",$A268&lt;&gt;$A267,COUNTIF($A$2:$A267,$A268)&gt;0),"This household appears in more than one section of the census; keep the family together; ","")&amp;IF(OR(AND($C268&lt;&gt;"",LEN($C268&amp;"")&lt;&gt;LEN(TRIM($C268&amp;""))),AND($D268&lt;&gt;"",LEN($D268&amp;"")&lt;&gt;LEN(TRIM($D268&amp;""))),AND($E268&lt;&gt;"",LEN($E268&amp;"")&lt;&gt;LEN(TRIM($E268&amp;""))),AND($F268&lt;&gt;"",LEN($F268&amp;"")&lt;&gt;LEN(TRIM($F268&amp;""))),AND($G268&lt;&gt;"",LEN($G268&amp;"")&lt;&gt;LEN(TRIM($G268&amp;""))),AND($H268&lt;&gt;"",LEN($H268&amp;"")&lt;&gt;LEN(TRIM($H268&amp;""))),AND($I268&lt;&gt;"",LEN($I268&amp;"")&lt;&gt;LEN(TRIM($I268&amp;""))),AND($J268&lt;&gt;"",LEN($J268&amp;"")&lt;&gt;LEN(TRIM($J268&amp;""))),AND($K268&lt;&gt;"",LEN($K268&amp;"")&lt;&gt;LEN(TRIM($K268&amp;""))),AND($M268&lt;&gt;"",LEN($M268&amp;"")&lt;&gt;LEN(TRIM($M268&amp;""))),AND($N268&lt;&gt;"",LEN($N268&amp;"")&lt;&gt;LEN(TRIM($N268&amp;""))),AND($O268&lt;&gt;"",LEN($O268&amp;"")&lt;&gt;LEN(TRIM($O268&amp;""))),AND($R268&lt;&gt;"",LEN($R268&amp;"")&lt;&gt;LEN(TRIM($R268&amp;""))),AND($S268&lt;&gt;"",LEN($S268&amp;"")&lt;&gt;LEN(TRIM($S268&amp;""))),AND($T268&lt;&gt;"",LEN($T268&amp;"")&lt;&gt;LEN(TRIM($T268&amp;"")))),"Remove leading or trailing spaces from text fields; ","")&amp;IF(OR(AND(LEN($C268)&gt;1,OR(EXACT($C268,UPPER($C268)),EXACT($C268,LOWER($C268)))),AND(LEN($D268)&gt;1,OR(EXACT($D268,UPPER($D268)),EXACT($D268,LOWER($D268)))),AND(LEN($H268)&gt;1,OR(EXACT($H268,UPPER($H268)),EXACT($H268,LOWER($H268))))),"Review capitalization in First Name, Last Name, or City; ","")&amp;IF(AND($N268&lt;&gt;"",NOT(EXACT($N268,LOWER($N268)))),"Email will be standardized to lowercase in the clean output; ","")&amp;IF(AND(OR('START HERE'!$C$8="Initial Enrollment",'START HERE'!$C$8="Open Enrollment"),$R268="Terminated"),"A terminated row is included in an initial or open enrollment file; confirm this is intentional; ",""))</f>
        <v/>
      </c>
      <c r="AE268">
        <f>IF(COUNTA($A268:$U268)=0,"",IF(OR($A268="",AND($A268&lt;&gt;"",NOT(IFERROR(AND(LEN($A268&amp;"")=9,ISNUMBER(--($A268&amp;""))),FALSE))),AND($A268&lt;&gt;"",OR($A268="123456789",$A268="987654321",$A268="012345678",$A268=REPT(LEFT($A268&amp;"",1),9)))),"Employee SSN, ","")&amp;IF(OR(AND($O268&lt;&gt;"",$B268=""),AND($B268&lt;&gt;"",OR(NOT(IFERROR(AND(LEN($B268&amp;"")=9,ISNUMBER(--($B268&amp;""))),FALSE)),$B268=$A268,$B268="123456789",$B268="987654321",$B268="012345678",$B268=REPT(LEFT($B268&amp;"",1),9)))),"Dependent SSN, ","")&amp;IF(OR($C268="",LEN($C268)&gt;19,AND($C268&lt;&gt;"",SUMPRODUCT(--(ROW($1:$19)&lt;=LEN($C268&amp;"")),--ISERROR(FIND(MID($C268&amp;"",ROW($1:$19),1),"ABCDEFGHIJKLMNOPQRSTUVWXYZabcdefghijklmnopqrstuvwxyz .,")))&gt;0)),"First Name, ","")&amp;IF(OR($D268="",LEN($D268)&gt;26,AND($D268&lt;&gt;"",SUMPRODUCT(--(ROW($1:$26)&lt;=LEN($D268&amp;"")),--ISERROR(FIND(MID($D268&amp;"",ROW($1:$26),1),"ABCDEFGHIJKLMNOPQRSTUVWXYZabcdefghijklmnopqrstuvwxyz .,")))&gt;0)),"Last Name, ","")&amp;IF(OR(LEN($E268)&gt;1,AND($E268&lt;&gt;"",SUMPRODUCT(--(ROW($1:$1)&lt;=LEN($E268&amp;"")),--ISERROR(FIND(MID($E268&amp;"",ROW($1:$1),1),"ABCDEFGHIJKLMNOPQRSTUVWXYZabcdefghijklmnopqrstuvwxyz .,")))&gt;0)),"Middle Initial, ","")&amp;IF(OR($F268="",LEN($F268)&gt;75),"Address, ","")&amp;IF(OR($H268="",LEN($H268)&gt;30),"City, ","")&amp;IF(AND($K268="US",OR($I268="",LEN($I268)&lt;&gt;2)),"State, ","")&amp;IF($J268="","ZIP, ","")&amp;IF(OR($K268="",AND($K268&lt;&gt;"US",$K268&lt;&gt;"CA")),"Country, ","")&amp;IF(OR($L268="",AND($L268&lt;&gt;"",OR(NOT(ISNUMBER($L268)),$L268&lt;=DATE(1900,1,1),$L268&gt;TODAY()))),"Birthdate, ","")&amp;IF(AND($N268&lt;&gt;"",NOT(IFERROR(AND(ISNUMBER(SEARCH("@",$N268)),ISNUMBER(SEARCH(".",$N268,SEARCH("@",$N268)+2))),FALSE))),"Email, ","")&amp;IF(OR(AND($B268&lt;&gt;"",$O268=""),AND($O268&lt;&gt;"",$O268&lt;&gt;"Spouse or Common Law Spouse",$O268&lt;&gt;"Domestic Partner",$O268&lt;&gt;"Child",$O268&lt;&gt;"Other",$O268&lt;&gt;"Estate",$O268&lt;&gt;"Unknown")),"Dependent Relationship, ","")&amp;IF($AA268&lt;&gt;"","Household, ","")&amp;IF(OR($P268="",AND($P268&lt;&gt;"",OR(NOT(ISNUMBER($P268)),$P268&lt;=DATE(1900,1,1)))),"Eligibility Date, ","")&amp;IF(OR(AND($R268="Terminated",$Q268=""),AND($Q268&lt;&gt;"",OR(NOT(ISNUMBER($Q268)),$Q268&lt;=DATE(1900,1,1))),AND(ISNUMBER($P268),ISNUMBER($Q268),$Q268&lt;$P268)),"Termination Date, ","")&amp;IF(OR($R268="",AND($R268&lt;&gt;"Active",$R268&lt;&gt;"Terminated"),AND('START HERE'!$C$8="Terminations Only",$R268&lt;&gt;"Terminated")),"Status, ","")&amp;IF($S268="","Plan Name, ","")&amp;IF($T268="","Coverage Level, ","")&amp;IF(AND($U268&lt;&gt;"",OR(NOT(ISNUMBER($U268)),$U268&lt;0)),"Funding, ","")&amp;IF(AND($A268&lt;&gt;"",$S268&lt;&gt;"",COUNTIFS($A$2:$A$501,$A268,$B$2:$B$501,$B268,$S$2:$S$501,$S268)&gt;1),"Duplicate Row, ",""))</f>
        <v/>
      </c>
      <c r="AF268">
        <f>IF(COUNTA($A268:$U268)=0,"",$Y268&amp;$Z268&amp;$AA268&amp;$AB268&amp;$AC268)</f>
        <v/>
      </c>
      <c r="AG268">
        <f>IF($N268="","",LOWER(TRIM($N268)))</f>
        <v/>
      </c>
      <c r="AH268">
        <f>IF($A268="","",COUNTIFS($A$2:$A$501,$A268,$AI$2:$AI$501,1))</f>
        <v/>
      </c>
      <c r="AI268">
        <f>IF(COUNTA($A268:$U268)=0,"",--($AF268&lt;&gt;""))</f>
        <v/>
      </c>
      <c r="AJ268">
        <f>IF(COUNTA($A268:$U268)=0,"",--($AD268&lt;&gt;""))</f>
        <v/>
      </c>
    </row>
    <row r="269" ht="20" customHeight="1">
      <c r="A269" s="80" t="n"/>
      <c r="B269" s="80" t="n"/>
      <c r="C269" s="81" t="n"/>
      <c r="D269" s="81" t="n"/>
      <c r="E269" s="80" t="n"/>
      <c r="F269" s="81" t="n"/>
      <c r="G269" s="81" t="n"/>
      <c r="H269" s="81" t="n"/>
      <c r="I269" s="80" t="n"/>
      <c r="J269" s="80" t="n"/>
      <c r="K269" s="80" t="n"/>
      <c r="L269" s="82" t="n"/>
      <c r="M269" s="80" t="n"/>
      <c r="N269" s="80" t="n"/>
      <c r="O269" s="80" t="n"/>
      <c r="P269" s="82" t="n"/>
      <c r="Q269" s="82" t="n"/>
      <c r="R269" s="80" t="n"/>
      <c r="S269" s="80" t="n"/>
      <c r="T269" s="80" t="n"/>
      <c r="U269" s="83" t="n"/>
      <c r="V269">
        <f>IF($A269="","",IF($A269=$A268,$V268,IF($V268="",0,1-$V268)))</f>
        <v/>
      </c>
      <c r="W269">
        <f>IF($B269&lt;&gt;"",$B269,$A269)</f>
        <v/>
      </c>
      <c r="X269">
        <f>IF(COUNTA($A269:$U269)=0,"",IF(OR($B269&lt;&gt;"",$O269&lt;&gt;""),"Dependent","Employee"))</f>
        <v/>
      </c>
      <c r="Y269">
        <f>IF(COUNTA($A269:$U269)=0,"",IF($A269="","Employee SSN is required; ","")&amp;IF($C269="","First Name is required; ","")&amp;IF(LEN($C269&amp;"")&gt;19,"First Name exceeds 19 characters; ","")&amp;IF(AND($C269&lt;&gt;"",SUMPRODUCT(--(ROW($1:$19)&lt;=LEN($C269&amp;"")),--ISERROR(FIND(MID($C269&amp;"",ROW($1:$19),1),"ABCDEFGHIJKLMNOPQRSTUVWXYZabcdefghijklmnopqrstuvwxyz .,")))&gt;0),"First Name contains unsupported or encoded characters; use plain A-Z letters only; ","")&amp;IF($D269="","Last Name is required; ","")&amp;IF(LEN($D269&amp;"")&gt;26,"Last Name exceeds 26 characters; ","")&amp;IF(AND($D269&lt;&gt;"",SUMPRODUCT(--(ROW($1:$26)&lt;=LEN($D269&amp;"")),--ISERROR(FIND(MID($D269&amp;"",ROW($1:$26),1),"ABCDEFGHIJKLMNOPQRSTUVWXYZabcdefghijklmnopqrstuvwxyz .,")))&gt;0),"Last Name contains unsupported or encoded characters; use plain A-Z letters only; ","")&amp;IF(LEN($E269&amp;"")&gt;1,"Middle Initial may contain only one character; ","")&amp;IF(AND($E269&lt;&gt;"",SUMPRODUCT(--(ROW($1:$1)&lt;=LEN($E269&amp;"")),--ISERROR(FIND(MID($E269&amp;"",ROW($1:$1),1),"ABCDEFGHIJKLMNOPQRSTUVWXYZabcdefghijklmnopqrstuvwxyz .,")))&gt;0),"Middle Initial must be a plain A-Z letter; ","")&amp;IF($F269="","Address is required; ","")&amp;IF(LEN($F269&amp;"")&gt;75,"Address exceeds 75 characters; ","")&amp;IF(LEN($G269&amp;"")&gt;75,"Address 2 exceeds 75 characters; ","")&amp;IF($H269="","City is required; ","")&amp;IF(LEN($H269&amp;"")&gt;30,"City exceeds 30 characters; ","")&amp;IF($K269="","Country is required; ","")&amp;IF(AND($K269&lt;&gt;"",$K269&lt;&gt;"US",$K269&lt;&gt;"CA"),"Country must be US or CA; ","")&amp;IF(AND($K269="US",OR($I269="",LEN($I269&amp;"")&lt;&gt;2)),"Use a 2-letter state code; ","")&amp;IF($J269="","ZIP or postal code is required; ","")&amp;IF(AND($K269="US",$J269&lt;&gt;"",NOT(IFERROR(OR(AND(LEN($J269&amp;"")=5,ISNUMBER(--($J269&amp;""))),AND(LEN($J269&amp;"")=9,ISNUMBER(--($J269&amp;""))),AND(LEN($J269&amp;"")=10,MID($J269&amp;"",6,1)="-",ISNUMBER(--SUBSTITUTE($J269&amp;"","-","")))),FALSE))),"US ZIP must be 5 or 9 digits, with an optional ZIP+4 hyphen; ","")&amp;IF(AND($N269&lt;&gt;"",NOT(IFERROR(AND(ISNUMBER(SEARCH("@",$N269)),ISNUMBER(SEARCH(".",$N269,SEARCH("@",$N269)+2))),FALSE))),"Email format appears invalid; ","")&amp;IF(AND($O269&lt;&gt;"",$B269=""),"Dependent SSN is required for every dependent; ","")&amp;IF(AND($B269&lt;&gt;"",$O269=""),"Dependent Relationship is required when Dependent SSN is entered; ","")&amp;IF(AND($O269&lt;&gt;"",$O269&lt;&gt;"Spouse or Common Law Spouse",$O269&lt;&gt;"Domestic Partner",$O269&lt;&gt;"Child",$O269&lt;&gt;"Other",$O269&lt;&gt;"Estate",$O269&lt;&gt;"Unknown"),"Dependent Relationship must use one of the approved options; ",""))</f>
        <v/>
      </c>
      <c r="Z269">
        <f>IF(COUNTA($A269:$U269)=0,"",IF(AND($A269&lt;&gt;"",NOT(IFERROR(AND(LEN($A269&amp;"")=9,ISNUMBER(--($A269&amp;""))),FALSE))),"Employee SSN must contain exactly 9 digits; ","")&amp;IF(AND($A269&lt;&gt;"",OR($A269="123456789",$A269="987654321",$A269="012345678",$A269=REPT(LEFT($A269&amp;"",1),9))),"Employee SSN appears to be a placeholder; ","")&amp;IF(AND($B269&lt;&gt;"",NOT(IFERROR(AND(LEN($B269&amp;"")=9,ISNUMBER(--($B269&amp;""))),FALSE))),"Dependent SSN must contain exactly 9 digits; ","")&amp;IF(AND($B269&lt;&gt;"",OR($B269="123456789",$B269="987654321",$B269="012345678",$B269=REPT(LEFT($B269&amp;"",1),9))),"Dependent SSN appears to be a placeholder; ","")&amp;IF(AND($A269&lt;&gt;"",$B269&lt;&gt;"",$A269&amp;""=$B269&amp;""),"Dependent SSN cannot match Employee SSN; ","")&amp;IF(AND($W269&lt;&gt;"",OR(COUNTIFS($W$2:$W$501,$W269,$C$2:$C$501,"&lt;&gt;"&amp;$C269)&gt;0,COUNTIFS($W$2:$W$501,$W269,$D$2:$D$501,"&lt;&gt;"&amp;$D269)&gt;0,COUNTIFS($W$2:$W$501,$W269,$L$2:$L$501,"&lt;&gt;"&amp;$L269)&gt;0)),"The same SSN is associated with a different name or birthdate; ",""))</f>
        <v/>
      </c>
      <c r="AA269">
        <f>IF(COUNTA($A269:$U269)=0,"",IF(AND($A269&lt;&gt;"",$S269&lt;&gt;"",COUNTIFS($A$2:$A$501,$A269,$S$2:$S$501,$S269,$B$2:$B$501,"",$O$2:$O$501,"")=0),"Add an employee row for this household and plan; ","")&amp;IF(AND($X269="Dependent",COUNTIFS($A$2:$A269,$A269,$S$2:$S269,$S269,$B$2:$B269,"",$O$2:$O269,"")=0),"Place the employee row before dependent rows for this plan; ","")&amp;IF(AND($X269="Dependent",COUNTIFS($A$2:$A$501,$A269,$S$2:$S$501,$S269,$B$2:$B$501,"",$O$2:$O$501,"")&gt;0,IFERROR(OR($P269&lt;&gt;LOOKUP(2,1/(($A$2:$A$501=$A269)*($S$2:$S$501=$S269)*($B$2:$B$501="")*($O$2:$O$501="")),$P$2:$P$501),$Q269&lt;&gt;LOOKUP(2,1/(($A$2:$A$501=$A269)*($S$2:$S$501=$S269)*($B$2:$B$501="")*($O$2:$O$501="")),$Q$2:$Q$501),$R269&lt;&gt;LOOKUP(2,1/(($A$2:$A$501=$A269)*($S$2:$S$501=$S269)*($B$2:$B$501="")*($O$2:$O$501="")),$R$2:$R$501),$T269&lt;&gt;LOOKUP(2,1/(($A$2:$A$501=$A269)*($S$2:$S$501=$S269)*($B$2:$B$501="")*($O$2:$O$501="")),$T$2:$T$501),$U269&lt;&gt;LOOKUP(2,1/(($A$2:$A$501=$A269)*($S$2:$S$501=$S269)*($B$2:$B$501="")*($O$2:$O$501="")),$U$2:$U$501)),FALSE)),"Dependent row does not match the employee row for eligibility, status, coverage level, or funding; ",""))</f>
        <v/>
      </c>
      <c r="AB269">
        <f>IF(COUNTA($A269:$U269)=0,"",IF($L269="","Birthdate is required; ","")&amp;IF(AND($L269&lt;&gt;"",OR(NOT(ISNUMBER($L269)),$L269&lt;=DATE(1900,1,1),$L269&gt;TODAY())),"Birthdate must be an exact valid past date; ","")&amp;IF($P269="","Eligibility Date is required; ","")&amp;IF(AND($P269&lt;&gt;"",OR(NOT(ISNUMBER($P269)),$P269&lt;=DATE(1900,1,1))),"Eligibility Date must be a valid date; ","")&amp;IF(AND($R269="Terminated",$Q269=""),"Termination Date is required when Status is Terminated; ","")&amp;IF(AND($Q269&lt;&gt;"",OR(NOT(ISNUMBER($Q269)),$Q269&lt;=DATE(1900,1,1))),"Termination Date must be a valid date; ","")&amp;IF(AND(ISNUMBER($P269),ISNUMBER($Q269),$Q269&lt;$P269),"Termination Date cannot be before Eligibility Date; ","")&amp;IF($R269="","Status is required; ","")&amp;IF(AND($R269&lt;&gt;"",$R269&lt;&gt;"Active",$R269&lt;&gt;"Terminated"),"Status must be Active or Terminated; ","")&amp;IF(AND('START HERE'!$C$8="Terminations Only",$R269&lt;&gt;"Terminated"),"Terminations Only files must contain terminated records; ",""))</f>
        <v/>
      </c>
      <c r="AC269">
        <f>IF(COUNTA($A269:$U269)=0,"",IF($S269="","Plan Name is required; ","")&amp;IF($T269="","Benefit Coverage Level is required; ","")&amp;IF(AND($U269&lt;&gt;"",OR(NOT(ISNUMBER($U269)),$U269&lt;0)),"Plan Funding Amount must be a nonnegative number; ","")&amp;IF(AND($A269&lt;&gt;"",$S269&lt;&gt;"",COUNTIFS($A$2:$A$501,$A269,$B$2:$B$501,$B269,$S$2:$S$501,$S269)&gt;1),"Duplicate participant and plan row; ",""))</f>
        <v/>
      </c>
      <c r="AD269">
        <f>IF(COUNTA($A269:$U269)=0,"",IF(AND($X269="Employee",$M269="",$N269=""),"No employee phone or email provided; ","")&amp;IF(AND($R269="Active",$Q269&lt;&gt;""),"Active record includes a Termination Date; confirm this is intentional; ","")&amp;IF(AND($B269&lt;&gt;"",$B269&amp;""&lt;&gt;$A269&amp;"",COUNTIF($A$2:$A$501,$B269)&gt;0),"Dependent SSN also appears as an Employee SSN elsewhere; confirm dual-employee coverage is intentional; ","")&amp;IF(AND($B269&lt;&gt;"",COUNTIF($B$2:$B$501,$B269)&gt;COUNTIFS($A$2:$A$501,$A269,$B$2:$B$501,$B269)),"Dependent SSN appears under more than one employee; confirm duplicate family coverage is intentional; ","")&amp;IF(AND(ROW()&gt;2,$A269&lt;&gt;"",$A269&lt;&gt;$A268,COUNTIF($A$2:$A268,$A269)&gt;0),"This household appears in more than one section of the census; keep the family together; ","")&amp;IF(OR(AND($C269&lt;&gt;"",LEN($C269&amp;"")&lt;&gt;LEN(TRIM($C269&amp;""))),AND($D269&lt;&gt;"",LEN($D269&amp;"")&lt;&gt;LEN(TRIM($D269&amp;""))),AND($E269&lt;&gt;"",LEN($E269&amp;"")&lt;&gt;LEN(TRIM($E269&amp;""))),AND($F269&lt;&gt;"",LEN($F269&amp;"")&lt;&gt;LEN(TRIM($F269&amp;""))),AND($G269&lt;&gt;"",LEN($G269&amp;"")&lt;&gt;LEN(TRIM($G269&amp;""))),AND($H269&lt;&gt;"",LEN($H269&amp;"")&lt;&gt;LEN(TRIM($H269&amp;""))),AND($I269&lt;&gt;"",LEN($I269&amp;"")&lt;&gt;LEN(TRIM($I269&amp;""))),AND($J269&lt;&gt;"",LEN($J269&amp;"")&lt;&gt;LEN(TRIM($J269&amp;""))),AND($K269&lt;&gt;"",LEN($K269&amp;"")&lt;&gt;LEN(TRIM($K269&amp;""))),AND($M269&lt;&gt;"",LEN($M269&amp;"")&lt;&gt;LEN(TRIM($M269&amp;""))),AND($N269&lt;&gt;"",LEN($N269&amp;"")&lt;&gt;LEN(TRIM($N269&amp;""))),AND($O269&lt;&gt;"",LEN($O269&amp;"")&lt;&gt;LEN(TRIM($O269&amp;""))),AND($R269&lt;&gt;"",LEN($R269&amp;"")&lt;&gt;LEN(TRIM($R269&amp;""))),AND($S269&lt;&gt;"",LEN($S269&amp;"")&lt;&gt;LEN(TRIM($S269&amp;""))),AND($T269&lt;&gt;"",LEN($T269&amp;"")&lt;&gt;LEN(TRIM($T269&amp;"")))),"Remove leading or trailing spaces from text fields; ","")&amp;IF(OR(AND(LEN($C269)&gt;1,OR(EXACT($C269,UPPER($C269)),EXACT($C269,LOWER($C269)))),AND(LEN($D269)&gt;1,OR(EXACT($D269,UPPER($D269)),EXACT($D269,LOWER($D269)))),AND(LEN($H269)&gt;1,OR(EXACT($H269,UPPER($H269)),EXACT($H269,LOWER($H269))))),"Review capitalization in First Name, Last Name, or City; ","")&amp;IF(AND($N269&lt;&gt;"",NOT(EXACT($N269,LOWER($N269)))),"Email will be standardized to lowercase in the clean output; ","")&amp;IF(AND(OR('START HERE'!$C$8="Initial Enrollment",'START HERE'!$C$8="Open Enrollment"),$R269="Terminated"),"A terminated row is included in an initial or open enrollment file; confirm this is intentional; ",""))</f>
        <v/>
      </c>
      <c r="AE269">
        <f>IF(COUNTA($A269:$U269)=0,"",IF(OR($A269="",AND($A269&lt;&gt;"",NOT(IFERROR(AND(LEN($A269&amp;"")=9,ISNUMBER(--($A269&amp;""))),FALSE))),AND($A269&lt;&gt;"",OR($A269="123456789",$A269="987654321",$A269="012345678",$A269=REPT(LEFT($A269&amp;"",1),9)))),"Employee SSN, ","")&amp;IF(OR(AND($O269&lt;&gt;"",$B269=""),AND($B269&lt;&gt;"",OR(NOT(IFERROR(AND(LEN($B269&amp;"")=9,ISNUMBER(--($B269&amp;""))),FALSE)),$B269=$A269,$B269="123456789",$B269="987654321",$B269="012345678",$B269=REPT(LEFT($B269&amp;"",1),9)))),"Dependent SSN, ","")&amp;IF(OR($C269="",LEN($C269)&gt;19,AND($C269&lt;&gt;"",SUMPRODUCT(--(ROW($1:$19)&lt;=LEN($C269&amp;"")),--ISERROR(FIND(MID($C269&amp;"",ROW($1:$19),1),"ABCDEFGHIJKLMNOPQRSTUVWXYZabcdefghijklmnopqrstuvwxyz .,")))&gt;0)),"First Name, ","")&amp;IF(OR($D269="",LEN($D269)&gt;26,AND($D269&lt;&gt;"",SUMPRODUCT(--(ROW($1:$26)&lt;=LEN($D269&amp;"")),--ISERROR(FIND(MID($D269&amp;"",ROW($1:$26),1),"ABCDEFGHIJKLMNOPQRSTUVWXYZabcdefghijklmnopqrstuvwxyz .,")))&gt;0)),"Last Name, ","")&amp;IF(OR(LEN($E269)&gt;1,AND($E269&lt;&gt;"",SUMPRODUCT(--(ROW($1:$1)&lt;=LEN($E269&amp;"")),--ISERROR(FIND(MID($E269&amp;"",ROW($1:$1),1),"ABCDEFGHIJKLMNOPQRSTUVWXYZabcdefghijklmnopqrstuvwxyz .,")))&gt;0)),"Middle Initial, ","")&amp;IF(OR($F269="",LEN($F269)&gt;75),"Address, ","")&amp;IF(OR($H269="",LEN($H269)&gt;30),"City, ","")&amp;IF(AND($K269="US",OR($I269="",LEN($I269)&lt;&gt;2)),"State, ","")&amp;IF($J269="","ZIP, ","")&amp;IF(OR($K269="",AND($K269&lt;&gt;"US",$K269&lt;&gt;"CA")),"Country, ","")&amp;IF(OR($L269="",AND($L269&lt;&gt;"",OR(NOT(ISNUMBER($L269)),$L269&lt;=DATE(1900,1,1),$L269&gt;TODAY()))),"Birthdate, ","")&amp;IF(AND($N269&lt;&gt;"",NOT(IFERROR(AND(ISNUMBER(SEARCH("@",$N269)),ISNUMBER(SEARCH(".",$N269,SEARCH("@",$N269)+2))),FALSE))),"Email, ","")&amp;IF(OR(AND($B269&lt;&gt;"",$O269=""),AND($O269&lt;&gt;"",$O269&lt;&gt;"Spouse or Common Law Spouse",$O269&lt;&gt;"Domestic Partner",$O269&lt;&gt;"Child",$O269&lt;&gt;"Other",$O269&lt;&gt;"Estate",$O269&lt;&gt;"Unknown")),"Dependent Relationship, ","")&amp;IF($AA269&lt;&gt;"","Household, ","")&amp;IF(OR($P269="",AND($P269&lt;&gt;"",OR(NOT(ISNUMBER($P269)),$P269&lt;=DATE(1900,1,1)))),"Eligibility Date, ","")&amp;IF(OR(AND($R269="Terminated",$Q269=""),AND($Q269&lt;&gt;"",OR(NOT(ISNUMBER($Q269)),$Q269&lt;=DATE(1900,1,1))),AND(ISNUMBER($P269),ISNUMBER($Q269),$Q269&lt;$P269)),"Termination Date, ","")&amp;IF(OR($R269="",AND($R269&lt;&gt;"Active",$R269&lt;&gt;"Terminated"),AND('START HERE'!$C$8="Terminations Only",$R269&lt;&gt;"Terminated")),"Status, ","")&amp;IF($S269="","Plan Name, ","")&amp;IF($T269="","Coverage Level, ","")&amp;IF(AND($U269&lt;&gt;"",OR(NOT(ISNUMBER($U269)),$U269&lt;0)),"Funding, ","")&amp;IF(AND($A269&lt;&gt;"",$S269&lt;&gt;"",COUNTIFS($A$2:$A$501,$A269,$B$2:$B$501,$B269,$S$2:$S$501,$S269)&gt;1),"Duplicate Row, ",""))</f>
        <v/>
      </c>
      <c r="AF269">
        <f>IF(COUNTA($A269:$U269)=0,"",$Y269&amp;$Z269&amp;$AA269&amp;$AB269&amp;$AC269)</f>
        <v/>
      </c>
      <c r="AG269">
        <f>IF($N269="","",LOWER(TRIM($N269)))</f>
        <v/>
      </c>
      <c r="AH269">
        <f>IF($A269="","",COUNTIFS($A$2:$A$501,$A269,$AI$2:$AI$501,1))</f>
        <v/>
      </c>
      <c r="AI269">
        <f>IF(COUNTA($A269:$U269)=0,"",--($AF269&lt;&gt;""))</f>
        <v/>
      </c>
      <c r="AJ269">
        <f>IF(COUNTA($A269:$U269)=0,"",--($AD269&lt;&gt;""))</f>
        <v/>
      </c>
    </row>
    <row r="270" ht="20" customHeight="1">
      <c r="A270" s="80" t="n"/>
      <c r="B270" s="80" t="n"/>
      <c r="C270" s="81" t="n"/>
      <c r="D270" s="81" t="n"/>
      <c r="E270" s="80" t="n"/>
      <c r="F270" s="81" t="n"/>
      <c r="G270" s="81" t="n"/>
      <c r="H270" s="81" t="n"/>
      <c r="I270" s="80" t="n"/>
      <c r="J270" s="80" t="n"/>
      <c r="K270" s="80" t="n"/>
      <c r="L270" s="82" t="n"/>
      <c r="M270" s="80" t="n"/>
      <c r="N270" s="80" t="n"/>
      <c r="O270" s="80" t="n"/>
      <c r="P270" s="82" t="n"/>
      <c r="Q270" s="82" t="n"/>
      <c r="R270" s="80" t="n"/>
      <c r="S270" s="80" t="n"/>
      <c r="T270" s="80" t="n"/>
      <c r="U270" s="83" t="n"/>
      <c r="V270">
        <f>IF($A270="","",IF($A270=$A269,$V269,IF($V269="",0,1-$V269)))</f>
        <v/>
      </c>
      <c r="W270">
        <f>IF($B270&lt;&gt;"",$B270,$A270)</f>
        <v/>
      </c>
      <c r="X270">
        <f>IF(COUNTA($A270:$U270)=0,"",IF(OR($B270&lt;&gt;"",$O270&lt;&gt;""),"Dependent","Employee"))</f>
        <v/>
      </c>
      <c r="Y270">
        <f>IF(COUNTA($A270:$U270)=0,"",IF($A270="","Employee SSN is required; ","")&amp;IF($C270="","First Name is required; ","")&amp;IF(LEN($C270&amp;"")&gt;19,"First Name exceeds 19 characters; ","")&amp;IF(AND($C270&lt;&gt;"",SUMPRODUCT(--(ROW($1:$19)&lt;=LEN($C270&amp;"")),--ISERROR(FIND(MID($C270&amp;"",ROW($1:$19),1),"ABCDEFGHIJKLMNOPQRSTUVWXYZabcdefghijklmnopqrstuvwxyz .,")))&gt;0),"First Name contains unsupported or encoded characters; use plain A-Z letters only; ","")&amp;IF($D270="","Last Name is required; ","")&amp;IF(LEN($D270&amp;"")&gt;26,"Last Name exceeds 26 characters; ","")&amp;IF(AND($D270&lt;&gt;"",SUMPRODUCT(--(ROW($1:$26)&lt;=LEN($D270&amp;"")),--ISERROR(FIND(MID($D270&amp;"",ROW($1:$26),1),"ABCDEFGHIJKLMNOPQRSTUVWXYZabcdefghijklmnopqrstuvwxyz .,")))&gt;0),"Last Name contains unsupported or encoded characters; use plain A-Z letters only; ","")&amp;IF(LEN($E270&amp;"")&gt;1,"Middle Initial may contain only one character; ","")&amp;IF(AND($E270&lt;&gt;"",SUMPRODUCT(--(ROW($1:$1)&lt;=LEN($E270&amp;"")),--ISERROR(FIND(MID($E270&amp;"",ROW($1:$1),1),"ABCDEFGHIJKLMNOPQRSTUVWXYZabcdefghijklmnopqrstuvwxyz .,")))&gt;0),"Middle Initial must be a plain A-Z letter; ","")&amp;IF($F270="","Address is required; ","")&amp;IF(LEN($F270&amp;"")&gt;75,"Address exceeds 75 characters; ","")&amp;IF(LEN($G270&amp;"")&gt;75,"Address 2 exceeds 75 characters; ","")&amp;IF($H270="","City is required; ","")&amp;IF(LEN($H270&amp;"")&gt;30,"City exceeds 30 characters; ","")&amp;IF($K270="","Country is required; ","")&amp;IF(AND($K270&lt;&gt;"",$K270&lt;&gt;"US",$K270&lt;&gt;"CA"),"Country must be US or CA; ","")&amp;IF(AND($K270="US",OR($I270="",LEN($I270&amp;"")&lt;&gt;2)),"Use a 2-letter state code; ","")&amp;IF($J270="","ZIP or postal code is required; ","")&amp;IF(AND($K270="US",$J270&lt;&gt;"",NOT(IFERROR(OR(AND(LEN($J270&amp;"")=5,ISNUMBER(--($J270&amp;""))),AND(LEN($J270&amp;"")=9,ISNUMBER(--($J270&amp;""))),AND(LEN($J270&amp;"")=10,MID($J270&amp;"",6,1)="-",ISNUMBER(--SUBSTITUTE($J270&amp;"","-","")))),FALSE))),"US ZIP must be 5 or 9 digits, with an optional ZIP+4 hyphen; ","")&amp;IF(AND($N270&lt;&gt;"",NOT(IFERROR(AND(ISNUMBER(SEARCH("@",$N270)),ISNUMBER(SEARCH(".",$N270,SEARCH("@",$N270)+2))),FALSE))),"Email format appears invalid; ","")&amp;IF(AND($O270&lt;&gt;"",$B270=""),"Dependent SSN is required for every dependent; ","")&amp;IF(AND($B270&lt;&gt;"",$O270=""),"Dependent Relationship is required when Dependent SSN is entered; ","")&amp;IF(AND($O270&lt;&gt;"",$O270&lt;&gt;"Spouse or Common Law Spouse",$O270&lt;&gt;"Domestic Partner",$O270&lt;&gt;"Child",$O270&lt;&gt;"Other",$O270&lt;&gt;"Estate",$O270&lt;&gt;"Unknown"),"Dependent Relationship must use one of the approved options; ",""))</f>
        <v/>
      </c>
      <c r="Z270">
        <f>IF(COUNTA($A270:$U270)=0,"",IF(AND($A270&lt;&gt;"",NOT(IFERROR(AND(LEN($A270&amp;"")=9,ISNUMBER(--($A270&amp;""))),FALSE))),"Employee SSN must contain exactly 9 digits; ","")&amp;IF(AND($A270&lt;&gt;"",OR($A270="123456789",$A270="987654321",$A270="012345678",$A270=REPT(LEFT($A270&amp;"",1),9))),"Employee SSN appears to be a placeholder; ","")&amp;IF(AND($B270&lt;&gt;"",NOT(IFERROR(AND(LEN($B270&amp;"")=9,ISNUMBER(--($B270&amp;""))),FALSE))),"Dependent SSN must contain exactly 9 digits; ","")&amp;IF(AND($B270&lt;&gt;"",OR($B270="123456789",$B270="987654321",$B270="012345678",$B270=REPT(LEFT($B270&amp;"",1),9))),"Dependent SSN appears to be a placeholder; ","")&amp;IF(AND($A270&lt;&gt;"",$B270&lt;&gt;"",$A270&amp;""=$B270&amp;""),"Dependent SSN cannot match Employee SSN; ","")&amp;IF(AND($W270&lt;&gt;"",OR(COUNTIFS($W$2:$W$501,$W270,$C$2:$C$501,"&lt;&gt;"&amp;$C270)&gt;0,COUNTIFS($W$2:$W$501,$W270,$D$2:$D$501,"&lt;&gt;"&amp;$D270)&gt;0,COUNTIFS($W$2:$W$501,$W270,$L$2:$L$501,"&lt;&gt;"&amp;$L270)&gt;0)),"The same SSN is associated with a different name or birthdate; ",""))</f>
        <v/>
      </c>
      <c r="AA270">
        <f>IF(COUNTA($A270:$U270)=0,"",IF(AND($A270&lt;&gt;"",$S270&lt;&gt;"",COUNTIFS($A$2:$A$501,$A270,$S$2:$S$501,$S270,$B$2:$B$501,"",$O$2:$O$501,"")=0),"Add an employee row for this household and plan; ","")&amp;IF(AND($X270="Dependent",COUNTIFS($A$2:$A270,$A270,$S$2:$S270,$S270,$B$2:$B270,"",$O$2:$O270,"")=0),"Place the employee row before dependent rows for this plan; ","")&amp;IF(AND($X270="Dependent",COUNTIFS($A$2:$A$501,$A270,$S$2:$S$501,$S270,$B$2:$B$501,"",$O$2:$O$501,"")&gt;0,IFERROR(OR($P270&lt;&gt;LOOKUP(2,1/(($A$2:$A$501=$A270)*($S$2:$S$501=$S270)*($B$2:$B$501="")*($O$2:$O$501="")),$P$2:$P$501),$Q270&lt;&gt;LOOKUP(2,1/(($A$2:$A$501=$A270)*($S$2:$S$501=$S270)*($B$2:$B$501="")*($O$2:$O$501="")),$Q$2:$Q$501),$R270&lt;&gt;LOOKUP(2,1/(($A$2:$A$501=$A270)*($S$2:$S$501=$S270)*($B$2:$B$501="")*($O$2:$O$501="")),$R$2:$R$501),$T270&lt;&gt;LOOKUP(2,1/(($A$2:$A$501=$A270)*($S$2:$S$501=$S270)*($B$2:$B$501="")*($O$2:$O$501="")),$T$2:$T$501),$U270&lt;&gt;LOOKUP(2,1/(($A$2:$A$501=$A270)*($S$2:$S$501=$S270)*($B$2:$B$501="")*($O$2:$O$501="")),$U$2:$U$501)),FALSE)),"Dependent row does not match the employee row for eligibility, status, coverage level, or funding; ",""))</f>
        <v/>
      </c>
      <c r="AB270">
        <f>IF(COUNTA($A270:$U270)=0,"",IF($L270="","Birthdate is required; ","")&amp;IF(AND($L270&lt;&gt;"",OR(NOT(ISNUMBER($L270)),$L270&lt;=DATE(1900,1,1),$L270&gt;TODAY())),"Birthdate must be an exact valid past date; ","")&amp;IF($P270="","Eligibility Date is required; ","")&amp;IF(AND($P270&lt;&gt;"",OR(NOT(ISNUMBER($P270)),$P270&lt;=DATE(1900,1,1))),"Eligibility Date must be a valid date; ","")&amp;IF(AND($R270="Terminated",$Q270=""),"Termination Date is required when Status is Terminated; ","")&amp;IF(AND($Q270&lt;&gt;"",OR(NOT(ISNUMBER($Q270)),$Q270&lt;=DATE(1900,1,1))),"Termination Date must be a valid date; ","")&amp;IF(AND(ISNUMBER($P270),ISNUMBER($Q270),$Q270&lt;$P270),"Termination Date cannot be before Eligibility Date; ","")&amp;IF($R270="","Status is required; ","")&amp;IF(AND($R270&lt;&gt;"",$R270&lt;&gt;"Active",$R270&lt;&gt;"Terminated"),"Status must be Active or Terminated; ","")&amp;IF(AND('START HERE'!$C$8="Terminations Only",$R270&lt;&gt;"Terminated"),"Terminations Only files must contain terminated records; ",""))</f>
        <v/>
      </c>
      <c r="AC270">
        <f>IF(COUNTA($A270:$U270)=0,"",IF($S270="","Plan Name is required; ","")&amp;IF($T270="","Benefit Coverage Level is required; ","")&amp;IF(AND($U270&lt;&gt;"",OR(NOT(ISNUMBER($U270)),$U270&lt;0)),"Plan Funding Amount must be a nonnegative number; ","")&amp;IF(AND($A270&lt;&gt;"",$S270&lt;&gt;"",COUNTIFS($A$2:$A$501,$A270,$B$2:$B$501,$B270,$S$2:$S$501,$S270)&gt;1),"Duplicate participant and plan row; ",""))</f>
        <v/>
      </c>
      <c r="AD270">
        <f>IF(COUNTA($A270:$U270)=0,"",IF(AND($X270="Employee",$M270="",$N270=""),"No employee phone or email provided; ","")&amp;IF(AND($R270="Active",$Q270&lt;&gt;""),"Active record includes a Termination Date; confirm this is intentional; ","")&amp;IF(AND($B270&lt;&gt;"",$B270&amp;""&lt;&gt;$A270&amp;"",COUNTIF($A$2:$A$501,$B270)&gt;0),"Dependent SSN also appears as an Employee SSN elsewhere; confirm dual-employee coverage is intentional; ","")&amp;IF(AND($B270&lt;&gt;"",COUNTIF($B$2:$B$501,$B270)&gt;COUNTIFS($A$2:$A$501,$A270,$B$2:$B$501,$B270)),"Dependent SSN appears under more than one employee; confirm duplicate family coverage is intentional; ","")&amp;IF(AND(ROW()&gt;2,$A270&lt;&gt;"",$A270&lt;&gt;$A269,COUNTIF($A$2:$A269,$A270)&gt;0),"This household appears in more than one section of the census; keep the family together; ","")&amp;IF(OR(AND($C270&lt;&gt;"",LEN($C270&amp;"")&lt;&gt;LEN(TRIM($C270&amp;""))),AND($D270&lt;&gt;"",LEN($D270&amp;"")&lt;&gt;LEN(TRIM($D270&amp;""))),AND($E270&lt;&gt;"",LEN($E270&amp;"")&lt;&gt;LEN(TRIM($E270&amp;""))),AND($F270&lt;&gt;"",LEN($F270&amp;"")&lt;&gt;LEN(TRIM($F270&amp;""))),AND($G270&lt;&gt;"",LEN($G270&amp;"")&lt;&gt;LEN(TRIM($G270&amp;""))),AND($H270&lt;&gt;"",LEN($H270&amp;"")&lt;&gt;LEN(TRIM($H270&amp;""))),AND($I270&lt;&gt;"",LEN($I270&amp;"")&lt;&gt;LEN(TRIM($I270&amp;""))),AND($J270&lt;&gt;"",LEN($J270&amp;"")&lt;&gt;LEN(TRIM($J270&amp;""))),AND($K270&lt;&gt;"",LEN($K270&amp;"")&lt;&gt;LEN(TRIM($K270&amp;""))),AND($M270&lt;&gt;"",LEN($M270&amp;"")&lt;&gt;LEN(TRIM($M270&amp;""))),AND($N270&lt;&gt;"",LEN($N270&amp;"")&lt;&gt;LEN(TRIM($N270&amp;""))),AND($O270&lt;&gt;"",LEN($O270&amp;"")&lt;&gt;LEN(TRIM($O270&amp;""))),AND($R270&lt;&gt;"",LEN($R270&amp;"")&lt;&gt;LEN(TRIM($R270&amp;""))),AND($S270&lt;&gt;"",LEN($S270&amp;"")&lt;&gt;LEN(TRIM($S270&amp;""))),AND($T270&lt;&gt;"",LEN($T270&amp;"")&lt;&gt;LEN(TRIM($T270&amp;"")))),"Remove leading or trailing spaces from text fields; ","")&amp;IF(OR(AND(LEN($C270)&gt;1,OR(EXACT($C270,UPPER($C270)),EXACT($C270,LOWER($C270)))),AND(LEN($D270)&gt;1,OR(EXACT($D270,UPPER($D270)),EXACT($D270,LOWER($D270)))),AND(LEN($H270)&gt;1,OR(EXACT($H270,UPPER($H270)),EXACT($H270,LOWER($H270))))),"Review capitalization in First Name, Last Name, or City; ","")&amp;IF(AND($N270&lt;&gt;"",NOT(EXACT($N270,LOWER($N270)))),"Email will be standardized to lowercase in the clean output; ","")&amp;IF(AND(OR('START HERE'!$C$8="Initial Enrollment",'START HERE'!$C$8="Open Enrollment"),$R270="Terminated"),"A terminated row is included in an initial or open enrollment file; confirm this is intentional; ",""))</f>
        <v/>
      </c>
      <c r="AE270">
        <f>IF(COUNTA($A270:$U270)=0,"",IF(OR($A270="",AND($A270&lt;&gt;"",NOT(IFERROR(AND(LEN($A270&amp;"")=9,ISNUMBER(--($A270&amp;""))),FALSE))),AND($A270&lt;&gt;"",OR($A270="123456789",$A270="987654321",$A270="012345678",$A270=REPT(LEFT($A270&amp;"",1),9)))),"Employee SSN, ","")&amp;IF(OR(AND($O270&lt;&gt;"",$B270=""),AND($B270&lt;&gt;"",OR(NOT(IFERROR(AND(LEN($B270&amp;"")=9,ISNUMBER(--($B270&amp;""))),FALSE)),$B270=$A270,$B270="123456789",$B270="987654321",$B270="012345678",$B270=REPT(LEFT($B270&amp;"",1),9)))),"Dependent SSN, ","")&amp;IF(OR($C270="",LEN($C270)&gt;19,AND($C270&lt;&gt;"",SUMPRODUCT(--(ROW($1:$19)&lt;=LEN($C270&amp;"")),--ISERROR(FIND(MID($C270&amp;"",ROW($1:$19),1),"ABCDEFGHIJKLMNOPQRSTUVWXYZabcdefghijklmnopqrstuvwxyz .,")))&gt;0)),"First Name, ","")&amp;IF(OR($D270="",LEN($D270)&gt;26,AND($D270&lt;&gt;"",SUMPRODUCT(--(ROW($1:$26)&lt;=LEN($D270&amp;"")),--ISERROR(FIND(MID($D270&amp;"",ROW($1:$26),1),"ABCDEFGHIJKLMNOPQRSTUVWXYZabcdefghijklmnopqrstuvwxyz .,")))&gt;0)),"Last Name, ","")&amp;IF(OR(LEN($E270)&gt;1,AND($E270&lt;&gt;"",SUMPRODUCT(--(ROW($1:$1)&lt;=LEN($E270&amp;"")),--ISERROR(FIND(MID($E270&amp;"",ROW($1:$1),1),"ABCDEFGHIJKLMNOPQRSTUVWXYZabcdefghijklmnopqrstuvwxyz .,")))&gt;0)),"Middle Initial, ","")&amp;IF(OR($F270="",LEN($F270)&gt;75),"Address, ","")&amp;IF(OR($H270="",LEN($H270)&gt;30),"City, ","")&amp;IF(AND($K270="US",OR($I270="",LEN($I270)&lt;&gt;2)),"State, ","")&amp;IF($J270="","ZIP, ","")&amp;IF(OR($K270="",AND($K270&lt;&gt;"US",$K270&lt;&gt;"CA")),"Country, ","")&amp;IF(OR($L270="",AND($L270&lt;&gt;"",OR(NOT(ISNUMBER($L270)),$L270&lt;=DATE(1900,1,1),$L270&gt;TODAY()))),"Birthdate, ","")&amp;IF(AND($N270&lt;&gt;"",NOT(IFERROR(AND(ISNUMBER(SEARCH("@",$N270)),ISNUMBER(SEARCH(".",$N270,SEARCH("@",$N270)+2))),FALSE))),"Email, ","")&amp;IF(OR(AND($B270&lt;&gt;"",$O270=""),AND($O270&lt;&gt;"",$O270&lt;&gt;"Spouse or Common Law Spouse",$O270&lt;&gt;"Domestic Partner",$O270&lt;&gt;"Child",$O270&lt;&gt;"Other",$O270&lt;&gt;"Estate",$O270&lt;&gt;"Unknown")),"Dependent Relationship, ","")&amp;IF($AA270&lt;&gt;"","Household, ","")&amp;IF(OR($P270="",AND($P270&lt;&gt;"",OR(NOT(ISNUMBER($P270)),$P270&lt;=DATE(1900,1,1)))),"Eligibility Date, ","")&amp;IF(OR(AND($R270="Terminated",$Q270=""),AND($Q270&lt;&gt;"",OR(NOT(ISNUMBER($Q270)),$Q270&lt;=DATE(1900,1,1))),AND(ISNUMBER($P270),ISNUMBER($Q270),$Q270&lt;$P270)),"Termination Date, ","")&amp;IF(OR($R270="",AND($R270&lt;&gt;"Active",$R270&lt;&gt;"Terminated"),AND('START HERE'!$C$8="Terminations Only",$R270&lt;&gt;"Terminated")),"Status, ","")&amp;IF($S270="","Plan Name, ","")&amp;IF($T270="","Coverage Level, ","")&amp;IF(AND($U270&lt;&gt;"",OR(NOT(ISNUMBER($U270)),$U270&lt;0)),"Funding, ","")&amp;IF(AND($A270&lt;&gt;"",$S270&lt;&gt;"",COUNTIFS($A$2:$A$501,$A270,$B$2:$B$501,$B270,$S$2:$S$501,$S270)&gt;1),"Duplicate Row, ",""))</f>
        <v/>
      </c>
      <c r="AF270">
        <f>IF(COUNTA($A270:$U270)=0,"",$Y270&amp;$Z270&amp;$AA270&amp;$AB270&amp;$AC270)</f>
        <v/>
      </c>
      <c r="AG270">
        <f>IF($N270="","",LOWER(TRIM($N270)))</f>
        <v/>
      </c>
      <c r="AH270">
        <f>IF($A270="","",COUNTIFS($A$2:$A$501,$A270,$AI$2:$AI$501,1))</f>
        <v/>
      </c>
      <c r="AI270">
        <f>IF(COUNTA($A270:$U270)=0,"",--($AF270&lt;&gt;""))</f>
        <v/>
      </c>
      <c r="AJ270">
        <f>IF(COUNTA($A270:$U270)=0,"",--($AD270&lt;&gt;""))</f>
        <v/>
      </c>
    </row>
    <row r="271" ht="20" customHeight="1">
      <c r="A271" s="80" t="n"/>
      <c r="B271" s="80" t="n"/>
      <c r="C271" s="81" t="n"/>
      <c r="D271" s="81" t="n"/>
      <c r="E271" s="80" t="n"/>
      <c r="F271" s="81" t="n"/>
      <c r="G271" s="81" t="n"/>
      <c r="H271" s="81" t="n"/>
      <c r="I271" s="80" t="n"/>
      <c r="J271" s="80" t="n"/>
      <c r="K271" s="80" t="n"/>
      <c r="L271" s="82" t="n"/>
      <c r="M271" s="80" t="n"/>
      <c r="N271" s="80" t="n"/>
      <c r="O271" s="80" t="n"/>
      <c r="P271" s="82" t="n"/>
      <c r="Q271" s="82" t="n"/>
      <c r="R271" s="80" t="n"/>
      <c r="S271" s="80" t="n"/>
      <c r="T271" s="80" t="n"/>
      <c r="U271" s="83" t="n"/>
      <c r="V271">
        <f>IF($A271="","",IF($A271=$A270,$V270,IF($V270="",0,1-$V270)))</f>
        <v/>
      </c>
      <c r="W271">
        <f>IF($B271&lt;&gt;"",$B271,$A271)</f>
        <v/>
      </c>
      <c r="X271">
        <f>IF(COUNTA($A271:$U271)=0,"",IF(OR($B271&lt;&gt;"",$O271&lt;&gt;""),"Dependent","Employee"))</f>
        <v/>
      </c>
      <c r="Y271">
        <f>IF(COUNTA($A271:$U271)=0,"",IF($A271="","Employee SSN is required; ","")&amp;IF($C271="","First Name is required; ","")&amp;IF(LEN($C271&amp;"")&gt;19,"First Name exceeds 19 characters; ","")&amp;IF(AND($C271&lt;&gt;"",SUMPRODUCT(--(ROW($1:$19)&lt;=LEN($C271&amp;"")),--ISERROR(FIND(MID($C271&amp;"",ROW($1:$19),1),"ABCDEFGHIJKLMNOPQRSTUVWXYZabcdefghijklmnopqrstuvwxyz .,")))&gt;0),"First Name contains unsupported or encoded characters; use plain A-Z letters only; ","")&amp;IF($D271="","Last Name is required; ","")&amp;IF(LEN($D271&amp;"")&gt;26,"Last Name exceeds 26 characters; ","")&amp;IF(AND($D271&lt;&gt;"",SUMPRODUCT(--(ROW($1:$26)&lt;=LEN($D271&amp;"")),--ISERROR(FIND(MID($D271&amp;"",ROW($1:$26),1),"ABCDEFGHIJKLMNOPQRSTUVWXYZabcdefghijklmnopqrstuvwxyz .,")))&gt;0),"Last Name contains unsupported or encoded characters; use plain A-Z letters only; ","")&amp;IF(LEN($E271&amp;"")&gt;1,"Middle Initial may contain only one character; ","")&amp;IF(AND($E271&lt;&gt;"",SUMPRODUCT(--(ROW($1:$1)&lt;=LEN($E271&amp;"")),--ISERROR(FIND(MID($E271&amp;"",ROW($1:$1),1),"ABCDEFGHIJKLMNOPQRSTUVWXYZabcdefghijklmnopqrstuvwxyz .,")))&gt;0),"Middle Initial must be a plain A-Z letter; ","")&amp;IF($F271="","Address is required; ","")&amp;IF(LEN($F271&amp;"")&gt;75,"Address exceeds 75 characters; ","")&amp;IF(LEN($G271&amp;"")&gt;75,"Address 2 exceeds 75 characters; ","")&amp;IF($H271="","City is required; ","")&amp;IF(LEN($H271&amp;"")&gt;30,"City exceeds 30 characters; ","")&amp;IF($K271="","Country is required; ","")&amp;IF(AND($K271&lt;&gt;"",$K271&lt;&gt;"US",$K271&lt;&gt;"CA"),"Country must be US or CA; ","")&amp;IF(AND($K271="US",OR($I271="",LEN($I271&amp;"")&lt;&gt;2)),"Use a 2-letter state code; ","")&amp;IF($J271="","ZIP or postal code is required; ","")&amp;IF(AND($K271="US",$J271&lt;&gt;"",NOT(IFERROR(OR(AND(LEN($J271&amp;"")=5,ISNUMBER(--($J271&amp;""))),AND(LEN($J271&amp;"")=9,ISNUMBER(--($J271&amp;""))),AND(LEN($J271&amp;"")=10,MID($J271&amp;"",6,1)="-",ISNUMBER(--SUBSTITUTE($J271&amp;"","-","")))),FALSE))),"US ZIP must be 5 or 9 digits, with an optional ZIP+4 hyphen; ","")&amp;IF(AND($N271&lt;&gt;"",NOT(IFERROR(AND(ISNUMBER(SEARCH("@",$N271)),ISNUMBER(SEARCH(".",$N271,SEARCH("@",$N271)+2))),FALSE))),"Email format appears invalid; ","")&amp;IF(AND($O271&lt;&gt;"",$B271=""),"Dependent SSN is required for every dependent; ","")&amp;IF(AND($B271&lt;&gt;"",$O271=""),"Dependent Relationship is required when Dependent SSN is entered; ","")&amp;IF(AND($O271&lt;&gt;"",$O271&lt;&gt;"Spouse or Common Law Spouse",$O271&lt;&gt;"Domestic Partner",$O271&lt;&gt;"Child",$O271&lt;&gt;"Other",$O271&lt;&gt;"Estate",$O271&lt;&gt;"Unknown"),"Dependent Relationship must use one of the approved options; ",""))</f>
        <v/>
      </c>
      <c r="Z271">
        <f>IF(COUNTA($A271:$U271)=0,"",IF(AND($A271&lt;&gt;"",NOT(IFERROR(AND(LEN($A271&amp;"")=9,ISNUMBER(--($A271&amp;""))),FALSE))),"Employee SSN must contain exactly 9 digits; ","")&amp;IF(AND($A271&lt;&gt;"",OR($A271="123456789",$A271="987654321",$A271="012345678",$A271=REPT(LEFT($A271&amp;"",1),9))),"Employee SSN appears to be a placeholder; ","")&amp;IF(AND($B271&lt;&gt;"",NOT(IFERROR(AND(LEN($B271&amp;"")=9,ISNUMBER(--($B271&amp;""))),FALSE))),"Dependent SSN must contain exactly 9 digits; ","")&amp;IF(AND($B271&lt;&gt;"",OR($B271="123456789",$B271="987654321",$B271="012345678",$B271=REPT(LEFT($B271&amp;"",1),9))),"Dependent SSN appears to be a placeholder; ","")&amp;IF(AND($A271&lt;&gt;"",$B271&lt;&gt;"",$A271&amp;""=$B271&amp;""),"Dependent SSN cannot match Employee SSN; ","")&amp;IF(AND($W271&lt;&gt;"",OR(COUNTIFS($W$2:$W$501,$W271,$C$2:$C$501,"&lt;&gt;"&amp;$C271)&gt;0,COUNTIFS($W$2:$W$501,$W271,$D$2:$D$501,"&lt;&gt;"&amp;$D271)&gt;0,COUNTIFS($W$2:$W$501,$W271,$L$2:$L$501,"&lt;&gt;"&amp;$L271)&gt;0)),"The same SSN is associated with a different name or birthdate; ",""))</f>
        <v/>
      </c>
      <c r="AA271">
        <f>IF(COUNTA($A271:$U271)=0,"",IF(AND($A271&lt;&gt;"",$S271&lt;&gt;"",COUNTIFS($A$2:$A$501,$A271,$S$2:$S$501,$S271,$B$2:$B$501,"",$O$2:$O$501,"")=0),"Add an employee row for this household and plan; ","")&amp;IF(AND($X271="Dependent",COUNTIFS($A$2:$A271,$A271,$S$2:$S271,$S271,$B$2:$B271,"",$O$2:$O271,"")=0),"Place the employee row before dependent rows for this plan; ","")&amp;IF(AND($X271="Dependent",COUNTIFS($A$2:$A$501,$A271,$S$2:$S$501,$S271,$B$2:$B$501,"",$O$2:$O$501,"")&gt;0,IFERROR(OR($P271&lt;&gt;LOOKUP(2,1/(($A$2:$A$501=$A271)*($S$2:$S$501=$S271)*($B$2:$B$501="")*($O$2:$O$501="")),$P$2:$P$501),$Q271&lt;&gt;LOOKUP(2,1/(($A$2:$A$501=$A271)*($S$2:$S$501=$S271)*($B$2:$B$501="")*($O$2:$O$501="")),$Q$2:$Q$501),$R271&lt;&gt;LOOKUP(2,1/(($A$2:$A$501=$A271)*($S$2:$S$501=$S271)*($B$2:$B$501="")*($O$2:$O$501="")),$R$2:$R$501),$T271&lt;&gt;LOOKUP(2,1/(($A$2:$A$501=$A271)*($S$2:$S$501=$S271)*($B$2:$B$501="")*($O$2:$O$501="")),$T$2:$T$501),$U271&lt;&gt;LOOKUP(2,1/(($A$2:$A$501=$A271)*($S$2:$S$501=$S271)*($B$2:$B$501="")*($O$2:$O$501="")),$U$2:$U$501)),FALSE)),"Dependent row does not match the employee row for eligibility, status, coverage level, or funding; ",""))</f>
        <v/>
      </c>
      <c r="AB271">
        <f>IF(COUNTA($A271:$U271)=0,"",IF($L271="","Birthdate is required; ","")&amp;IF(AND($L271&lt;&gt;"",OR(NOT(ISNUMBER($L271)),$L271&lt;=DATE(1900,1,1),$L271&gt;TODAY())),"Birthdate must be an exact valid past date; ","")&amp;IF($P271="","Eligibility Date is required; ","")&amp;IF(AND($P271&lt;&gt;"",OR(NOT(ISNUMBER($P271)),$P271&lt;=DATE(1900,1,1))),"Eligibility Date must be a valid date; ","")&amp;IF(AND($R271="Terminated",$Q271=""),"Termination Date is required when Status is Terminated; ","")&amp;IF(AND($Q271&lt;&gt;"",OR(NOT(ISNUMBER($Q271)),$Q271&lt;=DATE(1900,1,1))),"Termination Date must be a valid date; ","")&amp;IF(AND(ISNUMBER($P271),ISNUMBER($Q271),$Q271&lt;$P271),"Termination Date cannot be before Eligibility Date; ","")&amp;IF($R271="","Status is required; ","")&amp;IF(AND($R271&lt;&gt;"",$R271&lt;&gt;"Active",$R271&lt;&gt;"Terminated"),"Status must be Active or Terminated; ","")&amp;IF(AND('START HERE'!$C$8="Terminations Only",$R271&lt;&gt;"Terminated"),"Terminations Only files must contain terminated records; ",""))</f>
        <v/>
      </c>
      <c r="AC271">
        <f>IF(COUNTA($A271:$U271)=0,"",IF($S271="","Plan Name is required; ","")&amp;IF($T271="","Benefit Coverage Level is required; ","")&amp;IF(AND($U271&lt;&gt;"",OR(NOT(ISNUMBER($U271)),$U271&lt;0)),"Plan Funding Amount must be a nonnegative number; ","")&amp;IF(AND($A271&lt;&gt;"",$S271&lt;&gt;"",COUNTIFS($A$2:$A$501,$A271,$B$2:$B$501,$B271,$S$2:$S$501,$S271)&gt;1),"Duplicate participant and plan row; ",""))</f>
        <v/>
      </c>
      <c r="AD271">
        <f>IF(COUNTA($A271:$U271)=0,"",IF(AND($X271="Employee",$M271="",$N271=""),"No employee phone or email provided; ","")&amp;IF(AND($R271="Active",$Q271&lt;&gt;""),"Active record includes a Termination Date; confirm this is intentional; ","")&amp;IF(AND($B271&lt;&gt;"",$B271&amp;""&lt;&gt;$A271&amp;"",COUNTIF($A$2:$A$501,$B271)&gt;0),"Dependent SSN also appears as an Employee SSN elsewhere; confirm dual-employee coverage is intentional; ","")&amp;IF(AND($B271&lt;&gt;"",COUNTIF($B$2:$B$501,$B271)&gt;COUNTIFS($A$2:$A$501,$A271,$B$2:$B$501,$B271)),"Dependent SSN appears under more than one employee; confirm duplicate family coverage is intentional; ","")&amp;IF(AND(ROW()&gt;2,$A271&lt;&gt;"",$A271&lt;&gt;$A270,COUNTIF($A$2:$A270,$A271)&gt;0),"This household appears in more than one section of the census; keep the family together; ","")&amp;IF(OR(AND($C271&lt;&gt;"",LEN($C271&amp;"")&lt;&gt;LEN(TRIM($C271&amp;""))),AND($D271&lt;&gt;"",LEN($D271&amp;"")&lt;&gt;LEN(TRIM($D271&amp;""))),AND($E271&lt;&gt;"",LEN($E271&amp;"")&lt;&gt;LEN(TRIM($E271&amp;""))),AND($F271&lt;&gt;"",LEN($F271&amp;"")&lt;&gt;LEN(TRIM($F271&amp;""))),AND($G271&lt;&gt;"",LEN($G271&amp;"")&lt;&gt;LEN(TRIM($G271&amp;""))),AND($H271&lt;&gt;"",LEN($H271&amp;"")&lt;&gt;LEN(TRIM($H271&amp;""))),AND($I271&lt;&gt;"",LEN($I271&amp;"")&lt;&gt;LEN(TRIM($I271&amp;""))),AND($J271&lt;&gt;"",LEN($J271&amp;"")&lt;&gt;LEN(TRIM($J271&amp;""))),AND($K271&lt;&gt;"",LEN($K271&amp;"")&lt;&gt;LEN(TRIM($K271&amp;""))),AND($M271&lt;&gt;"",LEN($M271&amp;"")&lt;&gt;LEN(TRIM($M271&amp;""))),AND($N271&lt;&gt;"",LEN($N271&amp;"")&lt;&gt;LEN(TRIM($N271&amp;""))),AND($O271&lt;&gt;"",LEN($O271&amp;"")&lt;&gt;LEN(TRIM($O271&amp;""))),AND($R271&lt;&gt;"",LEN($R271&amp;"")&lt;&gt;LEN(TRIM($R271&amp;""))),AND($S271&lt;&gt;"",LEN($S271&amp;"")&lt;&gt;LEN(TRIM($S271&amp;""))),AND($T271&lt;&gt;"",LEN($T271&amp;"")&lt;&gt;LEN(TRIM($T271&amp;"")))),"Remove leading or trailing spaces from text fields; ","")&amp;IF(OR(AND(LEN($C271)&gt;1,OR(EXACT($C271,UPPER($C271)),EXACT($C271,LOWER($C271)))),AND(LEN($D271)&gt;1,OR(EXACT($D271,UPPER($D271)),EXACT($D271,LOWER($D271)))),AND(LEN($H271)&gt;1,OR(EXACT($H271,UPPER($H271)),EXACT($H271,LOWER($H271))))),"Review capitalization in First Name, Last Name, or City; ","")&amp;IF(AND($N271&lt;&gt;"",NOT(EXACT($N271,LOWER($N271)))),"Email will be standardized to lowercase in the clean output; ","")&amp;IF(AND(OR('START HERE'!$C$8="Initial Enrollment",'START HERE'!$C$8="Open Enrollment"),$R271="Terminated"),"A terminated row is included in an initial or open enrollment file; confirm this is intentional; ",""))</f>
        <v/>
      </c>
      <c r="AE271">
        <f>IF(COUNTA($A271:$U271)=0,"",IF(OR($A271="",AND($A271&lt;&gt;"",NOT(IFERROR(AND(LEN($A271&amp;"")=9,ISNUMBER(--($A271&amp;""))),FALSE))),AND($A271&lt;&gt;"",OR($A271="123456789",$A271="987654321",$A271="012345678",$A271=REPT(LEFT($A271&amp;"",1),9)))),"Employee SSN, ","")&amp;IF(OR(AND($O271&lt;&gt;"",$B271=""),AND($B271&lt;&gt;"",OR(NOT(IFERROR(AND(LEN($B271&amp;"")=9,ISNUMBER(--($B271&amp;""))),FALSE)),$B271=$A271,$B271="123456789",$B271="987654321",$B271="012345678",$B271=REPT(LEFT($B271&amp;"",1),9)))),"Dependent SSN, ","")&amp;IF(OR($C271="",LEN($C271)&gt;19,AND($C271&lt;&gt;"",SUMPRODUCT(--(ROW($1:$19)&lt;=LEN($C271&amp;"")),--ISERROR(FIND(MID($C271&amp;"",ROW($1:$19),1),"ABCDEFGHIJKLMNOPQRSTUVWXYZabcdefghijklmnopqrstuvwxyz .,")))&gt;0)),"First Name, ","")&amp;IF(OR($D271="",LEN($D271)&gt;26,AND($D271&lt;&gt;"",SUMPRODUCT(--(ROW($1:$26)&lt;=LEN($D271&amp;"")),--ISERROR(FIND(MID($D271&amp;"",ROW($1:$26),1),"ABCDEFGHIJKLMNOPQRSTUVWXYZabcdefghijklmnopqrstuvwxyz .,")))&gt;0)),"Last Name, ","")&amp;IF(OR(LEN($E271)&gt;1,AND($E271&lt;&gt;"",SUMPRODUCT(--(ROW($1:$1)&lt;=LEN($E271&amp;"")),--ISERROR(FIND(MID($E271&amp;"",ROW($1:$1),1),"ABCDEFGHIJKLMNOPQRSTUVWXYZabcdefghijklmnopqrstuvwxyz .,")))&gt;0)),"Middle Initial, ","")&amp;IF(OR($F271="",LEN($F271)&gt;75),"Address, ","")&amp;IF(OR($H271="",LEN($H271)&gt;30),"City, ","")&amp;IF(AND($K271="US",OR($I271="",LEN($I271)&lt;&gt;2)),"State, ","")&amp;IF($J271="","ZIP, ","")&amp;IF(OR($K271="",AND($K271&lt;&gt;"US",$K271&lt;&gt;"CA")),"Country, ","")&amp;IF(OR($L271="",AND($L271&lt;&gt;"",OR(NOT(ISNUMBER($L271)),$L271&lt;=DATE(1900,1,1),$L271&gt;TODAY()))),"Birthdate, ","")&amp;IF(AND($N271&lt;&gt;"",NOT(IFERROR(AND(ISNUMBER(SEARCH("@",$N271)),ISNUMBER(SEARCH(".",$N271,SEARCH("@",$N271)+2))),FALSE))),"Email, ","")&amp;IF(OR(AND($B271&lt;&gt;"",$O271=""),AND($O271&lt;&gt;"",$O271&lt;&gt;"Spouse or Common Law Spouse",$O271&lt;&gt;"Domestic Partner",$O271&lt;&gt;"Child",$O271&lt;&gt;"Other",$O271&lt;&gt;"Estate",$O271&lt;&gt;"Unknown")),"Dependent Relationship, ","")&amp;IF($AA271&lt;&gt;"","Household, ","")&amp;IF(OR($P271="",AND($P271&lt;&gt;"",OR(NOT(ISNUMBER($P271)),$P271&lt;=DATE(1900,1,1)))),"Eligibility Date, ","")&amp;IF(OR(AND($R271="Terminated",$Q271=""),AND($Q271&lt;&gt;"",OR(NOT(ISNUMBER($Q271)),$Q271&lt;=DATE(1900,1,1))),AND(ISNUMBER($P271),ISNUMBER($Q271),$Q271&lt;$P271)),"Termination Date, ","")&amp;IF(OR($R271="",AND($R271&lt;&gt;"Active",$R271&lt;&gt;"Terminated"),AND('START HERE'!$C$8="Terminations Only",$R271&lt;&gt;"Terminated")),"Status, ","")&amp;IF($S271="","Plan Name, ","")&amp;IF($T271="","Coverage Level, ","")&amp;IF(AND($U271&lt;&gt;"",OR(NOT(ISNUMBER($U271)),$U271&lt;0)),"Funding, ","")&amp;IF(AND($A271&lt;&gt;"",$S271&lt;&gt;"",COUNTIFS($A$2:$A$501,$A271,$B$2:$B$501,$B271,$S$2:$S$501,$S271)&gt;1),"Duplicate Row, ",""))</f>
        <v/>
      </c>
      <c r="AF271">
        <f>IF(COUNTA($A271:$U271)=0,"",$Y271&amp;$Z271&amp;$AA271&amp;$AB271&amp;$AC271)</f>
        <v/>
      </c>
      <c r="AG271">
        <f>IF($N271="","",LOWER(TRIM($N271)))</f>
        <v/>
      </c>
      <c r="AH271">
        <f>IF($A271="","",COUNTIFS($A$2:$A$501,$A271,$AI$2:$AI$501,1))</f>
        <v/>
      </c>
      <c r="AI271">
        <f>IF(COUNTA($A271:$U271)=0,"",--($AF271&lt;&gt;""))</f>
        <v/>
      </c>
      <c r="AJ271">
        <f>IF(COUNTA($A271:$U271)=0,"",--($AD271&lt;&gt;""))</f>
        <v/>
      </c>
    </row>
    <row r="272" ht="20" customHeight="1">
      <c r="A272" s="80" t="n"/>
      <c r="B272" s="80" t="n"/>
      <c r="C272" s="81" t="n"/>
      <c r="D272" s="81" t="n"/>
      <c r="E272" s="80" t="n"/>
      <c r="F272" s="81" t="n"/>
      <c r="G272" s="81" t="n"/>
      <c r="H272" s="81" t="n"/>
      <c r="I272" s="80" t="n"/>
      <c r="J272" s="80" t="n"/>
      <c r="K272" s="80" t="n"/>
      <c r="L272" s="82" t="n"/>
      <c r="M272" s="80" t="n"/>
      <c r="N272" s="80" t="n"/>
      <c r="O272" s="80" t="n"/>
      <c r="P272" s="82" t="n"/>
      <c r="Q272" s="82" t="n"/>
      <c r="R272" s="80" t="n"/>
      <c r="S272" s="80" t="n"/>
      <c r="T272" s="80" t="n"/>
      <c r="U272" s="83" t="n"/>
      <c r="V272">
        <f>IF($A272="","",IF($A272=$A271,$V271,IF($V271="",0,1-$V271)))</f>
        <v/>
      </c>
      <c r="W272">
        <f>IF($B272&lt;&gt;"",$B272,$A272)</f>
        <v/>
      </c>
      <c r="X272">
        <f>IF(COUNTA($A272:$U272)=0,"",IF(OR($B272&lt;&gt;"",$O272&lt;&gt;""),"Dependent","Employee"))</f>
        <v/>
      </c>
      <c r="Y272">
        <f>IF(COUNTA($A272:$U272)=0,"",IF($A272="","Employee SSN is required; ","")&amp;IF($C272="","First Name is required; ","")&amp;IF(LEN($C272&amp;"")&gt;19,"First Name exceeds 19 characters; ","")&amp;IF(AND($C272&lt;&gt;"",SUMPRODUCT(--(ROW($1:$19)&lt;=LEN($C272&amp;"")),--ISERROR(FIND(MID($C272&amp;"",ROW($1:$19),1),"ABCDEFGHIJKLMNOPQRSTUVWXYZabcdefghijklmnopqrstuvwxyz .,")))&gt;0),"First Name contains unsupported or encoded characters; use plain A-Z letters only; ","")&amp;IF($D272="","Last Name is required; ","")&amp;IF(LEN($D272&amp;"")&gt;26,"Last Name exceeds 26 characters; ","")&amp;IF(AND($D272&lt;&gt;"",SUMPRODUCT(--(ROW($1:$26)&lt;=LEN($D272&amp;"")),--ISERROR(FIND(MID($D272&amp;"",ROW($1:$26),1),"ABCDEFGHIJKLMNOPQRSTUVWXYZabcdefghijklmnopqrstuvwxyz .,")))&gt;0),"Last Name contains unsupported or encoded characters; use plain A-Z letters only; ","")&amp;IF(LEN($E272&amp;"")&gt;1,"Middle Initial may contain only one character; ","")&amp;IF(AND($E272&lt;&gt;"",SUMPRODUCT(--(ROW($1:$1)&lt;=LEN($E272&amp;"")),--ISERROR(FIND(MID($E272&amp;"",ROW($1:$1),1),"ABCDEFGHIJKLMNOPQRSTUVWXYZabcdefghijklmnopqrstuvwxyz .,")))&gt;0),"Middle Initial must be a plain A-Z letter; ","")&amp;IF($F272="","Address is required; ","")&amp;IF(LEN($F272&amp;"")&gt;75,"Address exceeds 75 characters; ","")&amp;IF(LEN($G272&amp;"")&gt;75,"Address 2 exceeds 75 characters; ","")&amp;IF($H272="","City is required; ","")&amp;IF(LEN($H272&amp;"")&gt;30,"City exceeds 30 characters; ","")&amp;IF($K272="","Country is required; ","")&amp;IF(AND($K272&lt;&gt;"",$K272&lt;&gt;"US",$K272&lt;&gt;"CA"),"Country must be US or CA; ","")&amp;IF(AND($K272="US",OR($I272="",LEN($I272&amp;"")&lt;&gt;2)),"Use a 2-letter state code; ","")&amp;IF($J272="","ZIP or postal code is required; ","")&amp;IF(AND($K272="US",$J272&lt;&gt;"",NOT(IFERROR(OR(AND(LEN($J272&amp;"")=5,ISNUMBER(--($J272&amp;""))),AND(LEN($J272&amp;"")=9,ISNUMBER(--($J272&amp;""))),AND(LEN($J272&amp;"")=10,MID($J272&amp;"",6,1)="-",ISNUMBER(--SUBSTITUTE($J272&amp;"","-","")))),FALSE))),"US ZIP must be 5 or 9 digits, with an optional ZIP+4 hyphen; ","")&amp;IF(AND($N272&lt;&gt;"",NOT(IFERROR(AND(ISNUMBER(SEARCH("@",$N272)),ISNUMBER(SEARCH(".",$N272,SEARCH("@",$N272)+2))),FALSE))),"Email format appears invalid; ","")&amp;IF(AND($O272&lt;&gt;"",$B272=""),"Dependent SSN is required for every dependent; ","")&amp;IF(AND($B272&lt;&gt;"",$O272=""),"Dependent Relationship is required when Dependent SSN is entered; ","")&amp;IF(AND($O272&lt;&gt;"",$O272&lt;&gt;"Spouse or Common Law Spouse",$O272&lt;&gt;"Domestic Partner",$O272&lt;&gt;"Child",$O272&lt;&gt;"Other",$O272&lt;&gt;"Estate",$O272&lt;&gt;"Unknown"),"Dependent Relationship must use one of the approved options; ",""))</f>
        <v/>
      </c>
      <c r="Z272">
        <f>IF(COUNTA($A272:$U272)=0,"",IF(AND($A272&lt;&gt;"",NOT(IFERROR(AND(LEN($A272&amp;"")=9,ISNUMBER(--($A272&amp;""))),FALSE))),"Employee SSN must contain exactly 9 digits; ","")&amp;IF(AND($A272&lt;&gt;"",OR($A272="123456789",$A272="987654321",$A272="012345678",$A272=REPT(LEFT($A272&amp;"",1),9))),"Employee SSN appears to be a placeholder; ","")&amp;IF(AND($B272&lt;&gt;"",NOT(IFERROR(AND(LEN($B272&amp;"")=9,ISNUMBER(--($B272&amp;""))),FALSE))),"Dependent SSN must contain exactly 9 digits; ","")&amp;IF(AND($B272&lt;&gt;"",OR($B272="123456789",$B272="987654321",$B272="012345678",$B272=REPT(LEFT($B272&amp;"",1),9))),"Dependent SSN appears to be a placeholder; ","")&amp;IF(AND($A272&lt;&gt;"",$B272&lt;&gt;"",$A272&amp;""=$B272&amp;""),"Dependent SSN cannot match Employee SSN; ","")&amp;IF(AND($W272&lt;&gt;"",OR(COUNTIFS($W$2:$W$501,$W272,$C$2:$C$501,"&lt;&gt;"&amp;$C272)&gt;0,COUNTIFS($W$2:$W$501,$W272,$D$2:$D$501,"&lt;&gt;"&amp;$D272)&gt;0,COUNTIFS($W$2:$W$501,$W272,$L$2:$L$501,"&lt;&gt;"&amp;$L272)&gt;0)),"The same SSN is associated with a different name or birthdate; ",""))</f>
        <v/>
      </c>
      <c r="AA272">
        <f>IF(COUNTA($A272:$U272)=0,"",IF(AND($A272&lt;&gt;"",$S272&lt;&gt;"",COUNTIFS($A$2:$A$501,$A272,$S$2:$S$501,$S272,$B$2:$B$501,"",$O$2:$O$501,"")=0),"Add an employee row for this household and plan; ","")&amp;IF(AND($X272="Dependent",COUNTIFS($A$2:$A272,$A272,$S$2:$S272,$S272,$B$2:$B272,"",$O$2:$O272,"")=0),"Place the employee row before dependent rows for this plan; ","")&amp;IF(AND($X272="Dependent",COUNTIFS($A$2:$A$501,$A272,$S$2:$S$501,$S272,$B$2:$B$501,"",$O$2:$O$501,"")&gt;0,IFERROR(OR($P272&lt;&gt;LOOKUP(2,1/(($A$2:$A$501=$A272)*($S$2:$S$501=$S272)*($B$2:$B$501="")*($O$2:$O$501="")),$P$2:$P$501),$Q272&lt;&gt;LOOKUP(2,1/(($A$2:$A$501=$A272)*($S$2:$S$501=$S272)*($B$2:$B$501="")*($O$2:$O$501="")),$Q$2:$Q$501),$R272&lt;&gt;LOOKUP(2,1/(($A$2:$A$501=$A272)*($S$2:$S$501=$S272)*($B$2:$B$501="")*($O$2:$O$501="")),$R$2:$R$501),$T272&lt;&gt;LOOKUP(2,1/(($A$2:$A$501=$A272)*($S$2:$S$501=$S272)*($B$2:$B$501="")*($O$2:$O$501="")),$T$2:$T$501),$U272&lt;&gt;LOOKUP(2,1/(($A$2:$A$501=$A272)*($S$2:$S$501=$S272)*($B$2:$B$501="")*($O$2:$O$501="")),$U$2:$U$501)),FALSE)),"Dependent row does not match the employee row for eligibility, status, coverage level, or funding; ",""))</f>
        <v/>
      </c>
      <c r="AB272">
        <f>IF(COUNTA($A272:$U272)=0,"",IF($L272="","Birthdate is required; ","")&amp;IF(AND($L272&lt;&gt;"",OR(NOT(ISNUMBER($L272)),$L272&lt;=DATE(1900,1,1),$L272&gt;TODAY())),"Birthdate must be an exact valid past date; ","")&amp;IF($P272="","Eligibility Date is required; ","")&amp;IF(AND($P272&lt;&gt;"",OR(NOT(ISNUMBER($P272)),$P272&lt;=DATE(1900,1,1))),"Eligibility Date must be a valid date; ","")&amp;IF(AND($R272="Terminated",$Q272=""),"Termination Date is required when Status is Terminated; ","")&amp;IF(AND($Q272&lt;&gt;"",OR(NOT(ISNUMBER($Q272)),$Q272&lt;=DATE(1900,1,1))),"Termination Date must be a valid date; ","")&amp;IF(AND(ISNUMBER($P272),ISNUMBER($Q272),$Q272&lt;$P272),"Termination Date cannot be before Eligibility Date; ","")&amp;IF($R272="","Status is required; ","")&amp;IF(AND($R272&lt;&gt;"",$R272&lt;&gt;"Active",$R272&lt;&gt;"Terminated"),"Status must be Active or Terminated; ","")&amp;IF(AND('START HERE'!$C$8="Terminations Only",$R272&lt;&gt;"Terminated"),"Terminations Only files must contain terminated records; ",""))</f>
        <v/>
      </c>
      <c r="AC272">
        <f>IF(COUNTA($A272:$U272)=0,"",IF($S272="","Plan Name is required; ","")&amp;IF($T272="","Benefit Coverage Level is required; ","")&amp;IF(AND($U272&lt;&gt;"",OR(NOT(ISNUMBER($U272)),$U272&lt;0)),"Plan Funding Amount must be a nonnegative number; ","")&amp;IF(AND($A272&lt;&gt;"",$S272&lt;&gt;"",COUNTIFS($A$2:$A$501,$A272,$B$2:$B$501,$B272,$S$2:$S$501,$S272)&gt;1),"Duplicate participant and plan row; ",""))</f>
        <v/>
      </c>
      <c r="AD272">
        <f>IF(COUNTA($A272:$U272)=0,"",IF(AND($X272="Employee",$M272="",$N272=""),"No employee phone or email provided; ","")&amp;IF(AND($R272="Active",$Q272&lt;&gt;""),"Active record includes a Termination Date; confirm this is intentional; ","")&amp;IF(AND($B272&lt;&gt;"",$B272&amp;""&lt;&gt;$A272&amp;"",COUNTIF($A$2:$A$501,$B272)&gt;0),"Dependent SSN also appears as an Employee SSN elsewhere; confirm dual-employee coverage is intentional; ","")&amp;IF(AND($B272&lt;&gt;"",COUNTIF($B$2:$B$501,$B272)&gt;COUNTIFS($A$2:$A$501,$A272,$B$2:$B$501,$B272)),"Dependent SSN appears under more than one employee; confirm duplicate family coverage is intentional; ","")&amp;IF(AND(ROW()&gt;2,$A272&lt;&gt;"",$A272&lt;&gt;$A271,COUNTIF($A$2:$A271,$A272)&gt;0),"This household appears in more than one section of the census; keep the family together; ","")&amp;IF(OR(AND($C272&lt;&gt;"",LEN($C272&amp;"")&lt;&gt;LEN(TRIM($C272&amp;""))),AND($D272&lt;&gt;"",LEN($D272&amp;"")&lt;&gt;LEN(TRIM($D272&amp;""))),AND($E272&lt;&gt;"",LEN($E272&amp;"")&lt;&gt;LEN(TRIM($E272&amp;""))),AND($F272&lt;&gt;"",LEN($F272&amp;"")&lt;&gt;LEN(TRIM($F272&amp;""))),AND($G272&lt;&gt;"",LEN($G272&amp;"")&lt;&gt;LEN(TRIM($G272&amp;""))),AND($H272&lt;&gt;"",LEN($H272&amp;"")&lt;&gt;LEN(TRIM($H272&amp;""))),AND($I272&lt;&gt;"",LEN($I272&amp;"")&lt;&gt;LEN(TRIM($I272&amp;""))),AND($J272&lt;&gt;"",LEN($J272&amp;"")&lt;&gt;LEN(TRIM($J272&amp;""))),AND($K272&lt;&gt;"",LEN($K272&amp;"")&lt;&gt;LEN(TRIM($K272&amp;""))),AND($M272&lt;&gt;"",LEN($M272&amp;"")&lt;&gt;LEN(TRIM($M272&amp;""))),AND($N272&lt;&gt;"",LEN($N272&amp;"")&lt;&gt;LEN(TRIM($N272&amp;""))),AND($O272&lt;&gt;"",LEN($O272&amp;"")&lt;&gt;LEN(TRIM($O272&amp;""))),AND($R272&lt;&gt;"",LEN($R272&amp;"")&lt;&gt;LEN(TRIM($R272&amp;""))),AND($S272&lt;&gt;"",LEN($S272&amp;"")&lt;&gt;LEN(TRIM($S272&amp;""))),AND($T272&lt;&gt;"",LEN($T272&amp;"")&lt;&gt;LEN(TRIM($T272&amp;"")))),"Remove leading or trailing spaces from text fields; ","")&amp;IF(OR(AND(LEN($C272)&gt;1,OR(EXACT($C272,UPPER($C272)),EXACT($C272,LOWER($C272)))),AND(LEN($D272)&gt;1,OR(EXACT($D272,UPPER($D272)),EXACT($D272,LOWER($D272)))),AND(LEN($H272)&gt;1,OR(EXACT($H272,UPPER($H272)),EXACT($H272,LOWER($H272))))),"Review capitalization in First Name, Last Name, or City; ","")&amp;IF(AND($N272&lt;&gt;"",NOT(EXACT($N272,LOWER($N272)))),"Email will be standardized to lowercase in the clean output; ","")&amp;IF(AND(OR('START HERE'!$C$8="Initial Enrollment",'START HERE'!$C$8="Open Enrollment"),$R272="Terminated"),"A terminated row is included in an initial or open enrollment file; confirm this is intentional; ",""))</f>
        <v/>
      </c>
      <c r="AE272">
        <f>IF(COUNTA($A272:$U272)=0,"",IF(OR($A272="",AND($A272&lt;&gt;"",NOT(IFERROR(AND(LEN($A272&amp;"")=9,ISNUMBER(--($A272&amp;""))),FALSE))),AND($A272&lt;&gt;"",OR($A272="123456789",$A272="987654321",$A272="012345678",$A272=REPT(LEFT($A272&amp;"",1),9)))),"Employee SSN, ","")&amp;IF(OR(AND($O272&lt;&gt;"",$B272=""),AND($B272&lt;&gt;"",OR(NOT(IFERROR(AND(LEN($B272&amp;"")=9,ISNUMBER(--($B272&amp;""))),FALSE)),$B272=$A272,$B272="123456789",$B272="987654321",$B272="012345678",$B272=REPT(LEFT($B272&amp;"",1),9)))),"Dependent SSN, ","")&amp;IF(OR($C272="",LEN($C272)&gt;19,AND($C272&lt;&gt;"",SUMPRODUCT(--(ROW($1:$19)&lt;=LEN($C272&amp;"")),--ISERROR(FIND(MID($C272&amp;"",ROW($1:$19),1),"ABCDEFGHIJKLMNOPQRSTUVWXYZabcdefghijklmnopqrstuvwxyz .,")))&gt;0)),"First Name, ","")&amp;IF(OR($D272="",LEN($D272)&gt;26,AND($D272&lt;&gt;"",SUMPRODUCT(--(ROW($1:$26)&lt;=LEN($D272&amp;"")),--ISERROR(FIND(MID($D272&amp;"",ROW($1:$26),1),"ABCDEFGHIJKLMNOPQRSTUVWXYZabcdefghijklmnopqrstuvwxyz .,")))&gt;0)),"Last Name, ","")&amp;IF(OR(LEN($E272)&gt;1,AND($E272&lt;&gt;"",SUMPRODUCT(--(ROW($1:$1)&lt;=LEN($E272&amp;"")),--ISERROR(FIND(MID($E272&amp;"",ROW($1:$1),1),"ABCDEFGHIJKLMNOPQRSTUVWXYZabcdefghijklmnopqrstuvwxyz .,")))&gt;0)),"Middle Initial, ","")&amp;IF(OR($F272="",LEN($F272)&gt;75),"Address, ","")&amp;IF(OR($H272="",LEN($H272)&gt;30),"City, ","")&amp;IF(AND($K272="US",OR($I272="",LEN($I272)&lt;&gt;2)),"State, ","")&amp;IF($J272="","ZIP, ","")&amp;IF(OR($K272="",AND($K272&lt;&gt;"US",$K272&lt;&gt;"CA")),"Country, ","")&amp;IF(OR($L272="",AND($L272&lt;&gt;"",OR(NOT(ISNUMBER($L272)),$L272&lt;=DATE(1900,1,1),$L272&gt;TODAY()))),"Birthdate, ","")&amp;IF(AND($N272&lt;&gt;"",NOT(IFERROR(AND(ISNUMBER(SEARCH("@",$N272)),ISNUMBER(SEARCH(".",$N272,SEARCH("@",$N272)+2))),FALSE))),"Email, ","")&amp;IF(OR(AND($B272&lt;&gt;"",$O272=""),AND($O272&lt;&gt;"",$O272&lt;&gt;"Spouse or Common Law Spouse",$O272&lt;&gt;"Domestic Partner",$O272&lt;&gt;"Child",$O272&lt;&gt;"Other",$O272&lt;&gt;"Estate",$O272&lt;&gt;"Unknown")),"Dependent Relationship, ","")&amp;IF($AA272&lt;&gt;"","Household, ","")&amp;IF(OR($P272="",AND($P272&lt;&gt;"",OR(NOT(ISNUMBER($P272)),$P272&lt;=DATE(1900,1,1)))),"Eligibility Date, ","")&amp;IF(OR(AND($R272="Terminated",$Q272=""),AND($Q272&lt;&gt;"",OR(NOT(ISNUMBER($Q272)),$Q272&lt;=DATE(1900,1,1))),AND(ISNUMBER($P272),ISNUMBER($Q272),$Q272&lt;$P272)),"Termination Date, ","")&amp;IF(OR($R272="",AND($R272&lt;&gt;"Active",$R272&lt;&gt;"Terminated"),AND('START HERE'!$C$8="Terminations Only",$R272&lt;&gt;"Terminated")),"Status, ","")&amp;IF($S272="","Plan Name, ","")&amp;IF($T272="","Coverage Level, ","")&amp;IF(AND($U272&lt;&gt;"",OR(NOT(ISNUMBER($U272)),$U272&lt;0)),"Funding, ","")&amp;IF(AND($A272&lt;&gt;"",$S272&lt;&gt;"",COUNTIFS($A$2:$A$501,$A272,$B$2:$B$501,$B272,$S$2:$S$501,$S272)&gt;1),"Duplicate Row, ",""))</f>
        <v/>
      </c>
      <c r="AF272">
        <f>IF(COUNTA($A272:$U272)=0,"",$Y272&amp;$Z272&amp;$AA272&amp;$AB272&amp;$AC272)</f>
        <v/>
      </c>
      <c r="AG272">
        <f>IF($N272="","",LOWER(TRIM($N272)))</f>
        <v/>
      </c>
      <c r="AH272">
        <f>IF($A272="","",COUNTIFS($A$2:$A$501,$A272,$AI$2:$AI$501,1))</f>
        <v/>
      </c>
      <c r="AI272">
        <f>IF(COUNTA($A272:$U272)=0,"",--($AF272&lt;&gt;""))</f>
        <v/>
      </c>
      <c r="AJ272">
        <f>IF(COUNTA($A272:$U272)=0,"",--($AD272&lt;&gt;""))</f>
        <v/>
      </c>
    </row>
    <row r="273" ht="20" customHeight="1">
      <c r="A273" s="80" t="n"/>
      <c r="B273" s="80" t="n"/>
      <c r="C273" s="81" t="n"/>
      <c r="D273" s="81" t="n"/>
      <c r="E273" s="80" t="n"/>
      <c r="F273" s="81" t="n"/>
      <c r="G273" s="81" t="n"/>
      <c r="H273" s="81" t="n"/>
      <c r="I273" s="80" t="n"/>
      <c r="J273" s="80" t="n"/>
      <c r="K273" s="80" t="n"/>
      <c r="L273" s="82" t="n"/>
      <c r="M273" s="80" t="n"/>
      <c r="N273" s="80" t="n"/>
      <c r="O273" s="80" t="n"/>
      <c r="P273" s="82" t="n"/>
      <c r="Q273" s="82" t="n"/>
      <c r="R273" s="80" t="n"/>
      <c r="S273" s="80" t="n"/>
      <c r="T273" s="80" t="n"/>
      <c r="U273" s="83" t="n"/>
      <c r="V273">
        <f>IF($A273="","",IF($A273=$A272,$V272,IF($V272="",0,1-$V272)))</f>
        <v/>
      </c>
      <c r="W273">
        <f>IF($B273&lt;&gt;"",$B273,$A273)</f>
        <v/>
      </c>
      <c r="X273">
        <f>IF(COUNTA($A273:$U273)=0,"",IF(OR($B273&lt;&gt;"",$O273&lt;&gt;""),"Dependent","Employee"))</f>
        <v/>
      </c>
      <c r="Y273">
        <f>IF(COUNTA($A273:$U273)=0,"",IF($A273="","Employee SSN is required; ","")&amp;IF($C273="","First Name is required; ","")&amp;IF(LEN($C273&amp;"")&gt;19,"First Name exceeds 19 characters; ","")&amp;IF(AND($C273&lt;&gt;"",SUMPRODUCT(--(ROW($1:$19)&lt;=LEN($C273&amp;"")),--ISERROR(FIND(MID($C273&amp;"",ROW($1:$19),1),"ABCDEFGHIJKLMNOPQRSTUVWXYZabcdefghijklmnopqrstuvwxyz .,")))&gt;0),"First Name contains unsupported or encoded characters; use plain A-Z letters only; ","")&amp;IF($D273="","Last Name is required; ","")&amp;IF(LEN($D273&amp;"")&gt;26,"Last Name exceeds 26 characters; ","")&amp;IF(AND($D273&lt;&gt;"",SUMPRODUCT(--(ROW($1:$26)&lt;=LEN($D273&amp;"")),--ISERROR(FIND(MID($D273&amp;"",ROW($1:$26),1),"ABCDEFGHIJKLMNOPQRSTUVWXYZabcdefghijklmnopqrstuvwxyz .,")))&gt;0),"Last Name contains unsupported or encoded characters; use plain A-Z letters only; ","")&amp;IF(LEN($E273&amp;"")&gt;1,"Middle Initial may contain only one character; ","")&amp;IF(AND($E273&lt;&gt;"",SUMPRODUCT(--(ROW($1:$1)&lt;=LEN($E273&amp;"")),--ISERROR(FIND(MID($E273&amp;"",ROW($1:$1),1),"ABCDEFGHIJKLMNOPQRSTUVWXYZabcdefghijklmnopqrstuvwxyz .,")))&gt;0),"Middle Initial must be a plain A-Z letter; ","")&amp;IF($F273="","Address is required; ","")&amp;IF(LEN($F273&amp;"")&gt;75,"Address exceeds 75 characters; ","")&amp;IF(LEN($G273&amp;"")&gt;75,"Address 2 exceeds 75 characters; ","")&amp;IF($H273="","City is required; ","")&amp;IF(LEN($H273&amp;"")&gt;30,"City exceeds 30 characters; ","")&amp;IF($K273="","Country is required; ","")&amp;IF(AND($K273&lt;&gt;"",$K273&lt;&gt;"US",$K273&lt;&gt;"CA"),"Country must be US or CA; ","")&amp;IF(AND($K273="US",OR($I273="",LEN($I273&amp;"")&lt;&gt;2)),"Use a 2-letter state code; ","")&amp;IF($J273="","ZIP or postal code is required; ","")&amp;IF(AND($K273="US",$J273&lt;&gt;"",NOT(IFERROR(OR(AND(LEN($J273&amp;"")=5,ISNUMBER(--($J273&amp;""))),AND(LEN($J273&amp;"")=9,ISNUMBER(--($J273&amp;""))),AND(LEN($J273&amp;"")=10,MID($J273&amp;"",6,1)="-",ISNUMBER(--SUBSTITUTE($J273&amp;"","-","")))),FALSE))),"US ZIP must be 5 or 9 digits, with an optional ZIP+4 hyphen; ","")&amp;IF(AND($N273&lt;&gt;"",NOT(IFERROR(AND(ISNUMBER(SEARCH("@",$N273)),ISNUMBER(SEARCH(".",$N273,SEARCH("@",$N273)+2))),FALSE))),"Email format appears invalid; ","")&amp;IF(AND($O273&lt;&gt;"",$B273=""),"Dependent SSN is required for every dependent; ","")&amp;IF(AND($B273&lt;&gt;"",$O273=""),"Dependent Relationship is required when Dependent SSN is entered; ","")&amp;IF(AND($O273&lt;&gt;"",$O273&lt;&gt;"Spouse or Common Law Spouse",$O273&lt;&gt;"Domestic Partner",$O273&lt;&gt;"Child",$O273&lt;&gt;"Other",$O273&lt;&gt;"Estate",$O273&lt;&gt;"Unknown"),"Dependent Relationship must use one of the approved options; ",""))</f>
        <v/>
      </c>
      <c r="Z273">
        <f>IF(COUNTA($A273:$U273)=0,"",IF(AND($A273&lt;&gt;"",NOT(IFERROR(AND(LEN($A273&amp;"")=9,ISNUMBER(--($A273&amp;""))),FALSE))),"Employee SSN must contain exactly 9 digits; ","")&amp;IF(AND($A273&lt;&gt;"",OR($A273="123456789",$A273="987654321",$A273="012345678",$A273=REPT(LEFT($A273&amp;"",1),9))),"Employee SSN appears to be a placeholder; ","")&amp;IF(AND($B273&lt;&gt;"",NOT(IFERROR(AND(LEN($B273&amp;"")=9,ISNUMBER(--($B273&amp;""))),FALSE))),"Dependent SSN must contain exactly 9 digits; ","")&amp;IF(AND($B273&lt;&gt;"",OR($B273="123456789",$B273="987654321",$B273="012345678",$B273=REPT(LEFT($B273&amp;"",1),9))),"Dependent SSN appears to be a placeholder; ","")&amp;IF(AND($A273&lt;&gt;"",$B273&lt;&gt;"",$A273&amp;""=$B273&amp;""),"Dependent SSN cannot match Employee SSN; ","")&amp;IF(AND($W273&lt;&gt;"",OR(COUNTIFS($W$2:$W$501,$W273,$C$2:$C$501,"&lt;&gt;"&amp;$C273)&gt;0,COUNTIFS($W$2:$W$501,$W273,$D$2:$D$501,"&lt;&gt;"&amp;$D273)&gt;0,COUNTIFS($W$2:$W$501,$W273,$L$2:$L$501,"&lt;&gt;"&amp;$L273)&gt;0)),"The same SSN is associated with a different name or birthdate; ",""))</f>
        <v/>
      </c>
      <c r="AA273">
        <f>IF(COUNTA($A273:$U273)=0,"",IF(AND($A273&lt;&gt;"",$S273&lt;&gt;"",COUNTIFS($A$2:$A$501,$A273,$S$2:$S$501,$S273,$B$2:$B$501,"",$O$2:$O$501,"")=0),"Add an employee row for this household and plan; ","")&amp;IF(AND($X273="Dependent",COUNTIFS($A$2:$A273,$A273,$S$2:$S273,$S273,$B$2:$B273,"",$O$2:$O273,"")=0),"Place the employee row before dependent rows for this plan; ","")&amp;IF(AND($X273="Dependent",COUNTIFS($A$2:$A$501,$A273,$S$2:$S$501,$S273,$B$2:$B$501,"",$O$2:$O$501,"")&gt;0,IFERROR(OR($P273&lt;&gt;LOOKUP(2,1/(($A$2:$A$501=$A273)*($S$2:$S$501=$S273)*($B$2:$B$501="")*($O$2:$O$501="")),$P$2:$P$501),$Q273&lt;&gt;LOOKUP(2,1/(($A$2:$A$501=$A273)*($S$2:$S$501=$S273)*($B$2:$B$501="")*($O$2:$O$501="")),$Q$2:$Q$501),$R273&lt;&gt;LOOKUP(2,1/(($A$2:$A$501=$A273)*($S$2:$S$501=$S273)*($B$2:$B$501="")*($O$2:$O$501="")),$R$2:$R$501),$T273&lt;&gt;LOOKUP(2,1/(($A$2:$A$501=$A273)*($S$2:$S$501=$S273)*($B$2:$B$501="")*($O$2:$O$501="")),$T$2:$T$501),$U273&lt;&gt;LOOKUP(2,1/(($A$2:$A$501=$A273)*($S$2:$S$501=$S273)*($B$2:$B$501="")*($O$2:$O$501="")),$U$2:$U$501)),FALSE)),"Dependent row does not match the employee row for eligibility, status, coverage level, or funding; ",""))</f>
        <v/>
      </c>
      <c r="AB273">
        <f>IF(COUNTA($A273:$U273)=0,"",IF($L273="","Birthdate is required; ","")&amp;IF(AND($L273&lt;&gt;"",OR(NOT(ISNUMBER($L273)),$L273&lt;=DATE(1900,1,1),$L273&gt;TODAY())),"Birthdate must be an exact valid past date; ","")&amp;IF($P273="","Eligibility Date is required; ","")&amp;IF(AND($P273&lt;&gt;"",OR(NOT(ISNUMBER($P273)),$P273&lt;=DATE(1900,1,1))),"Eligibility Date must be a valid date; ","")&amp;IF(AND($R273="Terminated",$Q273=""),"Termination Date is required when Status is Terminated; ","")&amp;IF(AND($Q273&lt;&gt;"",OR(NOT(ISNUMBER($Q273)),$Q273&lt;=DATE(1900,1,1))),"Termination Date must be a valid date; ","")&amp;IF(AND(ISNUMBER($P273),ISNUMBER($Q273),$Q273&lt;$P273),"Termination Date cannot be before Eligibility Date; ","")&amp;IF($R273="","Status is required; ","")&amp;IF(AND($R273&lt;&gt;"",$R273&lt;&gt;"Active",$R273&lt;&gt;"Terminated"),"Status must be Active or Terminated; ","")&amp;IF(AND('START HERE'!$C$8="Terminations Only",$R273&lt;&gt;"Terminated"),"Terminations Only files must contain terminated records; ",""))</f>
        <v/>
      </c>
      <c r="AC273">
        <f>IF(COUNTA($A273:$U273)=0,"",IF($S273="","Plan Name is required; ","")&amp;IF($T273="","Benefit Coverage Level is required; ","")&amp;IF(AND($U273&lt;&gt;"",OR(NOT(ISNUMBER($U273)),$U273&lt;0)),"Plan Funding Amount must be a nonnegative number; ","")&amp;IF(AND($A273&lt;&gt;"",$S273&lt;&gt;"",COUNTIFS($A$2:$A$501,$A273,$B$2:$B$501,$B273,$S$2:$S$501,$S273)&gt;1),"Duplicate participant and plan row; ",""))</f>
        <v/>
      </c>
      <c r="AD273">
        <f>IF(COUNTA($A273:$U273)=0,"",IF(AND($X273="Employee",$M273="",$N273=""),"No employee phone or email provided; ","")&amp;IF(AND($R273="Active",$Q273&lt;&gt;""),"Active record includes a Termination Date; confirm this is intentional; ","")&amp;IF(AND($B273&lt;&gt;"",$B273&amp;""&lt;&gt;$A273&amp;"",COUNTIF($A$2:$A$501,$B273)&gt;0),"Dependent SSN also appears as an Employee SSN elsewhere; confirm dual-employee coverage is intentional; ","")&amp;IF(AND($B273&lt;&gt;"",COUNTIF($B$2:$B$501,$B273)&gt;COUNTIFS($A$2:$A$501,$A273,$B$2:$B$501,$B273)),"Dependent SSN appears under more than one employee; confirm duplicate family coverage is intentional; ","")&amp;IF(AND(ROW()&gt;2,$A273&lt;&gt;"",$A273&lt;&gt;$A272,COUNTIF($A$2:$A272,$A273)&gt;0),"This household appears in more than one section of the census; keep the family together; ","")&amp;IF(OR(AND($C273&lt;&gt;"",LEN($C273&amp;"")&lt;&gt;LEN(TRIM($C273&amp;""))),AND($D273&lt;&gt;"",LEN($D273&amp;"")&lt;&gt;LEN(TRIM($D273&amp;""))),AND($E273&lt;&gt;"",LEN($E273&amp;"")&lt;&gt;LEN(TRIM($E273&amp;""))),AND($F273&lt;&gt;"",LEN($F273&amp;"")&lt;&gt;LEN(TRIM($F273&amp;""))),AND($G273&lt;&gt;"",LEN($G273&amp;"")&lt;&gt;LEN(TRIM($G273&amp;""))),AND($H273&lt;&gt;"",LEN($H273&amp;"")&lt;&gt;LEN(TRIM($H273&amp;""))),AND($I273&lt;&gt;"",LEN($I273&amp;"")&lt;&gt;LEN(TRIM($I273&amp;""))),AND($J273&lt;&gt;"",LEN($J273&amp;"")&lt;&gt;LEN(TRIM($J273&amp;""))),AND($K273&lt;&gt;"",LEN($K273&amp;"")&lt;&gt;LEN(TRIM($K273&amp;""))),AND($M273&lt;&gt;"",LEN($M273&amp;"")&lt;&gt;LEN(TRIM($M273&amp;""))),AND($N273&lt;&gt;"",LEN($N273&amp;"")&lt;&gt;LEN(TRIM($N273&amp;""))),AND($O273&lt;&gt;"",LEN($O273&amp;"")&lt;&gt;LEN(TRIM($O273&amp;""))),AND($R273&lt;&gt;"",LEN($R273&amp;"")&lt;&gt;LEN(TRIM($R273&amp;""))),AND($S273&lt;&gt;"",LEN($S273&amp;"")&lt;&gt;LEN(TRIM($S273&amp;""))),AND($T273&lt;&gt;"",LEN($T273&amp;"")&lt;&gt;LEN(TRIM($T273&amp;"")))),"Remove leading or trailing spaces from text fields; ","")&amp;IF(OR(AND(LEN($C273)&gt;1,OR(EXACT($C273,UPPER($C273)),EXACT($C273,LOWER($C273)))),AND(LEN($D273)&gt;1,OR(EXACT($D273,UPPER($D273)),EXACT($D273,LOWER($D273)))),AND(LEN($H273)&gt;1,OR(EXACT($H273,UPPER($H273)),EXACT($H273,LOWER($H273))))),"Review capitalization in First Name, Last Name, or City; ","")&amp;IF(AND($N273&lt;&gt;"",NOT(EXACT($N273,LOWER($N273)))),"Email will be standardized to lowercase in the clean output; ","")&amp;IF(AND(OR('START HERE'!$C$8="Initial Enrollment",'START HERE'!$C$8="Open Enrollment"),$R273="Terminated"),"A terminated row is included in an initial or open enrollment file; confirm this is intentional; ",""))</f>
        <v/>
      </c>
      <c r="AE273">
        <f>IF(COUNTA($A273:$U273)=0,"",IF(OR($A273="",AND($A273&lt;&gt;"",NOT(IFERROR(AND(LEN($A273&amp;"")=9,ISNUMBER(--($A273&amp;""))),FALSE))),AND($A273&lt;&gt;"",OR($A273="123456789",$A273="987654321",$A273="012345678",$A273=REPT(LEFT($A273&amp;"",1),9)))),"Employee SSN, ","")&amp;IF(OR(AND($O273&lt;&gt;"",$B273=""),AND($B273&lt;&gt;"",OR(NOT(IFERROR(AND(LEN($B273&amp;"")=9,ISNUMBER(--($B273&amp;""))),FALSE)),$B273=$A273,$B273="123456789",$B273="987654321",$B273="012345678",$B273=REPT(LEFT($B273&amp;"",1),9)))),"Dependent SSN, ","")&amp;IF(OR($C273="",LEN($C273)&gt;19,AND($C273&lt;&gt;"",SUMPRODUCT(--(ROW($1:$19)&lt;=LEN($C273&amp;"")),--ISERROR(FIND(MID($C273&amp;"",ROW($1:$19),1),"ABCDEFGHIJKLMNOPQRSTUVWXYZabcdefghijklmnopqrstuvwxyz .,")))&gt;0)),"First Name, ","")&amp;IF(OR($D273="",LEN($D273)&gt;26,AND($D273&lt;&gt;"",SUMPRODUCT(--(ROW($1:$26)&lt;=LEN($D273&amp;"")),--ISERROR(FIND(MID($D273&amp;"",ROW($1:$26),1),"ABCDEFGHIJKLMNOPQRSTUVWXYZabcdefghijklmnopqrstuvwxyz .,")))&gt;0)),"Last Name, ","")&amp;IF(OR(LEN($E273)&gt;1,AND($E273&lt;&gt;"",SUMPRODUCT(--(ROW($1:$1)&lt;=LEN($E273&amp;"")),--ISERROR(FIND(MID($E273&amp;"",ROW($1:$1),1),"ABCDEFGHIJKLMNOPQRSTUVWXYZabcdefghijklmnopqrstuvwxyz .,")))&gt;0)),"Middle Initial, ","")&amp;IF(OR($F273="",LEN($F273)&gt;75),"Address, ","")&amp;IF(OR($H273="",LEN($H273)&gt;30),"City, ","")&amp;IF(AND($K273="US",OR($I273="",LEN($I273)&lt;&gt;2)),"State, ","")&amp;IF($J273="","ZIP, ","")&amp;IF(OR($K273="",AND($K273&lt;&gt;"US",$K273&lt;&gt;"CA")),"Country, ","")&amp;IF(OR($L273="",AND($L273&lt;&gt;"",OR(NOT(ISNUMBER($L273)),$L273&lt;=DATE(1900,1,1),$L273&gt;TODAY()))),"Birthdate, ","")&amp;IF(AND($N273&lt;&gt;"",NOT(IFERROR(AND(ISNUMBER(SEARCH("@",$N273)),ISNUMBER(SEARCH(".",$N273,SEARCH("@",$N273)+2))),FALSE))),"Email, ","")&amp;IF(OR(AND($B273&lt;&gt;"",$O273=""),AND($O273&lt;&gt;"",$O273&lt;&gt;"Spouse or Common Law Spouse",$O273&lt;&gt;"Domestic Partner",$O273&lt;&gt;"Child",$O273&lt;&gt;"Other",$O273&lt;&gt;"Estate",$O273&lt;&gt;"Unknown")),"Dependent Relationship, ","")&amp;IF($AA273&lt;&gt;"","Household, ","")&amp;IF(OR($P273="",AND($P273&lt;&gt;"",OR(NOT(ISNUMBER($P273)),$P273&lt;=DATE(1900,1,1)))),"Eligibility Date, ","")&amp;IF(OR(AND($R273="Terminated",$Q273=""),AND($Q273&lt;&gt;"",OR(NOT(ISNUMBER($Q273)),$Q273&lt;=DATE(1900,1,1))),AND(ISNUMBER($P273),ISNUMBER($Q273),$Q273&lt;$P273)),"Termination Date, ","")&amp;IF(OR($R273="",AND($R273&lt;&gt;"Active",$R273&lt;&gt;"Terminated"),AND('START HERE'!$C$8="Terminations Only",$R273&lt;&gt;"Terminated")),"Status, ","")&amp;IF($S273="","Plan Name, ","")&amp;IF($T273="","Coverage Level, ","")&amp;IF(AND($U273&lt;&gt;"",OR(NOT(ISNUMBER($U273)),$U273&lt;0)),"Funding, ","")&amp;IF(AND($A273&lt;&gt;"",$S273&lt;&gt;"",COUNTIFS($A$2:$A$501,$A273,$B$2:$B$501,$B273,$S$2:$S$501,$S273)&gt;1),"Duplicate Row, ",""))</f>
        <v/>
      </c>
      <c r="AF273">
        <f>IF(COUNTA($A273:$U273)=0,"",$Y273&amp;$Z273&amp;$AA273&amp;$AB273&amp;$AC273)</f>
        <v/>
      </c>
      <c r="AG273">
        <f>IF($N273="","",LOWER(TRIM($N273)))</f>
        <v/>
      </c>
      <c r="AH273">
        <f>IF($A273="","",COUNTIFS($A$2:$A$501,$A273,$AI$2:$AI$501,1))</f>
        <v/>
      </c>
      <c r="AI273">
        <f>IF(COUNTA($A273:$U273)=0,"",--($AF273&lt;&gt;""))</f>
        <v/>
      </c>
      <c r="AJ273">
        <f>IF(COUNTA($A273:$U273)=0,"",--($AD273&lt;&gt;""))</f>
        <v/>
      </c>
    </row>
    <row r="274" ht="20" customHeight="1">
      <c r="A274" s="80" t="n"/>
      <c r="B274" s="80" t="n"/>
      <c r="C274" s="81" t="n"/>
      <c r="D274" s="81" t="n"/>
      <c r="E274" s="80" t="n"/>
      <c r="F274" s="81" t="n"/>
      <c r="G274" s="81" t="n"/>
      <c r="H274" s="81" t="n"/>
      <c r="I274" s="80" t="n"/>
      <c r="J274" s="80" t="n"/>
      <c r="K274" s="80" t="n"/>
      <c r="L274" s="82" t="n"/>
      <c r="M274" s="80" t="n"/>
      <c r="N274" s="80" t="n"/>
      <c r="O274" s="80" t="n"/>
      <c r="P274" s="82" t="n"/>
      <c r="Q274" s="82" t="n"/>
      <c r="R274" s="80" t="n"/>
      <c r="S274" s="80" t="n"/>
      <c r="T274" s="80" t="n"/>
      <c r="U274" s="83" t="n"/>
      <c r="V274">
        <f>IF($A274="","",IF($A274=$A273,$V273,IF($V273="",0,1-$V273)))</f>
        <v/>
      </c>
      <c r="W274">
        <f>IF($B274&lt;&gt;"",$B274,$A274)</f>
        <v/>
      </c>
      <c r="X274">
        <f>IF(COUNTA($A274:$U274)=0,"",IF(OR($B274&lt;&gt;"",$O274&lt;&gt;""),"Dependent","Employee"))</f>
        <v/>
      </c>
      <c r="Y274">
        <f>IF(COUNTA($A274:$U274)=0,"",IF($A274="","Employee SSN is required; ","")&amp;IF($C274="","First Name is required; ","")&amp;IF(LEN($C274&amp;"")&gt;19,"First Name exceeds 19 characters; ","")&amp;IF(AND($C274&lt;&gt;"",SUMPRODUCT(--(ROW($1:$19)&lt;=LEN($C274&amp;"")),--ISERROR(FIND(MID($C274&amp;"",ROW($1:$19),1),"ABCDEFGHIJKLMNOPQRSTUVWXYZabcdefghijklmnopqrstuvwxyz .,")))&gt;0),"First Name contains unsupported or encoded characters; use plain A-Z letters only; ","")&amp;IF($D274="","Last Name is required; ","")&amp;IF(LEN($D274&amp;"")&gt;26,"Last Name exceeds 26 characters; ","")&amp;IF(AND($D274&lt;&gt;"",SUMPRODUCT(--(ROW($1:$26)&lt;=LEN($D274&amp;"")),--ISERROR(FIND(MID($D274&amp;"",ROW($1:$26),1),"ABCDEFGHIJKLMNOPQRSTUVWXYZabcdefghijklmnopqrstuvwxyz .,")))&gt;0),"Last Name contains unsupported or encoded characters; use plain A-Z letters only; ","")&amp;IF(LEN($E274&amp;"")&gt;1,"Middle Initial may contain only one character; ","")&amp;IF(AND($E274&lt;&gt;"",SUMPRODUCT(--(ROW($1:$1)&lt;=LEN($E274&amp;"")),--ISERROR(FIND(MID($E274&amp;"",ROW($1:$1),1),"ABCDEFGHIJKLMNOPQRSTUVWXYZabcdefghijklmnopqrstuvwxyz .,")))&gt;0),"Middle Initial must be a plain A-Z letter; ","")&amp;IF($F274="","Address is required; ","")&amp;IF(LEN($F274&amp;"")&gt;75,"Address exceeds 75 characters; ","")&amp;IF(LEN($G274&amp;"")&gt;75,"Address 2 exceeds 75 characters; ","")&amp;IF($H274="","City is required; ","")&amp;IF(LEN($H274&amp;"")&gt;30,"City exceeds 30 characters; ","")&amp;IF($K274="","Country is required; ","")&amp;IF(AND($K274&lt;&gt;"",$K274&lt;&gt;"US",$K274&lt;&gt;"CA"),"Country must be US or CA; ","")&amp;IF(AND($K274="US",OR($I274="",LEN($I274&amp;"")&lt;&gt;2)),"Use a 2-letter state code; ","")&amp;IF($J274="","ZIP or postal code is required; ","")&amp;IF(AND($K274="US",$J274&lt;&gt;"",NOT(IFERROR(OR(AND(LEN($J274&amp;"")=5,ISNUMBER(--($J274&amp;""))),AND(LEN($J274&amp;"")=9,ISNUMBER(--($J274&amp;""))),AND(LEN($J274&amp;"")=10,MID($J274&amp;"",6,1)="-",ISNUMBER(--SUBSTITUTE($J274&amp;"","-","")))),FALSE))),"US ZIP must be 5 or 9 digits, with an optional ZIP+4 hyphen; ","")&amp;IF(AND($N274&lt;&gt;"",NOT(IFERROR(AND(ISNUMBER(SEARCH("@",$N274)),ISNUMBER(SEARCH(".",$N274,SEARCH("@",$N274)+2))),FALSE))),"Email format appears invalid; ","")&amp;IF(AND($O274&lt;&gt;"",$B274=""),"Dependent SSN is required for every dependent; ","")&amp;IF(AND($B274&lt;&gt;"",$O274=""),"Dependent Relationship is required when Dependent SSN is entered; ","")&amp;IF(AND($O274&lt;&gt;"",$O274&lt;&gt;"Spouse or Common Law Spouse",$O274&lt;&gt;"Domestic Partner",$O274&lt;&gt;"Child",$O274&lt;&gt;"Other",$O274&lt;&gt;"Estate",$O274&lt;&gt;"Unknown"),"Dependent Relationship must use one of the approved options; ",""))</f>
        <v/>
      </c>
      <c r="Z274">
        <f>IF(COUNTA($A274:$U274)=0,"",IF(AND($A274&lt;&gt;"",NOT(IFERROR(AND(LEN($A274&amp;"")=9,ISNUMBER(--($A274&amp;""))),FALSE))),"Employee SSN must contain exactly 9 digits; ","")&amp;IF(AND($A274&lt;&gt;"",OR($A274="123456789",$A274="987654321",$A274="012345678",$A274=REPT(LEFT($A274&amp;"",1),9))),"Employee SSN appears to be a placeholder; ","")&amp;IF(AND($B274&lt;&gt;"",NOT(IFERROR(AND(LEN($B274&amp;"")=9,ISNUMBER(--($B274&amp;""))),FALSE))),"Dependent SSN must contain exactly 9 digits; ","")&amp;IF(AND($B274&lt;&gt;"",OR($B274="123456789",$B274="987654321",$B274="012345678",$B274=REPT(LEFT($B274&amp;"",1),9))),"Dependent SSN appears to be a placeholder; ","")&amp;IF(AND($A274&lt;&gt;"",$B274&lt;&gt;"",$A274&amp;""=$B274&amp;""),"Dependent SSN cannot match Employee SSN; ","")&amp;IF(AND($W274&lt;&gt;"",OR(COUNTIFS($W$2:$W$501,$W274,$C$2:$C$501,"&lt;&gt;"&amp;$C274)&gt;0,COUNTIFS($W$2:$W$501,$W274,$D$2:$D$501,"&lt;&gt;"&amp;$D274)&gt;0,COUNTIFS($W$2:$W$501,$W274,$L$2:$L$501,"&lt;&gt;"&amp;$L274)&gt;0)),"The same SSN is associated with a different name or birthdate; ",""))</f>
        <v/>
      </c>
      <c r="AA274">
        <f>IF(COUNTA($A274:$U274)=0,"",IF(AND($A274&lt;&gt;"",$S274&lt;&gt;"",COUNTIFS($A$2:$A$501,$A274,$S$2:$S$501,$S274,$B$2:$B$501,"",$O$2:$O$501,"")=0),"Add an employee row for this household and plan; ","")&amp;IF(AND($X274="Dependent",COUNTIFS($A$2:$A274,$A274,$S$2:$S274,$S274,$B$2:$B274,"",$O$2:$O274,"")=0),"Place the employee row before dependent rows for this plan; ","")&amp;IF(AND($X274="Dependent",COUNTIFS($A$2:$A$501,$A274,$S$2:$S$501,$S274,$B$2:$B$501,"",$O$2:$O$501,"")&gt;0,IFERROR(OR($P274&lt;&gt;LOOKUP(2,1/(($A$2:$A$501=$A274)*($S$2:$S$501=$S274)*($B$2:$B$501="")*($O$2:$O$501="")),$P$2:$P$501),$Q274&lt;&gt;LOOKUP(2,1/(($A$2:$A$501=$A274)*($S$2:$S$501=$S274)*($B$2:$B$501="")*($O$2:$O$501="")),$Q$2:$Q$501),$R274&lt;&gt;LOOKUP(2,1/(($A$2:$A$501=$A274)*($S$2:$S$501=$S274)*($B$2:$B$501="")*($O$2:$O$501="")),$R$2:$R$501),$T274&lt;&gt;LOOKUP(2,1/(($A$2:$A$501=$A274)*($S$2:$S$501=$S274)*($B$2:$B$501="")*($O$2:$O$501="")),$T$2:$T$501),$U274&lt;&gt;LOOKUP(2,1/(($A$2:$A$501=$A274)*($S$2:$S$501=$S274)*($B$2:$B$501="")*($O$2:$O$501="")),$U$2:$U$501)),FALSE)),"Dependent row does not match the employee row for eligibility, status, coverage level, or funding; ",""))</f>
        <v/>
      </c>
      <c r="AB274">
        <f>IF(COUNTA($A274:$U274)=0,"",IF($L274="","Birthdate is required; ","")&amp;IF(AND($L274&lt;&gt;"",OR(NOT(ISNUMBER($L274)),$L274&lt;=DATE(1900,1,1),$L274&gt;TODAY())),"Birthdate must be an exact valid past date; ","")&amp;IF($P274="","Eligibility Date is required; ","")&amp;IF(AND($P274&lt;&gt;"",OR(NOT(ISNUMBER($P274)),$P274&lt;=DATE(1900,1,1))),"Eligibility Date must be a valid date; ","")&amp;IF(AND($R274="Terminated",$Q274=""),"Termination Date is required when Status is Terminated; ","")&amp;IF(AND($Q274&lt;&gt;"",OR(NOT(ISNUMBER($Q274)),$Q274&lt;=DATE(1900,1,1))),"Termination Date must be a valid date; ","")&amp;IF(AND(ISNUMBER($P274),ISNUMBER($Q274),$Q274&lt;$P274),"Termination Date cannot be before Eligibility Date; ","")&amp;IF($R274="","Status is required; ","")&amp;IF(AND($R274&lt;&gt;"",$R274&lt;&gt;"Active",$R274&lt;&gt;"Terminated"),"Status must be Active or Terminated; ","")&amp;IF(AND('START HERE'!$C$8="Terminations Only",$R274&lt;&gt;"Terminated"),"Terminations Only files must contain terminated records; ",""))</f>
        <v/>
      </c>
      <c r="AC274">
        <f>IF(COUNTA($A274:$U274)=0,"",IF($S274="","Plan Name is required; ","")&amp;IF($T274="","Benefit Coverage Level is required; ","")&amp;IF(AND($U274&lt;&gt;"",OR(NOT(ISNUMBER($U274)),$U274&lt;0)),"Plan Funding Amount must be a nonnegative number; ","")&amp;IF(AND($A274&lt;&gt;"",$S274&lt;&gt;"",COUNTIFS($A$2:$A$501,$A274,$B$2:$B$501,$B274,$S$2:$S$501,$S274)&gt;1),"Duplicate participant and plan row; ",""))</f>
        <v/>
      </c>
      <c r="AD274">
        <f>IF(COUNTA($A274:$U274)=0,"",IF(AND($X274="Employee",$M274="",$N274=""),"No employee phone or email provided; ","")&amp;IF(AND($R274="Active",$Q274&lt;&gt;""),"Active record includes a Termination Date; confirm this is intentional; ","")&amp;IF(AND($B274&lt;&gt;"",$B274&amp;""&lt;&gt;$A274&amp;"",COUNTIF($A$2:$A$501,$B274)&gt;0),"Dependent SSN also appears as an Employee SSN elsewhere; confirm dual-employee coverage is intentional; ","")&amp;IF(AND($B274&lt;&gt;"",COUNTIF($B$2:$B$501,$B274)&gt;COUNTIFS($A$2:$A$501,$A274,$B$2:$B$501,$B274)),"Dependent SSN appears under more than one employee; confirm duplicate family coverage is intentional; ","")&amp;IF(AND(ROW()&gt;2,$A274&lt;&gt;"",$A274&lt;&gt;$A273,COUNTIF($A$2:$A273,$A274)&gt;0),"This household appears in more than one section of the census; keep the family together; ","")&amp;IF(OR(AND($C274&lt;&gt;"",LEN($C274&amp;"")&lt;&gt;LEN(TRIM($C274&amp;""))),AND($D274&lt;&gt;"",LEN($D274&amp;"")&lt;&gt;LEN(TRIM($D274&amp;""))),AND($E274&lt;&gt;"",LEN($E274&amp;"")&lt;&gt;LEN(TRIM($E274&amp;""))),AND($F274&lt;&gt;"",LEN($F274&amp;"")&lt;&gt;LEN(TRIM($F274&amp;""))),AND($G274&lt;&gt;"",LEN($G274&amp;"")&lt;&gt;LEN(TRIM($G274&amp;""))),AND($H274&lt;&gt;"",LEN($H274&amp;"")&lt;&gt;LEN(TRIM($H274&amp;""))),AND($I274&lt;&gt;"",LEN($I274&amp;"")&lt;&gt;LEN(TRIM($I274&amp;""))),AND($J274&lt;&gt;"",LEN($J274&amp;"")&lt;&gt;LEN(TRIM($J274&amp;""))),AND($K274&lt;&gt;"",LEN($K274&amp;"")&lt;&gt;LEN(TRIM($K274&amp;""))),AND($M274&lt;&gt;"",LEN($M274&amp;"")&lt;&gt;LEN(TRIM($M274&amp;""))),AND($N274&lt;&gt;"",LEN($N274&amp;"")&lt;&gt;LEN(TRIM($N274&amp;""))),AND($O274&lt;&gt;"",LEN($O274&amp;"")&lt;&gt;LEN(TRIM($O274&amp;""))),AND($R274&lt;&gt;"",LEN($R274&amp;"")&lt;&gt;LEN(TRIM($R274&amp;""))),AND($S274&lt;&gt;"",LEN($S274&amp;"")&lt;&gt;LEN(TRIM($S274&amp;""))),AND($T274&lt;&gt;"",LEN($T274&amp;"")&lt;&gt;LEN(TRIM($T274&amp;"")))),"Remove leading or trailing spaces from text fields; ","")&amp;IF(OR(AND(LEN($C274)&gt;1,OR(EXACT($C274,UPPER($C274)),EXACT($C274,LOWER($C274)))),AND(LEN($D274)&gt;1,OR(EXACT($D274,UPPER($D274)),EXACT($D274,LOWER($D274)))),AND(LEN($H274)&gt;1,OR(EXACT($H274,UPPER($H274)),EXACT($H274,LOWER($H274))))),"Review capitalization in First Name, Last Name, or City; ","")&amp;IF(AND($N274&lt;&gt;"",NOT(EXACT($N274,LOWER($N274)))),"Email will be standardized to lowercase in the clean output; ","")&amp;IF(AND(OR('START HERE'!$C$8="Initial Enrollment",'START HERE'!$C$8="Open Enrollment"),$R274="Terminated"),"A terminated row is included in an initial or open enrollment file; confirm this is intentional; ",""))</f>
        <v/>
      </c>
      <c r="AE274">
        <f>IF(COUNTA($A274:$U274)=0,"",IF(OR($A274="",AND($A274&lt;&gt;"",NOT(IFERROR(AND(LEN($A274&amp;"")=9,ISNUMBER(--($A274&amp;""))),FALSE))),AND($A274&lt;&gt;"",OR($A274="123456789",$A274="987654321",$A274="012345678",$A274=REPT(LEFT($A274&amp;"",1),9)))),"Employee SSN, ","")&amp;IF(OR(AND($O274&lt;&gt;"",$B274=""),AND($B274&lt;&gt;"",OR(NOT(IFERROR(AND(LEN($B274&amp;"")=9,ISNUMBER(--($B274&amp;""))),FALSE)),$B274=$A274,$B274="123456789",$B274="987654321",$B274="012345678",$B274=REPT(LEFT($B274&amp;"",1),9)))),"Dependent SSN, ","")&amp;IF(OR($C274="",LEN($C274)&gt;19,AND($C274&lt;&gt;"",SUMPRODUCT(--(ROW($1:$19)&lt;=LEN($C274&amp;"")),--ISERROR(FIND(MID($C274&amp;"",ROW($1:$19),1),"ABCDEFGHIJKLMNOPQRSTUVWXYZabcdefghijklmnopqrstuvwxyz .,")))&gt;0)),"First Name, ","")&amp;IF(OR($D274="",LEN($D274)&gt;26,AND($D274&lt;&gt;"",SUMPRODUCT(--(ROW($1:$26)&lt;=LEN($D274&amp;"")),--ISERROR(FIND(MID($D274&amp;"",ROW($1:$26),1),"ABCDEFGHIJKLMNOPQRSTUVWXYZabcdefghijklmnopqrstuvwxyz .,")))&gt;0)),"Last Name, ","")&amp;IF(OR(LEN($E274)&gt;1,AND($E274&lt;&gt;"",SUMPRODUCT(--(ROW($1:$1)&lt;=LEN($E274&amp;"")),--ISERROR(FIND(MID($E274&amp;"",ROW($1:$1),1),"ABCDEFGHIJKLMNOPQRSTUVWXYZabcdefghijklmnopqrstuvwxyz .,")))&gt;0)),"Middle Initial, ","")&amp;IF(OR($F274="",LEN($F274)&gt;75),"Address, ","")&amp;IF(OR($H274="",LEN($H274)&gt;30),"City, ","")&amp;IF(AND($K274="US",OR($I274="",LEN($I274)&lt;&gt;2)),"State, ","")&amp;IF($J274="","ZIP, ","")&amp;IF(OR($K274="",AND($K274&lt;&gt;"US",$K274&lt;&gt;"CA")),"Country, ","")&amp;IF(OR($L274="",AND($L274&lt;&gt;"",OR(NOT(ISNUMBER($L274)),$L274&lt;=DATE(1900,1,1),$L274&gt;TODAY()))),"Birthdate, ","")&amp;IF(AND($N274&lt;&gt;"",NOT(IFERROR(AND(ISNUMBER(SEARCH("@",$N274)),ISNUMBER(SEARCH(".",$N274,SEARCH("@",$N274)+2))),FALSE))),"Email, ","")&amp;IF(OR(AND($B274&lt;&gt;"",$O274=""),AND($O274&lt;&gt;"",$O274&lt;&gt;"Spouse or Common Law Spouse",$O274&lt;&gt;"Domestic Partner",$O274&lt;&gt;"Child",$O274&lt;&gt;"Other",$O274&lt;&gt;"Estate",$O274&lt;&gt;"Unknown")),"Dependent Relationship, ","")&amp;IF($AA274&lt;&gt;"","Household, ","")&amp;IF(OR($P274="",AND($P274&lt;&gt;"",OR(NOT(ISNUMBER($P274)),$P274&lt;=DATE(1900,1,1)))),"Eligibility Date, ","")&amp;IF(OR(AND($R274="Terminated",$Q274=""),AND($Q274&lt;&gt;"",OR(NOT(ISNUMBER($Q274)),$Q274&lt;=DATE(1900,1,1))),AND(ISNUMBER($P274),ISNUMBER($Q274),$Q274&lt;$P274)),"Termination Date, ","")&amp;IF(OR($R274="",AND($R274&lt;&gt;"Active",$R274&lt;&gt;"Terminated"),AND('START HERE'!$C$8="Terminations Only",$R274&lt;&gt;"Terminated")),"Status, ","")&amp;IF($S274="","Plan Name, ","")&amp;IF($T274="","Coverage Level, ","")&amp;IF(AND($U274&lt;&gt;"",OR(NOT(ISNUMBER($U274)),$U274&lt;0)),"Funding, ","")&amp;IF(AND($A274&lt;&gt;"",$S274&lt;&gt;"",COUNTIFS($A$2:$A$501,$A274,$B$2:$B$501,$B274,$S$2:$S$501,$S274)&gt;1),"Duplicate Row, ",""))</f>
        <v/>
      </c>
      <c r="AF274">
        <f>IF(COUNTA($A274:$U274)=0,"",$Y274&amp;$Z274&amp;$AA274&amp;$AB274&amp;$AC274)</f>
        <v/>
      </c>
      <c r="AG274">
        <f>IF($N274="","",LOWER(TRIM($N274)))</f>
        <v/>
      </c>
      <c r="AH274">
        <f>IF($A274="","",COUNTIFS($A$2:$A$501,$A274,$AI$2:$AI$501,1))</f>
        <v/>
      </c>
      <c r="AI274">
        <f>IF(COUNTA($A274:$U274)=0,"",--($AF274&lt;&gt;""))</f>
        <v/>
      </c>
      <c r="AJ274">
        <f>IF(COUNTA($A274:$U274)=0,"",--($AD274&lt;&gt;""))</f>
        <v/>
      </c>
    </row>
    <row r="275" ht="20" customHeight="1">
      <c r="A275" s="80" t="n"/>
      <c r="B275" s="80" t="n"/>
      <c r="C275" s="81" t="n"/>
      <c r="D275" s="81" t="n"/>
      <c r="E275" s="80" t="n"/>
      <c r="F275" s="81" t="n"/>
      <c r="G275" s="81" t="n"/>
      <c r="H275" s="81" t="n"/>
      <c r="I275" s="80" t="n"/>
      <c r="J275" s="80" t="n"/>
      <c r="K275" s="80" t="n"/>
      <c r="L275" s="82" t="n"/>
      <c r="M275" s="80" t="n"/>
      <c r="N275" s="80" t="n"/>
      <c r="O275" s="80" t="n"/>
      <c r="P275" s="82" t="n"/>
      <c r="Q275" s="82" t="n"/>
      <c r="R275" s="80" t="n"/>
      <c r="S275" s="80" t="n"/>
      <c r="T275" s="80" t="n"/>
      <c r="U275" s="83" t="n"/>
      <c r="V275">
        <f>IF($A275="","",IF($A275=$A274,$V274,IF($V274="",0,1-$V274)))</f>
        <v/>
      </c>
      <c r="W275">
        <f>IF($B275&lt;&gt;"",$B275,$A275)</f>
        <v/>
      </c>
      <c r="X275">
        <f>IF(COUNTA($A275:$U275)=0,"",IF(OR($B275&lt;&gt;"",$O275&lt;&gt;""),"Dependent","Employee"))</f>
        <v/>
      </c>
      <c r="Y275">
        <f>IF(COUNTA($A275:$U275)=0,"",IF($A275="","Employee SSN is required; ","")&amp;IF($C275="","First Name is required; ","")&amp;IF(LEN($C275&amp;"")&gt;19,"First Name exceeds 19 characters; ","")&amp;IF(AND($C275&lt;&gt;"",SUMPRODUCT(--(ROW($1:$19)&lt;=LEN($C275&amp;"")),--ISERROR(FIND(MID($C275&amp;"",ROW($1:$19),1),"ABCDEFGHIJKLMNOPQRSTUVWXYZabcdefghijklmnopqrstuvwxyz .,")))&gt;0),"First Name contains unsupported or encoded characters; use plain A-Z letters only; ","")&amp;IF($D275="","Last Name is required; ","")&amp;IF(LEN($D275&amp;"")&gt;26,"Last Name exceeds 26 characters; ","")&amp;IF(AND($D275&lt;&gt;"",SUMPRODUCT(--(ROW($1:$26)&lt;=LEN($D275&amp;"")),--ISERROR(FIND(MID($D275&amp;"",ROW($1:$26),1),"ABCDEFGHIJKLMNOPQRSTUVWXYZabcdefghijklmnopqrstuvwxyz .,")))&gt;0),"Last Name contains unsupported or encoded characters; use plain A-Z letters only; ","")&amp;IF(LEN($E275&amp;"")&gt;1,"Middle Initial may contain only one character; ","")&amp;IF(AND($E275&lt;&gt;"",SUMPRODUCT(--(ROW($1:$1)&lt;=LEN($E275&amp;"")),--ISERROR(FIND(MID($E275&amp;"",ROW($1:$1),1),"ABCDEFGHIJKLMNOPQRSTUVWXYZabcdefghijklmnopqrstuvwxyz .,")))&gt;0),"Middle Initial must be a plain A-Z letter; ","")&amp;IF($F275="","Address is required; ","")&amp;IF(LEN($F275&amp;"")&gt;75,"Address exceeds 75 characters; ","")&amp;IF(LEN($G275&amp;"")&gt;75,"Address 2 exceeds 75 characters; ","")&amp;IF($H275="","City is required; ","")&amp;IF(LEN($H275&amp;"")&gt;30,"City exceeds 30 characters; ","")&amp;IF($K275="","Country is required; ","")&amp;IF(AND($K275&lt;&gt;"",$K275&lt;&gt;"US",$K275&lt;&gt;"CA"),"Country must be US or CA; ","")&amp;IF(AND($K275="US",OR($I275="",LEN($I275&amp;"")&lt;&gt;2)),"Use a 2-letter state code; ","")&amp;IF($J275="","ZIP or postal code is required; ","")&amp;IF(AND($K275="US",$J275&lt;&gt;"",NOT(IFERROR(OR(AND(LEN($J275&amp;"")=5,ISNUMBER(--($J275&amp;""))),AND(LEN($J275&amp;"")=9,ISNUMBER(--($J275&amp;""))),AND(LEN($J275&amp;"")=10,MID($J275&amp;"",6,1)="-",ISNUMBER(--SUBSTITUTE($J275&amp;"","-","")))),FALSE))),"US ZIP must be 5 or 9 digits, with an optional ZIP+4 hyphen; ","")&amp;IF(AND($N275&lt;&gt;"",NOT(IFERROR(AND(ISNUMBER(SEARCH("@",$N275)),ISNUMBER(SEARCH(".",$N275,SEARCH("@",$N275)+2))),FALSE))),"Email format appears invalid; ","")&amp;IF(AND($O275&lt;&gt;"",$B275=""),"Dependent SSN is required for every dependent; ","")&amp;IF(AND($B275&lt;&gt;"",$O275=""),"Dependent Relationship is required when Dependent SSN is entered; ","")&amp;IF(AND($O275&lt;&gt;"",$O275&lt;&gt;"Spouse or Common Law Spouse",$O275&lt;&gt;"Domestic Partner",$O275&lt;&gt;"Child",$O275&lt;&gt;"Other",$O275&lt;&gt;"Estate",$O275&lt;&gt;"Unknown"),"Dependent Relationship must use one of the approved options; ",""))</f>
        <v/>
      </c>
      <c r="Z275">
        <f>IF(COUNTA($A275:$U275)=0,"",IF(AND($A275&lt;&gt;"",NOT(IFERROR(AND(LEN($A275&amp;"")=9,ISNUMBER(--($A275&amp;""))),FALSE))),"Employee SSN must contain exactly 9 digits; ","")&amp;IF(AND($A275&lt;&gt;"",OR($A275="123456789",$A275="987654321",$A275="012345678",$A275=REPT(LEFT($A275&amp;"",1),9))),"Employee SSN appears to be a placeholder; ","")&amp;IF(AND($B275&lt;&gt;"",NOT(IFERROR(AND(LEN($B275&amp;"")=9,ISNUMBER(--($B275&amp;""))),FALSE))),"Dependent SSN must contain exactly 9 digits; ","")&amp;IF(AND($B275&lt;&gt;"",OR($B275="123456789",$B275="987654321",$B275="012345678",$B275=REPT(LEFT($B275&amp;"",1),9))),"Dependent SSN appears to be a placeholder; ","")&amp;IF(AND($A275&lt;&gt;"",$B275&lt;&gt;"",$A275&amp;""=$B275&amp;""),"Dependent SSN cannot match Employee SSN; ","")&amp;IF(AND($W275&lt;&gt;"",OR(COUNTIFS($W$2:$W$501,$W275,$C$2:$C$501,"&lt;&gt;"&amp;$C275)&gt;0,COUNTIFS($W$2:$W$501,$W275,$D$2:$D$501,"&lt;&gt;"&amp;$D275)&gt;0,COUNTIFS($W$2:$W$501,$W275,$L$2:$L$501,"&lt;&gt;"&amp;$L275)&gt;0)),"The same SSN is associated with a different name or birthdate; ",""))</f>
        <v/>
      </c>
      <c r="AA275">
        <f>IF(COUNTA($A275:$U275)=0,"",IF(AND($A275&lt;&gt;"",$S275&lt;&gt;"",COUNTIFS($A$2:$A$501,$A275,$S$2:$S$501,$S275,$B$2:$B$501,"",$O$2:$O$501,"")=0),"Add an employee row for this household and plan; ","")&amp;IF(AND($X275="Dependent",COUNTIFS($A$2:$A275,$A275,$S$2:$S275,$S275,$B$2:$B275,"",$O$2:$O275,"")=0),"Place the employee row before dependent rows for this plan; ","")&amp;IF(AND($X275="Dependent",COUNTIFS($A$2:$A$501,$A275,$S$2:$S$501,$S275,$B$2:$B$501,"",$O$2:$O$501,"")&gt;0,IFERROR(OR($P275&lt;&gt;LOOKUP(2,1/(($A$2:$A$501=$A275)*($S$2:$S$501=$S275)*($B$2:$B$501="")*($O$2:$O$501="")),$P$2:$P$501),$Q275&lt;&gt;LOOKUP(2,1/(($A$2:$A$501=$A275)*($S$2:$S$501=$S275)*($B$2:$B$501="")*($O$2:$O$501="")),$Q$2:$Q$501),$R275&lt;&gt;LOOKUP(2,1/(($A$2:$A$501=$A275)*($S$2:$S$501=$S275)*($B$2:$B$501="")*($O$2:$O$501="")),$R$2:$R$501),$T275&lt;&gt;LOOKUP(2,1/(($A$2:$A$501=$A275)*($S$2:$S$501=$S275)*($B$2:$B$501="")*($O$2:$O$501="")),$T$2:$T$501),$U275&lt;&gt;LOOKUP(2,1/(($A$2:$A$501=$A275)*($S$2:$S$501=$S275)*($B$2:$B$501="")*($O$2:$O$501="")),$U$2:$U$501)),FALSE)),"Dependent row does not match the employee row for eligibility, status, coverage level, or funding; ",""))</f>
        <v/>
      </c>
      <c r="AB275">
        <f>IF(COUNTA($A275:$U275)=0,"",IF($L275="","Birthdate is required; ","")&amp;IF(AND($L275&lt;&gt;"",OR(NOT(ISNUMBER($L275)),$L275&lt;=DATE(1900,1,1),$L275&gt;TODAY())),"Birthdate must be an exact valid past date; ","")&amp;IF($P275="","Eligibility Date is required; ","")&amp;IF(AND($P275&lt;&gt;"",OR(NOT(ISNUMBER($P275)),$P275&lt;=DATE(1900,1,1))),"Eligibility Date must be a valid date; ","")&amp;IF(AND($R275="Terminated",$Q275=""),"Termination Date is required when Status is Terminated; ","")&amp;IF(AND($Q275&lt;&gt;"",OR(NOT(ISNUMBER($Q275)),$Q275&lt;=DATE(1900,1,1))),"Termination Date must be a valid date; ","")&amp;IF(AND(ISNUMBER($P275),ISNUMBER($Q275),$Q275&lt;$P275),"Termination Date cannot be before Eligibility Date; ","")&amp;IF($R275="","Status is required; ","")&amp;IF(AND($R275&lt;&gt;"",$R275&lt;&gt;"Active",$R275&lt;&gt;"Terminated"),"Status must be Active or Terminated; ","")&amp;IF(AND('START HERE'!$C$8="Terminations Only",$R275&lt;&gt;"Terminated"),"Terminations Only files must contain terminated records; ",""))</f>
        <v/>
      </c>
      <c r="AC275">
        <f>IF(COUNTA($A275:$U275)=0,"",IF($S275="","Plan Name is required; ","")&amp;IF($T275="","Benefit Coverage Level is required; ","")&amp;IF(AND($U275&lt;&gt;"",OR(NOT(ISNUMBER($U275)),$U275&lt;0)),"Plan Funding Amount must be a nonnegative number; ","")&amp;IF(AND($A275&lt;&gt;"",$S275&lt;&gt;"",COUNTIFS($A$2:$A$501,$A275,$B$2:$B$501,$B275,$S$2:$S$501,$S275)&gt;1),"Duplicate participant and plan row; ",""))</f>
        <v/>
      </c>
      <c r="AD275">
        <f>IF(COUNTA($A275:$U275)=0,"",IF(AND($X275="Employee",$M275="",$N275=""),"No employee phone or email provided; ","")&amp;IF(AND($R275="Active",$Q275&lt;&gt;""),"Active record includes a Termination Date; confirm this is intentional; ","")&amp;IF(AND($B275&lt;&gt;"",$B275&amp;""&lt;&gt;$A275&amp;"",COUNTIF($A$2:$A$501,$B275)&gt;0),"Dependent SSN also appears as an Employee SSN elsewhere; confirm dual-employee coverage is intentional; ","")&amp;IF(AND($B275&lt;&gt;"",COUNTIF($B$2:$B$501,$B275)&gt;COUNTIFS($A$2:$A$501,$A275,$B$2:$B$501,$B275)),"Dependent SSN appears under more than one employee; confirm duplicate family coverage is intentional; ","")&amp;IF(AND(ROW()&gt;2,$A275&lt;&gt;"",$A275&lt;&gt;$A274,COUNTIF($A$2:$A274,$A275)&gt;0),"This household appears in more than one section of the census; keep the family together; ","")&amp;IF(OR(AND($C275&lt;&gt;"",LEN($C275&amp;"")&lt;&gt;LEN(TRIM($C275&amp;""))),AND($D275&lt;&gt;"",LEN($D275&amp;"")&lt;&gt;LEN(TRIM($D275&amp;""))),AND($E275&lt;&gt;"",LEN($E275&amp;"")&lt;&gt;LEN(TRIM($E275&amp;""))),AND($F275&lt;&gt;"",LEN($F275&amp;"")&lt;&gt;LEN(TRIM($F275&amp;""))),AND($G275&lt;&gt;"",LEN($G275&amp;"")&lt;&gt;LEN(TRIM($G275&amp;""))),AND($H275&lt;&gt;"",LEN($H275&amp;"")&lt;&gt;LEN(TRIM($H275&amp;""))),AND($I275&lt;&gt;"",LEN($I275&amp;"")&lt;&gt;LEN(TRIM($I275&amp;""))),AND($J275&lt;&gt;"",LEN($J275&amp;"")&lt;&gt;LEN(TRIM($J275&amp;""))),AND($K275&lt;&gt;"",LEN($K275&amp;"")&lt;&gt;LEN(TRIM($K275&amp;""))),AND($M275&lt;&gt;"",LEN($M275&amp;"")&lt;&gt;LEN(TRIM($M275&amp;""))),AND($N275&lt;&gt;"",LEN($N275&amp;"")&lt;&gt;LEN(TRIM($N275&amp;""))),AND($O275&lt;&gt;"",LEN($O275&amp;"")&lt;&gt;LEN(TRIM($O275&amp;""))),AND($R275&lt;&gt;"",LEN($R275&amp;"")&lt;&gt;LEN(TRIM($R275&amp;""))),AND($S275&lt;&gt;"",LEN($S275&amp;"")&lt;&gt;LEN(TRIM($S275&amp;""))),AND($T275&lt;&gt;"",LEN($T275&amp;"")&lt;&gt;LEN(TRIM($T275&amp;"")))),"Remove leading or trailing spaces from text fields; ","")&amp;IF(OR(AND(LEN($C275)&gt;1,OR(EXACT($C275,UPPER($C275)),EXACT($C275,LOWER($C275)))),AND(LEN($D275)&gt;1,OR(EXACT($D275,UPPER($D275)),EXACT($D275,LOWER($D275)))),AND(LEN($H275)&gt;1,OR(EXACT($H275,UPPER($H275)),EXACT($H275,LOWER($H275))))),"Review capitalization in First Name, Last Name, or City; ","")&amp;IF(AND($N275&lt;&gt;"",NOT(EXACT($N275,LOWER($N275)))),"Email will be standardized to lowercase in the clean output; ","")&amp;IF(AND(OR('START HERE'!$C$8="Initial Enrollment",'START HERE'!$C$8="Open Enrollment"),$R275="Terminated"),"A terminated row is included in an initial or open enrollment file; confirm this is intentional; ",""))</f>
        <v/>
      </c>
      <c r="AE275">
        <f>IF(COUNTA($A275:$U275)=0,"",IF(OR($A275="",AND($A275&lt;&gt;"",NOT(IFERROR(AND(LEN($A275&amp;"")=9,ISNUMBER(--($A275&amp;""))),FALSE))),AND($A275&lt;&gt;"",OR($A275="123456789",$A275="987654321",$A275="012345678",$A275=REPT(LEFT($A275&amp;"",1),9)))),"Employee SSN, ","")&amp;IF(OR(AND($O275&lt;&gt;"",$B275=""),AND($B275&lt;&gt;"",OR(NOT(IFERROR(AND(LEN($B275&amp;"")=9,ISNUMBER(--($B275&amp;""))),FALSE)),$B275=$A275,$B275="123456789",$B275="987654321",$B275="012345678",$B275=REPT(LEFT($B275&amp;"",1),9)))),"Dependent SSN, ","")&amp;IF(OR($C275="",LEN($C275)&gt;19,AND($C275&lt;&gt;"",SUMPRODUCT(--(ROW($1:$19)&lt;=LEN($C275&amp;"")),--ISERROR(FIND(MID($C275&amp;"",ROW($1:$19),1),"ABCDEFGHIJKLMNOPQRSTUVWXYZabcdefghijklmnopqrstuvwxyz .,")))&gt;0)),"First Name, ","")&amp;IF(OR($D275="",LEN($D275)&gt;26,AND($D275&lt;&gt;"",SUMPRODUCT(--(ROW($1:$26)&lt;=LEN($D275&amp;"")),--ISERROR(FIND(MID($D275&amp;"",ROW($1:$26),1),"ABCDEFGHIJKLMNOPQRSTUVWXYZabcdefghijklmnopqrstuvwxyz .,")))&gt;0)),"Last Name, ","")&amp;IF(OR(LEN($E275)&gt;1,AND($E275&lt;&gt;"",SUMPRODUCT(--(ROW($1:$1)&lt;=LEN($E275&amp;"")),--ISERROR(FIND(MID($E275&amp;"",ROW($1:$1),1),"ABCDEFGHIJKLMNOPQRSTUVWXYZabcdefghijklmnopqrstuvwxyz .,")))&gt;0)),"Middle Initial, ","")&amp;IF(OR($F275="",LEN($F275)&gt;75),"Address, ","")&amp;IF(OR($H275="",LEN($H275)&gt;30),"City, ","")&amp;IF(AND($K275="US",OR($I275="",LEN($I275)&lt;&gt;2)),"State, ","")&amp;IF($J275="","ZIP, ","")&amp;IF(OR($K275="",AND($K275&lt;&gt;"US",$K275&lt;&gt;"CA")),"Country, ","")&amp;IF(OR($L275="",AND($L275&lt;&gt;"",OR(NOT(ISNUMBER($L275)),$L275&lt;=DATE(1900,1,1),$L275&gt;TODAY()))),"Birthdate, ","")&amp;IF(AND($N275&lt;&gt;"",NOT(IFERROR(AND(ISNUMBER(SEARCH("@",$N275)),ISNUMBER(SEARCH(".",$N275,SEARCH("@",$N275)+2))),FALSE))),"Email, ","")&amp;IF(OR(AND($B275&lt;&gt;"",$O275=""),AND($O275&lt;&gt;"",$O275&lt;&gt;"Spouse or Common Law Spouse",$O275&lt;&gt;"Domestic Partner",$O275&lt;&gt;"Child",$O275&lt;&gt;"Other",$O275&lt;&gt;"Estate",$O275&lt;&gt;"Unknown")),"Dependent Relationship, ","")&amp;IF($AA275&lt;&gt;"","Household, ","")&amp;IF(OR($P275="",AND($P275&lt;&gt;"",OR(NOT(ISNUMBER($P275)),$P275&lt;=DATE(1900,1,1)))),"Eligibility Date, ","")&amp;IF(OR(AND($R275="Terminated",$Q275=""),AND($Q275&lt;&gt;"",OR(NOT(ISNUMBER($Q275)),$Q275&lt;=DATE(1900,1,1))),AND(ISNUMBER($P275),ISNUMBER($Q275),$Q275&lt;$P275)),"Termination Date, ","")&amp;IF(OR($R275="",AND($R275&lt;&gt;"Active",$R275&lt;&gt;"Terminated"),AND('START HERE'!$C$8="Terminations Only",$R275&lt;&gt;"Terminated")),"Status, ","")&amp;IF($S275="","Plan Name, ","")&amp;IF($T275="","Coverage Level, ","")&amp;IF(AND($U275&lt;&gt;"",OR(NOT(ISNUMBER($U275)),$U275&lt;0)),"Funding, ","")&amp;IF(AND($A275&lt;&gt;"",$S275&lt;&gt;"",COUNTIFS($A$2:$A$501,$A275,$B$2:$B$501,$B275,$S$2:$S$501,$S275)&gt;1),"Duplicate Row, ",""))</f>
        <v/>
      </c>
      <c r="AF275">
        <f>IF(COUNTA($A275:$U275)=0,"",$Y275&amp;$Z275&amp;$AA275&amp;$AB275&amp;$AC275)</f>
        <v/>
      </c>
      <c r="AG275">
        <f>IF($N275="","",LOWER(TRIM($N275)))</f>
        <v/>
      </c>
      <c r="AH275">
        <f>IF($A275="","",COUNTIFS($A$2:$A$501,$A275,$AI$2:$AI$501,1))</f>
        <v/>
      </c>
      <c r="AI275">
        <f>IF(COUNTA($A275:$U275)=0,"",--($AF275&lt;&gt;""))</f>
        <v/>
      </c>
      <c r="AJ275">
        <f>IF(COUNTA($A275:$U275)=0,"",--($AD275&lt;&gt;""))</f>
        <v/>
      </c>
    </row>
    <row r="276" ht="20" customHeight="1">
      <c r="A276" s="80" t="n"/>
      <c r="B276" s="80" t="n"/>
      <c r="C276" s="81" t="n"/>
      <c r="D276" s="81" t="n"/>
      <c r="E276" s="80" t="n"/>
      <c r="F276" s="81" t="n"/>
      <c r="G276" s="81" t="n"/>
      <c r="H276" s="81" t="n"/>
      <c r="I276" s="80" t="n"/>
      <c r="J276" s="80" t="n"/>
      <c r="K276" s="80" t="n"/>
      <c r="L276" s="82" t="n"/>
      <c r="M276" s="80" t="n"/>
      <c r="N276" s="80" t="n"/>
      <c r="O276" s="80" t="n"/>
      <c r="P276" s="82" t="n"/>
      <c r="Q276" s="82" t="n"/>
      <c r="R276" s="80" t="n"/>
      <c r="S276" s="80" t="n"/>
      <c r="T276" s="80" t="n"/>
      <c r="U276" s="83" t="n"/>
      <c r="V276">
        <f>IF($A276="","",IF($A276=$A275,$V275,IF($V275="",0,1-$V275)))</f>
        <v/>
      </c>
      <c r="W276">
        <f>IF($B276&lt;&gt;"",$B276,$A276)</f>
        <v/>
      </c>
      <c r="X276">
        <f>IF(COUNTA($A276:$U276)=0,"",IF(OR($B276&lt;&gt;"",$O276&lt;&gt;""),"Dependent","Employee"))</f>
        <v/>
      </c>
      <c r="Y276">
        <f>IF(COUNTA($A276:$U276)=0,"",IF($A276="","Employee SSN is required; ","")&amp;IF($C276="","First Name is required; ","")&amp;IF(LEN($C276&amp;"")&gt;19,"First Name exceeds 19 characters; ","")&amp;IF(AND($C276&lt;&gt;"",SUMPRODUCT(--(ROW($1:$19)&lt;=LEN($C276&amp;"")),--ISERROR(FIND(MID($C276&amp;"",ROW($1:$19),1),"ABCDEFGHIJKLMNOPQRSTUVWXYZabcdefghijklmnopqrstuvwxyz .,")))&gt;0),"First Name contains unsupported or encoded characters; use plain A-Z letters only; ","")&amp;IF($D276="","Last Name is required; ","")&amp;IF(LEN($D276&amp;"")&gt;26,"Last Name exceeds 26 characters; ","")&amp;IF(AND($D276&lt;&gt;"",SUMPRODUCT(--(ROW($1:$26)&lt;=LEN($D276&amp;"")),--ISERROR(FIND(MID($D276&amp;"",ROW($1:$26),1),"ABCDEFGHIJKLMNOPQRSTUVWXYZabcdefghijklmnopqrstuvwxyz .,")))&gt;0),"Last Name contains unsupported or encoded characters; use plain A-Z letters only; ","")&amp;IF(LEN($E276&amp;"")&gt;1,"Middle Initial may contain only one character; ","")&amp;IF(AND($E276&lt;&gt;"",SUMPRODUCT(--(ROW($1:$1)&lt;=LEN($E276&amp;"")),--ISERROR(FIND(MID($E276&amp;"",ROW($1:$1),1),"ABCDEFGHIJKLMNOPQRSTUVWXYZabcdefghijklmnopqrstuvwxyz .,")))&gt;0),"Middle Initial must be a plain A-Z letter; ","")&amp;IF($F276="","Address is required; ","")&amp;IF(LEN($F276&amp;"")&gt;75,"Address exceeds 75 characters; ","")&amp;IF(LEN($G276&amp;"")&gt;75,"Address 2 exceeds 75 characters; ","")&amp;IF($H276="","City is required; ","")&amp;IF(LEN($H276&amp;"")&gt;30,"City exceeds 30 characters; ","")&amp;IF($K276="","Country is required; ","")&amp;IF(AND($K276&lt;&gt;"",$K276&lt;&gt;"US",$K276&lt;&gt;"CA"),"Country must be US or CA; ","")&amp;IF(AND($K276="US",OR($I276="",LEN($I276&amp;"")&lt;&gt;2)),"Use a 2-letter state code; ","")&amp;IF($J276="","ZIP or postal code is required; ","")&amp;IF(AND($K276="US",$J276&lt;&gt;"",NOT(IFERROR(OR(AND(LEN($J276&amp;"")=5,ISNUMBER(--($J276&amp;""))),AND(LEN($J276&amp;"")=9,ISNUMBER(--($J276&amp;""))),AND(LEN($J276&amp;"")=10,MID($J276&amp;"",6,1)="-",ISNUMBER(--SUBSTITUTE($J276&amp;"","-","")))),FALSE))),"US ZIP must be 5 or 9 digits, with an optional ZIP+4 hyphen; ","")&amp;IF(AND($N276&lt;&gt;"",NOT(IFERROR(AND(ISNUMBER(SEARCH("@",$N276)),ISNUMBER(SEARCH(".",$N276,SEARCH("@",$N276)+2))),FALSE))),"Email format appears invalid; ","")&amp;IF(AND($O276&lt;&gt;"",$B276=""),"Dependent SSN is required for every dependent; ","")&amp;IF(AND($B276&lt;&gt;"",$O276=""),"Dependent Relationship is required when Dependent SSN is entered; ","")&amp;IF(AND($O276&lt;&gt;"",$O276&lt;&gt;"Spouse or Common Law Spouse",$O276&lt;&gt;"Domestic Partner",$O276&lt;&gt;"Child",$O276&lt;&gt;"Other",$O276&lt;&gt;"Estate",$O276&lt;&gt;"Unknown"),"Dependent Relationship must use one of the approved options; ",""))</f>
        <v/>
      </c>
      <c r="Z276">
        <f>IF(COUNTA($A276:$U276)=0,"",IF(AND($A276&lt;&gt;"",NOT(IFERROR(AND(LEN($A276&amp;"")=9,ISNUMBER(--($A276&amp;""))),FALSE))),"Employee SSN must contain exactly 9 digits; ","")&amp;IF(AND($A276&lt;&gt;"",OR($A276="123456789",$A276="987654321",$A276="012345678",$A276=REPT(LEFT($A276&amp;"",1),9))),"Employee SSN appears to be a placeholder; ","")&amp;IF(AND($B276&lt;&gt;"",NOT(IFERROR(AND(LEN($B276&amp;"")=9,ISNUMBER(--($B276&amp;""))),FALSE))),"Dependent SSN must contain exactly 9 digits; ","")&amp;IF(AND($B276&lt;&gt;"",OR($B276="123456789",$B276="987654321",$B276="012345678",$B276=REPT(LEFT($B276&amp;"",1),9))),"Dependent SSN appears to be a placeholder; ","")&amp;IF(AND($A276&lt;&gt;"",$B276&lt;&gt;"",$A276&amp;""=$B276&amp;""),"Dependent SSN cannot match Employee SSN; ","")&amp;IF(AND($W276&lt;&gt;"",OR(COUNTIFS($W$2:$W$501,$W276,$C$2:$C$501,"&lt;&gt;"&amp;$C276)&gt;0,COUNTIFS($W$2:$W$501,$W276,$D$2:$D$501,"&lt;&gt;"&amp;$D276)&gt;0,COUNTIFS($W$2:$W$501,$W276,$L$2:$L$501,"&lt;&gt;"&amp;$L276)&gt;0)),"The same SSN is associated with a different name or birthdate; ",""))</f>
        <v/>
      </c>
      <c r="AA276">
        <f>IF(COUNTA($A276:$U276)=0,"",IF(AND($A276&lt;&gt;"",$S276&lt;&gt;"",COUNTIFS($A$2:$A$501,$A276,$S$2:$S$501,$S276,$B$2:$B$501,"",$O$2:$O$501,"")=0),"Add an employee row for this household and plan; ","")&amp;IF(AND($X276="Dependent",COUNTIFS($A$2:$A276,$A276,$S$2:$S276,$S276,$B$2:$B276,"",$O$2:$O276,"")=0),"Place the employee row before dependent rows for this plan; ","")&amp;IF(AND($X276="Dependent",COUNTIFS($A$2:$A$501,$A276,$S$2:$S$501,$S276,$B$2:$B$501,"",$O$2:$O$501,"")&gt;0,IFERROR(OR($P276&lt;&gt;LOOKUP(2,1/(($A$2:$A$501=$A276)*($S$2:$S$501=$S276)*($B$2:$B$501="")*($O$2:$O$501="")),$P$2:$P$501),$Q276&lt;&gt;LOOKUP(2,1/(($A$2:$A$501=$A276)*($S$2:$S$501=$S276)*($B$2:$B$501="")*($O$2:$O$501="")),$Q$2:$Q$501),$R276&lt;&gt;LOOKUP(2,1/(($A$2:$A$501=$A276)*($S$2:$S$501=$S276)*($B$2:$B$501="")*($O$2:$O$501="")),$R$2:$R$501),$T276&lt;&gt;LOOKUP(2,1/(($A$2:$A$501=$A276)*($S$2:$S$501=$S276)*($B$2:$B$501="")*($O$2:$O$501="")),$T$2:$T$501),$U276&lt;&gt;LOOKUP(2,1/(($A$2:$A$501=$A276)*($S$2:$S$501=$S276)*($B$2:$B$501="")*($O$2:$O$501="")),$U$2:$U$501)),FALSE)),"Dependent row does not match the employee row for eligibility, status, coverage level, or funding; ",""))</f>
        <v/>
      </c>
      <c r="AB276">
        <f>IF(COUNTA($A276:$U276)=0,"",IF($L276="","Birthdate is required; ","")&amp;IF(AND($L276&lt;&gt;"",OR(NOT(ISNUMBER($L276)),$L276&lt;=DATE(1900,1,1),$L276&gt;TODAY())),"Birthdate must be an exact valid past date; ","")&amp;IF($P276="","Eligibility Date is required; ","")&amp;IF(AND($P276&lt;&gt;"",OR(NOT(ISNUMBER($P276)),$P276&lt;=DATE(1900,1,1))),"Eligibility Date must be a valid date; ","")&amp;IF(AND($R276="Terminated",$Q276=""),"Termination Date is required when Status is Terminated; ","")&amp;IF(AND($Q276&lt;&gt;"",OR(NOT(ISNUMBER($Q276)),$Q276&lt;=DATE(1900,1,1))),"Termination Date must be a valid date; ","")&amp;IF(AND(ISNUMBER($P276),ISNUMBER($Q276),$Q276&lt;$P276),"Termination Date cannot be before Eligibility Date; ","")&amp;IF($R276="","Status is required; ","")&amp;IF(AND($R276&lt;&gt;"",$R276&lt;&gt;"Active",$R276&lt;&gt;"Terminated"),"Status must be Active or Terminated; ","")&amp;IF(AND('START HERE'!$C$8="Terminations Only",$R276&lt;&gt;"Terminated"),"Terminations Only files must contain terminated records; ",""))</f>
        <v/>
      </c>
      <c r="AC276">
        <f>IF(COUNTA($A276:$U276)=0,"",IF($S276="","Plan Name is required; ","")&amp;IF($T276="","Benefit Coverage Level is required; ","")&amp;IF(AND($U276&lt;&gt;"",OR(NOT(ISNUMBER($U276)),$U276&lt;0)),"Plan Funding Amount must be a nonnegative number; ","")&amp;IF(AND($A276&lt;&gt;"",$S276&lt;&gt;"",COUNTIFS($A$2:$A$501,$A276,$B$2:$B$501,$B276,$S$2:$S$501,$S276)&gt;1),"Duplicate participant and plan row; ",""))</f>
        <v/>
      </c>
      <c r="AD276">
        <f>IF(COUNTA($A276:$U276)=0,"",IF(AND($X276="Employee",$M276="",$N276=""),"No employee phone or email provided; ","")&amp;IF(AND($R276="Active",$Q276&lt;&gt;""),"Active record includes a Termination Date; confirm this is intentional; ","")&amp;IF(AND($B276&lt;&gt;"",$B276&amp;""&lt;&gt;$A276&amp;"",COUNTIF($A$2:$A$501,$B276)&gt;0),"Dependent SSN also appears as an Employee SSN elsewhere; confirm dual-employee coverage is intentional; ","")&amp;IF(AND($B276&lt;&gt;"",COUNTIF($B$2:$B$501,$B276)&gt;COUNTIFS($A$2:$A$501,$A276,$B$2:$B$501,$B276)),"Dependent SSN appears under more than one employee; confirm duplicate family coverage is intentional; ","")&amp;IF(AND(ROW()&gt;2,$A276&lt;&gt;"",$A276&lt;&gt;$A275,COUNTIF($A$2:$A275,$A276)&gt;0),"This household appears in more than one section of the census; keep the family together; ","")&amp;IF(OR(AND($C276&lt;&gt;"",LEN($C276&amp;"")&lt;&gt;LEN(TRIM($C276&amp;""))),AND($D276&lt;&gt;"",LEN($D276&amp;"")&lt;&gt;LEN(TRIM($D276&amp;""))),AND($E276&lt;&gt;"",LEN($E276&amp;"")&lt;&gt;LEN(TRIM($E276&amp;""))),AND($F276&lt;&gt;"",LEN($F276&amp;"")&lt;&gt;LEN(TRIM($F276&amp;""))),AND($G276&lt;&gt;"",LEN($G276&amp;"")&lt;&gt;LEN(TRIM($G276&amp;""))),AND($H276&lt;&gt;"",LEN($H276&amp;"")&lt;&gt;LEN(TRIM($H276&amp;""))),AND($I276&lt;&gt;"",LEN($I276&amp;"")&lt;&gt;LEN(TRIM($I276&amp;""))),AND($J276&lt;&gt;"",LEN($J276&amp;"")&lt;&gt;LEN(TRIM($J276&amp;""))),AND($K276&lt;&gt;"",LEN($K276&amp;"")&lt;&gt;LEN(TRIM($K276&amp;""))),AND($M276&lt;&gt;"",LEN($M276&amp;"")&lt;&gt;LEN(TRIM($M276&amp;""))),AND($N276&lt;&gt;"",LEN($N276&amp;"")&lt;&gt;LEN(TRIM($N276&amp;""))),AND($O276&lt;&gt;"",LEN($O276&amp;"")&lt;&gt;LEN(TRIM($O276&amp;""))),AND($R276&lt;&gt;"",LEN($R276&amp;"")&lt;&gt;LEN(TRIM($R276&amp;""))),AND($S276&lt;&gt;"",LEN($S276&amp;"")&lt;&gt;LEN(TRIM($S276&amp;""))),AND($T276&lt;&gt;"",LEN($T276&amp;"")&lt;&gt;LEN(TRIM($T276&amp;"")))),"Remove leading or trailing spaces from text fields; ","")&amp;IF(OR(AND(LEN($C276)&gt;1,OR(EXACT($C276,UPPER($C276)),EXACT($C276,LOWER($C276)))),AND(LEN($D276)&gt;1,OR(EXACT($D276,UPPER($D276)),EXACT($D276,LOWER($D276)))),AND(LEN($H276)&gt;1,OR(EXACT($H276,UPPER($H276)),EXACT($H276,LOWER($H276))))),"Review capitalization in First Name, Last Name, or City; ","")&amp;IF(AND($N276&lt;&gt;"",NOT(EXACT($N276,LOWER($N276)))),"Email will be standardized to lowercase in the clean output; ","")&amp;IF(AND(OR('START HERE'!$C$8="Initial Enrollment",'START HERE'!$C$8="Open Enrollment"),$R276="Terminated"),"A terminated row is included in an initial or open enrollment file; confirm this is intentional; ",""))</f>
        <v/>
      </c>
      <c r="AE276">
        <f>IF(COUNTA($A276:$U276)=0,"",IF(OR($A276="",AND($A276&lt;&gt;"",NOT(IFERROR(AND(LEN($A276&amp;"")=9,ISNUMBER(--($A276&amp;""))),FALSE))),AND($A276&lt;&gt;"",OR($A276="123456789",$A276="987654321",$A276="012345678",$A276=REPT(LEFT($A276&amp;"",1),9)))),"Employee SSN, ","")&amp;IF(OR(AND($O276&lt;&gt;"",$B276=""),AND($B276&lt;&gt;"",OR(NOT(IFERROR(AND(LEN($B276&amp;"")=9,ISNUMBER(--($B276&amp;""))),FALSE)),$B276=$A276,$B276="123456789",$B276="987654321",$B276="012345678",$B276=REPT(LEFT($B276&amp;"",1),9)))),"Dependent SSN, ","")&amp;IF(OR($C276="",LEN($C276)&gt;19,AND($C276&lt;&gt;"",SUMPRODUCT(--(ROW($1:$19)&lt;=LEN($C276&amp;"")),--ISERROR(FIND(MID($C276&amp;"",ROW($1:$19),1),"ABCDEFGHIJKLMNOPQRSTUVWXYZabcdefghijklmnopqrstuvwxyz .,")))&gt;0)),"First Name, ","")&amp;IF(OR($D276="",LEN($D276)&gt;26,AND($D276&lt;&gt;"",SUMPRODUCT(--(ROW($1:$26)&lt;=LEN($D276&amp;"")),--ISERROR(FIND(MID($D276&amp;"",ROW($1:$26),1),"ABCDEFGHIJKLMNOPQRSTUVWXYZabcdefghijklmnopqrstuvwxyz .,")))&gt;0)),"Last Name, ","")&amp;IF(OR(LEN($E276)&gt;1,AND($E276&lt;&gt;"",SUMPRODUCT(--(ROW($1:$1)&lt;=LEN($E276&amp;"")),--ISERROR(FIND(MID($E276&amp;"",ROW($1:$1),1),"ABCDEFGHIJKLMNOPQRSTUVWXYZabcdefghijklmnopqrstuvwxyz .,")))&gt;0)),"Middle Initial, ","")&amp;IF(OR($F276="",LEN($F276)&gt;75),"Address, ","")&amp;IF(OR($H276="",LEN($H276)&gt;30),"City, ","")&amp;IF(AND($K276="US",OR($I276="",LEN($I276)&lt;&gt;2)),"State, ","")&amp;IF($J276="","ZIP, ","")&amp;IF(OR($K276="",AND($K276&lt;&gt;"US",$K276&lt;&gt;"CA")),"Country, ","")&amp;IF(OR($L276="",AND($L276&lt;&gt;"",OR(NOT(ISNUMBER($L276)),$L276&lt;=DATE(1900,1,1),$L276&gt;TODAY()))),"Birthdate, ","")&amp;IF(AND($N276&lt;&gt;"",NOT(IFERROR(AND(ISNUMBER(SEARCH("@",$N276)),ISNUMBER(SEARCH(".",$N276,SEARCH("@",$N276)+2))),FALSE))),"Email, ","")&amp;IF(OR(AND($B276&lt;&gt;"",$O276=""),AND($O276&lt;&gt;"",$O276&lt;&gt;"Spouse or Common Law Spouse",$O276&lt;&gt;"Domestic Partner",$O276&lt;&gt;"Child",$O276&lt;&gt;"Other",$O276&lt;&gt;"Estate",$O276&lt;&gt;"Unknown")),"Dependent Relationship, ","")&amp;IF($AA276&lt;&gt;"","Household, ","")&amp;IF(OR($P276="",AND($P276&lt;&gt;"",OR(NOT(ISNUMBER($P276)),$P276&lt;=DATE(1900,1,1)))),"Eligibility Date, ","")&amp;IF(OR(AND($R276="Terminated",$Q276=""),AND($Q276&lt;&gt;"",OR(NOT(ISNUMBER($Q276)),$Q276&lt;=DATE(1900,1,1))),AND(ISNUMBER($P276),ISNUMBER($Q276),$Q276&lt;$P276)),"Termination Date, ","")&amp;IF(OR($R276="",AND($R276&lt;&gt;"Active",$R276&lt;&gt;"Terminated"),AND('START HERE'!$C$8="Terminations Only",$R276&lt;&gt;"Terminated")),"Status, ","")&amp;IF($S276="","Plan Name, ","")&amp;IF($T276="","Coverage Level, ","")&amp;IF(AND($U276&lt;&gt;"",OR(NOT(ISNUMBER($U276)),$U276&lt;0)),"Funding, ","")&amp;IF(AND($A276&lt;&gt;"",$S276&lt;&gt;"",COUNTIFS($A$2:$A$501,$A276,$B$2:$B$501,$B276,$S$2:$S$501,$S276)&gt;1),"Duplicate Row, ",""))</f>
        <v/>
      </c>
      <c r="AF276">
        <f>IF(COUNTA($A276:$U276)=0,"",$Y276&amp;$Z276&amp;$AA276&amp;$AB276&amp;$AC276)</f>
        <v/>
      </c>
      <c r="AG276">
        <f>IF($N276="","",LOWER(TRIM($N276)))</f>
        <v/>
      </c>
      <c r="AH276">
        <f>IF($A276="","",COUNTIFS($A$2:$A$501,$A276,$AI$2:$AI$501,1))</f>
        <v/>
      </c>
      <c r="AI276">
        <f>IF(COUNTA($A276:$U276)=0,"",--($AF276&lt;&gt;""))</f>
        <v/>
      </c>
      <c r="AJ276">
        <f>IF(COUNTA($A276:$U276)=0,"",--($AD276&lt;&gt;""))</f>
        <v/>
      </c>
    </row>
    <row r="277" ht="20" customHeight="1">
      <c r="A277" s="80" t="n"/>
      <c r="B277" s="80" t="n"/>
      <c r="C277" s="81" t="n"/>
      <c r="D277" s="81" t="n"/>
      <c r="E277" s="80" t="n"/>
      <c r="F277" s="81" t="n"/>
      <c r="G277" s="81" t="n"/>
      <c r="H277" s="81" t="n"/>
      <c r="I277" s="80" t="n"/>
      <c r="J277" s="80" t="n"/>
      <c r="K277" s="80" t="n"/>
      <c r="L277" s="82" t="n"/>
      <c r="M277" s="80" t="n"/>
      <c r="N277" s="80" t="n"/>
      <c r="O277" s="80" t="n"/>
      <c r="P277" s="82" t="n"/>
      <c r="Q277" s="82" t="n"/>
      <c r="R277" s="80" t="n"/>
      <c r="S277" s="80" t="n"/>
      <c r="T277" s="80" t="n"/>
      <c r="U277" s="83" t="n"/>
      <c r="V277">
        <f>IF($A277="","",IF($A277=$A276,$V276,IF($V276="",0,1-$V276)))</f>
        <v/>
      </c>
      <c r="W277">
        <f>IF($B277&lt;&gt;"",$B277,$A277)</f>
        <v/>
      </c>
      <c r="X277">
        <f>IF(COUNTA($A277:$U277)=0,"",IF(OR($B277&lt;&gt;"",$O277&lt;&gt;""),"Dependent","Employee"))</f>
        <v/>
      </c>
      <c r="Y277">
        <f>IF(COUNTA($A277:$U277)=0,"",IF($A277="","Employee SSN is required; ","")&amp;IF($C277="","First Name is required; ","")&amp;IF(LEN($C277&amp;"")&gt;19,"First Name exceeds 19 characters; ","")&amp;IF(AND($C277&lt;&gt;"",SUMPRODUCT(--(ROW($1:$19)&lt;=LEN($C277&amp;"")),--ISERROR(FIND(MID($C277&amp;"",ROW($1:$19),1),"ABCDEFGHIJKLMNOPQRSTUVWXYZabcdefghijklmnopqrstuvwxyz .,")))&gt;0),"First Name contains unsupported or encoded characters; use plain A-Z letters only; ","")&amp;IF($D277="","Last Name is required; ","")&amp;IF(LEN($D277&amp;"")&gt;26,"Last Name exceeds 26 characters; ","")&amp;IF(AND($D277&lt;&gt;"",SUMPRODUCT(--(ROW($1:$26)&lt;=LEN($D277&amp;"")),--ISERROR(FIND(MID($D277&amp;"",ROW($1:$26),1),"ABCDEFGHIJKLMNOPQRSTUVWXYZabcdefghijklmnopqrstuvwxyz .,")))&gt;0),"Last Name contains unsupported or encoded characters; use plain A-Z letters only; ","")&amp;IF(LEN($E277&amp;"")&gt;1,"Middle Initial may contain only one character; ","")&amp;IF(AND($E277&lt;&gt;"",SUMPRODUCT(--(ROW($1:$1)&lt;=LEN($E277&amp;"")),--ISERROR(FIND(MID($E277&amp;"",ROW($1:$1),1),"ABCDEFGHIJKLMNOPQRSTUVWXYZabcdefghijklmnopqrstuvwxyz .,")))&gt;0),"Middle Initial must be a plain A-Z letter; ","")&amp;IF($F277="","Address is required; ","")&amp;IF(LEN($F277&amp;"")&gt;75,"Address exceeds 75 characters; ","")&amp;IF(LEN($G277&amp;"")&gt;75,"Address 2 exceeds 75 characters; ","")&amp;IF($H277="","City is required; ","")&amp;IF(LEN($H277&amp;"")&gt;30,"City exceeds 30 characters; ","")&amp;IF($K277="","Country is required; ","")&amp;IF(AND($K277&lt;&gt;"",$K277&lt;&gt;"US",$K277&lt;&gt;"CA"),"Country must be US or CA; ","")&amp;IF(AND($K277="US",OR($I277="",LEN($I277&amp;"")&lt;&gt;2)),"Use a 2-letter state code; ","")&amp;IF($J277="","ZIP or postal code is required; ","")&amp;IF(AND($K277="US",$J277&lt;&gt;"",NOT(IFERROR(OR(AND(LEN($J277&amp;"")=5,ISNUMBER(--($J277&amp;""))),AND(LEN($J277&amp;"")=9,ISNUMBER(--($J277&amp;""))),AND(LEN($J277&amp;"")=10,MID($J277&amp;"",6,1)="-",ISNUMBER(--SUBSTITUTE($J277&amp;"","-","")))),FALSE))),"US ZIP must be 5 or 9 digits, with an optional ZIP+4 hyphen; ","")&amp;IF(AND($N277&lt;&gt;"",NOT(IFERROR(AND(ISNUMBER(SEARCH("@",$N277)),ISNUMBER(SEARCH(".",$N277,SEARCH("@",$N277)+2))),FALSE))),"Email format appears invalid; ","")&amp;IF(AND($O277&lt;&gt;"",$B277=""),"Dependent SSN is required for every dependent; ","")&amp;IF(AND($B277&lt;&gt;"",$O277=""),"Dependent Relationship is required when Dependent SSN is entered; ","")&amp;IF(AND($O277&lt;&gt;"",$O277&lt;&gt;"Spouse or Common Law Spouse",$O277&lt;&gt;"Domestic Partner",$O277&lt;&gt;"Child",$O277&lt;&gt;"Other",$O277&lt;&gt;"Estate",$O277&lt;&gt;"Unknown"),"Dependent Relationship must use one of the approved options; ",""))</f>
        <v/>
      </c>
      <c r="Z277">
        <f>IF(COUNTA($A277:$U277)=0,"",IF(AND($A277&lt;&gt;"",NOT(IFERROR(AND(LEN($A277&amp;"")=9,ISNUMBER(--($A277&amp;""))),FALSE))),"Employee SSN must contain exactly 9 digits; ","")&amp;IF(AND($A277&lt;&gt;"",OR($A277="123456789",$A277="987654321",$A277="012345678",$A277=REPT(LEFT($A277&amp;"",1),9))),"Employee SSN appears to be a placeholder; ","")&amp;IF(AND($B277&lt;&gt;"",NOT(IFERROR(AND(LEN($B277&amp;"")=9,ISNUMBER(--($B277&amp;""))),FALSE))),"Dependent SSN must contain exactly 9 digits; ","")&amp;IF(AND($B277&lt;&gt;"",OR($B277="123456789",$B277="987654321",$B277="012345678",$B277=REPT(LEFT($B277&amp;"",1),9))),"Dependent SSN appears to be a placeholder; ","")&amp;IF(AND($A277&lt;&gt;"",$B277&lt;&gt;"",$A277&amp;""=$B277&amp;""),"Dependent SSN cannot match Employee SSN; ","")&amp;IF(AND($W277&lt;&gt;"",OR(COUNTIFS($W$2:$W$501,$W277,$C$2:$C$501,"&lt;&gt;"&amp;$C277)&gt;0,COUNTIFS($W$2:$W$501,$W277,$D$2:$D$501,"&lt;&gt;"&amp;$D277)&gt;0,COUNTIFS($W$2:$W$501,$W277,$L$2:$L$501,"&lt;&gt;"&amp;$L277)&gt;0)),"The same SSN is associated with a different name or birthdate; ",""))</f>
        <v/>
      </c>
      <c r="AA277">
        <f>IF(COUNTA($A277:$U277)=0,"",IF(AND($A277&lt;&gt;"",$S277&lt;&gt;"",COUNTIFS($A$2:$A$501,$A277,$S$2:$S$501,$S277,$B$2:$B$501,"",$O$2:$O$501,"")=0),"Add an employee row for this household and plan; ","")&amp;IF(AND($X277="Dependent",COUNTIFS($A$2:$A277,$A277,$S$2:$S277,$S277,$B$2:$B277,"",$O$2:$O277,"")=0),"Place the employee row before dependent rows for this plan; ","")&amp;IF(AND($X277="Dependent",COUNTIFS($A$2:$A$501,$A277,$S$2:$S$501,$S277,$B$2:$B$501,"",$O$2:$O$501,"")&gt;0,IFERROR(OR($P277&lt;&gt;LOOKUP(2,1/(($A$2:$A$501=$A277)*($S$2:$S$501=$S277)*($B$2:$B$501="")*($O$2:$O$501="")),$P$2:$P$501),$Q277&lt;&gt;LOOKUP(2,1/(($A$2:$A$501=$A277)*($S$2:$S$501=$S277)*($B$2:$B$501="")*($O$2:$O$501="")),$Q$2:$Q$501),$R277&lt;&gt;LOOKUP(2,1/(($A$2:$A$501=$A277)*($S$2:$S$501=$S277)*($B$2:$B$501="")*($O$2:$O$501="")),$R$2:$R$501),$T277&lt;&gt;LOOKUP(2,1/(($A$2:$A$501=$A277)*($S$2:$S$501=$S277)*($B$2:$B$501="")*($O$2:$O$501="")),$T$2:$T$501),$U277&lt;&gt;LOOKUP(2,1/(($A$2:$A$501=$A277)*($S$2:$S$501=$S277)*($B$2:$B$501="")*($O$2:$O$501="")),$U$2:$U$501)),FALSE)),"Dependent row does not match the employee row for eligibility, status, coverage level, or funding; ",""))</f>
        <v/>
      </c>
      <c r="AB277">
        <f>IF(COUNTA($A277:$U277)=0,"",IF($L277="","Birthdate is required; ","")&amp;IF(AND($L277&lt;&gt;"",OR(NOT(ISNUMBER($L277)),$L277&lt;=DATE(1900,1,1),$L277&gt;TODAY())),"Birthdate must be an exact valid past date; ","")&amp;IF($P277="","Eligibility Date is required; ","")&amp;IF(AND($P277&lt;&gt;"",OR(NOT(ISNUMBER($P277)),$P277&lt;=DATE(1900,1,1))),"Eligibility Date must be a valid date; ","")&amp;IF(AND($R277="Terminated",$Q277=""),"Termination Date is required when Status is Terminated; ","")&amp;IF(AND($Q277&lt;&gt;"",OR(NOT(ISNUMBER($Q277)),$Q277&lt;=DATE(1900,1,1))),"Termination Date must be a valid date; ","")&amp;IF(AND(ISNUMBER($P277),ISNUMBER($Q277),$Q277&lt;$P277),"Termination Date cannot be before Eligibility Date; ","")&amp;IF($R277="","Status is required; ","")&amp;IF(AND($R277&lt;&gt;"",$R277&lt;&gt;"Active",$R277&lt;&gt;"Terminated"),"Status must be Active or Terminated; ","")&amp;IF(AND('START HERE'!$C$8="Terminations Only",$R277&lt;&gt;"Terminated"),"Terminations Only files must contain terminated records; ",""))</f>
        <v/>
      </c>
      <c r="AC277">
        <f>IF(COUNTA($A277:$U277)=0,"",IF($S277="","Plan Name is required; ","")&amp;IF($T277="","Benefit Coverage Level is required; ","")&amp;IF(AND($U277&lt;&gt;"",OR(NOT(ISNUMBER($U277)),$U277&lt;0)),"Plan Funding Amount must be a nonnegative number; ","")&amp;IF(AND($A277&lt;&gt;"",$S277&lt;&gt;"",COUNTIFS($A$2:$A$501,$A277,$B$2:$B$501,$B277,$S$2:$S$501,$S277)&gt;1),"Duplicate participant and plan row; ",""))</f>
        <v/>
      </c>
      <c r="AD277">
        <f>IF(COUNTA($A277:$U277)=0,"",IF(AND($X277="Employee",$M277="",$N277=""),"No employee phone or email provided; ","")&amp;IF(AND($R277="Active",$Q277&lt;&gt;""),"Active record includes a Termination Date; confirm this is intentional; ","")&amp;IF(AND($B277&lt;&gt;"",$B277&amp;""&lt;&gt;$A277&amp;"",COUNTIF($A$2:$A$501,$B277)&gt;0),"Dependent SSN also appears as an Employee SSN elsewhere; confirm dual-employee coverage is intentional; ","")&amp;IF(AND($B277&lt;&gt;"",COUNTIF($B$2:$B$501,$B277)&gt;COUNTIFS($A$2:$A$501,$A277,$B$2:$B$501,$B277)),"Dependent SSN appears under more than one employee; confirm duplicate family coverage is intentional; ","")&amp;IF(AND(ROW()&gt;2,$A277&lt;&gt;"",$A277&lt;&gt;$A276,COUNTIF($A$2:$A276,$A277)&gt;0),"This household appears in more than one section of the census; keep the family together; ","")&amp;IF(OR(AND($C277&lt;&gt;"",LEN($C277&amp;"")&lt;&gt;LEN(TRIM($C277&amp;""))),AND($D277&lt;&gt;"",LEN($D277&amp;"")&lt;&gt;LEN(TRIM($D277&amp;""))),AND($E277&lt;&gt;"",LEN($E277&amp;"")&lt;&gt;LEN(TRIM($E277&amp;""))),AND($F277&lt;&gt;"",LEN($F277&amp;"")&lt;&gt;LEN(TRIM($F277&amp;""))),AND($G277&lt;&gt;"",LEN($G277&amp;"")&lt;&gt;LEN(TRIM($G277&amp;""))),AND($H277&lt;&gt;"",LEN($H277&amp;"")&lt;&gt;LEN(TRIM($H277&amp;""))),AND($I277&lt;&gt;"",LEN($I277&amp;"")&lt;&gt;LEN(TRIM($I277&amp;""))),AND($J277&lt;&gt;"",LEN($J277&amp;"")&lt;&gt;LEN(TRIM($J277&amp;""))),AND($K277&lt;&gt;"",LEN($K277&amp;"")&lt;&gt;LEN(TRIM($K277&amp;""))),AND($M277&lt;&gt;"",LEN($M277&amp;"")&lt;&gt;LEN(TRIM($M277&amp;""))),AND($N277&lt;&gt;"",LEN($N277&amp;"")&lt;&gt;LEN(TRIM($N277&amp;""))),AND($O277&lt;&gt;"",LEN($O277&amp;"")&lt;&gt;LEN(TRIM($O277&amp;""))),AND($R277&lt;&gt;"",LEN($R277&amp;"")&lt;&gt;LEN(TRIM($R277&amp;""))),AND($S277&lt;&gt;"",LEN($S277&amp;"")&lt;&gt;LEN(TRIM($S277&amp;""))),AND($T277&lt;&gt;"",LEN($T277&amp;"")&lt;&gt;LEN(TRIM($T277&amp;"")))),"Remove leading or trailing spaces from text fields; ","")&amp;IF(OR(AND(LEN($C277)&gt;1,OR(EXACT($C277,UPPER($C277)),EXACT($C277,LOWER($C277)))),AND(LEN($D277)&gt;1,OR(EXACT($D277,UPPER($D277)),EXACT($D277,LOWER($D277)))),AND(LEN($H277)&gt;1,OR(EXACT($H277,UPPER($H277)),EXACT($H277,LOWER($H277))))),"Review capitalization in First Name, Last Name, or City; ","")&amp;IF(AND($N277&lt;&gt;"",NOT(EXACT($N277,LOWER($N277)))),"Email will be standardized to lowercase in the clean output; ","")&amp;IF(AND(OR('START HERE'!$C$8="Initial Enrollment",'START HERE'!$C$8="Open Enrollment"),$R277="Terminated"),"A terminated row is included in an initial or open enrollment file; confirm this is intentional; ",""))</f>
        <v/>
      </c>
      <c r="AE277">
        <f>IF(COUNTA($A277:$U277)=0,"",IF(OR($A277="",AND($A277&lt;&gt;"",NOT(IFERROR(AND(LEN($A277&amp;"")=9,ISNUMBER(--($A277&amp;""))),FALSE))),AND($A277&lt;&gt;"",OR($A277="123456789",$A277="987654321",$A277="012345678",$A277=REPT(LEFT($A277&amp;"",1),9)))),"Employee SSN, ","")&amp;IF(OR(AND($O277&lt;&gt;"",$B277=""),AND($B277&lt;&gt;"",OR(NOT(IFERROR(AND(LEN($B277&amp;"")=9,ISNUMBER(--($B277&amp;""))),FALSE)),$B277=$A277,$B277="123456789",$B277="987654321",$B277="012345678",$B277=REPT(LEFT($B277&amp;"",1),9)))),"Dependent SSN, ","")&amp;IF(OR($C277="",LEN($C277)&gt;19,AND($C277&lt;&gt;"",SUMPRODUCT(--(ROW($1:$19)&lt;=LEN($C277&amp;"")),--ISERROR(FIND(MID($C277&amp;"",ROW($1:$19),1),"ABCDEFGHIJKLMNOPQRSTUVWXYZabcdefghijklmnopqrstuvwxyz .,")))&gt;0)),"First Name, ","")&amp;IF(OR($D277="",LEN($D277)&gt;26,AND($D277&lt;&gt;"",SUMPRODUCT(--(ROW($1:$26)&lt;=LEN($D277&amp;"")),--ISERROR(FIND(MID($D277&amp;"",ROW($1:$26),1),"ABCDEFGHIJKLMNOPQRSTUVWXYZabcdefghijklmnopqrstuvwxyz .,")))&gt;0)),"Last Name, ","")&amp;IF(OR(LEN($E277)&gt;1,AND($E277&lt;&gt;"",SUMPRODUCT(--(ROW($1:$1)&lt;=LEN($E277&amp;"")),--ISERROR(FIND(MID($E277&amp;"",ROW($1:$1),1),"ABCDEFGHIJKLMNOPQRSTUVWXYZabcdefghijklmnopqrstuvwxyz .,")))&gt;0)),"Middle Initial, ","")&amp;IF(OR($F277="",LEN($F277)&gt;75),"Address, ","")&amp;IF(OR($H277="",LEN($H277)&gt;30),"City, ","")&amp;IF(AND($K277="US",OR($I277="",LEN($I277)&lt;&gt;2)),"State, ","")&amp;IF($J277="","ZIP, ","")&amp;IF(OR($K277="",AND($K277&lt;&gt;"US",$K277&lt;&gt;"CA")),"Country, ","")&amp;IF(OR($L277="",AND($L277&lt;&gt;"",OR(NOT(ISNUMBER($L277)),$L277&lt;=DATE(1900,1,1),$L277&gt;TODAY()))),"Birthdate, ","")&amp;IF(AND($N277&lt;&gt;"",NOT(IFERROR(AND(ISNUMBER(SEARCH("@",$N277)),ISNUMBER(SEARCH(".",$N277,SEARCH("@",$N277)+2))),FALSE))),"Email, ","")&amp;IF(OR(AND($B277&lt;&gt;"",$O277=""),AND($O277&lt;&gt;"",$O277&lt;&gt;"Spouse or Common Law Spouse",$O277&lt;&gt;"Domestic Partner",$O277&lt;&gt;"Child",$O277&lt;&gt;"Other",$O277&lt;&gt;"Estate",$O277&lt;&gt;"Unknown")),"Dependent Relationship, ","")&amp;IF($AA277&lt;&gt;"","Household, ","")&amp;IF(OR($P277="",AND($P277&lt;&gt;"",OR(NOT(ISNUMBER($P277)),$P277&lt;=DATE(1900,1,1)))),"Eligibility Date, ","")&amp;IF(OR(AND($R277="Terminated",$Q277=""),AND($Q277&lt;&gt;"",OR(NOT(ISNUMBER($Q277)),$Q277&lt;=DATE(1900,1,1))),AND(ISNUMBER($P277),ISNUMBER($Q277),$Q277&lt;$P277)),"Termination Date, ","")&amp;IF(OR($R277="",AND($R277&lt;&gt;"Active",$R277&lt;&gt;"Terminated"),AND('START HERE'!$C$8="Terminations Only",$R277&lt;&gt;"Terminated")),"Status, ","")&amp;IF($S277="","Plan Name, ","")&amp;IF($T277="","Coverage Level, ","")&amp;IF(AND($U277&lt;&gt;"",OR(NOT(ISNUMBER($U277)),$U277&lt;0)),"Funding, ","")&amp;IF(AND($A277&lt;&gt;"",$S277&lt;&gt;"",COUNTIFS($A$2:$A$501,$A277,$B$2:$B$501,$B277,$S$2:$S$501,$S277)&gt;1),"Duplicate Row, ",""))</f>
        <v/>
      </c>
      <c r="AF277">
        <f>IF(COUNTA($A277:$U277)=0,"",$Y277&amp;$Z277&amp;$AA277&amp;$AB277&amp;$AC277)</f>
        <v/>
      </c>
      <c r="AG277">
        <f>IF($N277="","",LOWER(TRIM($N277)))</f>
        <v/>
      </c>
      <c r="AH277">
        <f>IF($A277="","",COUNTIFS($A$2:$A$501,$A277,$AI$2:$AI$501,1))</f>
        <v/>
      </c>
      <c r="AI277">
        <f>IF(COUNTA($A277:$U277)=0,"",--($AF277&lt;&gt;""))</f>
        <v/>
      </c>
      <c r="AJ277">
        <f>IF(COUNTA($A277:$U277)=0,"",--($AD277&lt;&gt;""))</f>
        <v/>
      </c>
    </row>
    <row r="278" ht="20" customHeight="1">
      <c r="A278" s="80" t="n"/>
      <c r="B278" s="80" t="n"/>
      <c r="C278" s="81" t="n"/>
      <c r="D278" s="81" t="n"/>
      <c r="E278" s="80" t="n"/>
      <c r="F278" s="81" t="n"/>
      <c r="G278" s="81" t="n"/>
      <c r="H278" s="81" t="n"/>
      <c r="I278" s="80" t="n"/>
      <c r="J278" s="80" t="n"/>
      <c r="K278" s="80" t="n"/>
      <c r="L278" s="82" t="n"/>
      <c r="M278" s="80" t="n"/>
      <c r="N278" s="80" t="n"/>
      <c r="O278" s="80" t="n"/>
      <c r="P278" s="82" t="n"/>
      <c r="Q278" s="82" t="n"/>
      <c r="R278" s="80" t="n"/>
      <c r="S278" s="80" t="n"/>
      <c r="T278" s="80" t="n"/>
      <c r="U278" s="83" t="n"/>
      <c r="V278">
        <f>IF($A278="","",IF($A278=$A277,$V277,IF($V277="",0,1-$V277)))</f>
        <v/>
      </c>
      <c r="W278">
        <f>IF($B278&lt;&gt;"",$B278,$A278)</f>
        <v/>
      </c>
      <c r="X278">
        <f>IF(COUNTA($A278:$U278)=0,"",IF(OR($B278&lt;&gt;"",$O278&lt;&gt;""),"Dependent","Employee"))</f>
        <v/>
      </c>
      <c r="Y278">
        <f>IF(COUNTA($A278:$U278)=0,"",IF($A278="","Employee SSN is required; ","")&amp;IF($C278="","First Name is required; ","")&amp;IF(LEN($C278&amp;"")&gt;19,"First Name exceeds 19 characters; ","")&amp;IF(AND($C278&lt;&gt;"",SUMPRODUCT(--(ROW($1:$19)&lt;=LEN($C278&amp;"")),--ISERROR(FIND(MID($C278&amp;"",ROW($1:$19),1),"ABCDEFGHIJKLMNOPQRSTUVWXYZabcdefghijklmnopqrstuvwxyz .,")))&gt;0),"First Name contains unsupported or encoded characters; use plain A-Z letters only; ","")&amp;IF($D278="","Last Name is required; ","")&amp;IF(LEN($D278&amp;"")&gt;26,"Last Name exceeds 26 characters; ","")&amp;IF(AND($D278&lt;&gt;"",SUMPRODUCT(--(ROW($1:$26)&lt;=LEN($D278&amp;"")),--ISERROR(FIND(MID($D278&amp;"",ROW($1:$26),1),"ABCDEFGHIJKLMNOPQRSTUVWXYZabcdefghijklmnopqrstuvwxyz .,")))&gt;0),"Last Name contains unsupported or encoded characters; use plain A-Z letters only; ","")&amp;IF(LEN($E278&amp;"")&gt;1,"Middle Initial may contain only one character; ","")&amp;IF(AND($E278&lt;&gt;"",SUMPRODUCT(--(ROW($1:$1)&lt;=LEN($E278&amp;"")),--ISERROR(FIND(MID($E278&amp;"",ROW($1:$1),1),"ABCDEFGHIJKLMNOPQRSTUVWXYZabcdefghijklmnopqrstuvwxyz .,")))&gt;0),"Middle Initial must be a plain A-Z letter; ","")&amp;IF($F278="","Address is required; ","")&amp;IF(LEN($F278&amp;"")&gt;75,"Address exceeds 75 characters; ","")&amp;IF(LEN($G278&amp;"")&gt;75,"Address 2 exceeds 75 characters; ","")&amp;IF($H278="","City is required; ","")&amp;IF(LEN($H278&amp;"")&gt;30,"City exceeds 30 characters; ","")&amp;IF($K278="","Country is required; ","")&amp;IF(AND($K278&lt;&gt;"",$K278&lt;&gt;"US",$K278&lt;&gt;"CA"),"Country must be US or CA; ","")&amp;IF(AND($K278="US",OR($I278="",LEN($I278&amp;"")&lt;&gt;2)),"Use a 2-letter state code; ","")&amp;IF($J278="","ZIP or postal code is required; ","")&amp;IF(AND($K278="US",$J278&lt;&gt;"",NOT(IFERROR(OR(AND(LEN($J278&amp;"")=5,ISNUMBER(--($J278&amp;""))),AND(LEN($J278&amp;"")=9,ISNUMBER(--($J278&amp;""))),AND(LEN($J278&amp;"")=10,MID($J278&amp;"",6,1)="-",ISNUMBER(--SUBSTITUTE($J278&amp;"","-","")))),FALSE))),"US ZIP must be 5 or 9 digits, with an optional ZIP+4 hyphen; ","")&amp;IF(AND($N278&lt;&gt;"",NOT(IFERROR(AND(ISNUMBER(SEARCH("@",$N278)),ISNUMBER(SEARCH(".",$N278,SEARCH("@",$N278)+2))),FALSE))),"Email format appears invalid; ","")&amp;IF(AND($O278&lt;&gt;"",$B278=""),"Dependent SSN is required for every dependent; ","")&amp;IF(AND($B278&lt;&gt;"",$O278=""),"Dependent Relationship is required when Dependent SSN is entered; ","")&amp;IF(AND($O278&lt;&gt;"",$O278&lt;&gt;"Spouse or Common Law Spouse",$O278&lt;&gt;"Domestic Partner",$O278&lt;&gt;"Child",$O278&lt;&gt;"Other",$O278&lt;&gt;"Estate",$O278&lt;&gt;"Unknown"),"Dependent Relationship must use one of the approved options; ",""))</f>
        <v/>
      </c>
      <c r="Z278">
        <f>IF(COUNTA($A278:$U278)=0,"",IF(AND($A278&lt;&gt;"",NOT(IFERROR(AND(LEN($A278&amp;"")=9,ISNUMBER(--($A278&amp;""))),FALSE))),"Employee SSN must contain exactly 9 digits; ","")&amp;IF(AND($A278&lt;&gt;"",OR($A278="123456789",$A278="987654321",$A278="012345678",$A278=REPT(LEFT($A278&amp;"",1),9))),"Employee SSN appears to be a placeholder; ","")&amp;IF(AND($B278&lt;&gt;"",NOT(IFERROR(AND(LEN($B278&amp;"")=9,ISNUMBER(--($B278&amp;""))),FALSE))),"Dependent SSN must contain exactly 9 digits; ","")&amp;IF(AND($B278&lt;&gt;"",OR($B278="123456789",$B278="987654321",$B278="012345678",$B278=REPT(LEFT($B278&amp;"",1),9))),"Dependent SSN appears to be a placeholder; ","")&amp;IF(AND($A278&lt;&gt;"",$B278&lt;&gt;"",$A278&amp;""=$B278&amp;""),"Dependent SSN cannot match Employee SSN; ","")&amp;IF(AND($W278&lt;&gt;"",OR(COUNTIFS($W$2:$W$501,$W278,$C$2:$C$501,"&lt;&gt;"&amp;$C278)&gt;0,COUNTIFS($W$2:$W$501,$W278,$D$2:$D$501,"&lt;&gt;"&amp;$D278)&gt;0,COUNTIFS($W$2:$W$501,$W278,$L$2:$L$501,"&lt;&gt;"&amp;$L278)&gt;0)),"The same SSN is associated with a different name or birthdate; ",""))</f>
        <v/>
      </c>
      <c r="AA278">
        <f>IF(COUNTA($A278:$U278)=0,"",IF(AND($A278&lt;&gt;"",$S278&lt;&gt;"",COUNTIFS($A$2:$A$501,$A278,$S$2:$S$501,$S278,$B$2:$B$501,"",$O$2:$O$501,"")=0),"Add an employee row for this household and plan; ","")&amp;IF(AND($X278="Dependent",COUNTIFS($A$2:$A278,$A278,$S$2:$S278,$S278,$B$2:$B278,"",$O$2:$O278,"")=0),"Place the employee row before dependent rows for this plan; ","")&amp;IF(AND($X278="Dependent",COUNTIFS($A$2:$A$501,$A278,$S$2:$S$501,$S278,$B$2:$B$501,"",$O$2:$O$501,"")&gt;0,IFERROR(OR($P278&lt;&gt;LOOKUP(2,1/(($A$2:$A$501=$A278)*($S$2:$S$501=$S278)*($B$2:$B$501="")*($O$2:$O$501="")),$P$2:$P$501),$Q278&lt;&gt;LOOKUP(2,1/(($A$2:$A$501=$A278)*($S$2:$S$501=$S278)*($B$2:$B$501="")*($O$2:$O$501="")),$Q$2:$Q$501),$R278&lt;&gt;LOOKUP(2,1/(($A$2:$A$501=$A278)*($S$2:$S$501=$S278)*($B$2:$B$501="")*($O$2:$O$501="")),$R$2:$R$501),$T278&lt;&gt;LOOKUP(2,1/(($A$2:$A$501=$A278)*($S$2:$S$501=$S278)*($B$2:$B$501="")*($O$2:$O$501="")),$T$2:$T$501),$U278&lt;&gt;LOOKUP(2,1/(($A$2:$A$501=$A278)*($S$2:$S$501=$S278)*($B$2:$B$501="")*($O$2:$O$501="")),$U$2:$U$501)),FALSE)),"Dependent row does not match the employee row for eligibility, status, coverage level, or funding; ",""))</f>
        <v/>
      </c>
      <c r="AB278">
        <f>IF(COUNTA($A278:$U278)=0,"",IF($L278="","Birthdate is required; ","")&amp;IF(AND($L278&lt;&gt;"",OR(NOT(ISNUMBER($L278)),$L278&lt;=DATE(1900,1,1),$L278&gt;TODAY())),"Birthdate must be an exact valid past date; ","")&amp;IF($P278="","Eligibility Date is required; ","")&amp;IF(AND($P278&lt;&gt;"",OR(NOT(ISNUMBER($P278)),$P278&lt;=DATE(1900,1,1))),"Eligibility Date must be a valid date; ","")&amp;IF(AND($R278="Terminated",$Q278=""),"Termination Date is required when Status is Terminated; ","")&amp;IF(AND($Q278&lt;&gt;"",OR(NOT(ISNUMBER($Q278)),$Q278&lt;=DATE(1900,1,1))),"Termination Date must be a valid date; ","")&amp;IF(AND(ISNUMBER($P278),ISNUMBER($Q278),$Q278&lt;$P278),"Termination Date cannot be before Eligibility Date; ","")&amp;IF($R278="","Status is required; ","")&amp;IF(AND($R278&lt;&gt;"",$R278&lt;&gt;"Active",$R278&lt;&gt;"Terminated"),"Status must be Active or Terminated; ","")&amp;IF(AND('START HERE'!$C$8="Terminations Only",$R278&lt;&gt;"Terminated"),"Terminations Only files must contain terminated records; ",""))</f>
        <v/>
      </c>
      <c r="AC278">
        <f>IF(COUNTA($A278:$U278)=0,"",IF($S278="","Plan Name is required; ","")&amp;IF($T278="","Benefit Coverage Level is required; ","")&amp;IF(AND($U278&lt;&gt;"",OR(NOT(ISNUMBER($U278)),$U278&lt;0)),"Plan Funding Amount must be a nonnegative number; ","")&amp;IF(AND($A278&lt;&gt;"",$S278&lt;&gt;"",COUNTIFS($A$2:$A$501,$A278,$B$2:$B$501,$B278,$S$2:$S$501,$S278)&gt;1),"Duplicate participant and plan row; ",""))</f>
        <v/>
      </c>
      <c r="AD278">
        <f>IF(COUNTA($A278:$U278)=0,"",IF(AND($X278="Employee",$M278="",$N278=""),"No employee phone or email provided; ","")&amp;IF(AND($R278="Active",$Q278&lt;&gt;""),"Active record includes a Termination Date; confirm this is intentional; ","")&amp;IF(AND($B278&lt;&gt;"",$B278&amp;""&lt;&gt;$A278&amp;"",COUNTIF($A$2:$A$501,$B278)&gt;0),"Dependent SSN also appears as an Employee SSN elsewhere; confirm dual-employee coverage is intentional; ","")&amp;IF(AND($B278&lt;&gt;"",COUNTIF($B$2:$B$501,$B278)&gt;COUNTIFS($A$2:$A$501,$A278,$B$2:$B$501,$B278)),"Dependent SSN appears under more than one employee; confirm duplicate family coverage is intentional; ","")&amp;IF(AND(ROW()&gt;2,$A278&lt;&gt;"",$A278&lt;&gt;$A277,COUNTIF($A$2:$A277,$A278)&gt;0),"This household appears in more than one section of the census; keep the family together; ","")&amp;IF(OR(AND($C278&lt;&gt;"",LEN($C278&amp;"")&lt;&gt;LEN(TRIM($C278&amp;""))),AND($D278&lt;&gt;"",LEN($D278&amp;"")&lt;&gt;LEN(TRIM($D278&amp;""))),AND($E278&lt;&gt;"",LEN($E278&amp;"")&lt;&gt;LEN(TRIM($E278&amp;""))),AND($F278&lt;&gt;"",LEN($F278&amp;"")&lt;&gt;LEN(TRIM($F278&amp;""))),AND($G278&lt;&gt;"",LEN($G278&amp;"")&lt;&gt;LEN(TRIM($G278&amp;""))),AND($H278&lt;&gt;"",LEN($H278&amp;"")&lt;&gt;LEN(TRIM($H278&amp;""))),AND($I278&lt;&gt;"",LEN($I278&amp;"")&lt;&gt;LEN(TRIM($I278&amp;""))),AND($J278&lt;&gt;"",LEN($J278&amp;"")&lt;&gt;LEN(TRIM($J278&amp;""))),AND($K278&lt;&gt;"",LEN($K278&amp;"")&lt;&gt;LEN(TRIM($K278&amp;""))),AND($M278&lt;&gt;"",LEN($M278&amp;"")&lt;&gt;LEN(TRIM($M278&amp;""))),AND($N278&lt;&gt;"",LEN($N278&amp;"")&lt;&gt;LEN(TRIM($N278&amp;""))),AND($O278&lt;&gt;"",LEN($O278&amp;"")&lt;&gt;LEN(TRIM($O278&amp;""))),AND($R278&lt;&gt;"",LEN($R278&amp;"")&lt;&gt;LEN(TRIM($R278&amp;""))),AND($S278&lt;&gt;"",LEN($S278&amp;"")&lt;&gt;LEN(TRIM($S278&amp;""))),AND($T278&lt;&gt;"",LEN($T278&amp;"")&lt;&gt;LEN(TRIM($T278&amp;"")))),"Remove leading or trailing spaces from text fields; ","")&amp;IF(OR(AND(LEN($C278)&gt;1,OR(EXACT($C278,UPPER($C278)),EXACT($C278,LOWER($C278)))),AND(LEN($D278)&gt;1,OR(EXACT($D278,UPPER($D278)),EXACT($D278,LOWER($D278)))),AND(LEN($H278)&gt;1,OR(EXACT($H278,UPPER($H278)),EXACT($H278,LOWER($H278))))),"Review capitalization in First Name, Last Name, or City; ","")&amp;IF(AND($N278&lt;&gt;"",NOT(EXACT($N278,LOWER($N278)))),"Email will be standardized to lowercase in the clean output; ","")&amp;IF(AND(OR('START HERE'!$C$8="Initial Enrollment",'START HERE'!$C$8="Open Enrollment"),$R278="Terminated"),"A terminated row is included in an initial or open enrollment file; confirm this is intentional; ",""))</f>
        <v/>
      </c>
      <c r="AE278">
        <f>IF(COUNTA($A278:$U278)=0,"",IF(OR($A278="",AND($A278&lt;&gt;"",NOT(IFERROR(AND(LEN($A278&amp;"")=9,ISNUMBER(--($A278&amp;""))),FALSE))),AND($A278&lt;&gt;"",OR($A278="123456789",$A278="987654321",$A278="012345678",$A278=REPT(LEFT($A278&amp;"",1),9)))),"Employee SSN, ","")&amp;IF(OR(AND($O278&lt;&gt;"",$B278=""),AND($B278&lt;&gt;"",OR(NOT(IFERROR(AND(LEN($B278&amp;"")=9,ISNUMBER(--($B278&amp;""))),FALSE)),$B278=$A278,$B278="123456789",$B278="987654321",$B278="012345678",$B278=REPT(LEFT($B278&amp;"",1),9)))),"Dependent SSN, ","")&amp;IF(OR($C278="",LEN($C278)&gt;19,AND($C278&lt;&gt;"",SUMPRODUCT(--(ROW($1:$19)&lt;=LEN($C278&amp;"")),--ISERROR(FIND(MID($C278&amp;"",ROW($1:$19),1),"ABCDEFGHIJKLMNOPQRSTUVWXYZabcdefghijklmnopqrstuvwxyz .,")))&gt;0)),"First Name, ","")&amp;IF(OR($D278="",LEN($D278)&gt;26,AND($D278&lt;&gt;"",SUMPRODUCT(--(ROW($1:$26)&lt;=LEN($D278&amp;"")),--ISERROR(FIND(MID($D278&amp;"",ROW($1:$26),1),"ABCDEFGHIJKLMNOPQRSTUVWXYZabcdefghijklmnopqrstuvwxyz .,")))&gt;0)),"Last Name, ","")&amp;IF(OR(LEN($E278)&gt;1,AND($E278&lt;&gt;"",SUMPRODUCT(--(ROW($1:$1)&lt;=LEN($E278&amp;"")),--ISERROR(FIND(MID($E278&amp;"",ROW($1:$1),1),"ABCDEFGHIJKLMNOPQRSTUVWXYZabcdefghijklmnopqrstuvwxyz .,")))&gt;0)),"Middle Initial, ","")&amp;IF(OR($F278="",LEN($F278)&gt;75),"Address, ","")&amp;IF(OR($H278="",LEN($H278)&gt;30),"City, ","")&amp;IF(AND($K278="US",OR($I278="",LEN($I278)&lt;&gt;2)),"State, ","")&amp;IF($J278="","ZIP, ","")&amp;IF(OR($K278="",AND($K278&lt;&gt;"US",$K278&lt;&gt;"CA")),"Country, ","")&amp;IF(OR($L278="",AND($L278&lt;&gt;"",OR(NOT(ISNUMBER($L278)),$L278&lt;=DATE(1900,1,1),$L278&gt;TODAY()))),"Birthdate, ","")&amp;IF(AND($N278&lt;&gt;"",NOT(IFERROR(AND(ISNUMBER(SEARCH("@",$N278)),ISNUMBER(SEARCH(".",$N278,SEARCH("@",$N278)+2))),FALSE))),"Email, ","")&amp;IF(OR(AND($B278&lt;&gt;"",$O278=""),AND($O278&lt;&gt;"",$O278&lt;&gt;"Spouse or Common Law Spouse",$O278&lt;&gt;"Domestic Partner",$O278&lt;&gt;"Child",$O278&lt;&gt;"Other",$O278&lt;&gt;"Estate",$O278&lt;&gt;"Unknown")),"Dependent Relationship, ","")&amp;IF($AA278&lt;&gt;"","Household, ","")&amp;IF(OR($P278="",AND($P278&lt;&gt;"",OR(NOT(ISNUMBER($P278)),$P278&lt;=DATE(1900,1,1)))),"Eligibility Date, ","")&amp;IF(OR(AND($R278="Terminated",$Q278=""),AND($Q278&lt;&gt;"",OR(NOT(ISNUMBER($Q278)),$Q278&lt;=DATE(1900,1,1))),AND(ISNUMBER($P278),ISNUMBER($Q278),$Q278&lt;$P278)),"Termination Date, ","")&amp;IF(OR($R278="",AND($R278&lt;&gt;"Active",$R278&lt;&gt;"Terminated"),AND('START HERE'!$C$8="Terminations Only",$R278&lt;&gt;"Terminated")),"Status, ","")&amp;IF($S278="","Plan Name, ","")&amp;IF($T278="","Coverage Level, ","")&amp;IF(AND($U278&lt;&gt;"",OR(NOT(ISNUMBER($U278)),$U278&lt;0)),"Funding, ","")&amp;IF(AND($A278&lt;&gt;"",$S278&lt;&gt;"",COUNTIFS($A$2:$A$501,$A278,$B$2:$B$501,$B278,$S$2:$S$501,$S278)&gt;1),"Duplicate Row, ",""))</f>
        <v/>
      </c>
      <c r="AF278">
        <f>IF(COUNTA($A278:$U278)=0,"",$Y278&amp;$Z278&amp;$AA278&amp;$AB278&amp;$AC278)</f>
        <v/>
      </c>
      <c r="AG278">
        <f>IF($N278="","",LOWER(TRIM($N278)))</f>
        <v/>
      </c>
      <c r="AH278">
        <f>IF($A278="","",COUNTIFS($A$2:$A$501,$A278,$AI$2:$AI$501,1))</f>
        <v/>
      </c>
      <c r="AI278">
        <f>IF(COUNTA($A278:$U278)=0,"",--($AF278&lt;&gt;""))</f>
        <v/>
      </c>
      <c r="AJ278">
        <f>IF(COUNTA($A278:$U278)=0,"",--($AD278&lt;&gt;""))</f>
        <v/>
      </c>
    </row>
    <row r="279" ht="20" customHeight="1">
      <c r="A279" s="80" t="n"/>
      <c r="B279" s="80" t="n"/>
      <c r="C279" s="81" t="n"/>
      <c r="D279" s="81" t="n"/>
      <c r="E279" s="80" t="n"/>
      <c r="F279" s="81" t="n"/>
      <c r="G279" s="81" t="n"/>
      <c r="H279" s="81" t="n"/>
      <c r="I279" s="80" t="n"/>
      <c r="J279" s="80" t="n"/>
      <c r="K279" s="80" t="n"/>
      <c r="L279" s="82" t="n"/>
      <c r="M279" s="80" t="n"/>
      <c r="N279" s="80" t="n"/>
      <c r="O279" s="80" t="n"/>
      <c r="P279" s="82" t="n"/>
      <c r="Q279" s="82" t="n"/>
      <c r="R279" s="80" t="n"/>
      <c r="S279" s="80" t="n"/>
      <c r="T279" s="80" t="n"/>
      <c r="U279" s="83" t="n"/>
      <c r="V279">
        <f>IF($A279="","",IF($A279=$A278,$V278,IF($V278="",0,1-$V278)))</f>
        <v/>
      </c>
      <c r="W279">
        <f>IF($B279&lt;&gt;"",$B279,$A279)</f>
        <v/>
      </c>
      <c r="X279">
        <f>IF(COUNTA($A279:$U279)=0,"",IF(OR($B279&lt;&gt;"",$O279&lt;&gt;""),"Dependent","Employee"))</f>
        <v/>
      </c>
      <c r="Y279">
        <f>IF(COUNTA($A279:$U279)=0,"",IF($A279="","Employee SSN is required; ","")&amp;IF($C279="","First Name is required; ","")&amp;IF(LEN($C279&amp;"")&gt;19,"First Name exceeds 19 characters; ","")&amp;IF(AND($C279&lt;&gt;"",SUMPRODUCT(--(ROW($1:$19)&lt;=LEN($C279&amp;"")),--ISERROR(FIND(MID($C279&amp;"",ROW($1:$19),1),"ABCDEFGHIJKLMNOPQRSTUVWXYZabcdefghijklmnopqrstuvwxyz .,")))&gt;0),"First Name contains unsupported or encoded characters; use plain A-Z letters only; ","")&amp;IF($D279="","Last Name is required; ","")&amp;IF(LEN($D279&amp;"")&gt;26,"Last Name exceeds 26 characters; ","")&amp;IF(AND($D279&lt;&gt;"",SUMPRODUCT(--(ROW($1:$26)&lt;=LEN($D279&amp;"")),--ISERROR(FIND(MID($D279&amp;"",ROW($1:$26),1),"ABCDEFGHIJKLMNOPQRSTUVWXYZabcdefghijklmnopqrstuvwxyz .,")))&gt;0),"Last Name contains unsupported or encoded characters; use plain A-Z letters only; ","")&amp;IF(LEN($E279&amp;"")&gt;1,"Middle Initial may contain only one character; ","")&amp;IF(AND($E279&lt;&gt;"",SUMPRODUCT(--(ROW($1:$1)&lt;=LEN($E279&amp;"")),--ISERROR(FIND(MID($E279&amp;"",ROW($1:$1),1),"ABCDEFGHIJKLMNOPQRSTUVWXYZabcdefghijklmnopqrstuvwxyz .,")))&gt;0),"Middle Initial must be a plain A-Z letter; ","")&amp;IF($F279="","Address is required; ","")&amp;IF(LEN($F279&amp;"")&gt;75,"Address exceeds 75 characters; ","")&amp;IF(LEN($G279&amp;"")&gt;75,"Address 2 exceeds 75 characters; ","")&amp;IF($H279="","City is required; ","")&amp;IF(LEN($H279&amp;"")&gt;30,"City exceeds 30 characters; ","")&amp;IF($K279="","Country is required; ","")&amp;IF(AND($K279&lt;&gt;"",$K279&lt;&gt;"US",$K279&lt;&gt;"CA"),"Country must be US or CA; ","")&amp;IF(AND($K279="US",OR($I279="",LEN($I279&amp;"")&lt;&gt;2)),"Use a 2-letter state code; ","")&amp;IF($J279="","ZIP or postal code is required; ","")&amp;IF(AND($K279="US",$J279&lt;&gt;"",NOT(IFERROR(OR(AND(LEN($J279&amp;"")=5,ISNUMBER(--($J279&amp;""))),AND(LEN($J279&amp;"")=9,ISNUMBER(--($J279&amp;""))),AND(LEN($J279&amp;"")=10,MID($J279&amp;"",6,1)="-",ISNUMBER(--SUBSTITUTE($J279&amp;"","-","")))),FALSE))),"US ZIP must be 5 or 9 digits, with an optional ZIP+4 hyphen; ","")&amp;IF(AND($N279&lt;&gt;"",NOT(IFERROR(AND(ISNUMBER(SEARCH("@",$N279)),ISNUMBER(SEARCH(".",$N279,SEARCH("@",$N279)+2))),FALSE))),"Email format appears invalid; ","")&amp;IF(AND($O279&lt;&gt;"",$B279=""),"Dependent SSN is required for every dependent; ","")&amp;IF(AND($B279&lt;&gt;"",$O279=""),"Dependent Relationship is required when Dependent SSN is entered; ","")&amp;IF(AND($O279&lt;&gt;"",$O279&lt;&gt;"Spouse or Common Law Spouse",$O279&lt;&gt;"Domestic Partner",$O279&lt;&gt;"Child",$O279&lt;&gt;"Other",$O279&lt;&gt;"Estate",$O279&lt;&gt;"Unknown"),"Dependent Relationship must use one of the approved options; ",""))</f>
        <v/>
      </c>
      <c r="Z279">
        <f>IF(COUNTA($A279:$U279)=0,"",IF(AND($A279&lt;&gt;"",NOT(IFERROR(AND(LEN($A279&amp;"")=9,ISNUMBER(--($A279&amp;""))),FALSE))),"Employee SSN must contain exactly 9 digits; ","")&amp;IF(AND($A279&lt;&gt;"",OR($A279="123456789",$A279="987654321",$A279="012345678",$A279=REPT(LEFT($A279&amp;"",1),9))),"Employee SSN appears to be a placeholder; ","")&amp;IF(AND($B279&lt;&gt;"",NOT(IFERROR(AND(LEN($B279&amp;"")=9,ISNUMBER(--($B279&amp;""))),FALSE))),"Dependent SSN must contain exactly 9 digits; ","")&amp;IF(AND($B279&lt;&gt;"",OR($B279="123456789",$B279="987654321",$B279="012345678",$B279=REPT(LEFT($B279&amp;"",1),9))),"Dependent SSN appears to be a placeholder; ","")&amp;IF(AND($A279&lt;&gt;"",$B279&lt;&gt;"",$A279&amp;""=$B279&amp;""),"Dependent SSN cannot match Employee SSN; ","")&amp;IF(AND($W279&lt;&gt;"",OR(COUNTIFS($W$2:$W$501,$W279,$C$2:$C$501,"&lt;&gt;"&amp;$C279)&gt;0,COUNTIFS($W$2:$W$501,$W279,$D$2:$D$501,"&lt;&gt;"&amp;$D279)&gt;0,COUNTIFS($W$2:$W$501,$W279,$L$2:$L$501,"&lt;&gt;"&amp;$L279)&gt;0)),"The same SSN is associated with a different name or birthdate; ",""))</f>
        <v/>
      </c>
      <c r="AA279">
        <f>IF(COUNTA($A279:$U279)=0,"",IF(AND($A279&lt;&gt;"",$S279&lt;&gt;"",COUNTIFS($A$2:$A$501,$A279,$S$2:$S$501,$S279,$B$2:$B$501,"",$O$2:$O$501,"")=0),"Add an employee row for this household and plan; ","")&amp;IF(AND($X279="Dependent",COUNTIFS($A$2:$A279,$A279,$S$2:$S279,$S279,$B$2:$B279,"",$O$2:$O279,"")=0),"Place the employee row before dependent rows for this plan; ","")&amp;IF(AND($X279="Dependent",COUNTIFS($A$2:$A$501,$A279,$S$2:$S$501,$S279,$B$2:$B$501,"",$O$2:$O$501,"")&gt;0,IFERROR(OR($P279&lt;&gt;LOOKUP(2,1/(($A$2:$A$501=$A279)*($S$2:$S$501=$S279)*($B$2:$B$501="")*($O$2:$O$501="")),$P$2:$P$501),$Q279&lt;&gt;LOOKUP(2,1/(($A$2:$A$501=$A279)*($S$2:$S$501=$S279)*($B$2:$B$501="")*($O$2:$O$501="")),$Q$2:$Q$501),$R279&lt;&gt;LOOKUP(2,1/(($A$2:$A$501=$A279)*($S$2:$S$501=$S279)*($B$2:$B$501="")*($O$2:$O$501="")),$R$2:$R$501),$T279&lt;&gt;LOOKUP(2,1/(($A$2:$A$501=$A279)*($S$2:$S$501=$S279)*($B$2:$B$501="")*($O$2:$O$501="")),$T$2:$T$501),$U279&lt;&gt;LOOKUP(2,1/(($A$2:$A$501=$A279)*($S$2:$S$501=$S279)*($B$2:$B$501="")*($O$2:$O$501="")),$U$2:$U$501)),FALSE)),"Dependent row does not match the employee row for eligibility, status, coverage level, or funding; ",""))</f>
        <v/>
      </c>
      <c r="AB279">
        <f>IF(COUNTA($A279:$U279)=0,"",IF($L279="","Birthdate is required; ","")&amp;IF(AND($L279&lt;&gt;"",OR(NOT(ISNUMBER($L279)),$L279&lt;=DATE(1900,1,1),$L279&gt;TODAY())),"Birthdate must be an exact valid past date; ","")&amp;IF($P279="","Eligibility Date is required; ","")&amp;IF(AND($P279&lt;&gt;"",OR(NOT(ISNUMBER($P279)),$P279&lt;=DATE(1900,1,1))),"Eligibility Date must be a valid date; ","")&amp;IF(AND($R279="Terminated",$Q279=""),"Termination Date is required when Status is Terminated; ","")&amp;IF(AND($Q279&lt;&gt;"",OR(NOT(ISNUMBER($Q279)),$Q279&lt;=DATE(1900,1,1))),"Termination Date must be a valid date; ","")&amp;IF(AND(ISNUMBER($P279),ISNUMBER($Q279),$Q279&lt;$P279),"Termination Date cannot be before Eligibility Date; ","")&amp;IF($R279="","Status is required; ","")&amp;IF(AND($R279&lt;&gt;"",$R279&lt;&gt;"Active",$R279&lt;&gt;"Terminated"),"Status must be Active or Terminated; ","")&amp;IF(AND('START HERE'!$C$8="Terminations Only",$R279&lt;&gt;"Terminated"),"Terminations Only files must contain terminated records; ",""))</f>
        <v/>
      </c>
      <c r="AC279">
        <f>IF(COUNTA($A279:$U279)=0,"",IF($S279="","Plan Name is required; ","")&amp;IF($T279="","Benefit Coverage Level is required; ","")&amp;IF(AND($U279&lt;&gt;"",OR(NOT(ISNUMBER($U279)),$U279&lt;0)),"Plan Funding Amount must be a nonnegative number; ","")&amp;IF(AND($A279&lt;&gt;"",$S279&lt;&gt;"",COUNTIFS($A$2:$A$501,$A279,$B$2:$B$501,$B279,$S$2:$S$501,$S279)&gt;1),"Duplicate participant and plan row; ",""))</f>
        <v/>
      </c>
      <c r="AD279">
        <f>IF(COUNTA($A279:$U279)=0,"",IF(AND($X279="Employee",$M279="",$N279=""),"No employee phone or email provided; ","")&amp;IF(AND($R279="Active",$Q279&lt;&gt;""),"Active record includes a Termination Date; confirm this is intentional; ","")&amp;IF(AND($B279&lt;&gt;"",$B279&amp;""&lt;&gt;$A279&amp;"",COUNTIF($A$2:$A$501,$B279)&gt;0),"Dependent SSN also appears as an Employee SSN elsewhere; confirm dual-employee coverage is intentional; ","")&amp;IF(AND($B279&lt;&gt;"",COUNTIF($B$2:$B$501,$B279)&gt;COUNTIFS($A$2:$A$501,$A279,$B$2:$B$501,$B279)),"Dependent SSN appears under more than one employee; confirm duplicate family coverage is intentional; ","")&amp;IF(AND(ROW()&gt;2,$A279&lt;&gt;"",$A279&lt;&gt;$A278,COUNTIF($A$2:$A278,$A279)&gt;0),"This household appears in more than one section of the census; keep the family together; ","")&amp;IF(OR(AND($C279&lt;&gt;"",LEN($C279&amp;"")&lt;&gt;LEN(TRIM($C279&amp;""))),AND($D279&lt;&gt;"",LEN($D279&amp;"")&lt;&gt;LEN(TRIM($D279&amp;""))),AND($E279&lt;&gt;"",LEN($E279&amp;"")&lt;&gt;LEN(TRIM($E279&amp;""))),AND($F279&lt;&gt;"",LEN($F279&amp;"")&lt;&gt;LEN(TRIM($F279&amp;""))),AND($G279&lt;&gt;"",LEN($G279&amp;"")&lt;&gt;LEN(TRIM($G279&amp;""))),AND($H279&lt;&gt;"",LEN($H279&amp;"")&lt;&gt;LEN(TRIM($H279&amp;""))),AND($I279&lt;&gt;"",LEN($I279&amp;"")&lt;&gt;LEN(TRIM($I279&amp;""))),AND($J279&lt;&gt;"",LEN($J279&amp;"")&lt;&gt;LEN(TRIM($J279&amp;""))),AND($K279&lt;&gt;"",LEN($K279&amp;"")&lt;&gt;LEN(TRIM($K279&amp;""))),AND($M279&lt;&gt;"",LEN($M279&amp;"")&lt;&gt;LEN(TRIM($M279&amp;""))),AND($N279&lt;&gt;"",LEN($N279&amp;"")&lt;&gt;LEN(TRIM($N279&amp;""))),AND($O279&lt;&gt;"",LEN($O279&amp;"")&lt;&gt;LEN(TRIM($O279&amp;""))),AND($R279&lt;&gt;"",LEN($R279&amp;"")&lt;&gt;LEN(TRIM($R279&amp;""))),AND($S279&lt;&gt;"",LEN($S279&amp;"")&lt;&gt;LEN(TRIM($S279&amp;""))),AND($T279&lt;&gt;"",LEN($T279&amp;"")&lt;&gt;LEN(TRIM($T279&amp;"")))),"Remove leading or trailing spaces from text fields; ","")&amp;IF(OR(AND(LEN($C279)&gt;1,OR(EXACT($C279,UPPER($C279)),EXACT($C279,LOWER($C279)))),AND(LEN($D279)&gt;1,OR(EXACT($D279,UPPER($D279)),EXACT($D279,LOWER($D279)))),AND(LEN($H279)&gt;1,OR(EXACT($H279,UPPER($H279)),EXACT($H279,LOWER($H279))))),"Review capitalization in First Name, Last Name, or City; ","")&amp;IF(AND($N279&lt;&gt;"",NOT(EXACT($N279,LOWER($N279)))),"Email will be standardized to lowercase in the clean output; ","")&amp;IF(AND(OR('START HERE'!$C$8="Initial Enrollment",'START HERE'!$C$8="Open Enrollment"),$R279="Terminated"),"A terminated row is included in an initial or open enrollment file; confirm this is intentional; ",""))</f>
        <v/>
      </c>
      <c r="AE279">
        <f>IF(COUNTA($A279:$U279)=0,"",IF(OR($A279="",AND($A279&lt;&gt;"",NOT(IFERROR(AND(LEN($A279&amp;"")=9,ISNUMBER(--($A279&amp;""))),FALSE))),AND($A279&lt;&gt;"",OR($A279="123456789",$A279="987654321",$A279="012345678",$A279=REPT(LEFT($A279&amp;"",1),9)))),"Employee SSN, ","")&amp;IF(OR(AND($O279&lt;&gt;"",$B279=""),AND($B279&lt;&gt;"",OR(NOT(IFERROR(AND(LEN($B279&amp;"")=9,ISNUMBER(--($B279&amp;""))),FALSE)),$B279=$A279,$B279="123456789",$B279="987654321",$B279="012345678",$B279=REPT(LEFT($B279&amp;"",1),9)))),"Dependent SSN, ","")&amp;IF(OR($C279="",LEN($C279)&gt;19,AND($C279&lt;&gt;"",SUMPRODUCT(--(ROW($1:$19)&lt;=LEN($C279&amp;"")),--ISERROR(FIND(MID($C279&amp;"",ROW($1:$19),1),"ABCDEFGHIJKLMNOPQRSTUVWXYZabcdefghijklmnopqrstuvwxyz .,")))&gt;0)),"First Name, ","")&amp;IF(OR($D279="",LEN($D279)&gt;26,AND($D279&lt;&gt;"",SUMPRODUCT(--(ROW($1:$26)&lt;=LEN($D279&amp;"")),--ISERROR(FIND(MID($D279&amp;"",ROW($1:$26),1),"ABCDEFGHIJKLMNOPQRSTUVWXYZabcdefghijklmnopqrstuvwxyz .,")))&gt;0)),"Last Name, ","")&amp;IF(OR(LEN($E279)&gt;1,AND($E279&lt;&gt;"",SUMPRODUCT(--(ROW($1:$1)&lt;=LEN($E279&amp;"")),--ISERROR(FIND(MID($E279&amp;"",ROW($1:$1),1),"ABCDEFGHIJKLMNOPQRSTUVWXYZabcdefghijklmnopqrstuvwxyz .,")))&gt;0)),"Middle Initial, ","")&amp;IF(OR($F279="",LEN($F279)&gt;75),"Address, ","")&amp;IF(OR($H279="",LEN($H279)&gt;30),"City, ","")&amp;IF(AND($K279="US",OR($I279="",LEN($I279)&lt;&gt;2)),"State, ","")&amp;IF($J279="","ZIP, ","")&amp;IF(OR($K279="",AND($K279&lt;&gt;"US",$K279&lt;&gt;"CA")),"Country, ","")&amp;IF(OR($L279="",AND($L279&lt;&gt;"",OR(NOT(ISNUMBER($L279)),$L279&lt;=DATE(1900,1,1),$L279&gt;TODAY()))),"Birthdate, ","")&amp;IF(AND($N279&lt;&gt;"",NOT(IFERROR(AND(ISNUMBER(SEARCH("@",$N279)),ISNUMBER(SEARCH(".",$N279,SEARCH("@",$N279)+2))),FALSE))),"Email, ","")&amp;IF(OR(AND($B279&lt;&gt;"",$O279=""),AND($O279&lt;&gt;"",$O279&lt;&gt;"Spouse or Common Law Spouse",$O279&lt;&gt;"Domestic Partner",$O279&lt;&gt;"Child",$O279&lt;&gt;"Other",$O279&lt;&gt;"Estate",$O279&lt;&gt;"Unknown")),"Dependent Relationship, ","")&amp;IF($AA279&lt;&gt;"","Household, ","")&amp;IF(OR($P279="",AND($P279&lt;&gt;"",OR(NOT(ISNUMBER($P279)),$P279&lt;=DATE(1900,1,1)))),"Eligibility Date, ","")&amp;IF(OR(AND($R279="Terminated",$Q279=""),AND($Q279&lt;&gt;"",OR(NOT(ISNUMBER($Q279)),$Q279&lt;=DATE(1900,1,1))),AND(ISNUMBER($P279),ISNUMBER($Q279),$Q279&lt;$P279)),"Termination Date, ","")&amp;IF(OR($R279="",AND($R279&lt;&gt;"Active",$R279&lt;&gt;"Terminated"),AND('START HERE'!$C$8="Terminations Only",$R279&lt;&gt;"Terminated")),"Status, ","")&amp;IF($S279="","Plan Name, ","")&amp;IF($T279="","Coverage Level, ","")&amp;IF(AND($U279&lt;&gt;"",OR(NOT(ISNUMBER($U279)),$U279&lt;0)),"Funding, ","")&amp;IF(AND($A279&lt;&gt;"",$S279&lt;&gt;"",COUNTIFS($A$2:$A$501,$A279,$B$2:$B$501,$B279,$S$2:$S$501,$S279)&gt;1),"Duplicate Row, ",""))</f>
        <v/>
      </c>
      <c r="AF279">
        <f>IF(COUNTA($A279:$U279)=0,"",$Y279&amp;$Z279&amp;$AA279&amp;$AB279&amp;$AC279)</f>
        <v/>
      </c>
      <c r="AG279">
        <f>IF($N279="","",LOWER(TRIM($N279)))</f>
        <v/>
      </c>
      <c r="AH279">
        <f>IF($A279="","",COUNTIFS($A$2:$A$501,$A279,$AI$2:$AI$501,1))</f>
        <v/>
      </c>
      <c r="AI279">
        <f>IF(COUNTA($A279:$U279)=0,"",--($AF279&lt;&gt;""))</f>
        <v/>
      </c>
      <c r="AJ279">
        <f>IF(COUNTA($A279:$U279)=0,"",--($AD279&lt;&gt;""))</f>
        <v/>
      </c>
    </row>
    <row r="280" ht="20" customHeight="1">
      <c r="A280" s="80" t="n"/>
      <c r="B280" s="80" t="n"/>
      <c r="C280" s="81" t="n"/>
      <c r="D280" s="81" t="n"/>
      <c r="E280" s="80" t="n"/>
      <c r="F280" s="81" t="n"/>
      <c r="G280" s="81" t="n"/>
      <c r="H280" s="81" t="n"/>
      <c r="I280" s="80" t="n"/>
      <c r="J280" s="80" t="n"/>
      <c r="K280" s="80" t="n"/>
      <c r="L280" s="82" t="n"/>
      <c r="M280" s="80" t="n"/>
      <c r="N280" s="80" t="n"/>
      <c r="O280" s="80" t="n"/>
      <c r="P280" s="82" t="n"/>
      <c r="Q280" s="82" t="n"/>
      <c r="R280" s="80" t="n"/>
      <c r="S280" s="80" t="n"/>
      <c r="T280" s="80" t="n"/>
      <c r="U280" s="83" t="n"/>
      <c r="V280">
        <f>IF($A280="","",IF($A280=$A279,$V279,IF($V279="",0,1-$V279)))</f>
        <v/>
      </c>
      <c r="W280">
        <f>IF($B280&lt;&gt;"",$B280,$A280)</f>
        <v/>
      </c>
      <c r="X280">
        <f>IF(COUNTA($A280:$U280)=0,"",IF(OR($B280&lt;&gt;"",$O280&lt;&gt;""),"Dependent","Employee"))</f>
        <v/>
      </c>
      <c r="Y280">
        <f>IF(COUNTA($A280:$U280)=0,"",IF($A280="","Employee SSN is required; ","")&amp;IF($C280="","First Name is required; ","")&amp;IF(LEN($C280&amp;"")&gt;19,"First Name exceeds 19 characters; ","")&amp;IF(AND($C280&lt;&gt;"",SUMPRODUCT(--(ROW($1:$19)&lt;=LEN($C280&amp;"")),--ISERROR(FIND(MID($C280&amp;"",ROW($1:$19),1),"ABCDEFGHIJKLMNOPQRSTUVWXYZabcdefghijklmnopqrstuvwxyz .,")))&gt;0),"First Name contains unsupported or encoded characters; use plain A-Z letters only; ","")&amp;IF($D280="","Last Name is required; ","")&amp;IF(LEN($D280&amp;"")&gt;26,"Last Name exceeds 26 characters; ","")&amp;IF(AND($D280&lt;&gt;"",SUMPRODUCT(--(ROW($1:$26)&lt;=LEN($D280&amp;"")),--ISERROR(FIND(MID($D280&amp;"",ROW($1:$26),1),"ABCDEFGHIJKLMNOPQRSTUVWXYZabcdefghijklmnopqrstuvwxyz .,")))&gt;0),"Last Name contains unsupported or encoded characters; use plain A-Z letters only; ","")&amp;IF(LEN($E280&amp;"")&gt;1,"Middle Initial may contain only one character; ","")&amp;IF(AND($E280&lt;&gt;"",SUMPRODUCT(--(ROW($1:$1)&lt;=LEN($E280&amp;"")),--ISERROR(FIND(MID($E280&amp;"",ROW($1:$1),1),"ABCDEFGHIJKLMNOPQRSTUVWXYZabcdefghijklmnopqrstuvwxyz .,")))&gt;0),"Middle Initial must be a plain A-Z letter; ","")&amp;IF($F280="","Address is required; ","")&amp;IF(LEN($F280&amp;"")&gt;75,"Address exceeds 75 characters; ","")&amp;IF(LEN($G280&amp;"")&gt;75,"Address 2 exceeds 75 characters; ","")&amp;IF($H280="","City is required; ","")&amp;IF(LEN($H280&amp;"")&gt;30,"City exceeds 30 characters; ","")&amp;IF($K280="","Country is required; ","")&amp;IF(AND($K280&lt;&gt;"",$K280&lt;&gt;"US",$K280&lt;&gt;"CA"),"Country must be US or CA; ","")&amp;IF(AND($K280="US",OR($I280="",LEN($I280&amp;"")&lt;&gt;2)),"Use a 2-letter state code; ","")&amp;IF($J280="","ZIP or postal code is required; ","")&amp;IF(AND($K280="US",$J280&lt;&gt;"",NOT(IFERROR(OR(AND(LEN($J280&amp;"")=5,ISNUMBER(--($J280&amp;""))),AND(LEN($J280&amp;"")=9,ISNUMBER(--($J280&amp;""))),AND(LEN($J280&amp;"")=10,MID($J280&amp;"",6,1)="-",ISNUMBER(--SUBSTITUTE($J280&amp;"","-","")))),FALSE))),"US ZIP must be 5 or 9 digits, with an optional ZIP+4 hyphen; ","")&amp;IF(AND($N280&lt;&gt;"",NOT(IFERROR(AND(ISNUMBER(SEARCH("@",$N280)),ISNUMBER(SEARCH(".",$N280,SEARCH("@",$N280)+2))),FALSE))),"Email format appears invalid; ","")&amp;IF(AND($O280&lt;&gt;"",$B280=""),"Dependent SSN is required for every dependent; ","")&amp;IF(AND($B280&lt;&gt;"",$O280=""),"Dependent Relationship is required when Dependent SSN is entered; ","")&amp;IF(AND($O280&lt;&gt;"",$O280&lt;&gt;"Spouse or Common Law Spouse",$O280&lt;&gt;"Domestic Partner",$O280&lt;&gt;"Child",$O280&lt;&gt;"Other",$O280&lt;&gt;"Estate",$O280&lt;&gt;"Unknown"),"Dependent Relationship must use one of the approved options; ",""))</f>
        <v/>
      </c>
      <c r="Z280">
        <f>IF(COUNTA($A280:$U280)=0,"",IF(AND($A280&lt;&gt;"",NOT(IFERROR(AND(LEN($A280&amp;"")=9,ISNUMBER(--($A280&amp;""))),FALSE))),"Employee SSN must contain exactly 9 digits; ","")&amp;IF(AND($A280&lt;&gt;"",OR($A280="123456789",$A280="987654321",$A280="012345678",$A280=REPT(LEFT($A280&amp;"",1),9))),"Employee SSN appears to be a placeholder; ","")&amp;IF(AND($B280&lt;&gt;"",NOT(IFERROR(AND(LEN($B280&amp;"")=9,ISNUMBER(--($B280&amp;""))),FALSE))),"Dependent SSN must contain exactly 9 digits; ","")&amp;IF(AND($B280&lt;&gt;"",OR($B280="123456789",$B280="987654321",$B280="012345678",$B280=REPT(LEFT($B280&amp;"",1),9))),"Dependent SSN appears to be a placeholder; ","")&amp;IF(AND($A280&lt;&gt;"",$B280&lt;&gt;"",$A280&amp;""=$B280&amp;""),"Dependent SSN cannot match Employee SSN; ","")&amp;IF(AND($W280&lt;&gt;"",OR(COUNTIFS($W$2:$W$501,$W280,$C$2:$C$501,"&lt;&gt;"&amp;$C280)&gt;0,COUNTIFS($W$2:$W$501,$W280,$D$2:$D$501,"&lt;&gt;"&amp;$D280)&gt;0,COUNTIFS($W$2:$W$501,$W280,$L$2:$L$501,"&lt;&gt;"&amp;$L280)&gt;0)),"The same SSN is associated with a different name or birthdate; ",""))</f>
        <v/>
      </c>
      <c r="AA280">
        <f>IF(COUNTA($A280:$U280)=0,"",IF(AND($A280&lt;&gt;"",$S280&lt;&gt;"",COUNTIFS($A$2:$A$501,$A280,$S$2:$S$501,$S280,$B$2:$B$501,"",$O$2:$O$501,"")=0),"Add an employee row for this household and plan; ","")&amp;IF(AND($X280="Dependent",COUNTIFS($A$2:$A280,$A280,$S$2:$S280,$S280,$B$2:$B280,"",$O$2:$O280,"")=0),"Place the employee row before dependent rows for this plan; ","")&amp;IF(AND($X280="Dependent",COUNTIFS($A$2:$A$501,$A280,$S$2:$S$501,$S280,$B$2:$B$501,"",$O$2:$O$501,"")&gt;0,IFERROR(OR($P280&lt;&gt;LOOKUP(2,1/(($A$2:$A$501=$A280)*($S$2:$S$501=$S280)*($B$2:$B$501="")*($O$2:$O$501="")),$P$2:$P$501),$Q280&lt;&gt;LOOKUP(2,1/(($A$2:$A$501=$A280)*($S$2:$S$501=$S280)*($B$2:$B$501="")*($O$2:$O$501="")),$Q$2:$Q$501),$R280&lt;&gt;LOOKUP(2,1/(($A$2:$A$501=$A280)*($S$2:$S$501=$S280)*($B$2:$B$501="")*($O$2:$O$501="")),$R$2:$R$501),$T280&lt;&gt;LOOKUP(2,1/(($A$2:$A$501=$A280)*($S$2:$S$501=$S280)*($B$2:$B$501="")*($O$2:$O$501="")),$T$2:$T$501),$U280&lt;&gt;LOOKUP(2,1/(($A$2:$A$501=$A280)*($S$2:$S$501=$S280)*($B$2:$B$501="")*($O$2:$O$501="")),$U$2:$U$501)),FALSE)),"Dependent row does not match the employee row for eligibility, status, coverage level, or funding; ",""))</f>
        <v/>
      </c>
      <c r="AB280">
        <f>IF(COUNTA($A280:$U280)=0,"",IF($L280="","Birthdate is required; ","")&amp;IF(AND($L280&lt;&gt;"",OR(NOT(ISNUMBER($L280)),$L280&lt;=DATE(1900,1,1),$L280&gt;TODAY())),"Birthdate must be an exact valid past date; ","")&amp;IF($P280="","Eligibility Date is required; ","")&amp;IF(AND($P280&lt;&gt;"",OR(NOT(ISNUMBER($P280)),$P280&lt;=DATE(1900,1,1))),"Eligibility Date must be a valid date; ","")&amp;IF(AND($R280="Terminated",$Q280=""),"Termination Date is required when Status is Terminated; ","")&amp;IF(AND($Q280&lt;&gt;"",OR(NOT(ISNUMBER($Q280)),$Q280&lt;=DATE(1900,1,1))),"Termination Date must be a valid date; ","")&amp;IF(AND(ISNUMBER($P280),ISNUMBER($Q280),$Q280&lt;$P280),"Termination Date cannot be before Eligibility Date; ","")&amp;IF($R280="","Status is required; ","")&amp;IF(AND($R280&lt;&gt;"",$R280&lt;&gt;"Active",$R280&lt;&gt;"Terminated"),"Status must be Active or Terminated; ","")&amp;IF(AND('START HERE'!$C$8="Terminations Only",$R280&lt;&gt;"Terminated"),"Terminations Only files must contain terminated records; ",""))</f>
        <v/>
      </c>
      <c r="AC280">
        <f>IF(COUNTA($A280:$U280)=0,"",IF($S280="","Plan Name is required; ","")&amp;IF($T280="","Benefit Coverage Level is required; ","")&amp;IF(AND($U280&lt;&gt;"",OR(NOT(ISNUMBER($U280)),$U280&lt;0)),"Plan Funding Amount must be a nonnegative number; ","")&amp;IF(AND($A280&lt;&gt;"",$S280&lt;&gt;"",COUNTIFS($A$2:$A$501,$A280,$B$2:$B$501,$B280,$S$2:$S$501,$S280)&gt;1),"Duplicate participant and plan row; ",""))</f>
        <v/>
      </c>
      <c r="AD280">
        <f>IF(COUNTA($A280:$U280)=0,"",IF(AND($X280="Employee",$M280="",$N280=""),"No employee phone or email provided; ","")&amp;IF(AND($R280="Active",$Q280&lt;&gt;""),"Active record includes a Termination Date; confirm this is intentional; ","")&amp;IF(AND($B280&lt;&gt;"",$B280&amp;""&lt;&gt;$A280&amp;"",COUNTIF($A$2:$A$501,$B280)&gt;0),"Dependent SSN also appears as an Employee SSN elsewhere; confirm dual-employee coverage is intentional; ","")&amp;IF(AND($B280&lt;&gt;"",COUNTIF($B$2:$B$501,$B280)&gt;COUNTIFS($A$2:$A$501,$A280,$B$2:$B$501,$B280)),"Dependent SSN appears under more than one employee; confirm duplicate family coverage is intentional; ","")&amp;IF(AND(ROW()&gt;2,$A280&lt;&gt;"",$A280&lt;&gt;$A279,COUNTIF($A$2:$A279,$A280)&gt;0),"This household appears in more than one section of the census; keep the family together; ","")&amp;IF(OR(AND($C280&lt;&gt;"",LEN($C280&amp;"")&lt;&gt;LEN(TRIM($C280&amp;""))),AND($D280&lt;&gt;"",LEN($D280&amp;"")&lt;&gt;LEN(TRIM($D280&amp;""))),AND($E280&lt;&gt;"",LEN($E280&amp;"")&lt;&gt;LEN(TRIM($E280&amp;""))),AND($F280&lt;&gt;"",LEN($F280&amp;"")&lt;&gt;LEN(TRIM($F280&amp;""))),AND($G280&lt;&gt;"",LEN($G280&amp;"")&lt;&gt;LEN(TRIM($G280&amp;""))),AND($H280&lt;&gt;"",LEN($H280&amp;"")&lt;&gt;LEN(TRIM($H280&amp;""))),AND($I280&lt;&gt;"",LEN($I280&amp;"")&lt;&gt;LEN(TRIM($I280&amp;""))),AND($J280&lt;&gt;"",LEN($J280&amp;"")&lt;&gt;LEN(TRIM($J280&amp;""))),AND($K280&lt;&gt;"",LEN($K280&amp;"")&lt;&gt;LEN(TRIM($K280&amp;""))),AND($M280&lt;&gt;"",LEN($M280&amp;"")&lt;&gt;LEN(TRIM($M280&amp;""))),AND($N280&lt;&gt;"",LEN($N280&amp;"")&lt;&gt;LEN(TRIM($N280&amp;""))),AND($O280&lt;&gt;"",LEN($O280&amp;"")&lt;&gt;LEN(TRIM($O280&amp;""))),AND($R280&lt;&gt;"",LEN($R280&amp;"")&lt;&gt;LEN(TRIM($R280&amp;""))),AND($S280&lt;&gt;"",LEN($S280&amp;"")&lt;&gt;LEN(TRIM($S280&amp;""))),AND($T280&lt;&gt;"",LEN($T280&amp;"")&lt;&gt;LEN(TRIM($T280&amp;"")))),"Remove leading or trailing spaces from text fields; ","")&amp;IF(OR(AND(LEN($C280)&gt;1,OR(EXACT($C280,UPPER($C280)),EXACT($C280,LOWER($C280)))),AND(LEN($D280)&gt;1,OR(EXACT($D280,UPPER($D280)),EXACT($D280,LOWER($D280)))),AND(LEN($H280)&gt;1,OR(EXACT($H280,UPPER($H280)),EXACT($H280,LOWER($H280))))),"Review capitalization in First Name, Last Name, or City; ","")&amp;IF(AND($N280&lt;&gt;"",NOT(EXACT($N280,LOWER($N280)))),"Email will be standardized to lowercase in the clean output; ","")&amp;IF(AND(OR('START HERE'!$C$8="Initial Enrollment",'START HERE'!$C$8="Open Enrollment"),$R280="Terminated"),"A terminated row is included in an initial or open enrollment file; confirm this is intentional; ",""))</f>
        <v/>
      </c>
      <c r="AE280">
        <f>IF(COUNTA($A280:$U280)=0,"",IF(OR($A280="",AND($A280&lt;&gt;"",NOT(IFERROR(AND(LEN($A280&amp;"")=9,ISNUMBER(--($A280&amp;""))),FALSE))),AND($A280&lt;&gt;"",OR($A280="123456789",$A280="987654321",$A280="012345678",$A280=REPT(LEFT($A280&amp;"",1),9)))),"Employee SSN, ","")&amp;IF(OR(AND($O280&lt;&gt;"",$B280=""),AND($B280&lt;&gt;"",OR(NOT(IFERROR(AND(LEN($B280&amp;"")=9,ISNUMBER(--($B280&amp;""))),FALSE)),$B280=$A280,$B280="123456789",$B280="987654321",$B280="012345678",$B280=REPT(LEFT($B280&amp;"",1),9)))),"Dependent SSN, ","")&amp;IF(OR($C280="",LEN($C280)&gt;19,AND($C280&lt;&gt;"",SUMPRODUCT(--(ROW($1:$19)&lt;=LEN($C280&amp;"")),--ISERROR(FIND(MID($C280&amp;"",ROW($1:$19),1),"ABCDEFGHIJKLMNOPQRSTUVWXYZabcdefghijklmnopqrstuvwxyz .,")))&gt;0)),"First Name, ","")&amp;IF(OR($D280="",LEN($D280)&gt;26,AND($D280&lt;&gt;"",SUMPRODUCT(--(ROW($1:$26)&lt;=LEN($D280&amp;"")),--ISERROR(FIND(MID($D280&amp;"",ROW($1:$26),1),"ABCDEFGHIJKLMNOPQRSTUVWXYZabcdefghijklmnopqrstuvwxyz .,")))&gt;0)),"Last Name, ","")&amp;IF(OR(LEN($E280)&gt;1,AND($E280&lt;&gt;"",SUMPRODUCT(--(ROW($1:$1)&lt;=LEN($E280&amp;"")),--ISERROR(FIND(MID($E280&amp;"",ROW($1:$1),1),"ABCDEFGHIJKLMNOPQRSTUVWXYZabcdefghijklmnopqrstuvwxyz .,")))&gt;0)),"Middle Initial, ","")&amp;IF(OR($F280="",LEN($F280)&gt;75),"Address, ","")&amp;IF(OR($H280="",LEN($H280)&gt;30),"City, ","")&amp;IF(AND($K280="US",OR($I280="",LEN($I280)&lt;&gt;2)),"State, ","")&amp;IF($J280="","ZIP, ","")&amp;IF(OR($K280="",AND($K280&lt;&gt;"US",$K280&lt;&gt;"CA")),"Country, ","")&amp;IF(OR($L280="",AND($L280&lt;&gt;"",OR(NOT(ISNUMBER($L280)),$L280&lt;=DATE(1900,1,1),$L280&gt;TODAY()))),"Birthdate, ","")&amp;IF(AND($N280&lt;&gt;"",NOT(IFERROR(AND(ISNUMBER(SEARCH("@",$N280)),ISNUMBER(SEARCH(".",$N280,SEARCH("@",$N280)+2))),FALSE))),"Email, ","")&amp;IF(OR(AND($B280&lt;&gt;"",$O280=""),AND($O280&lt;&gt;"",$O280&lt;&gt;"Spouse or Common Law Spouse",$O280&lt;&gt;"Domestic Partner",$O280&lt;&gt;"Child",$O280&lt;&gt;"Other",$O280&lt;&gt;"Estate",$O280&lt;&gt;"Unknown")),"Dependent Relationship, ","")&amp;IF($AA280&lt;&gt;"","Household, ","")&amp;IF(OR($P280="",AND($P280&lt;&gt;"",OR(NOT(ISNUMBER($P280)),$P280&lt;=DATE(1900,1,1)))),"Eligibility Date, ","")&amp;IF(OR(AND($R280="Terminated",$Q280=""),AND($Q280&lt;&gt;"",OR(NOT(ISNUMBER($Q280)),$Q280&lt;=DATE(1900,1,1))),AND(ISNUMBER($P280),ISNUMBER($Q280),$Q280&lt;$P280)),"Termination Date, ","")&amp;IF(OR($R280="",AND($R280&lt;&gt;"Active",$R280&lt;&gt;"Terminated"),AND('START HERE'!$C$8="Terminations Only",$R280&lt;&gt;"Terminated")),"Status, ","")&amp;IF($S280="","Plan Name, ","")&amp;IF($T280="","Coverage Level, ","")&amp;IF(AND($U280&lt;&gt;"",OR(NOT(ISNUMBER($U280)),$U280&lt;0)),"Funding, ","")&amp;IF(AND($A280&lt;&gt;"",$S280&lt;&gt;"",COUNTIFS($A$2:$A$501,$A280,$B$2:$B$501,$B280,$S$2:$S$501,$S280)&gt;1),"Duplicate Row, ",""))</f>
        <v/>
      </c>
      <c r="AF280">
        <f>IF(COUNTA($A280:$U280)=0,"",$Y280&amp;$Z280&amp;$AA280&amp;$AB280&amp;$AC280)</f>
        <v/>
      </c>
      <c r="AG280">
        <f>IF($N280="","",LOWER(TRIM($N280)))</f>
        <v/>
      </c>
      <c r="AH280">
        <f>IF($A280="","",COUNTIFS($A$2:$A$501,$A280,$AI$2:$AI$501,1))</f>
        <v/>
      </c>
      <c r="AI280">
        <f>IF(COUNTA($A280:$U280)=0,"",--($AF280&lt;&gt;""))</f>
        <v/>
      </c>
      <c r="AJ280">
        <f>IF(COUNTA($A280:$U280)=0,"",--($AD280&lt;&gt;""))</f>
        <v/>
      </c>
    </row>
    <row r="281" ht="20" customHeight="1">
      <c r="A281" s="80" t="n"/>
      <c r="B281" s="80" t="n"/>
      <c r="C281" s="81" t="n"/>
      <c r="D281" s="81" t="n"/>
      <c r="E281" s="80" t="n"/>
      <c r="F281" s="81" t="n"/>
      <c r="G281" s="81" t="n"/>
      <c r="H281" s="81" t="n"/>
      <c r="I281" s="80" t="n"/>
      <c r="J281" s="80" t="n"/>
      <c r="K281" s="80" t="n"/>
      <c r="L281" s="82" t="n"/>
      <c r="M281" s="80" t="n"/>
      <c r="N281" s="80" t="n"/>
      <c r="O281" s="80" t="n"/>
      <c r="P281" s="82" t="n"/>
      <c r="Q281" s="82" t="n"/>
      <c r="R281" s="80" t="n"/>
      <c r="S281" s="80" t="n"/>
      <c r="T281" s="80" t="n"/>
      <c r="U281" s="83" t="n"/>
      <c r="V281">
        <f>IF($A281="","",IF($A281=$A280,$V280,IF($V280="",0,1-$V280)))</f>
        <v/>
      </c>
      <c r="W281">
        <f>IF($B281&lt;&gt;"",$B281,$A281)</f>
        <v/>
      </c>
      <c r="X281">
        <f>IF(COUNTA($A281:$U281)=0,"",IF(OR($B281&lt;&gt;"",$O281&lt;&gt;""),"Dependent","Employee"))</f>
        <v/>
      </c>
      <c r="Y281">
        <f>IF(COUNTA($A281:$U281)=0,"",IF($A281="","Employee SSN is required; ","")&amp;IF($C281="","First Name is required; ","")&amp;IF(LEN($C281&amp;"")&gt;19,"First Name exceeds 19 characters; ","")&amp;IF(AND($C281&lt;&gt;"",SUMPRODUCT(--(ROW($1:$19)&lt;=LEN($C281&amp;"")),--ISERROR(FIND(MID($C281&amp;"",ROW($1:$19),1),"ABCDEFGHIJKLMNOPQRSTUVWXYZabcdefghijklmnopqrstuvwxyz .,")))&gt;0),"First Name contains unsupported or encoded characters; use plain A-Z letters only; ","")&amp;IF($D281="","Last Name is required; ","")&amp;IF(LEN($D281&amp;"")&gt;26,"Last Name exceeds 26 characters; ","")&amp;IF(AND($D281&lt;&gt;"",SUMPRODUCT(--(ROW($1:$26)&lt;=LEN($D281&amp;"")),--ISERROR(FIND(MID($D281&amp;"",ROW($1:$26),1),"ABCDEFGHIJKLMNOPQRSTUVWXYZabcdefghijklmnopqrstuvwxyz .,")))&gt;0),"Last Name contains unsupported or encoded characters; use plain A-Z letters only; ","")&amp;IF(LEN($E281&amp;"")&gt;1,"Middle Initial may contain only one character; ","")&amp;IF(AND($E281&lt;&gt;"",SUMPRODUCT(--(ROW($1:$1)&lt;=LEN($E281&amp;"")),--ISERROR(FIND(MID($E281&amp;"",ROW($1:$1),1),"ABCDEFGHIJKLMNOPQRSTUVWXYZabcdefghijklmnopqrstuvwxyz .,")))&gt;0),"Middle Initial must be a plain A-Z letter; ","")&amp;IF($F281="","Address is required; ","")&amp;IF(LEN($F281&amp;"")&gt;75,"Address exceeds 75 characters; ","")&amp;IF(LEN($G281&amp;"")&gt;75,"Address 2 exceeds 75 characters; ","")&amp;IF($H281="","City is required; ","")&amp;IF(LEN($H281&amp;"")&gt;30,"City exceeds 30 characters; ","")&amp;IF($K281="","Country is required; ","")&amp;IF(AND($K281&lt;&gt;"",$K281&lt;&gt;"US",$K281&lt;&gt;"CA"),"Country must be US or CA; ","")&amp;IF(AND($K281="US",OR($I281="",LEN($I281&amp;"")&lt;&gt;2)),"Use a 2-letter state code; ","")&amp;IF($J281="","ZIP or postal code is required; ","")&amp;IF(AND($K281="US",$J281&lt;&gt;"",NOT(IFERROR(OR(AND(LEN($J281&amp;"")=5,ISNUMBER(--($J281&amp;""))),AND(LEN($J281&amp;"")=9,ISNUMBER(--($J281&amp;""))),AND(LEN($J281&amp;"")=10,MID($J281&amp;"",6,1)="-",ISNUMBER(--SUBSTITUTE($J281&amp;"","-","")))),FALSE))),"US ZIP must be 5 or 9 digits, with an optional ZIP+4 hyphen; ","")&amp;IF(AND($N281&lt;&gt;"",NOT(IFERROR(AND(ISNUMBER(SEARCH("@",$N281)),ISNUMBER(SEARCH(".",$N281,SEARCH("@",$N281)+2))),FALSE))),"Email format appears invalid; ","")&amp;IF(AND($O281&lt;&gt;"",$B281=""),"Dependent SSN is required for every dependent; ","")&amp;IF(AND($B281&lt;&gt;"",$O281=""),"Dependent Relationship is required when Dependent SSN is entered; ","")&amp;IF(AND($O281&lt;&gt;"",$O281&lt;&gt;"Spouse or Common Law Spouse",$O281&lt;&gt;"Domestic Partner",$O281&lt;&gt;"Child",$O281&lt;&gt;"Other",$O281&lt;&gt;"Estate",$O281&lt;&gt;"Unknown"),"Dependent Relationship must use one of the approved options; ",""))</f>
        <v/>
      </c>
      <c r="Z281">
        <f>IF(COUNTA($A281:$U281)=0,"",IF(AND($A281&lt;&gt;"",NOT(IFERROR(AND(LEN($A281&amp;"")=9,ISNUMBER(--($A281&amp;""))),FALSE))),"Employee SSN must contain exactly 9 digits; ","")&amp;IF(AND($A281&lt;&gt;"",OR($A281="123456789",$A281="987654321",$A281="012345678",$A281=REPT(LEFT($A281&amp;"",1),9))),"Employee SSN appears to be a placeholder; ","")&amp;IF(AND($B281&lt;&gt;"",NOT(IFERROR(AND(LEN($B281&amp;"")=9,ISNUMBER(--($B281&amp;""))),FALSE))),"Dependent SSN must contain exactly 9 digits; ","")&amp;IF(AND($B281&lt;&gt;"",OR($B281="123456789",$B281="987654321",$B281="012345678",$B281=REPT(LEFT($B281&amp;"",1),9))),"Dependent SSN appears to be a placeholder; ","")&amp;IF(AND($A281&lt;&gt;"",$B281&lt;&gt;"",$A281&amp;""=$B281&amp;""),"Dependent SSN cannot match Employee SSN; ","")&amp;IF(AND($W281&lt;&gt;"",OR(COUNTIFS($W$2:$W$501,$W281,$C$2:$C$501,"&lt;&gt;"&amp;$C281)&gt;0,COUNTIFS($W$2:$W$501,$W281,$D$2:$D$501,"&lt;&gt;"&amp;$D281)&gt;0,COUNTIFS($W$2:$W$501,$W281,$L$2:$L$501,"&lt;&gt;"&amp;$L281)&gt;0)),"The same SSN is associated with a different name or birthdate; ",""))</f>
        <v/>
      </c>
      <c r="AA281">
        <f>IF(COUNTA($A281:$U281)=0,"",IF(AND($A281&lt;&gt;"",$S281&lt;&gt;"",COUNTIFS($A$2:$A$501,$A281,$S$2:$S$501,$S281,$B$2:$B$501,"",$O$2:$O$501,"")=0),"Add an employee row for this household and plan; ","")&amp;IF(AND($X281="Dependent",COUNTIFS($A$2:$A281,$A281,$S$2:$S281,$S281,$B$2:$B281,"",$O$2:$O281,"")=0),"Place the employee row before dependent rows for this plan; ","")&amp;IF(AND($X281="Dependent",COUNTIFS($A$2:$A$501,$A281,$S$2:$S$501,$S281,$B$2:$B$501,"",$O$2:$O$501,"")&gt;0,IFERROR(OR($P281&lt;&gt;LOOKUP(2,1/(($A$2:$A$501=$A281)*($S$2:$S$501=$S281)*($B$2:$B$501="")*($O$2:$O$501="")),$P$2:$P$501),$Q281&lt;&gt;LOOKUP(2,1/(($A$2:$A$501=$A281)*($S$2:$S$501=$S281)*($B$2:$B$501="")*($O$2:$O$501="")),$Q$2:$Q$501),$R281&lt;&gt;LOOKUP(2,1/(($A$2:$A$501=$A281)*($S$2:$S$501=$S281)*($B$2:$B$501="")*($O$2:$O$501="")),$R$2:$R$501),$T281&lt;&gt;LOOKUP(2,1/(($A$2:$A$501=$A281)*($S$2:$S$501=$S281)*($B$2:$B$501="")*($O$2:$O$501="")),$T$2:$T$501),$U281&lt;&gt;LOOKUP(2,1/(($A$2:$A$501=$A281)*($S$2:$S$501=$S281)*($B$2:$B$501="")*($O$2:$O$501="")),$U$2:$U$501)),FALSE)),"Dependent row does not match the employee row for eligibility, status, coverage level, or funding; ",""))</f>
        <v/>
      </c>
      <c r="AB281">
        <f>IF(COUNTA($A281:$U281)=0,"",IF($L281="","Birthdate is required; ","")&amp;IF(AND($L281&lt;&gt;"",OR(NOT(ISNUMBER($L281)),$L281&lt;=DATE(1900,1,1),$L281&gt;TODAY())),"Birthdate must be an exact valid past date; ","")&amp;IF($P281="","Eligibility Date is required; ","")&amp;IF(AND($P281&lt;&gt;"",OR(NOT(ISNUMBER($P281)),$P281&lt;=DATE(1900,1,1))),"Eligibility Date must be a valid date; ","")&amp;IF(AND($R281="Terminated",$Q281=""),"Termination Date is required when Status is Terminated; ","")&amp;IF(AND($Q281&lt;&gt;"",OR(NOT(ISNUMBER($Q281)),$Q281&lt;=DATE(1900,1,1))),"Termination Date must be a valid date; ","")&amp;IF(AND(ISNUMBER($P281),ISNUMBER($Q281),$Q281&lt;$P281),"Termination Date cannot be before Eligibility Date; ","")&amp;IF($R281="","Status is required; ","")&amp;IF(AND($R281&lt;&gt;"",$R281&lt;&gt;"Active",$R281&lt;&gt;"Terminated"),"Status must be Active or Terminated; ","")&amp;IF(AND('START HERE'!$C$8="Terminations Only",$R281&lt;&gt;"Terminated"),"Terminations Only files must contain terminated records; ",""))</f>
        <v/>
      </c>
      <c r="AC281">
        <f>IF(COUNTA($A281:$U281)=0,"",IF($S281="","Plan Name is required; ","")&amp;IF($T281="","Benefit Coverage Level is required; ","")&amp;IF(AND($U281&lt;&gt;"",OR(NOT(ISNUMBER($U281)),$U281&lt;0)),"Plan Funding Amount must be a nonnegative number; ","")&amp;IF(AND($A281&lt;&gt;"",$S281&lt;&gt;"",COUNTIFS($A$2:$A$501,$A281,$B$2:$B$501,$B281,$S$2:$S$501,$S281)&gt;1),"Duplicate participant and plan row; ",""))</f>
        <v/>
      </c>
      <c r="AD281">
        <f>IF(COUNTA($A281:$U281)=0,"",IF(AND($X281="Employee",$M281="",$N281=""),"No employee phone or email provided; ","")&amp;IF(AND($R281="Active",$Q281&lt;&gt;""),"Active record includes a Termination Date; confirm this is intentional; ","")&amp;IF(AND($B281&lt;&gt;"",$B281&amp;""&lt;&gt;$A281&amp;"",COUNTIF($A$2:$A$501,$B281)&gt;0),"Dependent SSN also appears as an Employee SSN elsewhere; confirm dual-employee coverage is intentional; ","")&amp;IF(AND($B281&lt;&gt;"",COUNTIF($B$2:$B$501,$B281)&gt;COUNTIFS($A$2:$A$501,$A281,$B$2:$B$501,$B281)),"Dependent SSN appears under more than one employee; confirm duplicate family coverage is intentional; ","")&amp;IF(AND(ROW()&gt;2,$A281&lt;&gt;"",$A281&lt;&gt;$A280,COUNTIF($A$2:$A280,$A281)&gt;0),"This household appears in more than one section of the census; keep the family together; ","")&amp;IF(OR(AND($C281&lt;&gt;"",LEN($C281&amp;"")&lt;&gt;LEN(TRIM($C281&amp;""))),AND($D281&lt;&gt;"",LEN($D281&amp;"")&lt;&gt;LEN(TRIM($D281&amp;""))),AND($E281&lt;&gt;"",LEN($E281&amp;"")&lt;&gt;LEN(TRIM($E281&amp;""))),AND($F281&lt;&gt;"",LEN($F281&amp;"")&lt;&gt;LEN(TRIM($F281&amp;""))),AND($G281&lt;&gt;"",LEN($G281&amp;"")&lt;&gt;LEN(TRIM($G281&amp;""))),AND($H281&lt;&gt;"",LEN($H281&amp;"")&lt;&gt;LEN(TRIM($H281&amp;""))),AND($I281&lt;&gt;"",LEN($I281&amp;"")&lt;&gt;LEN(TRIM($I281&amp;""))),AND($J281&lt;&gt;"",LEN($J281&amp;"")&lt;&gt;LEN(TRIM($J281&amp;""))),AND($K281&lt;&gt;"",LEN($K281&amp;"")&lt;&gt;LEN(TRIM($K281&amp;""))),AND($M281&lt;&gt;"",LEN($M281&amp;"")&lt;&gt;LEN(TRIM($M281&amp;""))),AND($N281&lt;&gt;"",LEN($N281&amp;"")&lt;&gt;LEN(TRIM($N281&amp;""))),AND($O281&lt;&gt;"",LEN($O281&amp;"")&lt;&gt;LEN(TRIM($O281&amp;""))),AND($R281&lt;&gt;"",LEN($R281&amp;"")&lt;&gt;LEN(TRIM($R281&amp;""))),AND($S281&lt;&gt;"",LEN($S281&amp;"")&lt;&gt;LEN(TRIM($S281&amp;""))),AND($T281&lt;&gt;"",LEN($T281&amp;"")&lt;&gt;LEN(TRIM($T281&amp;"")))),"Remove leading or trailing spaces from text fields; ","")&amp;IF(OR(AND(LEN($C281)&gt;1,OR(EXACT($C281,UPPER($C281)),EXACT($C281,LOWER($C281)))),AND(LEN($D281)&gt;1,OR(EXACT($D281,UPPER($D281)),EXACT($D281,LOWER($D281)))),AND(LEN($H281)&gt;1,OR(EXACT($H281,UPPER($H281)),EXACT($H281,LOWER($H281))))),"Review capitalization in First Name, Last Name, or City; ","")&amp;IF(AND($N281&lt;&gt;"",NOT(EXACT($N281,LOWER($N281)))),"Email will be standardized to lowercase in the clean output; ","")&amp;IF(AND(OR('START HERE'!$C$8="Initial Enrollment",'START HERE'!$C$8="Open Enrollment"),$R281="Terminated"),"A terminated row is included in an initial or open enrollment file; confirm this is intentional; ",""))</f>
        <v/>
      </c>
      <c r="AE281">
        <f>IF(COUNTA($A281:$U281)=0,"",IF(OR($A281="",AND($A281&lt;&gt;"",NOT(IFERROR(AND(LEN($A281&amp;"")=9,ISNUMBER(--($A281&amp;""))),FALSE))),AND($A281&lt;&gt;"",OR($A281="123456789",$A281="987654321",$A281="012345678",$A281=REPT(LEFT($A281&amp;"",1),9)))),"Employee SSN, ","")&amp;IF(OR(AND($O281&lt;&gt;"",$B281=""),AND($B281&lt;&gt;"",OR(NOT(IFERROR(AND(LEN($B281&amp;"")=9,ISNUMBER(--($B281&amp;""))),FALSE)),$B281=$A281,$B281="123456789",$B281="987654321",$B281="012345678",$B281=REPT(LEFT($B281&amp;"",1),9)))),"Dependent SSN, ","")&amp;IF(OR($C281="",LEN($C281)&gt;19,AND($C281&lt;&gt;"",SUMPRODUCT(--(ROW($1:$19)&lt;=LEN($C281&amp;"")),--ISERROR(FIND(MID($C281&amp;"",ROW($1:$19),1),"ABCDEFGHIJKLMNOPQRSTUVWXYZabcdefghijklmnopqrstuvwxyz .,")))&gt;0)),"First Name, ","")&amp;IF(OR($D281="",LEN($D281)&gt;26,AND($D281&lt;&gt;"",SUMPRODUCT(--(ROW($1:$26)&lt;=LEN($D281&amp;"")),--ISERROR(FIND(MID($D281&amp;"",ROW($1:$26),1),"ABCDEFGHIJKLMNOPQRSTUVWXYZabcdefghijklmnopqrstuvwxyz .,")))&gt;0)),"Last Name, ","")&amp;IF(OR(LEN($E281)&gt;1,AND($E281&lt;&gt;"",SUMPRODUCT(--(ROW($1:$1)&lt;=LEN($E281&amp;"")),--ISERROR(FIND(MID($E281&amp;"",ROW($1:$1),1),"ABCDEFGHIJKLMNOPQRSTUVWXYZabcdefghijklmnopqrstuvwxyz .,")))&gt;0)),"Middle Initial, ","")&amp;IF(OR($F281="",LEN($F281)&gt;75),"Address, ","")&amp;IF(OR($H281="",LEN($H281)&gt;30),"City, ","")&amp;IF(AND($K281="US",OR($I281="",LEN($I281)&lt;&gt;2)),"State, ","")&amp;IF($J281="","ZIP, ","")&amp;IF(OR($K281="",AND($K281&lt;&gt;"US",$K281&lt;&gt;"CA")),"Country, ","")&amp;IF(OR($L281="",AND($L281&lt;&gt;"",OR(NOT(ISNUMBER($L281)),$L281&lt;=DATE(1900,1,1),$L281&gt;TODAY()))),"Birthdate, ","")&amp;IF(AND($N281&lt;&gt;"",NOT(IFERROR(AND(ISNUMBER(SEARCH("@",$N281)),ISNUMBER(SEARCH(".",$N281,SEARCH("@",$N281)+2))),FALSE))),"Email, ","")&amp;IF(OR(AND($B281&lt;&gt;"",$O281=""),AND($O281&lt;&gt;"",$O281&lt;&gt;"Spouse or Common Law Spouse",$O281&lt;&gt;"Domestic Partner",$O281&lt;&gt;"Child",$O281&lt;&gt;"Other",$O281&lt;&gt;"Estate",$O281&lt;&gt;"Unknown")),"Dependent Relationship, ","")&amp;IF($AA281&lt;&gt;"","Household, ","")&amp;IF(OR($P281="",AND($P281&lt;&gt;"",OR(NOT(ISNUMBER($P281)),$P281&lt;=DATE(1900,1,1)))),"Eligibility Date, ","")&amp;IF(OR(AND($R281="Terminated",$Q281=""),AND($Q281&lt;&gt;"",OR(NOT(ISNUMBER($Q281)),$Q281&lt;=DATE(1900,1,1))),AND(ISNUMBER($P281),ISNUMBER($Q281),$Q281&lt;$P281)),"Termination Date, ","")&amp;IF(OR($R281="",AND($R281&lt;&gt;"Active",$R281&lt;&gt;"Terminated"),AND('START HERE'!$C$8="Terminations Only",$R281&lt;&gt;"Terminated")),"Status, ","")&amp;IF($S281="","Plan Name, ","")&amp;IF($T281="","Coverage Level, ","")&amp;IF(AND($U281&lt;&gt;"",OR(NOT(ISNUMBER($U281)),$U281&lt;0)),"Funding, ","")&amp;IF(AND($A281&lt;&gt;"",$S281&lt;&gt;"",COUNTIFS($A$2:$A$501,$A281,$B$2:$B$501,$B281,$S$2:$S$501,$S281)&gt;1),"Duplicate Row, ",""))</f>
        <v/>
      </c>
      <c r="AF281">
        <f>IF(COUNTA($A281:$U281)=0,"",$Y281&amp;$Z281&amp;$AA281&amp;$AB281&amp;$AC281)</f>
        <v/>
      </c>
      <c r="AG281">
        <f>IF($N281="","",LOWER(TRIM($N281)))</f>
        <v/>
      </c>
      <c r="AH281">
        <f>IF($A281="","",COUNTIFS($A$2:$A$501,$A281,$AI$2:$AI$501,1))</f>
        <v/>
      </c>
      <c r="AI281">
        <f>IF(COUNTA($A281:$U281)=0,"",--($AF281&lt;&gt;""))</f>
        <v/>
      </c>
      <c r="AJ281">
        <f>IF(COUNTA($A281:$U281)=0,"",--($AD281&lt;&gt;""))</f>
        <v/>
      </c>
    </row>
    <row r="282" ht="20" customHeight="1">
      <c r="A282" s="80" t="n"/>
      <c r="B282" s="80" t="n"/>
      <c r="C282" s="81" t="n"/>
      <c r="D282" s="81" t="n"/>
      <c r="E282" s="80" t="n"/>
      <c r="F282" s="81" t="n"/>
      <c r="G282" s="81" t="n"/>
      <c r="H282" s="81" t="n"/>
      <c r="I282" s="80" t="n"/>
      <c r="J282" s="80" t="n"/>
      <c r="K282" s="80" t="n"/>
      <c r="L282" s="82" t="n"/>
      <c r="M282" s="80" t="n"/>
      <c r="N282" s="80" t="n"/>
      <c r="O282" s="80" t="n"/>
      <c r="P282" s="82" t="n"/>
      <c r="Q282" s="82" t="n"/>
      <c r="R282" s="80" t="n"/>
      <c r="S282" s="80" t="n"/>
      <c r="T282" s="80" t="n"/>
      <c r="U282" s="83" t="n"/>
      <c r="V282">
        <f>IF($A282="","",IF($A282=$A281,$V281,IF($V281="",0,1-$V281)))</f>
        <v/>
      </c>
      <c r="W282">
        <f>IF($B282&lt;&gt;"",$B282,$A282)</f>
        <v/>
      </c>
      <c r="X282">
        <f>IF(COUNTA($A282:$U282)=0,"",IF(OR($B282&lt;&gt;"",$O282&lt;&gt;""),"Dependent","Employee"))</f>
        <v/>
      </c>
      <c r="Y282">
        <f>IF(COUNTA($A282:$U282)=0,"",IF($A282="","Employee SSN is required; ","")&amp;IF($C282="","First Name is required; ","")&amp;IF(LEN($C282&amp;"")&gt;19,"First Name exceeds 19 characters; ","")&amp;IF(AND($C282&lt;&gt;"",SUMPRODUCT(--(ROW($1:$19)&lt;=LEN($C282&amp;"")),--ISERROR(FIND(MID($C282&amp;"",ROW($1:$19),1),"ABCDEFGHIJKLMNOPQRSTUVWXYZabcdefghijklmnopqrstuvwxyz .,")))&gt;0),"First Name contains unsupported or encoded characters; use plain A-Z letters only; ","")&amp;IF($D282="","Last Name is required; ","")&amp;IF(LEN($D282&amp;"")&gt;26,"Last Name exceeds 26 characters; ","")&amp;IF(AND($D282&lt;&gt;"",SUMPRODUCT(--(ROW($1:$26)&lt;=LEN($D282&amp;"")),--ISERROR(FIND(MID($D282&amp;"",ROW($1:$26),1),"ABCDEFGHIJKLMNOPQRSTUVWXYZabcdefghijklmnopqrstuvwxyz .,")))&gt;0),"Last Name contains unsupported or encoded characters; use plain A-Z letters only; ","")&amp;IF(LEN($E282&amp;"")&gt;1,"Middle Initial may contain only one character; ","")&amp;IF(AND($E282&lt;&gt;"",SUMPRODUCT(--(ROW($1:$1)&lt;=LEN($E282&amp;"")),--ISERROR(FIND(MID($E282&amp;"",ROW($1:$1),1),"ABCDEFGHIJKLMNOPQRSTUVWXYZabcdefghijklmnopqrstuvwxyz .,")))&gt;0),"Middle Initial must be a plain A-Z letter; ","")&amp;IF($F282="","Address is required; ","")&amp;IF(LEN($F282&amp;"")&gt;75,"Address exceeds 75 characters; ","")&amp;IF(LEN($G282&amp;"")&gt;75,"Address 2 exceeds 75 characters; ","")&amp;IF($H282="","City is required; ","")&amp;IF(LEN($H282&amp;"")&gt;30,"City exceeds 30 characters; ","")&amp;IF($K282="","Country is required; ","")&amp;IF(AND($K282&lt;&gt;"",$K282&lt;&gt;"US",$K282&lt;&gt;"CA"),"Country must be US or CA; ","")&amp;IF(AND($K282="US",OR($I282="",LEN($I282&amp;"")&lt;&gt;2)),"Use a 2-letter state code; ","")&amp;IF($J282="","ZIP or postal code is required; ","")&amp;IF(AND($K282="US",$J282&lt;&gt;"",NOT(IFERROR(OR(AND(LEN($J282&amp;"")=5,ISNUMBER(--($J282&amp;""))),AND(LEN($J282&amp;"")=9,ISNUMBER(--($J282&amp;""))),AND(LEN($J282&amp;"")=10,MID($J282&amp;"",6,1)="-",ISNUMBER(--SUBSTITUTE($J282&amp;"","-","")))),FALSE))),"US ZIP must be 5 or 9 digits, with an optional ZIP+4 hyphen; ","")&amp;IF(AND($N282&lt;&gt;"",NOT(IFERROR(AND(ISNUMBER(SEARCH("@",$N282)),ISNUMBER(SEARCH(".",$N282,SEARCH("@",$N282)+2))),FALSE))),"Email format appears invalid; ","")&amp;IF(AND($O282&lt;&gt;"",$B282=""),"Dependent SSN is required for every dependent; ","")&amp;IF(AND($B282&lt;&gt;"",$O282=""),"Dependent Relationship is required when Dependent SSN is entered; ","")&amp;IF(AND($O282&lt;&gt;"",$O282&lt;&gt;"Spouse or Common Law Spouse",$O282&lt;&gt;"Domestic Partner",$O282&lt;&gt;"Child",$O282&lt;&gt;"Other",$O282&lt;&gt;"Estate",$O282&lt;&gt;"Unknown"),"Dependent Relationship must use one of the approved options; ",""))</f>
        <v/>
      </c>
      <c r="Z282">
        <f>IF(COUNTA($A282:$U282)=0,"",IF(AND($A282&lt;&gt;"",NOT(IFERROR(AND(LEN($A282&amp;"")=9,ISNUMBER(--($A282&amp;""))),FALSE))),"Employee SSN must contain exactly 9 digits; ","")&amp;IF(AND($A282&lt;&gt;"",OR($A282="123456789",$A282="987654321",$A282="012345678",$A282=REPT(LEFT($A282&amp;"",1),9))),"Employee SSN appears to be a placeholder; ","")&amp;IF(AND($B282&lt;&gt;"",NOT(IFERROR(AND(LEN($B282&amp;"")=9,ISNUMBER(--($B282&amp;""))),FALSE))),"Dependent SSN must contain exactly 9 digits; ","")&amp;IF(AND($B282&lt;&gt;"",OR($B282="123456789",$B282="987654321",$B282="012345678",$B282=REPT(LEFT($B282&amp;"",1),9))),"Dependent SSN appears to be a placeholder; ","")&amp;IF(AND($A282&lt;&gt;"",$B282&lt;&gt;"",$A282&amp;""=$B282&amp;""),"Dependent SSN cannot match Employee SSN; ","")&amp;IF(AND($W282&lt;&gt;"",OR(COUNTIFS($W$2:$W$501,$W282,$C$2:$C$501,"&lt;&gt;"&amp;$C282)&gt;0,COUNTIFS($W$2:$W$501,$W282,$D$2:$D$501,"&lt;&gt;"&amp;$D282)&gt;0,COUNTIFS($W$2:$W$501,$W282,$L$2:$L$501,"&lt;&gt;"&amp;$L282)&gt;0)),"The same SSN is associated with a different name or birthdate; ",""))</f>
        <v/>
      </c>
      <c r="AA282">
        <f>IF(COUNTA($A282:$U282)=0,"",IF(AND($A282&lt;&gt;"",$S282&lt;&gt;"",COUNTIFS($A$2:$A$501,$A282,$S$2:$S$501,$S282,$B$2:$B$501,"",$O$2:$O$501,"")=0),"Add an employee row for this household and plan; ","")&amp;IF(AND($X282="Dependent",COUNTIFS($A$2:$A282,$A282,$S$2:$S282,$S282,$B$2:$B282,"",$O$2:$O282,"")=0),"Place the employee row before dependent rows for this plan; ","")&amp;IF(AND($X282="Dependent",COUNTIFS($A$2:$A$501,$A282,$S$2:$S$501,$S282,$B$2:$B$501,"",$O$2:$O$501,"")&gt;0,IFERROR(OR($P282&lt;&gt;LOOKUP(2,1/(($A$2:$A$501=$A282)*($S$2:$S$501=$S282)*($B$2:$B$501="")*($O$2:$O$501="")),$P$2:$P$501),$Q282&lt;&gt;LOOKUP(2,1/(($A$2:$A$501=$A282)*($S$2:$S$501=$S282)*($B$2:$B$501="")*($O$2:$O$501="")),$Q$2:$Q$501),$R282&lt;&gt;LOOKUP(2,1/(($A$2:$A$501=$A282)*($S$2:$S$501=$S282)*($B$2:$B$501="")*($O$2:$O$501="")),$R$2:$R$501),$T282&lt;&gt;LOOKUP(2,1/(($A$2:$A$501=$A282)*($S$2:$S$501=$S282)*($B$2:$B$501="")*($O$2:$O$501="")),$T$2:$T$501),$U282&lt;&gt;LOOKUP(2,1/(($A$2:$A$501=$A282)*($S$2:$S$501=$S282)*($B$2:$B$501="")*($O$2:$O$501="")),$U$2:$U$501)),FALSE)),"Dependent row does not match the employee row for eligibility, status, coverage level, or funding; ",""))</f>
        <v/>
      </c>
      <c r="AB282">
        <f>IF(COUNTA($A282:$U282)=0,"",IF($L282="","Birthdate is required; ","")&amp;IF(AND($L282&lt;&gt;"",OR(NOT(ISNUMBER($L282)),$L282&lt;=DATE(1900,1,1),$L282&gt;TODAY())),"Birthdate must be an exact valid past date; ","")&amp;IF($P282="","Eligibility Date is required; ","")&amp;IF(AND($P282&lt;&gt;"",OR(NOT(ISNUMBER($P282)),$P282&lt;=DATE(1900,1,1))),"Eligibility Date must be a valid date; ","")&amp;IF(AND($R282="Terminated",$Q282=""),"Termination Date is required when Status is Terminated; ","")&amp;IF(AND($Q282&lt;&gt;"",OR(NOT(ISNUMBER($Q282)),$Q282&lt;=DATE(1900,1,1))),"Termination Date must be a valid date; ","")&amp;IF(AND(ISNUMBER($P282),ISNUMBER($Q282),$Q282&lt;$P282),"Termination Date cannot be before Eligibility Date; ","")&amp;IF($R282="","Status is required; ","")&amp;IF(AND($R282&lt;&gt;"",$R282&lt;&gt;"Active",$R282&lt;&gt;"Terminated"),"Status must be Active or Terminated; ","")&amp;IF(AND('START HERE'!$C$8="Terminations Only",$R282&lt;&gt;"Terminated"),"Terminations Only files must contain terminated records; ",""))</f>
        <v/>
      </c>
      <c r="AC282">
        <f>IF(COUNTA($A282:$U282)=0,"",IF($S282="","Plan Name is required; ","")&amp;IF($T282="","Benefit Coverage Level is required; ","")&amp;IF(AND($U282&lt;&gt;"",OR(NOT(ISNUMBER($U282)),$U282&lt;0)),"Plan Funding Amount must be a nonnegative number; ","")&amp;IF(AND($A282&lt;&gt;"",$S282&lt;&gt;"",COUNTIFS($A$2:$A$501,$A282,$B$2:$B$501,$B282,$S$2:$S$501,$S282)&gt;1),"Duplicate participant and plan row; ",""))</f>
        <v/>
      </c>
      <c r="AD282">
        <f>IF(COUNTA($A282:$U282)=0,"",IF(AND($X282="Employee",$M282="",$N282=""),"No employee phone or email provided; ","")&amp;IF(AND($R282="Active",$Q282&lt;&gt;""),"Active record includes a Termination Date; confirm this is intentional; ","")&amp;IF(AND($B282&lt;&gt;"",$B282&amp;""&lt;&gt;$A282&amp;"",COUNTIF($A$2:$A$501,$B282)&gt;0),"Dependent SSN also appears as an Employee SSN elsewhere; confirm dual-employee coverage is intentional; ","")&amp;IF(AND($B282&lt;&gt;"",COUNTIF($B$2:$B$501,$B282)&gt;COUNTIFS($A$2:$A$501,$A282,$B$2:$B$501,$B282)),"Dependent SSN appears under more than one employee; confirm duplicate family coverage is intentional; ","")&amp;IF(AND(ROW()&gt;2,$A282&lt;&gt;"",$A282&lt;&gt;$A281,COUNTIF($A$2:$A281,$A282)&gt;0),"This household appears in more than one section of the census; keep the family together; ","")&amp;IF(OR(AND($C282&lt;&gt;"",LEN($C282&amp;"")&lt;&gt;LEN(TRIM($C282&amp;""))),AND($D282&lt;&gt;"",LEN($D282&amp;"")&lt;&gt;LEN(TRIM($D282&amp;""))),AND($E282&lt;&gt;"",LEN($E282&amp;"")&lt;&gt;LEN(TRIM($E282&amp;""))),AND($F282&lt;&gt;"",LEN($F282&amp;"")&lt;&gt;LEN(TRIM($F282&amp;""))),AND($G282&lt;&gt;"",LEN($G282&amp;"")&lt;&gt;LEN(TRIM($G282&amp;""))),AND($H282&lt;&gt;"",LEN($H282&amp;"")&lt;&gt;LEN(TRIM($H282&amp;""))),AND($I282&lt;&gt;"",LEN($I282&amp;"")&lt;&gt;LEN(TRIM($I282&amp;""))),AND($J282&lt;&gt;"",LEN($J282&amp;"")&lt;&gt;LEN(TRIM($J282&amp;""))),AND($K282&lt;&gt;"",LEN($K282&amp;"")&lt;&gt;LEN(TRIM($K282&amp;""))),AND($M282&lt;&gt;"",LEN($M282&amp;"")&lt;&gt;LEN(TRIM($M282&amp;""))),AND($N282&lt;&gt;"",LEN($N282&amp;"")&lt;&gt;LEN(TRIM($N282&amp;""))),AND($O282&lt;&gt;"",LEN($O282&amp;"")&lt;&gt;LEN(TRIM($O282&amp;""))),AND($R282&lt;&gt;"",LEN($R282&amp;"")&lt;&gt;LEN(TRIM($R282&amp;""))),AND($S282&lt;&gt;"",LEN($S282&amp;"")&lt;&gt;LEN(TRIM($S282&amp;""))),AND($T282&lt;&gt;"",LEN($T282&amp;"")&lt;&gt;LEN(TRIM($T282&amp;"")))),"Remove leading or trailing spaces from text fields; ","")&amp;IF(OR(AND(LEN($C282)&gt;1,OR(EXACT($C282,UPPER($C282)),EXACT($C282,LOWER($C282)))),AND(LEN($D282)&gt;1,OR(EXACT($D282,UPPER($D282)),EXACT($D282,LOWER($D282)))),AND(LEN($H282)&gt;1,OR(EXACT($H282,UPPER($H282)),EXACT($H282,LOWER($H282))))),"Review capitalization in First Name, Last Name, or City; ","")&amp;IF(AND($N282&lt;&gt;"",NOT(EXACT($N282,LOWER($N282)))),"Email will be standardized to lowercase in the clean output; ","")&amp;IF(AND(OR('START HERE'!$C$8="Initial Enrollment",'START HERE'!$C$8="Open Enrollment"),$R282="Terminated"),"A terminated row is included in an initial or open enrollment file; confirm this is intentional; ",""))</f>
        <v/>
      </c>
      <c r="AE282">
        <f>IF(COUNTA($A282:$U282)=0,"",IF(OR($A282="",AND($A282&lt;&gt;"",NOT(IFERROR(AND(LEN($A282&amp;"")=9,ISNUMBER(--($A282&amp;""))),FALSE))),AND($A282&lt;&gt;"",OR($A282="123456789",$A282="987654321",$A282="012345678",$A282=REPT(LEFT($A282&amp;"",1),9)))),"Employee SSN, ","")&amp;IF(OR(AND($O282&lt;&gt;"",$B282=""),AND($B282&lt;&gt;"",OR(NOT(IFERROR(AND(LEN($B282&amp;"")=9,ISNUMBER(--($B282&amp;""))),FALSE)),$B282=$A282,$B282="123456789",$B282="987654321",$B282="012345678",$B282=REPT(LEFT($B282&amp;"",1),9)))),"Dependent SSN, ","")&amp;IF(OR($C282="",LEN($C282)&gt;19,AND($C282&lt;&gt;"",SUMPRODUCT(--(ROW($1:$19)&lt;=LEN($C282&amp;"")),--ISERROR(FIND(MID($C282&amp;"",ROW($1:$19),1),"ABCDEFGHIJKLMNOPQRSTUVWXYZabcdefghijklmnopqrstuvwxyz .,")))&gt;0)),"First Name, ","")&amp;IF(OR($D282="",LEN($D282)&gt;26,AND($D282&lt;&gt;"",SUMPRODUCT(--(ROW($1:$26)&lt;=LEN($D282&amp;"")),--ISERROR(FIND(MID($D282&amp;"",ROW($1:$26),1),"ABCDEFGHIJKLMNOPQRSTUVWXYZabcdefghijklmnopqrstuvwxyz .,")))&gt;0)),"Last Name, ","")&amp;IF(OR(LEN($E282)&gt;1,AND($E282&lt;&gt;"",SUMPRODUCT(--(ROW($1:$1)&lt;=LEN($E282&amp;"")),--ISERROR(FIND(MID($E282&amp;"",ROW($1:$1),1),"ABCDEFGHIJKLMNOPQRSTUVWXYZabcdefghijklmnopqrstuvwxyz .,")))&gt;0)),"Middle Initial, ","")&amp;IF(OR($F282="",LEN($F282)&gt;75),"Address, ","")&amp;IF(OR($H282="",LEN($H282)&gt;30),"City, ","")&amp;IF(AND($K282="US",OR($I282="",LEN($I282)&lt;&gt;2)),"State, ","")&amp;IF($J282="","ZIP, ","")&amp;IF(OR($K282="",AND($K282&lt;&gt;"US",$K282&lt;&gt;"CA")),"Country, ","")&amp;IF(OR($L282="",AND($L282&lt;&gt;"",OR(NOT(ISNUMBER($L282)),$L282&lt;=DATE(1900,1,1),$L282&gt;TODAY()))),"Birthdate, ","")&amp;IF(AND($N282&lt;&gt;"",NOT(IFERROR(AND(ISNUMBER(SEARCH("@",$N282)),ISNUMBER(SEARCH(".",$N282,SEARCH("@",$N282)+2))),FALSE))),"Email, ","")&amp;IF(OR(AND($B282&lt;&gt;"",$O282=""),AND($O282&lt;&gt;"",$O282&lt;&gt;"Spouse or Common Law Spouse",$O282&lt;&gt;"Domestic Partner",$O282&lt;&gt;"Child",$O282&lt;&gt;"Other",$O282&lt;&gt;"Estate",$O282&lt;&gt;"Unknown")),"Dependent Relationship, ","")&amp;IF($AA282&lt;&gt;"","Household, ","")&amp;IF(OR($P282="",AND($P282&lt;&gt;"",OR(NOT(ISNUMBER($P282)),$P282&lt;=DATE(1900,1,1)))),"Eligibility Date, ","")&amp;IF(OR(AND($R282="Terminated",$Q282=""),AND($Q282&lt;&gt;"",OR(NOT(ISNUMBER($Q282)),$Q282&lt;=DATE(1900,1,1))),AND(ISNUMBER($P282),ISNUMBER($Q282),$Q282&lt;$P282)),"Termination Date, ","")&amp;IF(OR($R282="",AND($R282&lt;&gt;"Active",$R282&lt;&gt;"Terminated"),AND('START HERE'!$C$8="Terminations Only",$R282&lt;&gt;"Terminated")),"Status, ","")&amp;IF($S282="","Plan Name, ","")&amp;IF($T282="","Coverage Level, ","")&amp;IF(AND($U282&lt;&gt;"",OR(NOT(ISNUMBER($U282)),$U282&lt;0)),"Funding, ","")&amp;IF(AND($A282&lt;&gt;"",$S282&lt;&gt;"",COUNTIFS($A$2:$A$501,$A282,$B$2:$B$501,$B282,$S$2:$S$501,$S282)&gt;1),"Duplicate Row, ",""))</f>
        <v/>
      </c>
      <c r="AF282">
        <f>IF(COUNTA($A282:$U282)=0,"",$Y282&amp;$Z282&amp;$AA282&amp;$AB282&amp;$AC282)</f>
        <v/>
      </c>
      <c r="AG282">
        <f>IF($N282="","",LOWER(TRIM($N282)))</f>
        <v/>
      </c>
      <c r="AH282">
        <f>IF($A282="","",COUNTIFS($A$2:$A$501,$A282,$AI$2:$AI$501,1))</f>
        <v/>
      </c>
      <c r="AI282">
        <f>IF(COUNTA($A282:$U282)=0,"",--($AF282&lt;&gt;""))</f>
        <v/>
      </c>
      <c r="AJ282">
        <f>IF(COUNTA($A282:$U282)=0,"",--($AD282&lt;&gt;""))</f>
        <v/>
      </c>
    </row>
    <row r="283" ht="20" customHeight="1">
      <c r="A283" s="80" t="n"/>
      <c r="B283" s="80" t="n"/>
      <c r="C283" s="81" t="n"/>
      <c r="D283" s="81" t="n"/>
      <c r="E283" s="80" t="n"/>
      <c r="F283" s="81" t="n"/>
      <c r="G283" s="81" t="n"/>
      <c r="H283" s="81" t="n"/>
      <c r="I283" s="80" t="n"/>
      <c r="J283" s="80" t="n"/>
      <c r="K283" s="80" t="n"/>
      <c r="L283" s="82" t="n"/>
      <c r="M283" s="80" t="n"/>
      <c r="N283" s="80" t="n"/>
      <c r="O283" s="80" t="n"/>
      <c r="P283" s="82" t="n"/>
      <c r="Q283" s="82" t="n"/>
      <c r="R283" s="80" t="n"/>
      <c r="S283" s="80" t="n"/>
      <c r="T283" s="80" t="n"/>
      <c r="U283" s="83" t="n"/>
      <c r="V283">
        <f>IF($A283="","",IF($A283=$A282,$V282,IF($V282="",0,1-$V282)))</f>
        <v/>
      </c>
      <c r="W283">
        <f>IF($B283&lt;&gt;"",$B283,$A283)</f>
        <v/>
      </c>
      <c r="X283">
        <f>IF(COUNTA($A283:$U283)=0,"",IF(OR($B283&lt;&gt;"",$O283&lt;&gt;""),"Dependent","Employee"))</f>
        <v/>
      </c>
      <c r="Y283">
        <f>IF(COUNTA($A283:$U283)=0,"",IF($A283="","Employee SSN is required; ","")&amp;IF($C283="","First Name is required; ","")&amp;IF(LEN($C283&amp;"")&gt;19,"First Name exceeds 19 characters; ","")&amp;IF(AND($C283&lt;&gt;"",SUMPRODUCT(--(ROW($1:$19)&lt;=LEN($C283&amp;"")),--ISERROR(FIND(MID($C283&amp;"",ROW($1:$19),1),"ABCDEFGHIJKLMNOPQRSTUVWXYZabcdefghijklmnopqrstuvwxyz .,")))&gt;0),"First Name contains unsupported or encoded characters; use plain A-Z letters only; ","")&amp;IF($D283="","Last Name is required; ","")&amp;IF(LEN($D283&amp;"")&gt;26,"Last Name exceeds 26 characters; ","")&amp;IF(AND($D283&lt;&gt;"",SUMPRODUCT(--(ROW($1:$26)&lt;=LEN($D283&amp;"")),--ISERROR(FIND(MID($D283&amp;"",ROW($1:$26),1),"ABCDEFGHIJKLMNOPQRSTUVWXYZabcdefghijklmnopqrstuvwxyz .,")))&gt;0),"Last Name contains unsupported or encoded characters; use plain A-Z letters only; ","")&amp;IF(LEN($E283&amp;"")&gt;1,"Middle Initial may contain only one character; ","")&amp;IF(AND($E283&lt;&gt;"",SUMPRODUCT(--(ROW($1:$1)&lt;=LEN($E283&amp;"")),--ISERROR(FIND(MID($E283&amp;"",ROW($1:$1),1),"ABCDEFGHIJKLMNOPQRSTUVWXYZabcdefghijklmnopqrstuvwxyz .,")))&gt;0),"Middle Initial must be a plain A-Z letter; ","")&amp;IF($F283="","Address is required; ","")&amp;IF(LEN($F283&amp;"")&gt;75,"Address exceeds 75 characters; ","")&amp;IF(LEN($G283&amp;"")&gt;75,"Address 2 exceeds 75 characters; ","")&amp;IF($H283="","City is required; ","")&amp;IF(LEN($H283&amp;"")&gt;30,"City exceeds 30 characters; ","")&amp;IF($K283="","Country is required; ","")&amp;IF(AND($K283&lt;&gt;"",$K283&lt;&gt;"US",$K283&lt;&gt;"CA"),"Country must be US or CA; ","")&amp;IF(AND($K283="US",OR($I283="",LEN($I283&amp;"")&lt;&gt;2)),"Use a 2-letter state code; ","")&amp;IF($J283="","ZIP or postal code is required; ","")&amp;IF(AND($K283="US",$J283&lt;&gt;"",NOT(IFERROR(OR(AND(LEN($J283&amp;"")=5,ISNUMBER(--($J283&amp;""))),AND(LEN($J283&amp;"")=9,ISNUMBER(--($J283&amp;""))),AND(LEN($J283&amp;"")=10,MID($J283&amp;"",6,1)="-",ISNUMBER(--SUBSTITUTE($J283&amp;"","-","")))),FALSE))),"US ZIP must be 5 or 9 digits, with an optional ZIP+4 hyphen; ","")&amp;IF(AND($N283&lt;&gt;"",NOT(IFERROR(AND(ISNUMBER(SEARCH("@",$N283)),ISNUMBER(SEARCH(".",$N283,SEARCH("@",$N283)+2))),FALSE))),"Email format appears invalid; ","")&amp;IF(AND($O283&lt;&gt;"",$B283=""),"Dependent SSN is required for every dependent; ","")&amp;IF(AND($B283&lt;&gt;"",$O283=""),"Dependent Relationship is required when Dependent SSN is entered; ","")&amp;IF(AND($O283&lt;&gt;"",$O283&lt;&gt;"Spouse or Common Law Spouse",$O283&lt;&gt;"Domestic Partner",$O283&lt;&gt;"Child",$O283&lt;&gt;"Other",$O283&lt;&gt;"Estate",$O283&lt;&gt;"Unknown"),"Dependent Relationship must use one of the approved options; ",""))</f>
        <v/>
      </c>
      <c r="Z283">
        <f>IF(COUNTA($A283:$U283)=0,"",IF(AND($A283&lt;&gt;"",NOT(IFERROR(AND(LEN($A283&amp;"")=9,ISNUMBER(--($A283&amp;""))),FALSE))),"Employee SSN must contain exactly 9 digits; ","")&amp;IF(AND($A283&lt;&gt;"",OR($A283="123456789",$A283="987654321",$A283="012345678",$A283=REPT(LEFT($A283&amp;"",1),9))),"Employee SSN appears to be a placeholder; ","")&amp;IF(AND($B283&lt;&gt;"",NOT(IFERROR(AND(LEN($B283&amp;"")=9,ISNUMBER(--($B283&amp;""))),FALSE))),"Dependent SSN must contain exactly 9 digits; ","")&amp;IF(AND($B283&lt;&gt;"",OR($B283="123456789",$B283="987654321",$B283="012345678",$B283=REPT(LEFT($B283&amp;"",1),9))),"Dependent SSN appears to be a placeholder; ","")&amp;IF(AND($A283&lt;&gt;"",$B283&lt;&gt;"",$A283&amp;""=$B283&amp;""),"Dependent SSN cannot match Employee SSN; ","")&amp;IF(AND($W283&lt;&gt;"",OR(COUNTIFS($W$2:$W$501,$W283,$C$2:$C$501,"&lt;&gt;"&amp;$C283)&gt;0,COUNTIFS($W$2:$W$501,$W283,$D$2:$D$501,"&lt;&gt;"&amp;$D283)&gt;0,COUNTIFS($W$2:$W$501,$W283,$L$2:$L$501,"&lt;&gt;"&amp;$L283)&gt;0)),"The same SSN is associated with a different name or birthdate; ",""))</f>
        <v/>
      </c>
      <c r="AA283">
        <f>IF(COUNTA($A283:$U283)=0,"",IF(AND($A283&lt;&gt;"",$S283&lt;&gt;"",COUNTIFS($A$2:$A$501,$A283,$S$2:$S$501,$S283,$B$2:$B$501,"",$O$2:$O$501,"")=0),"Add an employee row for this household and plan; ","")&amp;IF(AND($X283="Dependent",COUNTIFS($A$2:$A283,$A283,$S$2:$S283,$S283,$B$2:$B283,"",$O$2:$O283,"")=0),"Place the employee row before dependent rows for this plan; ","")&amp;IF(AND($X283="Dependent",COUNTIFS($A$2:$A$501,$A283,$S$2:$S$501,$S283,$B$2:$B$501,"",$O$2:$O$501,"")&gt;0,IFERROR(OR($P283&lt;&gt;LOOKUP(2,1/(($A$2:$A$501=$A283)*($S$2:$S$501=$S283)*($B$2:$B$501="")*($O$2:$O$501="")),$P$2:$P$501),$Q283&lt;&gt;LOOKUP(2,1/(($A$2:$A$501=$A283)*($S$2:$S$501=$S283)*($B$2:$B$501="")*($O$2:$O$501="")),$Q$2:$Q$501),$R283&lt;&gt;LOOKUP(2,1/(($A$2:$A$501=$A283)*($S$2:$S$501=$S283)*($B$2:$B$501="")*($O$2:$O$501="")),$R$2:$R$501),$T283&lt;&gt;LOOKUP(2,1/(($A$2:$A$501=$A283)*($S$2:$S$501=$S283)*($B$2:$B$501="")*($O$2:$O$501="")),$T$2:$T$501),$U283&lt;&gt;LOOKUP(2,1/(($A$2:$A$501=$A283)*($S$2:$S$501=$S283)*($B$2:$B$501="")*($O$2:$O$501="")),$U$2:$U$501)),FALSE)),"Dependent row does not match the employee row for eligibility, status, coverage level, or funding; ",""))</f>
        <v/>
      </c>
      <c r="AB283">
        <f>IF(COUNTA($A283:$U283)=0,"",IF($L283="","Birthdate is required; ","")&amp;IF(AND($L283&lt;&gt;"",OR(NOT(ISNUMBER($L283)),$L283&lt;=DATE(1900,1,1),$L283&gt;TODAY())),"Birthdate must be an exact valid past date; ","")&amp;IF($P283="","Eligibility Date is required; ","")&amp;IF(AND($P283&lt;&gt;"",OR(NOT(ISNUMBER($P283)),$P283&lt;=DATE(1900,1,1))),"Eligibility Date must be a valid date; ","")&amp;IF(AND($R283="Terminated",$Q283=""),"Termination Date is required when Status is Terminated; ","")&amp;IF(AND($Q283&lt;&gt;"",OR(NOT(ISNUMBER($Q283)),$Q283&lt;=DATE(1900,1,1))),"Termination Date must be a valid date; ","")&amp;IF(AND(ISNUMBER($P283),ISNUMBER($Q283),$Q283&lt;$P283),"Termination Date cannot be before Eligibility Date; ","")&amp;IF($R283="","Status is required; ","")&amp;IF(AND($R283&lt;&gt;"",$R283&lt;&gt;"Active",$R283&lt;&gt;"Terminated"),"Status must be Active or Terminated; ","")&amp;IF(AND('START HERE'!$C$8="Terminations Only",$R283&lt;&gt;"Terminated"),"Terminations Only files must contain terminated records; ",""))</f>
        <v/>
      </c>
      <c r="AC283">
        <f>IF(COUNTA($A283:$U283)=0,"",IF($S283="","Plan Name is required; ","")&amp;IF($T283="","Benefit Coverage Level is required; ","")&amp;IF(AND($U283&lt;&gt;"",OR(NOT(ISNUMBER($U283)),$U283&lt;0)),"Plan Funding Amount must be a nonnegative number; ","")&amp;IF(AND($A283&lt;&gt;"",$S283&lt;&gt;"",COUNTIFS($A$2:$A$501,$A283,$B$2:$B$501,$B283,$S$2:$S$501,$S283)&gt;1),"Duplicate participant and plan row; ",""))</f>
        <v/>
      </c>
      <c r="AD283">
        <f>IF(COUNTA($A283:$U283)=0,"",IF(AND($X283="Employee",$M283="",$N283=""),"No employee phone or email provided; ","")&amp;IF(AND($R283="Active",$Q283&lt;&gt;""),"Active record includes a Termination Date; confirm this is intentional; ","")&amp;IF(AND($B283&lt;&gt;"",$B283&amp;""&lt;&gt;$A283&amp;"",COUNTIF($A$2:$A$501,$B283)&gt;0),"Dependent SSN also appears as an Employee SSN elsewhere; confirm dual-employee coverage is intentional; ","")&amp;IF(AND($B283&lt;&gt;"",COUNTIF($B$2:$B$501,$B283)&gt;COUNTIFS($A$2:$A$501,$A283,$B$2:$B$501,$B283)),"Dependent SSN appears under more than one employee; confirm duplicate family coverage is intentional; ","")&amp;IF(AND(ROW()&gt;2,$A283&lt;&gt;"",$A283&lt;&gt;$A282,COUNTIF($A$2:$A282,$A283)&gt;0),"This household appears in more than one section of the census; keep the family together; ","")&amp;IF(OR(AND($C283&lt;&gt;"",LEN($C283&amp;"")&lt;&gt;LEN(TRIM($C283&amp;""))),AND($D283&lt;&gt;"",LEN($D283&amp;"")&lt;&gt;LEN(TRIM($D283&amp;""))),AND($E283&lt;&gt;"",LEN($E283&amp;"")&lt;&gt;LEN(TRIM($E283&amp;""))),AND($F283&lt;&gt;"",LEN($F283&amp;"")&lt;&gt;LEN(TRIM($F283&amp;""))),AND($G283&lt;&gt;"",LEN($G283&amp;"")&lt;&gt;LEN(TRIM($G283&amp;""))),AND($H283&lt;&gt;"",LEN($H283&amp;"")&lt;&gt;LEN(TRIM($H283&amp;""))),AND($I283&lt;&gt;"",LEN($I283&amp;"")&lt;&gt;LEN(TRIM($I283&amp;""))),AND($J283&lt;&gt;"",LEN($J283&amp;"")&lt;&gt;LEN(TRIM($J283&amp;""))),AND($K283&lt;&gt;"",LEN($K283&amp;"")&lt;&gt;LEN(TRIM($K283&amp;""))),AND($M283&lt;&gt;"",LEN($M283&amp;"")&lt;&gt;LEN(TRIM($M283&amp;""))),AND($N283&lt;&gt;"",LEN($N283&amp;"")&lt;&gt;LEN(TRIM($N283&amp;""))),AND($O283&lt;&gt;"",LEN($O283&amp;"")&lt;&gt;LEN(TRIM($O283&amp;""))),AND($R283&lt;&gt;"",LEN($R283&amp;"")&lt;&gt;LEN(TRIM($R283&amp;""))),AND($S283&lt;&gt;"",LEN($S283&amp;"")&lt;&gt;LEN(TRIM($S283&amp;""))),AND($T283&lt;&gt;"",LEN($T283&amp;"")&lt;&gt;LEN(TRIM($T283&amp;"")))),"Remove leading or trailing spaces from text fields; ","")&amp;IF(OR(AND(LEN($C283)&gt;1,OR(EXACT($C283,UPPER($C283)),EXACT($C283,LOWER($C283)))),AND(LEN($D283)&gt;1,OR(EXACT($D283,UPPER($D283)),EXACT($D283,LOWER($D283)))),AND(LEN($H283)&gt;1,OR(EXACT($H283,UPPER($H283)),EXACT($H283,LOWER($H283))))),"Review capitalization in First Name, Last Name, or City; ","")&amp;IF(AND($N283&lt;&gt;"",NOT(EXACT($N283,LOWER($N283)))),"Email will be standardized to lowercase in the clean output; ","")&amp;IF(AND(OR('START HERE'!$C$8="Initial Enrollment",'START HERE'!$C$8="Open Enrollment"),$R283="Terminated"),"A terminated row is included in an initial or open enrollment file; confirm this is intentional; ",""))</f>
        <v/>
      </c>
      <c r="AE283">
        <f>IF(COUNTA($A283:$U283)=0,"",IF(OR($A283="",AND($A283&lt;&gt;"",NOT(IFERROR(AND(LEN($A283&amp;"")=9,ISNUMBER(--($A283&amp;""))),FALSE))),AND($A283&lt;&gt;"",OR($A283="123456789",$A283="987654321",$A283="012345678",$A283=REPT(LEFT($A283&amp;"",1),9)))),"Employee SSN, ","")&amp;IF(OR(AND($O283&lt;&gt;"",$B283=""),AND($B283&lt;&gt;"",OR(NOT(IFERROR(AND(LEN($B283&amp;"")=9,ISNUMBER(--($B283&amp;""))),FALSE)),$B283=$A283,$B283="123456789",$B283="987654321",$B283="012345678",$B283=REPT(LEFT($B283&amp;"",1),9)))),"Dependent SSN, ","")&amp;IF(OR($C283="",LEN($C283)&gt;19,AND($C283&lt;&gt;"",SUMPRODUCT(--(ROW($1:$19)&lt;=LEN($C283&amp;"")),--ISERROR(FIND(MID($C283&amp;"",ROW($1:$19),1),"ABCDEFGHIJKLMNOPQRSTUVWXYZabcdefghijklmnopqrstuvwxyz .,")))&gt;0)),"First Name, ","")&amp;IF(OR($D283="",LEN($D283)&gt;26,AND($D283&lt;&gt;"",SUMPRODUCT(--(ROW($1:$26)&lt;=LEN($D283&amp;"")),--ISERROR(FIND(MID($D283&amp;"",ROW($1:$26),1),"ABCDEFGHIJKLMNOPQRSTUVWXYZabcdefghijklmnopqrstuvwxyz .,")))&gt;0)),"Last Name, ","")&amp;IF(OR(LEN($E283)&gt;1,AND($E283&lt;&gt;"",SUMPRODUCT(--(ROW($1:$1)&lt;=LEN($E283&amp;"")),--ISERROR(FIND(MID($E283&amp;"",ROW($1:$1),1),"ABCDEFGHIJKLMNOPQRSTUVWXYZabcdefghijklmnopqrstuvwxyz .,")))&gt;0)),"Middle Initial, ","")&amp;IF(OR($F283="",LEN($F283)&gt;75),"Address, ","")&amp;IF(OR($H283="",LEN($H283)&gt;30),"City, ","")&amp;IF(AND($K283="US",OR($I283="",LEN($I283)&lt;&gt;2)),"State, ","")&amp;IF($J283="","ZIP, ","")&amp;IF(OR($K283="",AND($K283&lt;&gt;"US",$K283&lt;&gt;"CA")),"Country, ","")&amp;IF(OR($L283="",AND($L283&lt;&gt;"",OR(NOT(ISNUMBER($L283)),$L283&lt;=DATE(1900,1,1),$L283&gt;TODAY()))),"Birthdate, ","")&amp;IF(AND($N283&lt;&gt;"",NOT(IFERROR(AND(ISNUMBER(SEARCH("@",$N283)),ISNUMBER(SEARCH(".",$N283,SEARCH("@",$N283)+2))),FALSE))),"Email, ","")&amp;IF(OR(AND($B283&lt;&gt;"",$O283=""),AND($O283&lt;&gt;"",$O283&lt;&gt;"Spouse or Common Law Spouse",$O283&lt;&gt;"Domestic Partner",$O283&lt;&gt;"Child",$O283&lt;&gt;"Other",$O283&lt;&gt;"Estate",$O283&lt;&gt;"Unknown")),"Dependent Relationship, ","")&amp;IF($AA283&lt;&gt;"","Household, ","")&amp;IF(OR($P283="",AND($P283&lt;&gt;"",OR(NOT(ISNUMBER($P283)),$P283&lt;=DATE(1900,1,1)))),"Eligibility Date, ","")&amp;IF(OR(AND($R283="Terminated",$Q283=""),AND($Q283&lt;&gt;"",OR(NOT(ISNUMBER($Q283)),$Q283&lt;=DATE(1900,1,1))),AND(ISNUMBER($P283),ISNUMBER($Q283),$Q283&lt;$P283)),"Termination Date, ","")&amp;IF(OR($R283="",AND($R283&lt;&gt;"Active",$R283&lt;&gt;"Terminated"),AND('START HERE'!$C$8="Terminations Only",$R283&lt;&gt;"Terminated")),"Status, ","")&amp;IF($S283="","Plan Name, ","")&amp;IF($T283="","Coverage Level, ","")&amp;IF(AND($U283&lt;&gt;"",OR(NOT(ISNUMBER($U283)),$U283&lt;0)),"Funding, ","")&amp;IF(AND($A283&lt;&gt;"",$S283&lt;&gt;"",COUNTIFS($A$2:$A$501,$A283,$B$2:$B$501,$B283,$S$2:$S$501,$S283)&gt;1),"Duplicate Row, ",""))</f>
        <v/>
      </c>
      <c r="AF283">
        <f>IF(COUNTA($A283:$U283)=0,"",$Y283&amp;$Z283&amp;$AA283&amp;$AB283&amp;$AC283)</f>
        <v/>
      </c>
      <c r="AG283">
        <f>IF($N283="","",LOWER(TRIM($N283)))</f>
        <v/>
      </c>
      <c r="AH283">
        <f>IF($A283="","",COUNTIFS($A$2:$A$501,$A283,$AI$2:$AI$501,1))</f>
        <v/>
      </c>
      <c r="AI283">
        <f>IF(COUNTA($A283:$U283)=0,"",--($AF283&lt;&gt;""))</f>
        <v/>
      </c>
      <c r="AJ283">
        <f>IF(COUNTA($A283:$U283)=0,"",--($AD283&lt;&gt;""))</f>
        <v/>
      </c>
    </row>
    <row r="284" ht="20" customHeight="1">
      <c r="A284" s="80" t="n"/>
      <c r="B284" s="80" t="n"/>
      <c r="C284" s="81" t="n"/>
      <c r="D284" s="81" t="n"/>
      <c r="E284" s="80" t="n"/>
      <c r="F284" s="81" t="n"/>
      <c r="G284" s="81" t="n"/>
      <c r="H284" s="81" t="n"/>
      <c r="I284" s="80" t="n"/>
      <c r="J284" s="80" t="n"/>
      <c r="K284" s="80" t="n"/>
      <c r="L284" s="82" t="n"/>
      <c r="M284" s="80" t="n"/>
      <c r="N284" s="80" t="n"/>
      <c r="O284" s="80" t="n"/>
      <c r="P284" s="82" t="n"/>
      <c r="Q284" s="82" t="n"/>
      <c r="R284" s="80" t="n"/>
      <c r="S284" s="80" t="n"/>
      <c r="T284" s="80" t="n"/>
      <c r="U284" s="83" t="n"/>
      <c r="V284">
        <f>IF($A284="","",IF($A284=$A283,$V283,IF($V283="",0,1-$V283)))</f>
        <v/>
      </c>
      <c r="W284">
        <f>IF($B284&lt;&gt;"",$B284,$A284)</f>
        <v/>
      </c>
      <c r="X284">
        <f>IF(COUNTA($A284:$U284)=0,"",IF(OR($B284&lt;&gt;"",$O284&lt;&gt;""),"Dependent","Employee"))</f>
        <v/>
      </c>
      <c r="Y284">
        <f>IF(COUNTA($A284:$U284)=0,"",IF($A284="","Employee SSN is required; ","")&amp;IF($C284="","First Name is required; ","")&amp;IF(LEN($C284&amp;"")&gt;19,"First Name exceeds 19 characters; ","")&amp;IF(AND($C284&lt;&gt;"",SUMPRODUCT(--(ROW($1:$19)&lt;=LEN($C284&amp;"")),--ISERROR(FIND(MID($C284&amp;"",ROW($1:$19),1),"ABCDEFGHIJKLMNOPQRSTUVWXYZabcdefghijklmnopqrstuvwxyz .,")))&gt;0),"First Name contains unsupported or encoded characters; use plain A-Z letters only; ","")&amp;IF($D284="","Last Name is required; ","")&amp;IF(LEN($D284&amp;"")&gt;26,"Last Name exceeds 26 characters; ","")&amp;IF(AND($D284&lt;&gt;"",SUMPRODUCT(--(ROW($1:$26)&lt;=LEN($D284&amp;"")),--ISERROR(FIND(MID($D284&amp;"",ROW($1:$26),1),"ABCDEFGHIJKLMNOPQRSTUVWXYZabcdefghijklmnopqrstuvwxyz .,")))&gt;0),"Last Name contains unsupported or encoded characters; use plain A-Z letters only; ","")&amp;IF(LEN($E284&amp;"")&gt;1,"Middle Initial may contain only one character; ","")&amp;IF(AND($E284&lt;&gt;"",SUMPRODUCT(--(ROW($1:$1)&lt;=LEN($E284&amp;"")),--ISERROR(FIND(MID($E284&amp;"",ROW($1:$1),1),"ABCDEFGHIJKLMNOPQRSTUVWXYZabcdefghijklmnopqrstuvwxyz .,")))&gt;0),"Middle Initial must be a plain A-Z letter; ","")&amp;IF($F284="","Address is required; ","")&amp;IF(LEN($F284&amp;"")&gt;75,"Address exceeds 75 characters; ","")&amp;IF(LEN($G284&amp;"")&gt;75,"Address 2 exceeds 75 characters; ","")&amp;IF($H284="","City is required; ","")&amp;IF(LEN($H284&amp;"")&gt;30,"City exceeds 30 characters; ","")&amp;IF($K284="","Country is required; ","")&amp;IF(AND($K284&lt;&gt;"",$K284&lt;&gt;"US",$K284&lt;&gt;"CA"),"Country must be US or CA; ","")&amp;IF(AND($K284="US",OR($I284="",LEN($I284&amp;"")&lt;&gt;2)),"Use a 2-letter state code; ","")&amp;IF($J284="","ZIP or postal code is required; ","")&amp;IF(AND($K284="US",$J284&lt;&gt;"",NOT(IFERROR(OR(AND(LEN($J284&amp;"")=5,ISNUMBER(--($J284&amp;""))),AND(LEN($J284&amp;"")=9,ISNUMBER(--($J284&amp;""))),AND(LEN($J284&amp;"")=10,MID($J284&amp;"",6,1)="-",ISNUMBER(--SUBSTITUTE($J284&amp;"","-","")))),FALSE))),"US ZIP must be 5 or 9 digits, with an optional ZIP+4 hyphen; ","")&amp;IF(AND($N284&lt;&gt;"",NOT(IFERROR(AND(ISNUMBER(SEARCH("@",$N284)),ISNUMBER(SEARCH(".",$N284,SEARCH("@",$N284)+2))),FALSE))),"Email format appears invalid; ","")&amp;IF(AND($O284&lt;&gt;"",$B284=""),"Dependent SSN is required for every dependent; ","")&amp;IF(AND($B284&lt;&gt;"",$O284=""),"Dependent Relationship is required when Dependent SSN is entered; ","")&amp;IF(AND($O284&lt;&gt;"",$O284&lt;&gt;"Spouse or Common Law Spouse",$O284&lt;&gt;"Domestic Partner",$O284&lt;&gt;"Child",$O284&lt;&gt;"Other",$O284&lt;&gt;"Estate",$O284&lt;&gt;"Unknown"),"Dependent Relationship must use one of the approved options; ",""))</f>
        <v/>
      </c>
      <c r="Z284">
        <f>IF(COUNTA($A284:$U284)=0,"",IF(AND($A284&lt;&gt;"",NOT(IFERROR(AND(LEN($A284&amp;"")=9,ISNUMBER(--($A284&amp;""))),FALSE))),"Employee SSN must contain exactly 9 digits; ","")&amp;IF(AND($A284&lt;&gt;"",OR($A284="123456789",$A284="987654321",$A284="012345678",$A284=REPT(LEFT($A284&amp;"",1),9))),"Employee SSN appears to be a placeholder; ","")&amp;IF(AND($B284&lt;&gt;"",NOT(IFERROR(AND(LEN($B284&amp;"")=9,ISNUMBER(--($B284&amp;""))),FALSE))),"Dependent SSN must contain exactly 9 digits; ","")&amp;IF(AND($B284&lt;&gt;"",OR($B284="123456789",$B284="987654321",$B284="012345678",$B284=REPT(LEFT($B284&amp;"",1),9))),"Dependent SSN appears to be a placeholder; ","")&amp;IF(AND($A284&lt;&gt;"",$B284&lt;&gt;"",$A284&amp;""=$B284&amp;""),"Dependent SSN cannot match Employee SSN; ","")&amp;IF(AND($W284&lt;&gt;"",OR(COUNTIFS($W$2:$W$501,$W284,$C$2:$C$501,"&lt;&gt;"&amp;$C284)&gt;0,COUNTIFS($W$2:$W$501,$W284,$D$2:$D$501,"&lt;&gt;"&amp;$D284)&gt;0,COUNTIFS($W$2:$W$501,$W284,$L$2:$L$501,"&lt;&gt;"&amp;$L284)&gt;0)),"The same SSN is associated with a different name or birthdate; ",""))</f>
        <v/>
      </c>
      <c r="AA284">
        <f>IF(COUNTA($A284:$U284)=0,"",IF(AND($A284&lt;&gt;"",$S284&lt;&gt;"",COUNTIFS($A$2:$A$501,$A284,$S$2:$S$501,$S284,$B$2:$B$501,"",$O$2:$O$501,"")=0),"Add an employee row for this household and plan; ","")&amp;IF(AND($X284="Dependent",COUNTIFS($A$2:$A284,$A284,$S$2:$S284,$S284,$B$2:$B284,"",$O$2:$O284,"")=0),"Place the employee row before dependent rows for this plan; ","")&amp;IF(AND($X284="Dependent",COUNTIFS($A$2:$A$501,$A284,$S$2:$S$501,$S284,$B$2:$B$501,"",$O$2:$O$501,"")&gt;0,IFERROR(OR($P284&lt;&gt;LOOKUP(2,1/(($A$2:$A$501=$A284)*($S$2:$S$501=$S284)*($B$2:$B$501="")*($O$2:$O$501="")),$P$2:$P$501),$Q284&lt;&gt;LOOKUP(2,1/(($A$2:$A$501=$A284)*($S$2:$S$501=$S284)*($B$2:$B$501="")*($O$2:$O$501="")),$Q$2:$Q$501),$R284&lt;&gt;LOOKUP(2,1/(($A$2:$A$501=$A284)*($S$2:$S$501=$S284)*($B$2:$B$501="")*($O$2:$O$501="")),$R$2:$R$501),$T284&lt;&gt;LOOKUP(2,1/(($A$2:$A$501=$A284)*($S$2:$S$501=$S284)*($B$2:$B$501="")*($O$2:$O$501="")),$T$2:$T$501),$U284&lt;&gt;LOOKUP(2,1/(($A$2:$A$501=$A284)*($S$2:$S$501=$S284)*($B$2:$B$501="")*($O$2:$O$501="")),$U$2:$U$501)),FALSE)),"Dependent row does not match the employee row for eligibility, status, coverage level, or funding; ",""))</f>
        <v/>
      </c>
      <c r="AB284">
        <f>IF(COUNTA($A284:$U284)=0,"",IF($L284="","Birthdate is required; ","")&amp;IF(AND($L284&lt;&gt;"",OR(NOT(ISNUMBER($L284)),$L284&lt;=DATE(1900,1,1),$L284&gt;TODAY())),"Birthdate must be an exact valid past date; ","")&amp;IF($P284="","Eligibility Date is required; ","")&amp;IF(AND($P284&lt;&gt;"",OR(NOT(ISNUMBER($P284)),$P284&lt;=DATE(1900,1,1))),"Eligibility Date must be a valid date; ","")&amp;IF(AND($R284="Terminated",$Q284=""),"Termination Date is required when Status is Terminated; ","")&amp;IF(AND($Q284&lt;&gt;"",OR(NOT(ISNUMBER($Q284)),$Q284&lt;=DATE(1900,1,1))),"Termination Date must be a valid date; ","")&amp;IF(AND(ISNUMBER($P284),ISNUMBER($Q284),$Q284&lt;$P284),"Termination Date cannot be before Eligibility Date; ","")&amp;IF($R284="","Status is required; ","")&amp;IF(AND($R284&lt;&gt;"",$R284&lt;&gt;"Active",$R284&lt;&gt;"Terminated"),"Status must be Active or Terminated; ","")&amp;IF(AND('START HERE'!$C$8="Terminations Only",$R284&lt;&gt;"Terminated"),"Terminations Only files must contain terminated records; ",""))</f>
        <v/>
      </c>
      <c r="AC284">
        <f>IF(COUNTA($A284:$U284)=0,"",IF($S284="","Plan Name is required; ","")&amp;IF($T284="","Benefit Coverage Level is required; ","")&amp;IF(AND($U284&lt;&gt;"",OR(NOT(ISNUMBER($U284)),$U284&lt;0)),"Plan Funding Amount must be a nonnegative number; ","")&amp;IF(AND($A284&lt;&gt;"",$S284&lt;&gt;"",COUNTIFS($A$2:$A$501,$A284,$B$2:$B$501,$B284,$S$2:$S$501,$S284)&gt;1),"Duplicate participant and plan row; ",""))</f>
        <v/>
      </c>
      <c r="AD284">
        <f>IF(COUNTA($A284:$U284)=0,"",IF(AND($X284="Employee",$M284="",$N284=""),"No employee phone or email provided; ","")&amp;IF(AND($R284="Active",$Q284&lt;&gt;""),"Active record includes a Termination Date; confirm this is intentional; ","")&amp;IF(AND($B284&lt;&gt;"",$B284&amp;""&lt;&gt;$A284&amp;"",COUNTIF($A$2:$A$501,$B284)&gt;0),"Dependent SSN also appears as an Employee SSN elsewhere; confirm dual-employee coverage is intentional; ","")&amp;IF(AND($B284&lt;&gt;"",COUNTIF($B$2:$B$501,$B284)&gt;COUNTIFS($A$2:$A$501,$A284,$B$2:$B$501,$B284)),"Dependent SSN appears under more than one employee; confirm duplicate family coverage is intentional; ","")&amp;IF(AND(ROW()&gt;2,$A284&lt;&gt;"",$A284&lt;&gt;$A283,COUNTIF($A$2:$A283,$A284)&gt;0),"This household appears in more than one section of the census; keep the family together; ","")&amp;IF(OR(AND($C284&lt;&gt;"",LEN($C284&amp;"")&lt;&gt;LEN(TRIM($C284&amp;""))),AND($D284&lt;&gt;"",LEN($D284&amp;"")&lt;&gt;LEN(TRIM($D284&amp;""))),AND($E284&lt;&gt;"",LEN($E284&amp;"")&lt;&gt;LEN(TRIM($E284&amp;""))),AND($F284&lt;&gt;"",LEN($F284&amp;"")&lt;&gt;LEN(TRIM($F284&amp;""))),AND($G284&lt;&gt;"",LEN($G284&amp;"")&lt;&gt;LEN(TRIM($G284&amp;""))),AND($H284&lt;&gt;"",LEN($H284&amp;"")&lt;&gt;LEN(TRIM($H284&amp;""))),AND($I284&lt;&gt;"",LEN($I284&amp;"")&lt;&gt;LEN(TRIM($I284&amp;""))),AND($J284&lt;&gt;"",LEN($J284&amp;"")&lt;&gt;LEN(TRIM($J284&amp;""))),AND($K284&lt;&gt;"",LEN($K284&amp;"")&lt;&gt;LEN(TRIM($K284&amp;""))),AND($M284&lt;&gt;"",LEN($M284&amp;"")&lt;&gt;LEN(TRIM($M284&amp;""))),AND($N284&lt;&gt;"",LEN($N284&amp;"")&lt;&gt;LEN(TRIM($N284&amp;""))),AND($O284&lt;&gt;"",LEN($O284&amp;"")&lt;&gt;LEN(TRIM($O284&amp;""))),AND($R284&lt;&gt;"",LEN($R284&amp;"")&lt;&gt;LEN(TRIM($R284&amp;""))),AND($S284&lt;&gt;"",LEN($S284&amp;"")&lt;&gt;LEN(TRIM($S284&amp;""))),AND($T284&lt;&gt;"",LEN($T284&amp;"")&lt;&gt;LEN(TRIM($T284&amp;"")))),"Remove leading or trailing spaces from text fields; ","")&amp;IF(OR(AND(LEN($C284)&gt;1,OR(EXACT($C284,UPPER($C284)),EXACT($C284,LOWER($C284)))),AND(LEN($D284)&gt;1,OR(EXACT($D284,UPPER($D284)),EXACT($D284,LOWER($D284)))),AND(LEN($H284)&gt;1,OR(EXACT($H284,UPPER($H284)),EXACT($H284,LOWER($H284))))),"Review capitalization in First Name, Last Name, or City; ","")&amp;IF(AND($N284&lt;&gt;"",NOT(EXACT($N284,LOWER($N284)))),"Email will be standardized to lowercase in the clean output; ","")&amp;IF(AND(OR('START HERE'!$C$8="Initial Enrollment",'START HERE'!$C$8="Open Enrollment"),$R284="Terminated"),"A terminated row is included in an initial or open enrollment file; confirm this is intentional; ",""))</f>
        <v/>
      </c>
      <c r="AE284">
        <f>IF(COUNTA($A284:$U284)=0,"",IF(OR($A284="",AND($A284&lt;&gt;"",NOT(IFERROR(AND(LEN($A284&amp;"")=9,ISNUMBER(--($A284&amp;""))),FALSE))),AND($A284&lt;&gt;"",OR($A284="123456789",$A284="987654321",$A284="012345678",$A284=REPT(LEFT($A284&amp;"",1),9)))),"Employee SSN, ","")&amp;IF(OR(AND($O284&lt;&gt;"",$B284=""),AND($B284&lt;&gt;"",OR(NOT(IFERROR(AND(LEN($B284&amp;"")=9,ISNUMBER(--($B284&amp;""))),FALSE)),$B284=$A284,$B284="123456789",$B284="987654321",$B284="012345678",$B284=REPT(LEFT($B284&amp;"",1),9)))),"Dependent SSN, ","")&amp;IF(OR($C284="",LEN($C284)&gt;19,AND($C284&lt;&gt;"",SUMPRODUCT(--(ROW($1:$19)&lt;=LEN($C284&amp;"")),--ISERROR(FIND(MID($C284&amp;"",ROW($1:$19),1),"ABCDEFGHIJKLMNOPQRSTUVWXYZabcdefghijklmnopqrstuvwxyz .,")))&gt;0)),"First Name, ","")&amp;IF(OR($D284="",LEN($D284)&gt;26,AND($D284&lt;&gt;"",SUMPRODUCT(--(ROW($1:$26)&lt;=LEN($D284&amp;"")),--ISERROR(FIND(MID($D284&amp;"",ROW($1:$26),1),"ABCDEFGHIJKLMNOPQRSTUVWXYZabcdefghijklmnopqrstuvwxyz .,")))&gt;0)),"Last Name, ","")&amp;IF(OR(LEN($E284)&gt;1,AND($E284&lt;&gt;"",SUMPRODUCT(--(ROW($1:$1)&lt;=LEN($E284&amp;"")),--ISERROR(FIND(MID($E284&amp;"",ROW($1:$1),1),"ABCDEFGHIJKLMNOPQRSTUVWXYZabcdefghijklmnopqrstuvwxyz .,")))&gt;0)),"Middle Initial, ","")&amp;IF(OR($F284="",LEN($F284)&gt;75),"Address, ","")&amp;IF(OR($H284="",LEN($H284)&gt;30),"City, ","")&amp;IF(AND($K284="US",OR($I284="",LEN($I284)&lt;&gt;2)),"State, ","")&amp;IF($J284="","ZIP, ","")&amp;IF(OR($K284="",AND($K284&lt;&gt;"US",$K284&lt;&gt;"CA")),"Country, ","")&amp;IF(OR($L284="",AND($L284&lt;&gt;"",OR(NOT(ISNUMBER($L284)),$L284&lt;=DATE(1900,1,1),$L284&gt;TODAY()))),"Birthdate, ","")&amp;IF(AND($N284&lt;&gt;"",NOT(IFERROR(AND(ISNUMBER(SEARCH("@",$N284)),ISNUMBER(SEARCH(".",$N284,SEARCH("@",$N284)+2))),FALSE))),"Email, ","")&amp;IF(OR(AND($B284&lt;&gt;"",$O284=""),AND($O284&lt;&gt;"",$O284&lt;&gt;"Spouse or Common Law Spouse",$O284&lt;&gt;"Domestic Partner",$O284&lt;&gt;"Child",$O284&lt;&gt;"Other",$O284&lt;&gt;"Estate",$O284&lt;&gt;"Unknown")),"Dependent Relationship, ","")&amp;IF($AA284&lt;&gt;"","Household, ","")&amp;IF(OR($P284="",AND($P284&lt;&gt;"",OR(NOT(ISNUMBER($P284)),$P284&lt;=DATE(1900,1,1)))),"Eligibility Date, ","")&amp;IF(OR(AND($R284="Terminated",$Q284=""),AND($Q284&lt;&gt;"",OR(NOT(ISNUMBER($Q284)),$Q284&lt;=DATE(1900,1,1))),AND(ISNUMBER($P284),ISNUMBER($Q284),$Q284&lt;$P284)),"Termination Date, ","")&amp;IF(OR($R284="",AND($R284&lt;&gt;"Active",$R284&lt;&gt;"Terminated"),AND('START HERE'!$C$8="Terminations Only",$R284&lt;&gt;"Terminated")),"Status, ","")&amp;IF($S284="","Plan Name, ","")&amp;IF($T284="","Coverage Level, ","")&amp;IF(AND($U284&lt;&gt;"",OR(NOT(ISNUMBER($U284)),$U284&lt;0)),"Funding, ","")&amp;IF(AND($A284&lt;&gt;"",$S284&lt;&gt;"",COUNTIFS($A$2:$A$501,$A284,$B$2:$B$501,$B284,$S$2:$S$501,$S284)&gt;1),"Duplicate Row, ",""))</f>
        <v/>
      </c>
      <c r="AF284">
        <f>IF(COUNTA($A284:$U284)=0,"",$Y284&amp;$Z284&amp;$AA284&amp;$AB284&amp;$AC284)</f>
        <v/>
      </c>
      <c r="AG284">
        <f>IF($N284="","",LOWER(TRIM($N284)))</f>
        <v/>
      </c>
      <c r="AH284">
        <f>IF($A284="","",COUNTIFS($A$2:$A$501,$A284,$AI$2:$AI$501,1))</f>
        <v/>
      </c>
      <c r="AI284">
        <f>IF(COUNTA($A284:$U284)=0,"",--($AF284&lt;&gt;""))</f>
        <v/>
      </c>
      <c r="AJ284">
        <f>IF(COUNTA($A284:$U284)=0,"",--($AD284&lt;&gt;""))</f>
        <v/>
      </c>
    </row>
    <row r="285" ht="20" customHeight="1">
      <c r="A285" s="80" t="n"/>
      <c r="B285" s="80" t="n"/>
      <c r="C285" s="81" t="n"/>
      <c r="D285" s="81" t="n"/>
      <c r="E285" s="80" t="n"/>
      <c r="F285" s="81" t="n"/>
      <c r="G285" s="81" t="n"/>
      <c r="H285" s="81" t="n"/>
      <c r="I285" s="80" t="n"/>
      <c r="J285" s="80" t="n"/>
      <c r="K285" s="80" t="n"/>
      <c r="L285" s="82" t="n"/>
      <c r="M285" s="80" t="n"/>
      <c r="N285" s="80" t="n"/>
      <c r="O285" s="80" t="n"/>
      <c r="P285" s="82" t="n"/>
      <c r="Q285" s="82" t="n"/>
      <c r="R285" s="80" t="n"/>
      <c r="S285" s="80" t="n"/>
      <c r="T285" s="80" t="n"/>
      <c r="U285" s="83" t="n"/>
      <c r="V285">
        <f>IF($A285="","",IF($A285=$A284,$V284,IF($V284="",0,1-$V284)))</f>
        <v/>
      </c>
      <c r="W285">
        <f>IF($B285&lt;&gt;"",$B285,$A285)</f>
        <v/>
      </c>
      <c r="X285">
        <f>IF(COUNTA($A285:$U285)=0,"",IF(OR($B285&lt;&gt;"",$O285&lt;&gt;""),"Dependent","Employee"))</f>
        <v/>
      </c>
      <c r="Y285">
        <f>IF(COUNTA($A285:$U285)=0,"",IF($A285="","Employee SSN is required; ","")&amp;IF($C285="","First Name is required; ","")&amp;IF(LEN($C285&amp;"")&gt;19,"First Name exceeds 19 characters; ","")&amp;IF(AND($C285&lt;&gt;"",SUMPRODUCT(--(ROW($1:$19)&lt;=LEN($C285&amp;"")),--ISERROR(FIND(MID($C285&amp;"",ROW($1:$19),1),"ABCDEFGHIJKLMNOPQRSTUVWXYZabcdefghijklmnopqrstuvwxyz .,")))&gt;0),"First Name contains unsupported or encoded characters; use plain A-Z letters only; ","")&amp;IF($D285="","Last Name is required; ","")&amp;IF(LEN($D285&amp;"")&gt;26,"Last Name exceeds 26 characters; ","")&amp;IF(AND($D285&lt;&gt;"",SUMPRODUCT(--(ROW($1:$26)&lt;=LEN($D285&amp;"")),--ISERROR(FIND(MID($D285&amp;"",ROW($1:$26),1),"ABCDEFGHIJKLMNOPQRSTUVWXYZabcdefghijklmnopqrstuvwxyz .,")))&gt;0),"Last Name contains unsupported or encoded characters; use plain A-Z letters only; ","")&amp;IF(LEN($E285&amp;"")&gt;1,"Middle Initial may contain only one character; ","")&amp;IF(AND($E285&lt;&gt;"",SUMPRODUCT(--(ROW($1:$1)&lt;=LEN($E285&amp;"")),--ISERROR(FIND(MID($E285&amp;"",ROW($1:$1),1),"ABCDEFGHIJKLMNOPQRSTUVWXYZabcdefghijklmnopqrstuvwxyz .,")))&gt;0),"Middle Initial must be a plain A-Z letter; ","")&amp;IF($F285="","Address is required; ","")&amp;IF(LEN($F285&amp;"")&gt;75,"Address exceeds 75 characters; ","")&amp;IF(LEN($G285&amp;"")&gt;75,"Address 2 exceeds 75 characters; ","")&amp;IF($H285="","City is required; ","")&amp;IF(LEN($H285&amp;"")&gt;30,"City exceeds 30 characters; ","")&amp;IF($K285="","Country is required; ","")&amp;IF(AND($K285&lt;&gt;"",$K285&lt;&gt;"US",$K285&lt;&gt;"CA"),"Country must be US or CA; ","")&amp;IF(AND($K285="US",OR($I285="",LEN($I285&amp;"")&lt;&gt;2)),"Use a 2-letter state code; ","")&amp;IF($J285="","ZIP or postal code is required; ","")&amp;IF(AND($K285="US",$J285&lt;&gt;"",NOT(IFERROR(OR(AND(LEN($J285&amp;"")=5,ISNUMBER(--($J285&amp;""))),AND(LEN($J285&amp;"")=9,ISNUMBER(--($J285&amp;""))),AND(LEN($J285&amp;"")=10,MID($J285&amp;"",6,1)="-",ISNUMBER(--SUBSTITUTE($J285&amp;"","-","")))),FALSE))),"US ZIP must be 5 or 9 digits, with an optional ZIP+4 hyphen; ","")&amp;IF(AND($N285&lt;&gt;"",NOT(IFERROR(AND(ISNUMBER(SEARCH("@",$N285)),ISNUMBER(SEARCH(".",$N285,SEARCH("@",$N285)+2))),FALSE))),"Email format appears invalid; ","")&amp;IF(AND($O285&lt;&gt;"",$B285=""),"Dependent SSN is required for every dependent; ","")&amp;IF(AND($B285&lt;&gt;"",$O285=""),"Dependent Relationship is required when Dependent SSN is entered; ","")&amp;IF(AND($O285&lt;&gt;"",$O285&lt;&gt;"Spouse or Common Law Spouse",$O285&lt;&gt;"Domestic Partner",$O285&lt;&gt;"Child",$O285&lt;&gt;"Other",$O285&lt;&gt;"Estate",$O285&lt;&gt;"Unknown"),"Dependent Relationship must use one of the approved options; ",""))</f>
        <v/>
      </c>
      <c r="Z285">
        <f>IF(COUNTA($A285:$U285)=0,"",IF(AND($A285&lt;&gt;"",NOT(IFERROR(AND(LEN($A285&amp;"")=9,ISNUMBER(--($A285&amp;""))),FALSE))),"Employee SSN must contain exactly 9 digits; ","")&amp;IF(AND($A285&lt;&gt;"",OR($A285="123456789",$A285="987654321",$A285="012345678",$A285=REPT(LEFT($A285&amp;"",1),9))),"Employee SSN appears to be a placeholder; ","")&amp;IF(AND($B285&lt;&gt;"",NOT(IFERROR(AND(LEN($B285&amp;"")=9,ISNUMBER(--($B285&amp;""))),FALSE))),"Dependent SSN must contain exactly 9 digits; ","")&amp;IF(AND($B285&lt;&gt;"",OR($B285="123456789",$B285="987654321",$B285="012345678",$B285=REPT(LEFT($B285&amp;"",1),9))),"Dependent SSN appears to be a placeholder; ","")&amp;IF(AND($A285&lt;&gt;"",$B285&lt;&gt;"",$A285&amp;""=$B285&amp;""),"Dependent SSN cannot match Employee SSN; ","")&amp;IF(AND($W285&lt;&gt;"",OR(COUNTIFS($W$2:$W$501,$W285,$C$2:$C$501,"&lt;&gt;"&amp;$C285)&gt;0,COUNTIFS($W$2:$W$501,$W285,$D$2:$D$501,"&lt;&gt;"&amp;$D285)&gt;0,COUNTIFS($W$2:$W$501,$W285,$L$2:$L$501,"&lt;&gt;"&amp;$L285)&gt;0)),"The same SSN is associated with a different name or birthdate; ",""))</f>
        <v/>
      </c>
      <c r="AA285">
        <f>IF(COUNTA($A285:$U285)=0,"",IF(AND($A285&lt;&gt;"",$S285&lt;&gt;"",COUNTIFS($A$2:$A$501,$A285,$S$2:$S$501,$S285,$B$2:$B$501,"",$O$2:$O$501,"")=0),"Add an employee row for this household and plan; ","")&amp;IF(AND($X285="Dependent",COUNTIFS($A$2:$A285,$A285,$S$2:$S285,$S285,$B$2:$B285,"",$O$2:$O285,"")=0),"Place the employee row before dependent rows for this plan; ","")&amp;IF(AND($X285="Dependent",COUNTIFS($A$2:$A$501,$A285,$S$2:$S$501,$S285,$B$2:$B$501,"",$O$2:$O$501,"")&gt;0,IFERROR(OR($P285&lt;&gt;LOOKUP(2,1/(($A$2:$A$501=$A285)*($S$2:$S$501=$S285)*($B$2:$B$501="")*($O$2:$O$501="")),$P$2:$P$501),$Q285&lt;&gt;LOOKUP(2,1/(($A$2:$A$501=$A285)*($S$2:$S$501=$S285)*($B$2:$B$501="")*($O$2:$O$501="")),$Q$2:$Q$501),$R285&lt;&gt;LOOKUP(2,1/(($A$2:$A$501=$A285)*($S$2:$S$501=$S285)*($B$2:$B$501="")*($O$2:$O$501="")),$R$2:$R$501),$T285&lt;&gt;LOOKUP(2,1/(($A$2:$A$501=$A285)*($S$2:$S$501=$S285)*($B$2:$B$501="")*($O$2:$O$501="")),$T$2:$T$501),$U285&lt;&gt;LOOKUP(2,1/(($A$2:$A$501=$A285)*($S$2:$S$501=$S285)*($B$2:$B$501="")*($O$2:$O$501="")),$U$2:$U$501)),FALSE)),"Dependent row does not match the employee row for eligibility, status, coverage level, or funding; ",""))</f>
        <v/>
      </c>
      <c r="AB285">
        <f>IF(COUNTA($A285:$U285)=0,"",IF($L285="","Birthdate is required; ","")&amp;IF(AND($L285&lt;&gt;"",OR(NOT(ISNUMBER($L285)),$L285&lt;=DATE(1900,1,1),$L285&gt;TODAY())),"Birthdate must be an exact valid past date; ","")&amp;IF($P285="","Eligibility Date is required; ","")&amp;IF(AND($P285&lt;&gt;"",OR(NOT(ISNUMBER($P285)),$P285&lt;=DATE(1900,1,1))),"Eligibility Date must be a valid date; ","")&amp;IF(AND($R285="Terminated",$Q285=""),"Termination Date is required when Status is Terminated; ","")&amp;IF(AND($Q285&lt;&gt;"",OR(NOT(ISNUMBER($Q285)),$Q285&lt;=DATE(1900,1,1))),"Termination Date must be a valid date; ","")&amp;IF(AND(ISNUMBER($P285),ISNUMBER($Q285),$Q285&lt;$P285),"Termination Date cannot be before Eligibility Date; ","")&amp;IF($R285="","Status is required; ","")&amp;IF(AND($R285&lt;&gt;"",$R285&lt;&gt;"Active",$R285&lt;&gt;"Terminated"),"Status must be Active or Terminated; ","")&amp;IF(AND('START HERE'!$C$8="Terminations Only",$R285&lt;&gt;"Terminated"),"Terminations Only files must contain terminated records; ",""))</f>
        <v/>
      </c>
      <c r="AC285">
        <f>IF(COUNTA($A285:$U285)=0,"",IF($S285="","Plan Name is required; ","")&amp;IF($T285="","Benefit Coverage Level is required; ","")&amp;IF(AND($U285&lt;&gt;"",OR(NOT(ISNUMBER($U285)),$U285&lt;0)),"Plan Funding Amount must be a nonnegative number; ","")&amp;IF(AND($A285&lt;&gt;"",$S285&lt;&gt;"",COUNTIFS($A$2:$A$501,$A285,$B$2:$B$501,$B285,$S$2:$S$501,$S285)&gt;1),"Duplicate participant and plan row; ",""))</f>
        <v/>
      </c>
      <c r="AD285">
        <f>IF(COUNTA($A285:$U285)=0,"",IF(AND($X285="Employee",$M285="",$N285=""),"No employee phone or email provided; ","")&amp;IF(AND($R285="Active",$Q285&lt;&gt;""),"Active record includes a Termination Date; confirm this is intentional; ","")&amp;IF(AND($B285&lt;&gt;"",$B285&amp;""&lt;&gt;$A285&amp;"",COUNTIF($A$2:$A$501,$B285)&gt;0),"Dependent SSN also appears as an Employee SSN elsewhere; confirm dual-employee coverage is intentional; ","")&amp;IF(AND($B285&lt;&gt;"",COUNTIF($B$2:$B$501,$B285)&gt;COUNTIFS($A$2:$A$501,$A285,$B$2:$B$501,$B285)),"Dependent SSN appears under more than one employee; confirm duplicate family coverage is intentional; ","")&amp;IF(AND(ROW()&gt;2,$A285&lt;&gt;"",$A285&lt;&gt;$A284,COUNTIF($A$2:$A284,$A285)&gt;0),"This household appears in more than one section of the census; keep the family together; ","")&amp;IF(OR(AND($C285&lt;&gt;"",LEN($C285&amp;"")&lt;&gt;LEN(TRIM($C285&amp;""))),AND($D285&lt;&gt;"",LEN($D285&amp;"")&lt;&gt;LEN(TRIM($D285&amp;""))),AND($E285&lt;&gt;"",LEN($E285&amp;"")&lt;&gt;LEN(TRIM($E285&amp;""))),AND($F285&lt;&gt;"",LEN($F285&amp;"")&lt;&gt;LEN(TRIM($F285&amp;""))),AND($G285&lt;&gt;"",LEN($G285&amp;"")&lt;&gt;LEN(TRIM($G285&amp;""))),AND($H285&lt;&gt;"",LEN($H285&amp;"")&lt;&gt;LEN(TRIM($H285&amp;""))),AND($I285&lt;&gt;"",LEN($I285&amp;"")&lt;&gt;LEN(TRIM($I285&amp;""))),AND($J285&lt;&gt;"",LEN($J285&amp;"")&lt;&gt;LEN(TRIM($J285&amp;""))),AND($K285&lt;&gt;"",LEN($K285&amp;"")&lt;&gt;LEN(TRIM($K285&amp;""))),AND($M285&lt;&gt;"",LEN($M285&amp;"")&lt;&gt;LEN(TRIM($M285&amp;""))),AND($N285&lt;&gt;"",LEN($N285&amp;"")&lt;&gt;LEN(TRIM($N285&amp;""))),AND($O285&lt;&gt;"",LEN($O285&amp;"")&lt;&gt;LEN(TRIM($O285&amp;""))),AND($R285&lt;&gt;"",LEN($R285&amp;"")&lt;&gt;LEN(TRIM($R285&amp;""))),AND($S285&lt;&gt;"",LEN($S285&amp;"")&lt;&gt;LEN(TRIM($S285&amp;""))),AND($T285&lt;&gt;"",LEN($T285&amp;"")&lt;&gt;LEN(TRIM($T285&amp;"")))),"Remove leading or trailing spaces from text fields; ","")&amp;IF(OR(AND(LEN($C285)&gt;1,OR(EXACT($C285,UPPER($C285)),EXACT($C285,LOWER($C285)))),AND(LEN($D285)&gt;1,OR(EXACT($D285,UPPER($D285)),EXACT($D285,LOWER($D285)))),AND(LEN($H285)&gt;1,OR(EXACT($H285,UPPER($H285)),EXACT($H285,LOWER($H285))))),"Review capitalization in First Name, Last Name, or City; ","")&amp;IF(AND($N285&lt;&gt;"",NOT(EXACT($N285,LOWER($N285)))),"Email will be standardized to lowercase in the clean output; ","")&amp;IF(AND(OR('START HERE'!$C$8="Initial Enrollment",'START HERE'!$C$8="Open Enrollment"),$R285="Terminated"),"A terminated row is included in an initial or open enrollment file; confirm this is intentional; ",""))</f>
        <v/>
      </c>
      <c r="AE285">
        <f>IF(COUNTA($A285:$U285)=0,"",IF(OR($A285="",AND($A285&lt;&gt;"",NOT(IFERROR(AND(LEN($A285&amp;"")=9,ISNUMBER(--($A285&amp;""))),FALSE))),AND($A285&lt;&gt;"",OR($A285="123456789",$A285="987654321",$A285="012345678",$A285=REPT(LEFT($A285&amp;"",1),9)))),"Employee SSN, ","")&amp;IF(OR(AND($O285&lt;&gt;"",$B285=""),AND($B285&lt;&gt;"",OR(NOT(IFERROR(AND(LEN($B285&amp;"")=9,ISNUMBER(--($B285&amp;""))),FALSE)),$B285=$A285,$B285="123456789",$B285="987654321",$B285="012345678",$B285=REPT(LEFT($B285&amp;"",1),9)))),"Dependent SSN, ","")&amp;IF(OR($C285="",LEN($C285)&gt;19,AND($C285&lt;&gt;"",SUMPRODUCT(--(ROW($1:$19)&lt;=LEN($C285&amp;"")),--ISERROR(FIND(MID($C285&amp;"",ROW($1:$19),1),"ABCDEFGHIJKLMNOPQRSTUVWXYZabcdefghijklmnopqrstuvwxyz .,")))&gt;0)),"First Name, ","")&amp;IF(OR($D285="",LEN($D285)&gt;26,AND($D285&lt;&gt;"",SUMPRODUCT(--(ROW($1:$26)&lt;=LEN($D285&amp;"")),--ISERROR(FIND(MID($D285&amp;"",ROW($1:$26),1),"ABCDEFGHIJKLMNOPQRSTUVWXYZabcdefghijklmnopqrstuvwxyz .,")))&gt;0)),"Last Name, ","")&amp;IF(OR(LEN($E285)&gt;1,AND($E285&lt;&gt;"",SUMPRODUCT(--(ROW($1:$1)&lt;=LEN($E285&amp;"")),--ISERROR(FIND(MID($E285&amp;"",ROW($1:$1),1),"ABCDEFGHIJKLMNOPQRSTUVWXYZabcdefghijklmnopqrstuvwxyz .,")))&gt;0)),"Middle Initial, ","")&amp;IF(OR($F285="",LEN($F285)&gt;75),"Address, ","")&amp;IF(OR($H285="",LEN($H285)&gt;30),"City, ","")&amp;IF(AND($K285="US",OR($I285="",LEN($I285)&lt;&gt;2)),"State, ","")&amp;IF($J285="","ZIP, ","")&amp;IF(OR($K285="",AND($K285&lt;&gt;"US",$K285&lt;&gt;"CA")),"Country, ","")&amp;IF(OR($L285="",AND($L285&lt;&gt;"",OR(NOT(ISNUMBER($L285)),$L285&lt;=DATE(1900,1,1),$L285&gt;TODAY()))),"Birthdate, ","")&amp;IF(AND($N285&lt;&gt;"",NOT(IFERROR(AND(ISNUMBER(SEARCH("@",$N285)),ISNUMBER(SEARCH(".",$N285,SEARCH("@",$N285)+2))),FALSE))),"Email, ","")&amp;IF(OR(AND($B285&lt;&gt;"",$O285=""),AND($O285&lt;&gt;"",$O285&lt;&gt;"Spouse or Common Law Spouse",$O285&lt;&gt;"Domestic Partner",$O285&lt;&gt;"Child",$O285&lt;&gt;"Other",$O285&lt;&gt;"Estate",$O285&lt;&gt;"Unknown")),"Dependent Relationship, ","")&amp;IF($AA285&lt;&gt;"","Household, ","")&amp;IF(OR($P285="",AND($P285&lt;&gt;"",OR(NOT(ISNUMBER($P285)),$P285&lt;=DATE(1900,1,1)))),"Eligibility Date, ","")&amp;IF(OR(AND($R285="Terminated",$Q285=""),AND($Q285&lt;&gt;"",OR(NOT(ISNUMBER($Q285)),$Q285&lt;=DATE(1900,1,1))),AND(ISNUMBER($P285),ISNUMBER($Q285),$Q285&lt;$P285)),"Termination Date, ","")&amp;IF(OR($R285="",AND($R285&lt;&gt;"Active",$R285&lt;&gt;"Terminated"),AND('START HERE'!$C$8="Terminations Only",$R285&lt;&gt;"Terminated")),"Status, ","")&amp;IF($S285="","Plan Name, ","")&amp;IF($T285="","Coverage Level, ","")&amp;IF(AND($U285&lt;&gt;"",OR(NOT(ISNUMBER($U285)),$U285&lt;0)),"Funding, ","")&amp;IF(AND($A285&lt;&gt;"",$S285&lt;&gt;"",COUNTIFS($A$2:$A$501,$A285,$B$2:$B$501,$B285,$S$2:$S$501,$S285)&gt;1),"Duplicate Row, ",""))</f>
        <v/>
      </c>
      <c r="AF285">
        <f>IF(COUNTA($A285:$U285)=0,"",$Y285&amp;$Z285&amp;$AA285&amp;$AB285&amp;$AC285)</f>
        <v/>
      </c>
      <c r="AG285">
        <f>IF($N285="","",LOWER(TRIM($N285)))</f>
        <v/>
      </c>
      <c r="AH285">
        <f>IF($A285="","",COUNTIFS($A$2:$A$501,$A285,$AI$2:$AI$501,1))</f>
        <v/>
      </c>
      <c r="AI285">
        <f>IF(COUNTA($A285:$U285)=0,"",--($AF285&lt;&gt;""))</f>
        <v/>
      </c>
      <c r="AJ285">
        <f>IF(COUNTA($A285:$U285)=0,"",--($AD285&lt;&gt;""))</f>
        <v/>
      </c>
    </row>
    <row r="286" ht="20" customHeight="1">
      <c r="A286" s="80" t="n"/>
      <c r="B286" s="80" t="n"/>
      <c r="C286" s="81" t="n"/>
      <c r="D286" s="81" t="n"/>
      <c r="E286" s="80" t="n"/>
      <c r="F286" s="81" t="n"/>
      <c r="G286" s="81" t="n"/>
      <c r="H286" s="81" t="n"/>
      <c r="I286" s="80" t="n"/>
      <c r="J286" s="80" t="n"/>
      <c r="K286" s="80" t="n"/>
      <c r="L286" s="82" t="n"/>
      <c r="M286" s="80" t="n"/>
      <c r="N286" s="80" t="n"/>
      <c r="O286" s="80" t="n"/>
      <c r="P286" s="82" t="n"/>
      <c r="Q286" s="82" t="n"/>
      <c r="R286" s="80" t="n"/>
      <c r="S286" s="80" t="n"/>
      <c r="T286" s="80" t="n"/>
      <c r="U286" s="83" t="n"/>
      <c r="V286">
        <f>IF($A286="","",IF($A286=$A285,$V285,IF($V285="",0,1-$V285)))</f>
        <v/>
      </c>
      <c r="W286">
        <f>IF($B286&lt;&gt;"",$B286,$A286)</f>
        <v/>
      </c>
      <c r="X286">
        <f>IF(COUNTA($A286:$U286)=0,"",IF(OR($B286&lt;&gt;"",$O286&lt;&gt;""),"Dependent","Employee"))</f>
        <v/>
      </c>
      <c r="Y286">
        <f>IF(COUNTA($A286:$U286)=0,"",IF($A286="","Employee SSN is required; ","")&amp;IF($C286="","First Name is required; ","")&amp;IF(LEN($C286&amp;"")&gt;19,"First Name exceeds 19 characters; ","")&amp;IF(AND($C286&lt;&gt;"",SUMPRODUCT(--(ROW($1:$19)&lt;=LEN($C286&amp;"")),--ISERROR(FIND(MID($C286&amp;"",ROW($1:$19),1),"ABCDEFGHIJKLMNOPQRSTUVWXYZabcdefghijklmnopqrstuvwxyz .,")))&gt;0),"First Name contains unsupported or encoded characters; use plain A-Z letters only; ","")&amp;IF($D286="","Last Name is required; ","")&amp;IF(LEN($D286&amp;"")&gt;26,"Last Name exceeds 26 characters; ","")&amp;IF(AND($D286&lt;&gt;"",SUMPRODUCT(--(ROW($1:$26)&lt;=LEN($D286&amp;"")),--ISERROR(FIND(MID($D286&amp;"",ROW($1:$26),1),"ABCDEFGHIJKLMNOPQRSTUVWXYZabcdefghijklmnopqrstuvwxyz .,")))&gt;0),"Last Name contains unsupported or encoded characters; use plain A-Z letters only; ","")&amp;IF(LEN($E286&amp;"")&gt;1,"Middle Initial may contain only one character; ","")&amp;IF(AND($E286&lt;&gt;"",SUMPRODUCT(--(ROW($1:$1)&lt;=LEN($E286&amp;"")),--ISERROR(FIND(MID($E286&amp;"",ROW($1:$1),1),"ABCDEFGHIJKLMNOPQRSTUVWXYZabcdefghijklmnopqrstuvwxyz .,")))&gt;0),"Middle Initial must be a plain A-Z letter; ","")&amp;IF($F286="","Address is required; ","")&amp;IF(LEN($F286&amp;"")&gt;75,"Address exceeds 75 characters; ","")&amp;IF(LEN($G286&amp;"")&gt;75,"Address 2 exceeds 75 characters; ","")&amp;IF($H286="","City is required; ","")&amp;IF(LEN($H286&amp;"")&gt;30,"City exceeds 30 characters; ","")&amp;IF($K286="","Country is required; ","")&amp;IF(AND($K286&lt;&gt;"",$K286&lt;&gt;"US",$K286&lt;&gt;"CA"),"Country must be US or CA; ","")&amp;IF(AND($K286="US",OR($I286="",LEN($I286&amp;"")&lt;&gt;2)),"Use a 2-letter state code; ","")&amp;IF($J286="","ZIP or postal code is required; ","")&amp;IF(AND($K286="US",$J286&lt;&gt;"",NOT(IFERROR(OR(AND(LEN($J286&amp;"")=5,ISNUMBER(--($J286&amp;""))),AND(LEN($J286&amp;"")=9,ISNUMBER(--($J286&amp;""))),AND(LEN($J286&amp;"")=10,MID($J286&amp;"",6,1)="-",ISNUMBER(--SUBSTITUTE($J286&amp;"","-","")))),FALSE))),"US ZIP must be 5 or 9 digits, with an optional ZIP+4 hyphen; ","")&amp;IF(AND($N286&lt;&gt;"",NOT(IFERROR(AND(ISNUMBER(SEARCH("@",$N286)),ISNUMBER(SEARCH(".",$N286,SEARCH("@",$N286)+2))),FALSE))),"Email format appears invalid; ","")&amp;IF(AND($O286&lt;&gt;"",$B286=""),"Dependent SSN is required for every dependent; ","")&amp;IF(AND($B286&lt;&gt;"",$O286=""),"Dependent Relationship is required when Dependent SSN is entered; ","")&amp;IF(AND($O286&lt;&gt;"",$O286&lt;&gt;"Spouse or Common Law Spouse",$O286&lt;&gt;"Domestic Partner",$O286&lt;&gt;"Child",$O286&lt;&gt;"Other",$O286&lt;&gt;"Estate",$O286&lt;&gt;"Unknown"),"Dependent Relationship must use one of the approved options; ",""))</f>
        <v/>
      </c>
      <c r="Z286">
        <f>IF(COUNTA($A286:$U286)=0,"",IF(AND($A286&lt;&gt;"",NOT(IFERROR(AND(LEN($A286&amp;"")=9,ISNUMBER(--($A286&amp;""))),FALSE))),"Employee SSN must contain exactly 9 digits; ","")&amp;IF(AND($A286&lt;&gt;"",OR($A286="123456789",$A286="987654321",$A286="012345678",$A286=REPT(LEFT($A286&amp;"",1),9))),"Employee SSN appears to be a placeholder; ","")&amp;IF(AND($B286&lt;&gt;"",NOT(IFERROR(AND(LEN($B286&amp;"")=9,ISNUMBER(--($B286&amp;""))),FALSE))),"Dependent SSN must contain exactly 9 digits; ","")&amp;IF(AND($B286&lt;&gt;"",OR($B286="123456789",$B286="987654321",$B286="012345678",$B286=REPT(LEFT($B286&amp;"",1),9))),"Dependent SSN appears to be a placeholder; ","")&amp;IF(AND($A286&lt;&gt;"",$B286&lt;&gt;"",$A286&amp;""=$B286&amp;""),"Dependent SSN cannot match Employee SSN; ","")&amp;IF(AND($W286&lt;&gt;"",OR(COUNTIFS($W$2:$W$501,$W286,$C$2:$C$501,"&lt;&gt;"&amp;$C286)&gt;0,COUNTIFS($W$2:$W$501,$W286,$D$2:$D$501,"&lt;&gt;"&amp;$D286)&gt;0,COUNTIFS($W$2:$W$501,$W286,$L$2:$L$501,"&lt;&gt;"&amp;$L286)&gt;0)),"The same SSN is associated with a different name or birthdate; ",""))</f>
        <v/>
      </c>
      <c r="AA286">
        <f>IF(COUNTA($A286:$U286)=0,"",IF(AND($A286&lt;&gt;"",$S286&lt;&gt;"",COUNTIFS($A$2:$A$501,$A286,$S$2:$S$501,$S286,$B$2:$B$501,"",$O$2:$O$501,"")=0),"Add an employee row for this household and plan; ","")&amp;IF(AND($X286="Dependent",COUNTIFS($A$2:$A286,$A286,$S$2:$S286,$S286,$B$2:$B286,"",$O$2:$O286,"")=0),"Place the employee row before dependent rows for this plan; ","")&amp;IF(AND($X286="Dependent",COUNTIFS($A$2:$A$501,$A286,$S$2:$S$501,$S286,$B$2:$B$501,"",$O$2:$O$501,"")&gt;0,IFERROR(OR($P286&lt;&gt;LOOKUP(2,1/(($A$2:$A$501=$A286)*($S$2:$S$501=$S286)*($B$2:$B$501="")*($O$2:$O$501="")),$P$2:$P$501),$Q286&lt;&gt;LOOKUP(2,1/(($A$2:$A$501=$A286)*($S$2:$S$501=$S286)*($B$2:$B$501="")*($O$2:$O$501="")),$Q$2:$Q$501),$R286&lt;&gt;LOOKUP(2,1/(($A$2:$A$501=$A286)*($S$2:$S$501=$S286)*($B$2:$B$501="")*($O$2:$O$501="")),$R$2:$R$501),$T286&lt;&gt;LOOKUP(2,1/(($A$2:$A$501=$A286)*($S$2:$S$501=$S286)*($B$2:$B$501="")*($O$2:$O$501="")),$T$2:$T$501),$U286&lt;&gt;LOOKUP(2,1/(($A$2:$A$501=$A286)*($S$2:$S$501=$S286)*($B$2:$B$501="")*($O$2:$O$501="")),$U$2:$U$501)),FALSE)),"Dependent row does not match the employee row for eligibility, status, coverage level, or funding; ",""))</f>
        <v/>
      </c>
      <c r="AB286">
        <f>IF(COUNTA($A286:$U286)=0,"",IF($L286="","Birthdate is required; ","")&amp;IF(AND($L286&lt;&gt;"",OR(NOT(ISNUMBER($L286)),$L286&lt;=DATE(1900,1,1),$L286&gt;TODAY())),"Birthdate must be an exact valid past date; ","")&amp;IF($P286="","Eligibility Date is required; ","")&amp;IF(AND($P286&lt;&gt;"",OR(NOT(ISNUMBER($P286)),$P286&lt;=DATE(1900,1,1))),"Eligibility Date must be a valid date; ","")&amp;IF(AND($R286="Terminated",$Q286=""),"Termination Date is required when Status is Terminated; ","")&amp;IF(AND($Q286&lt;&gt;"",OR(NOT(ISNUMBER($Q286)),$Q286&lt;=DATE(1900,1,1))),"Termination Date must be a valid date; ","")&amp;IF(AND(ISNUMBER($P286),ISNUMBER($Q286),$Q286&lt;$P286),"Termination Date cannot be before Eligibility Date; ","")&amp;IF($R286="","Status is required; ","")&amp;IF(AND($R286&lt;&gt;"",$R286&lt;&gt;"Active",$R286&lt;&gt;"Terminated"),"Status must be Active or Terminated; ","")&amp;IF(AND('START HERE'!$C$8="Terminations Only",$R286&lt;&gt;"Terminated"),"Terminations Only files must contain terminated records; ",""))</f>
        <v/>
      </c>
      <c r="AC286">
        <f>IF(COUNTA($A286:$U286)=0,"",IF($S286="","Plan Name is required; ","")&amp;IF($T286="","Benefit Coverage Level is required; ","")&amp;IF(AND($U286&lt;&gt;"",OR(NOT(ISNUMBER($U286)),$U286&lt;0)),"Plan Funding Amount must be a nonnegative number; ","")&amp;IF(AND($A286&lt;&gt;"",$S286&lt;&gt;"",COUNTIFS($A$2:$A$501,$A286,$B$2:$B$501,$B286,$S$2:$S$501,$S286)&gt;1),"Duplicate participant and plan row; ",""))</f>
        <v/>
      </c>
      <c r="AD286">
        <f>IF(COUNTA($A286:$U286)=0,"",IF(AND($X286="Employee",$M286="",$N286=""),"No employee phone or email provided; ","")&amp;IF(AND($R286="Active",$Q286&lt;&gt;""),"Active record includes a Termination Date; confirm this is intentional; ","")&amp;IF(AND($B286&lt;&gt;"",$B286&amp;""&lt;&gt;$A286&amp;"",COUNTIF($A$2:$A$501,$B286)&gt;0),"Dependent SSN also appears as an Employee SSN elsewhere; confirm dual-employee coverage is intentional; ","")&amp;IF(AND($B286&lt;&gt;"",COUNTIF($B$2:$B$501,$B286)&gt;COUNTIFS($A$2:$A$501,$A286,$B$2:$B$501,$B286)),"Dependent SSN appears under more than one employee; confirm duplicate family coverage is intentional; ","")&amp;IF(AND(ROW()&gt;2,$A286&lt;&gt;"",$A286&lt;&gt;$A285,COUNTIF($A$2:$A285,$A286)&gt;0),"This household appears in more than one section of the census; keep the family together; ","")&amp;IF(OR(AND($C286&lt;&gt;"",LEN($C286&amp;"")&lt;&gt;LEN(TRIM($C286&amp;""))),AND($D286&lt;&gt;"",LEN($D286&amp;"")&lt;&gt;LEN(TRIM($D286&amp;""))),AND($E286&lt;&gt;"",LEN($E286&amp;"")&lt;&gt;LEN(TRIM($E286&amp;""))),AND($F286&lt;&gt;"",LEN($F286&amp;"")&lt;&gt;LEN(TRIM($F286&amp;""))),AND($G286&lt;&gt;"",LEN($G286&amp;"")&lt;&gt;LEN(TRIM($G286&amp;""))),AND($H286&lt;&gt;"",LEN($H286&amp;"")&lt;&gt;LEN(TRIM($H286&amp;""))),AND($I286&lt;&gt;"",LEN($I286&amp;"")&lt;&gt;LEN(TRIM($I286&amp;""))),AND($J286&lt;&gt;"",LEN($J286&amp;"")&lt;&gt;LEN(TRIM($J286&amp;""))),AND($K286&lt;&gt;"",LEN($K286&amp;"")&lt;&gt;LEN(TRIM($K286&amp;""))),AND($M286&lt;&gt;"",LEN($M286&amp;"")&lt;&gt;LEN(TRIM($M286&amp;""))),AND($N286&lt;&gt;"",LEN($N286&amp;"")&lt;&gt;LEN(TRIM($N286&amp;""))),AND($O286&lt;&gt;"",LEN($O286&amp;"")&lt;&gt;LEN(TRIM($O286&amp;""))),AND($R286&lt;&gt;"",LEN($R286&amp;"")&lt;&gt;LEN(TRIM($R286&amp;""))),AND($S286&lt;&gt;"",LEN($S286&amp;"")&lt;&gt;LEN(TRIM($S286&amp;""))),AND($T286&lt;&gt;"",LEN($T286&amp;"")&lt;&gt;LEN(TRIM($T286&amp;"")))),"Remove leading or trailing spaces from text fields; ","")&amp;IF(OR(AND(LEN($C286)&gt;1,OR(EXACT($C286,UPPER($C286)),EXACT($C286,LOWER($C286)))),AND(LEN($D286)&gt;1,OR(EXACT($D286,UPPER($D286)),EXACT($D286,LOWER($D286)))),AND(LEN($H286)&gt;1,OR(EXACT($H286,UPPER($H286)),EXACT($H286,LOWER($H286))))),"Review capitalization in First Name, Last Name, or City; ","")&amp;IF(AND($N286&lt;&gt;"",NOT(EXACT($N286,LOWER($N286)))),"Email will be standardized to lowercase in the clean output; ","")&amp;IF(AND(OR('START HERE'!$C$8="Initial Enrollment",'START HERE'!$C$8="Open Enrollment"),$R286="Terminated"),"A terminated row is included in an initial or open enrollment file; confirm this is intentional; ",""))</f>
        <v/>
      </c>
      <c r="AE286">
        <f>IF(COUNTA($A286:$U286)=0,"",IF(OR($A286="",AND($A286&lt;&gt;"",NOT(IFERROR(AND(LEN($A286&amp;"")=9,ISNUMBER(--($A286&amp;""))),FALSE))),AND($A286&lt;&gt;"",OR($A286="123456789",$A286="987654321",$A286="012345678",$A286=REPT(LEFT($A286&amp;"",1),9)))),"Employee SSN, ","")&amp;IF(OR(AND($O286&lt;&gt;"",$B286=""),AND($B286&lt;&gt;"",OR(NOT(IFERROR(AND(LEN($B286&amp;"")=9,ISNUMBER(--($B286&amp;""))),FALSE)),$B286=$A286,$B286="123456789",$B286="987654321",$B286="012345678",$B286=REPT(LEFT($B286&amp;"",1),9)))),"Dependent SSN, ","")&amp;IF(OR($C286="",LEN($C286)&gt;19,AND($C286&lt;&gt;"",SUMPRODUCT(--(ROW($1:$19)&lt;=LEN($C286&amp;"")),--ISERROR(FIND(MID($C286&amp;"",ROW($1:$19),1),"ABCDEFGHIJKLMNOPQRSTUVWXYZabcdefghijklmnopqrstuvwxyz .,")))&gt;0)),"First Name, ","")&amp;IF(OR($D286="",LEN($D286)&gt;26,AND($D286&lt;&gt;"",SUMPRODUCT(--(ROW($1:$26)&lt;=LEN($D286&amp;"")),--ISERROR(FIND(MID($D286&amp;"",ROW($1:$26),1),"ABCDEFGHIJKLMNOPQRSTUVWXYZabcdefghijklmnopqrstuvwxyz .,")))&gt;0)),"Last Name, ","")&amp;IF(OR(LEN($E286)&gt;1,AND($E286&lt;&gt;"",SUMPRODUCT(--(ROW($1:$1)&lt;=LEN($E286&amp;"")),--ISERROR(FIND(MID($E286&amp;"",ROW($1:$1),1),"ABCDEFGHIJKLMNOPQRSTUVWXYZabcdefghijklmnopqrstuvwxyz .,")))&gt;0)),"Middle Initial, ","")&amp;IF(OR($F286="",LEN($F286)&gt;75),"Address, ","")&amp;IF(OR($H286="",LEN($H286)&gt;30),"City, ","")&amp;IF(AND($K286="US",OR($I286="",LEN($I286)&lt;&gt;2)),"State, ","")&amp;IF($J286="","ZIP, ","")&amp;IF(OR($K286="",AND($K286&lt;&gt;"US",$K286&lt;&gt;"CA")),"Country, ","")&amp;IF(OR($L286="",AND($L286&lt;&gt;"",OR(NOT(ISNUMBER($L286)),$L286&lt;=DATE(1900,1,1),$L286&gt;TODAY()))),"Birthdate, ","")&amp;IF(AND($N286&lt;&gt;"",NOT(IFERROR(AND(ISNUMBER(SEARCH("@",$N286)),ISNUMBER(SEARCH(".",$N286,SEARCH("@",$N286)+2))),FALSE))),"Email, ","")&amp;IF(OR(AND($B286&lt;&gt;"",$O286=""),AND($O286&lt;&gt;"",$O286&lt;&gt;"Spouse or Common Law Spouse",$O286&lt;&gt;"Domestic Partner",$O286&lt;&gt;"Child",$O286&lt;&gt;"Other",$O286&lt;&gt;"Estate",$O286&lt;&gt;"Unknown")),"Dependent Relationship, ","")&amp;IF($AA286&lt;&gt;"","Household, ","")&amp;IF(OR($P286="",AND($P286&lt;&gt;"",OR(NOT(ISNUMBER($P286)),$P286&lt;=DATE(1900,1,1)))),"Eligibility Date, ","")&amp;IF(OR(AND($R286="Terminated",$Q286=""),AND($Q286&lt;&gt;"",OR(NOT(ISNUMBER($Q286)),$Q286&lt;=DATE(1900,1,1))),AND(ISNUMBER($P286),ISNUMBER($Q286),$Q286&lt;$P286)),"Termination Date, ","")&amp;IF(OR($R286="",AND($R286&lt;&gt;"Active",$R286&lt;&gt;"Terminated"),AND('START HERE'!$C$8="Terminations Only",$R286&lt;&gt;"Terminated")),"Status, ","")&amp;IF($S286="","Plan Name, ","")&amp;IF($T286="","Coverage Level, ","")&amp;IF(AND($U286&lt;&gt;"",OR(NOT(ISNUMBER($U286)),$U286&lt;0)),"Funding, ","")&amp;IF(AND($A286&lt;&gt;"",$S286&lt;&gt;"",COUNTIFS($A$2:$A$501,$A286,$B$2:$B$501,$B286,$S$2:$S$501,$S286)&gt;1),"Duplicate Row, ",""))</f>
        <v/>
      </c>
      <c r="AF286">
        <f>IF(COUNTA($A286:$U286)=0,"",$Y286&amp;$Z286&amp;$AA286&amp;$AB286&amp;$AC286)</f>
        <v/>
      </c>
      <c r="AG286">
        <f>IF($N286="","",LOWER(TRIM($N286)))</f>
        <v/>
      </c>
      <c r="AH286">
        <f>IF($A286="","",COUNTIFS($A$2:$A$501,$A286,$AI$2:$AI$501,1))</f>
        <v/>
      </c>
      <c r="AI286">
        <f>IF(COUNTA($A286:$U286)=0,"",--($AF286&lt;&gt;""))</f>
        <v/>
      </c>
      <c r="AJ286">
        <f>IF(COUNTA($A286:$U286)=0,"",--($AD286&lt;&gt;""))</f>
        <v/>
      </c>
    </row>
    <row r="287" ht="20" customHeight="1">
      <c r="A287" s="80" t="n"/>
      <c r="B287" s="80" t="n"/>
      <c r="C287" s="81" t="n"/>
      <c r="D287" s="81" t="n"/>
      <c r="E287" s="80" t="n"/>
      <c r="F287" s="81" t="n"/>
      <c r="G287" s="81" t="n"/>
      <c r="H287" s="81" t="n"/>
      <c r="I287" s="80" t="n"/>
      <c r="J287" s="80" t="n"/>
      <c r="K287" s="80" t="n"/>
      <c r="L287" s="82" t="n"/>
      <c r="M287" s="80" t="n"/>
      <c r="N287" s="80" t="n"/>
      <c r="O287" s="80" t="n"/>
      <c r="P287" s="82" t="n"/>
      <c r="Q287" s="82" t="n"/>
      <c r="R287" s="80" t="n"/>
      <c r="S287" s="80" t="n"/>
      <c r="T287" s="80" t="n"/>
      <c r="U287" s="83" t="n"/>
      <c r="V287">
        <f>IF($A287="","",IF($A287=$A286,$V286,IF($V286="",0,1-$V286)))</f>
        <v/>
      </c>
      <c r="W287">
        <f>IF($B287&lt;&gt;"",$B287,$A287)</f>
        <v/>
      </c>
      <c r="X287">
        <f>IF(COUNTA($A287:$U287)=0,"",IF(OR($B287&lt;&gt;"",$O287&lt;&gt;""),"Dependent","Employee"))</f>
        <v/>
      </c>
      <c r="Y287">
        <f>IF(COUNTA($A287:$U287)=0,"",IF($A287="","Employee SSN is required; ","")&amp;IF($C287="","First Name is required; ","")&amp;IF(LEN($C287&amp;"")&gt;19,"First Name exceeds 19 characters; ","")&amp;IF(AND($C287&lt;&gt;"",SUMPRODUCT(--(ROW($1:$19)&lt;=LEN($C287&amp;"")),--ISERROR(FIND(MID($C287&amp;"",ROW($1:$19),1),"ABCDEFGHIJKLMNOPQRSTUVWXYZabcdefghijklmnopqrstuvwxyz .,")))&gt;0),"First Name contains unsupported or encoded characters; use plain A-Z letters only; ","")&amp;IF($D287="","Last Name is required; ","")&amp;IF(LEN($D287&amp;"")&gt;26,"Last Name exceeds 26 characters; ","")&amp;IF(AND($D287&lt;&gt;"",SUMPRODUCT(--(ROW($1:$26)&lt;=LEN($D287&amp;"")),--ISERROR(FIND(MID($D287&amp;"",ROW($1:$26),1),"ABCDEFGHIJKLMNOPQRSTUVWXYZabcdefghijklmnopqrstuvwxyz .,")))&gt;0),"Last Name contains unsupported or encoded characters; use plain A-Z letters only; ","")&amp;IF(LEN($E287&amp;"")&gt;1,"Middle Initial may contain only one character; ","")&amp;IF(AND($E287&lt;&gt;"",SUMPRODUCT(--(ROW($1:$1)&lt;=LEN($E287&amp;"")),--ISERROR(FIND(MID($E287&amp;"",ROW($1:$1),1),"ABCDEFGHIJKLMNOPQRSTUVWXYZabcdefghijklmnopqrstuvwxyz .,")))&gt;0),"Middle Initial must be a plain A-Z letter; ","")&amp;IF($F287="","Address is required; ","")&amp;IF(LEN($F287&amp;"")&gt;75,"Address exceeds 75 characters; ","")&amp;IF(LEN($G287&amp;"")&gt;75,"Address 2 exceeds 75 characters; ","")&amp;IF($H287="","City is required; ","")&amp;IF(LEN($H287&amp;"")&gt;30,"City exceeds 30 characters; ","")&amp;IF($K287="","Country is required; ","")&amp;IF(AND($K287&lt;&gt;"",$K287&lt;&gt;"US",$K287&lt;&gt;"CA"),"Country must be US or CA; ","")&amp;IF(AND($K287="US",OR($I287="",LEN($I287&amp;"")&lt;&gt;2)),"Use a 2-letter state code; ","")&amp;IF($J287="","ZIP or postal code is required; ","")&amp;IF(AND($K287="US",$J287&lt;&gt;"",NOT(IFERROR(OR(AND(LEN($J287&amp;"")=5,ISNUMBER(--($J287&amp;""))),AND(LEN($J287&amp;"")=9,ISNUMBER(--($J287&amp;""))),AND(LEN($J287&amp;"")=10,MID($J287&amp;"",6,1)="-",ISNUMBER(--SUBSTITUTE($J287&amp;"","-","")))),FALSE))),"US ZIP must be 5 or 9 digits, with an optional ZIP+4 hyphen; ","")&amp;IF(AND($N287&lt;&gt;"",NOT(IFERROR(AND(ISNUMBER(SEARCH("@",$N287)),ISNUMBER(SEARCH(".",$N287,SEARCH("@",$N287)+2))),FALSE))),"Email format appears invalid; ","")&amp;IF(AND($O287&lt;&gt;"",$B287=""),"Dependent SSN is required for every dependent; ","")&amp;IF(AND($B287&lt;&gt;"",$O287=""),"Dependent Relationship is required when Dependent SSN is entered; ","")&amp;IF(AND($O287&lt;&gt;"",$O287&lt;&gt;"Spouse or Common Law Spouse",$O287&lt;&gt;"Domestic Partner",$O287&lt;&gt;"Child",$O287&lt;&gt;"Other",$O287&lt;&gt;"Estate",$O287&lt;&gt;"Unknown"),"Dependent Relationship must use one of the approved options; ",""))</f>
        <v/>
      </c>
      <c r="Z287">
        <f>IF(COUNTA($A287:$U287)=0,"",IF(AND($A287&lt;&gt;"",NOT(IFERROR(AND(LEN($A287&amp;"")=9,ISNUMBER(--($A287&amp;""))),FALSE))),"Employee SSN must contain exactly 9 digits; ","")&amp;IF(AND($A287&lt;&gt;"",OR($A287="123456789",$A287="987654321",$A287="012345678",$A287=REPT(LEFT($A287&amp;"",1),9))),"Employee SSN appears to be a placeholder; ","")&amp;IF(AND($B287&lt;&gt;"",NOT(IFERROR(AND(LEN($B287&amp;"")=9,ISNUMBER(--($B287&amp;""))),FALSE))),"Dependent SSN must contain exactly 9 digits; ","")&amp;IF(AND($B287&lt;&gt;"",OR($B287="123456789",$B287="987654321",$B287="012345678",$B287=REPT(LEFT($B287&amp;"",1),9))),"Dependent SSN appears to be a placeholder; ","")&amp;IF(AND($A287&lt;&gt;"",$B287&lt;&gt;"",$A287&amp;""=$B287&amp;""),"Dependent SSN cannot match Employee SSN; ","")&amp;IF(AND($W287&lt;&gt;"",OR(COUNTIFS($W$2:$W$501,$W287,$C$2:$C$501,"&lt;&gt;"&amp;$C287)&gt;0,COUNTIFS($W$2:$W$501,$W287,$D$2:$D$501,"&lt;&gt;"&amp;$D287)&gt;0,COUNTIFS($W$2:$W$501,$W287,$L$2:$L$501,"&lt;&gt;"&amp;$L287)&gt;0)),"The same SSN is associated with a different name or birthdate; ",""))</f>
        <v/>
      </c>
      <c r="AA287">
        <f>IF(COUNTA($A287:$U287)=0,"",IF(AND($A287&lt;&gt;"",$S287&lt;&gt;"",COUNTIFS($A$2:$A$501,$A287,$S$2:$S$501,$S287,$B$2:$B$501,"",$O$2:$O$501,"")=0),"Add an employee row for this household and plan; ","")&amp;IF(AND($X287="Dependent",COUNTIFS($A$2:$A287,$A287,$S$2:$S287,$S287,$B$2:$B287,"",$O$2:$O287,"")=0),"Place the employee row before dependent rows for this plan; ","")&amp;IF(AND($X287="Dependent",COUNTIFS($A$2:$A$501,$A287,$S$2:$S$501,$S287,$B$2:$B$501,"",$O$2:$O$501,"")&gt;0,IFERROR(OR($P287&lt;&gt;LOOKUP(2,1/(($A$2:$A$501=$A287)*($S$2:$S$501=$S287)*($B$2:$B$501="")*($O$2:$O$501="")),$P$2:$P$501),$Q287&lt;&gt;LOOKUP(2,1/(($A$2:$A$501=$A287)*($S$2:$S$501=$S287)*($B$2:$B$501="")*($O$2:$O$501="")),$Q$2:$Q$501),$R287&lt;&gt;LOOKUP(2,1/(($A$2:$A$501=$A287)*($S$2:$S$501=$S287)*($B$2:$B$501="")*($O$2:$O$501="")),$R$2:$R$501),$T287&lt;&gt;LOOKUP(2,1/(($A$2:$A$501=$A287)*($S$2:$S$501=$S287)*($B$2:$B$501="")*($O$2:$O$501="")),$T$2:$T$501),$U287&lt;&gt;LOOKUP(2,1/(($A$2:$A$501=$A287)*($S$2:$S$501=$S287)*($B$2:$B$501="")*($O$2:$O$501="")),$U$2:$U$501)),FALSE)),"Dependent row does not match the employee row for eligibility, status, coverage level, or funding; ",""))</f>
        <v/>
      </c>
      <c r="AB287">
        <f>IF(COUNTA($A287:$U287)=0,"",IF($L287="","Birthdate is required; ","")&amp;IF(AND($L287&lt;&gt;"",OR(NOT(ISNUMBER($L287)),$L287&lt;=DATE(1900,1,1),$L287&gt;TODAY())),"Birthdate must be an exact valid past date; ","")&amp;IF($P287="","Eligibility Date is required; ","")&amp;IF(AND($P287&lt;&gt;"",OR(NOT(ISNUMBER($P287)),$P287&lt;=DATE(1900,1,1))),"Eligibility Date must be a valid date; ","")&amp;IF(AND($R287="Terminated",$Q287=""),"Termination Date is required when Status is Terminated; ","")&amp;IF(AND($Q287&lt;&gt;"",OR(NOT(ISNUMBER($Q287)),$Q287&lt;=DATE(1900,1,1))),"Termination Date must be a valid date; ","")&amp;IF(AND(ISNUMBER($P287),ISNUMBER($Q287),$Q287&lt;$P287),"Termination Date cannot be before Eligibility Date; ","")&amp;IF($R287="","Status is required; ","")&amp;IF(AND($R287&lt;&gt;"",$R287&lt;&gt;"Active",$R287&lt;&gt;"Terminated"),"Status must be Active or Terminated; ","")&amp;IF(AND('START HERE'!$C$8="Terminations Only",$R287&lt;&gt;"Terminated"),"Terminations Only files must contain terminated records; ",""))</f>
        <v/>
      </c>
      <c r="AC287">
        <f>IF(COUNTA($A287:$U287)=0,"",IF($S287="","Plan Name is required; ","")&amp;IF($T287="","Benefit Coverage Level is required; ","")&amp;IF(AND($U287&lt;&gt;"",OR(NOT(ISNUMBER($U287)),$U287&lt;0)),"Plan Funding Amount must be a nonnegative number; ","")&amp;IF(AND($A287&lt;&gt;"",$S287&lt;&gt;"",COUNTIFS($A$2:$A$501,$A287,$B$2:$B$501,$B287,$S$2:$S$501,$S287)&gt;1),"Duplicate participant and plan row; ",""))</f>
        <v/>
      </c>
      <c r="AD287">
        <f>IF(COUNTA($A287:$U287)=0,"",IF(AND($X287="Employee",$M287="",$N287=""),"No employee phone or email provided; ","")&amp;IF(AND($R287="Active",$Q287&lt;&gt;""),"Active record includes a Termination Date; confirm this is intentional; ","")&amp;IF(AND($B287&lt;&gt;"",$B287&amp;""&lt;&gt;$A287&amp;"",COUNTIF($A$2:$A$501,$B287)&gt;0),"Dependent SSN also appears as an Employee SSN elsewhere; confirm dual-employee coverage is intentional; ","")&amp;IF(AND($B287&lt;&gt;"",COUNTIF($B$2:$B$501,$B287)&gt;COUNTIFS($A$2:$A$501,$A287,$B$2:$B$501,$B287)),"Dependent SSN appears under more than one employee; confirm duplicate family coverage is intentional; ","")&amp;IF(AND(ROW()&gt;2,$A287&lt;&gt;"",$A287&lt;&gt;$A286,COUNTIF($A$2:$A286,$A287)&gt;0),"This household appears in more than one section of the census; keep the family together; ","")&amp;IF(OR(AND($C287&lt;&gt;"",LEN($C287&amp;"")&lt;&gt;LEN(TRIM($C287&amp;""))),AND($D287&lt;&gt;"",LEN($D287&amp;"")&lt;&gt;LEN(TRIM($D287&amp;""))),AND($E287&lt;&gt;"",LEN($E287&amp;"")&lt;&gt;LEN(TRIM($E287&amp;""))),AND($F287&lt;&gt;"",LEN($F287&amp;"")&lt;&gt;LEN(TRIM($F287&amp;""))),AND($G287&lt;&gt;"",LEN($G287&amp;"")&lt;&gt;LEN(TRIM($G287&amp;""))),AND($H287&lt;&gt;"",LEN($H287&amp;"")&lt;&gt;LEN(TRIM($H287&amp;""))),AND($I287&lt;&gt;"",LEN($I287&amp;"")&lt;&gt;LEN(TRIM($I287&amp;""))),AND($J287&lt;&gt;"",LEN($J287&amp;"")&lt;&gt;LEN(TRIM($J287&amp;""))),AND($K287&lt;&gt;"",LEN($K287&amp;"")&lt;&gt;LEN(TRIM($K287&amp;""))),AND($M287&lt;&gt;"",LEN($M287&amp;"")&lt;&gt;LEN(TRIM($M287&amp;""))),AND($N287&lt;&gt;"",LEN($N287&amp;"")&lt;&gt;LEN(TRIM($N287&amp;""))),AND($O287&lt;&gt;"",LEN($O287&amp;"")&lt;&gt;LEN(TRIM($O287&amp;""))),AND($R287&lt;&gt;"",LEN($R287&amp;"")&lt;&gt;LEN(TRIM($R287&amp;""))),AND($S287&lt;&gt;"",LEN($S287&amp;"")&lt;&gt;LEN(TRIM($S287&amp;""))),AND($T287&lt;&gt;"",LEN($T287&amp;"")&lt;&gt;LEN(TRIM($T287&amp;"")))),"Remove leading or trailing spaces from text fields; ","")&amp;IF(OR(AND(LEN($C287)&gt;1,OR(EXACT($C287,UPPER($C287)),EXACT($C287,LOWER($C287)))),AND(LEN($D287)&gt;1,OR(EXACT($D287,UPPER($D287)),EXACT($D287,LOWER($D287)))),AND(LEN($H287)&gt;1,OR(EXACT($H287,UPPER($H287)),EXACT($H287,LOWER($H287))))),"Review capitalization in First Name, Last Name, or City; ","")&amp;IF(AND($N287&lt;&gt;"",NOT(EXACT($N287,LOWER($N287)))),"Email will be standardized to lowercase in the clean output; ","")&amp;IF(AND(OR('START HERE'!$C$8="Initial Enrollment",'START HERE'!$C$8="Open Enrollment"),$R287="Terminated"),"A terminated row is included in an initial or open enrollment file; confirm this is intentional; ",""))</f>
        <v/>
      </c>
      <c r="AE287">
        <f>IF(COUNTA($A287:$U287)=0,"",IF(OR($A287="",AND($A287&lt;&gt;"",NOT(IFERROR(AND(LEN($A287&amp;"")=9,ISNUMBER(--($A287&amp;""))),FALSE))),AND($A287&lt;&gt;"",OR($A287="123456789",$A287="987654321",$A287="012345678",$A287=REPT(LEFT($A287&amp;"",1),9)))),"Employee SSN, ","")&amp;IF(OR(AND($O287&lt;&gt;"",$B287=""),AND($B287&lt;&gt;"",OR(NOT(IFERROR(AND(LEN($B287&amp;"")=9,ISNUMBER(--($B287&amp;""))),FALSE)),$B287=$A287,$B287="123456789",$B287="987654321",$B287="012345678",$B287=REPT(LEFT($B287&amp;"",1),9)))),"Dependent SSN, ","")&amp;IF(OR($C287="",LEN($C287)&gt;19,AND($C287&lt;&gt;"",SUMPRODUCT(--(ROW($1:$19)&lt;=LEN($C287&amp;"")),--ISERROR(FIND(MID($C287&amp;"",ROW($1:$19),1),"ABCDEFGHIJKLMNOPQRSTUVWXYZabcdefghijklmnopqrstuvwxyz .,")))&gt;0)),"First Name, ","")&amp;IF(OR($D287="",LEN($D287)&gt;26,AND($D287&lt;&gt;"",SUMPRODUCT(--(ROW($1:$26)&lt;=LEN($D287&amp;"")),--ISERROR(FIND(MID($D287&amp;"",ROW($1:$26),1),"ABCDEFGHIJKLMNOPQRSTUVWXYZabcdefghijklmnopqrstuvwxyz .,")))&gt;0)),"Last Name, ","")&amp;IF(OR(LEN($E287)&gt;1,AND($E287&lt;&gt;"",SUMPRODUCT(--(ROW($1:$1)&lt;=LEN($E287&amp;"")),--ISERROR(FIND(MID($E287&amp;"",ROW($1:$1),1),"ABCDEFGHIJKLMNOPQRSTUVWXYZabcdefghijklmnopqrstuvwxyz .,")))&gt;0)),"Middle Initial, ","")&amp;IF(OR($F287="",LEN($F287)&gt;75),"Address, ","")&amp;IF(OR($H287="",LEN($H287)&gt;30),"City, ","")&amp;IF(AND($K287="US",OR($I287="",LEN($I287)&lt;&gt;2)),"State, ","")&amp;IF($J287="","ZIP, ","")&amp;IF(OR($K287="",AND($K287&lt;&gt;"US",$K287&lt;&gt;"CA")),"Country, ","")&amp;IF(OR($L287="",AND($L287&lt;&gt;"",OR(NOT(ISNUMBER($L287)),$L287&lt;=DATE(1900,1,1),$L287&gt;TODAY()))),"Birthdate, ","")&amp;IF(AND($N287&lt;&gt;"",NOT(IFERROR(AND(ISNUMBER(SEARCH("@",$N287)),ISNUMBER(SEARCH(".",$N287,SEARCH("@",$N287)+2))),FALSE))),"Email, ","")&amp;IF(OR(AND($B287&lt;&gt;"",$O287=""),AND($O287&lt;&gt;"",$O287&lt;&gt;"Spouse or Common Law Spouse",$O287&lt;&gt;"Domestic Partner",$O287&lt;&gt;"Child",$O287&lt;&gt;"Other",$O287&lt;&gt;"Estate",$O287&lt;&gt;"Unknown")),"Dependent Relationship, ","")&amp;IF($AA287&lt;&gt;"","Household, ","")&amp;IF(OR($P287="",AND($P287&lt;&gt;"",OR(NOT(ISNUMBER($P287)),$P287&lt;=DATE(1900,1,1)))),"Eligibility Date, ","")&amp;IF(OR(AND($R287="Terminated",$Q287=""),AND($Q287&lt;&gt;"",OR(NOT(ISNUMBER($Q287)),$Q287&lt;=DATE(1900,1,1))),AND(ISNUMBER($P287),ISNUMBER($Q287),$Q287&lt;$P287)),"Termination Date, ","")&amp;IF(OR($R287="",AND($R287&lt;&gt;"Active",$R287&lt;&gt;"Terminated"),AND('START HERE'!$C$8="Terminations Only",$R287&lt;&gt;"Terminated")),"Status, ","")&amp;IF($S287="","Plan Name, ","")&amp;IF($T287="","Coverage Level, ","")&amp;IF(AND($U287&lt;&gt;"",OR(NOT(ISNUMBER($U287)),$U287&lt;0)),"Funding, ","")&amp;IF(AND($A287&lt;&gt;"",$S287&lt;&gt;"",COUNTIFS($A$2:$A$501,$A287,$B$2:$B$501,$B287,$S$2:$S$501,$S287)&gt;1),"Duplicate Row, ",""))</f>
        <v/>
      </c>
      <c r="AF287">
        <f>IF(COUNTA($A287:$U287)=0,"",$Y287&amp;$Z287&amp;$AA287&amp;$AB287&amp;$AC287)</f>
        <v/>
      </c>
      <c r="AG287">
        <f>IF($N287="","",LOWER(TRIM($N287)))</f>
        <v/>
      </c>
      <c r="AH287">
        <f>IF($A287="","",COUNTIFS($A$2:$A$501,$A287,$AI$2:$AI$501,1))</f>
        <v/>
      </c>
      <c r="AI287">
        <f>IF(COUNTA($A287:$U287)=0,"",--($AF287&lt;&gt;""))</f>
        <v/>
      </c>
      <c r="AJ287">
        <f>IF(COUNTA($A287:$U287)=0,"",--($AD287&lt;&gt;""))</f>
        <v/>
      </c>
    </row>
    <row r="288" ht="20" customHeight="1">
      <c r="A288" s="80" t="n"/>
      <c r="B288" s="80" t="n"/>
      <c r="C288" s="81" t="n"/>
      <c r="D288" s="81" t="n"/>
      <c r="E288" s="80" t="n"/>
      <c r="F288" s="81" t="n"/>
      <c r="G288" s="81" t="n"/>
      <c r="H288" s="81" t="n"/>
      <c r="I288" s="80" t="n"/>
      <c r="J288" s="80" t="n"/>
      <c r="K288" s="80" t="n"/>
      <c r="L288" s="82" t="n"/>
      <c r="M288" s="80" t="n"/>
      <c r="N288" s="80" t="n"/>
      <c r="O288" s="80" t="n"/>
      <c r="P288" s="82" t="n"/>
      <c r="Q288" s="82" t="n"/>
      <c r="R288" s="80" t="n"/>
      <c r="S288" s="80" t="n"/>
      <c r="T288" s="80" t="n"/>
      <c r="U288" s="83" t="n"/>
      <c r="V288">
        <f>IF($A288="","",IF($A288=$A287,$V287,IF($V287="",0,1-$V287)))</f>
        <v/>
      </c>
      <c r="W288">
        <f>IF($B288&lt;&gt;"",$B288,$A288)</f>
        <v/>
      </c>
      <c r="X288">
        <f>IF(COUNTA($A288:$U288)=0,"",IF(OR($B288&lt;&gt;"",$O288&lt;&gt;""),"Dependent","Employee"))</f>
        <v/>
      </c>
      <c r="Y288">
        <f>IF(COUNTA($A288:$U288)=0,"",IF($A288="","Employee SSN is required; ","")&amp;IF($C288="","First Name is required; ","")&amp;IF(LEN($C288&amp;"")&gt;19,"First Name exceeds 19 characters; ","")&amp;IF(AND($C288&lt;&gt;"",SUMPRODUCT(--(ROW($1:$19)&lt;=LEN($C288&amp;"")),--ISERROR(FIND(MID($C288&amp;"",ROW($1:$19),1),"ABCDEFGHIJKLMNOPQRSTUVWXYZabcdefghijklmnopqrstuvwxyz .,")))&gt;0),"First Name contains unsupported or encoded characters; use plain A-Z letters only; ","")&amp;IF($D288="","Last Name is required; ","")&amp;IF(LEN($D288&amp;"")&gt;26,"Last Name exceeds 26 characters; ","")&amp;IF(AND($D288&lt;&gt;"",SUMPRODUCT(--(ROW($1:$26)&lt;=LEN($D288&amp;"")),--ISERROR(FIND(MID($D288&amp;"",ROW($1:$26),1),"ABCDEFGHIJKLMNOPQRSTUVWXYZabcdefghijklmnopqrstuvwxyz .,")))&gt;0),"Last Name contains unsupported or encoded characters; use plain A-Z letters only; ","")&amp;IF(LEN($E288&amp;"")&gt;1,"Middle Initial may contain only one character; ","")&amp;IF(AND($E288&lt;&gt;"",SUMPRODUCT(--(ROW($1:$1)&lt;=LEN($E288&amp;"")),--ISERROR(FIND(MID($E288&amp;"",ROW($1:$1),1),"ABCDEFGHIJKLMNOPQRSTUVWXYZabcdefghijklmnopqrstuvwxyz .,")))&gt;0),"Middle Initial must be a plain A-Z letter; ","")&amp;IF($F288="","Address is required; ","")&amp;IF(LEN($F288&amp;"")&gt;75,"Address exceeds 75 characters; ","")&amp;IF(LEN($G288&amp;"")&gt;75,"Address 2 exceeds 75 characters; ","")&amp;IF($H288="","City is required; ","")&amp;IF(LEN($H288&amp;"")&gt;30,"City exceeds 30 characters; ","")&amp;IF($K288="","Country is required; ","")&amp;IF(AND($K288&lt;&gt;"",$K288&lt;&gt;"US",$K288&lt;&gt;"CA"),"Country must be US or CA; ","")&amp;IF(AND($K288="US",OR($I288="",LEN($I288&amp;"")&lt;&gt;2)),"Use a 2-letter state code; ","")&amp;IF($J288="","ZIP or postal code is required; ","")&amp;IF(AND($K288="US",$J288&lt;&gt;"",NOT(IFERROR(OR(AND(LEN($J288&amp;"")=5,ISNUMBER(--($J288&amp;""))),AND(LEN($J288&amp;"")=9,ISNUMBER(--($J288&amp;""))),AND(LEN($J288&amp;"")=10,MID($J288&amp;"",6,1)="-",ISNUMBER(--SUBSTITUTE($J288&amp;"","-","")))),FALSE))),"US ZIP must be 5 or 9 digits, with an optional ZIP+4 hyphen; ","")&amp;IF(AND($N288&lt;&gt;"",NOT(IFERROR(AND(ISNUMBER(SEARCH("@",$N288)),ISNUMBER(SEARCH(".",$N288,SEARCH("@",$N288)+2))),FALSE))),"Email format appears invalid; ","")&amp;IF(AND($O288&lt;&gt;"",$B288=""),"Dependent SSN is required for every dependent; ","")&amp;IF(AND($B288&lt;&gt;"",$O288=""),"Dependent Relationship is required when Dependent SSN is entered; ","")&amp;IF(AND($O288&lt;&gt;"",$O288&lt;&gt;"Spouse or Common Law Spouse",$O288&lt;&gt;"Domestic Partner",$O288&lt;&gt;"Child",$O288&lt;&gt;"Other",$O288&lt;&gt;"Estate",$O288&lt;&gt;"Unknown"),"Dependent Relationship must use one of the approved options; ",""))</f>
        <v/>
      </c>
      <c r="Z288">
        <f>IF(COUNTA($A288:$U288)=0,"",IF(AND($A288&lt;&gt;"",NOT(IFERROR(AND(LEN($A288&amp;"")=9,ISNUMBER(--($A288&amp;""))),FALSE))),"Employee SSN must contain exactly 9 digits; ","")&amp;IF(AND($A288&lt;&gt;"",OR($A288="123456789",$A288="987654321",$A288="012345678",$A288=REPT(LEFT($A288&amp;"",1),9))),"Employee SSN appears to be a placeholder; ","")&amp;IF(AND($B288&lt;&gt;"",NOT(IFERROR(AND(LEN($B288&amp;"")=9,ISNUMBER(--($B288&amp;""))),FALSE))),"Dependent SSN must contain exactly 9 digits; ","")&amp;IF(AND($B288&lt;&gt;"",OR($B288="123456789",$B288="987654321",$B288="012345678",$B288=REPT(LEFT($B288&amp;"",1),9))),"Dependent SSN appears to be a placeholder; ","")&amp;IF(AND($A288&lt;&gt;"",$B288&lt;&gt;"",$A288&amp;""=$B288&amp;""),"Dependent SSN cannot match Employee SSN; ","")&amp;IF(AND($W288&lt;&gt;"",OR(COUNTIFS($W$2:$W$501,$W288,$C$2:$C$501,"&lt;&gt;"&amp;$C288)&gt;0,COUNTIFS($W$2:$W$501,$W288,$D$2:$D$501,"&lt;&gt;"&amp;$D288)&gt;0,COUNTIFS($W$2:$W$501,$W288,$L$2:$L$501,"&lt;&gt;"&amp;$L288)&gt;0)),"The same SSN is associated with a different name or birthdate; ",""))</f>
        <v/>
      </c>
      <c r="AA288">
        <f>IF(COUNTA($A288:$U288)=0,"",IF(AND($A288&lt;&gt;"",$S288&lt;&gt;"",COUNTIFS($A$2:$A$501,$A288,$S$2:$S$501,$S288,$B$2:$B$501,"",$O$2:$O$501,"")=0),"Add an employee row for this household and plan; ","")&amp;IF(AND($X288="Dependent",COUNTIFS($A$2:$A288,$A288,$S$2:$S288,$S288,$B$2:$B288,"",$O$2:$O288,"")=0),"Place the employee row before dependent rows for this plan; ","")&amp;IF(AND($X288="Dependent",COUNTIFS($A$2:$A$501,$A288,$S$2:$S$501,$S288,$B$2:$B$501,"",$O$2:$O$501,"")&gt;0,IFERROR(OR($P288&lt;&gt;LOOKUP(2,1/(($A$2:$A$501=$A288)*($S$2:$S$501=$S288)*($B$2:$B$501="")*($O$2:$O$501="")),$P$2:$P$501),$Q288&lt;&gt;LOOKUP(2,1/(($A$2:$A$501=$A288)*($S$2:$S$501=$S288)*($B$2:$B$501="")*($O$2:$O$501="")),$Q$2:$Q$501),$R288&lt;&gt;LOOKUP(2,1/(($A$2:$A$501=$A288)*($S$2:$S$501=$S288)*($B$2:$B$501="")*($O$2:$O$501="")),$R$2:$R$501),$T288&lt;&gt;LOOKUP(2,1/(($A$2:$A$501=$A288)*($S$2:$S$501=$S288)*($B$2:$B$501="")*($O$2:$O$501="")),$T$2:$T$501),$U288&lt;&gt;LOOKUP(2,1/(($A$2:$A$501=$A288)*($S$2:$S$501=$S288)*($B$2:$B$501="")*($O$2:$O$501="")),$U$2:$U$501)),FALSE)),"Dependent row does not match the employee row for eligibility, status, coverage level, or funding; ",""))</f>
        <v/>
      </c>
      <c r="AB288">
        <f>IF(COUNTA($A288:$U288)=0,"",IF($L288="","Birthdate is required; ","")&amp;IF(AND($L288&lt;&gt;"",OR(NOT(ISNUMBER($L288)),$L288&lt;=DATE(1900,1,1),$L288&gt;TODAY())),"Birthdate must be an exact valid past date; ","")&amp;IF($P288="","Eligibility Date is required; ","")&amp;IF(AND($P288&lt;&gt;"",OR(NOT(ISNUMBER($P288)),$P288&lt;=DATE(1900,1,1))),"Eligibility Date must be a valid date; ","")&amp;IF(AND($R288="Terminated",$Q288=""),"Termination Date is required when Status is Terminated; ","")&amp;IF(AND($Q288&lt;&gt;"",OR(NOT(ISNUMBER($Q288)),$Q288&lt;=DATE(1900,1,1))),"Termination Date must be a valid date; ","")&amp;IF(AND(ISNUMBER($P288),ISNUMBER($Q288),$Q288&lt;$P288),"Termination Date cannot be before Eligibility Date; ","")&amp;IF($R288="","Status is required; ","")&amp;IF(AND($R288&lt;&gt;"",$R288&lt;&gt;"Active",$R288&lt;&gt;"Terminated"),"Status must be Active or Terminated; ","")&amp;IF(AND('START HERE'!$C$8="Terminations Only",$R288&lt;&gt;"Terminated"),"Terminations Only files must contain terminated records; ",""))</f>
        <v/>
      </c>
      <c r="AC288">
        <f>IF(COUNTA($A288:$U288)=0,"",IF($S288="","Plan Name is required; ","")&amp;IF($T288="","Benefit Coverage Level is required; ","")&amp;IF(AND($U288&lt;&gt;"",OR(NOT(ISNUMBER($U288)),$U288&lt;0)),"Plan Funding Amount must be a nonnegative number; ","")&amp;IF(AND($A288&lt;&gt;"",$S288&lt;&gt;"",COUNTIFS($A$2:$A$501,$A288,$B$2:$B$501,$B288,$S$2:$S$501,$S288)&gt;1),"Duplicate participant and plan row; ",""))</f>
        <v/>
      </c>
      <c r="AD288">
        <f>IF(COUNTA($A288:$U288)=0,"",IF(AND($X288="Employee",$M288="",$N288=""),"No employee phone or email provided; ","")&amp;IF(AND($R288="Active",$Q288&lt;&gt;""),"Active record includes a Termination Date; confirm this is intentional; ","")&amp;IF(AND($B288&lt;&gt;"",$B288&amp;""&lt;&gt;$A288&amp;"",COUNTIF($A$2:$A$501,$B288)&gt;0),"Dependent SSN also appears as an Employee SSN elsewhere; confirm dual-employee coverage is intentional; ","")&amp;IF(AND($B288&lt;&gt;"",COUNTIF($B$2:$B$501,$B288)&gt;COUNTIFS($A$2:$A$501,$A288,$B$2:$B$501,$B288)),"Dependent SSN appears under more than one employee; confirm duplicate family coverage is intentional; ","")&amp;IF(AND(ROW()&gt;2,$A288&lt;&gt;"",$A288&lt;&gt;$A287,COUNTIF($A$2:$A287,$A288)&gt;0),"This household appears in more than one section of the census; keep the family together; ","")&amp;IF(OR(AND($C288&lt;&gt;"",LEN($C288&amp;"")&lt;&gt;LEN(TRIM($C288&amp;""))),AND($D288&lt;&gt;"",LEN($D288&amp;"")&lt;&gt;LEN(TRIM($D288&amp;""))),AND($E288&lt;&gt;"",LEN($E288&amp;"")&lt;&gt;LEN(TRIM($E288&amp;""))),AND($F288&lt;&gt;"",LEN($F288&amp;"")&lt;&gt;LEN(TRIM($F288&amp;""))),AND($G288&lt;&gt;"",LEN($G288&amp;"")&lt;&gt;LEN(TRIM($G288&amp;""))),AND($H288&lt;&gt;"",LEN($H288&amp;"")&lt;&gt;LEN(TRIM($H288&amp;""))),AND($I288&lt;&gt;"",LEN($I288&amp;"")&lt;&gt;LEN(TRIM($I288&amp;""))),AND($J288&lt;&gt;"",LEN($J288&amp;"")&lt;&gt;LEN(TRIM($J288&amp;""))),AND($K288&lt;&gt;"",LEN($K288&amp;"")&lt;&gt;LEN(TRIM($K288&amp;""))),AND($M288&lt;&gt;"",LEN($M288&amp;"")&lt;&gt;LEN(TRIM($M288&amp;""))),AND($N288&lt;&gt;"",LEN($N288&amp;"")&lt;&gt;LEN(TRIM($N288&amp;""))),AND($O288&lt;&gt;"",LEN($O288&amp;"")&lt;&gt;LEN(TRIM($O288&amp;""))),AND($R288&lt;&gt;"",LEN($R288&amp;"")&lt;&gt;LEN(TRIM($R288&amp;""))),AND($S288&lt;&gt;"",LEN($S288&amp;"")&lt;&gt;LEN(TRIM($S288&amp;""))),AND($T288&lt;&gt;"",LEN($T288&amp;"")&lt;&gt;LEN(TRIM($T288&amp;"")))),"Remove leading or trailing spaces from text fields; ","")&amp;IF(OR(AND(LEN($C288)&gt;1,OR(EXACT($C288,UPPER($C288)),EXACT($C288,LOWER($C288)))),AND(LEN($D288)&gt;1,OR(EXACT($D288,UPPER($D288)),EXACT($D288,LOWER($D288)))),AND(LEN($H288)&gt;1,OR(EXACT($H288,UPPER($H288)),EXACT($H288,LOWER($H288))))),"Review capitalization in First Name, Last Name, or City; ","")&amp;IF(AND($N288&lt;&gt;"",NOT(EXACT($N288,LOWER($N288)))),"Email will be standardized to lowercase in the clean output; ","")&amp;IF(AND(OR('START HERE'!$C$8="Initial Enrollment",'START HERE'!$C$8="Open Enrollment"),$R288="Terminated"),"A terminated row is included in an initial or open enrollment file; confirm this is intentional; ",""))</f>
        <v/>
      </c>
      <c r="AE288">
        <f>IF(COUNTA($A288:$U288)=0,"",IF(OR($A288="",AND($A288&lt;&gt;"",NOT(IFERROR(AND(LEN($A288&amp;"")=9,ISNUMBER(--($A288&amp;""))),FALSE))),AND($A288&lt;&gt;"",OR($A288="123456789",$A288="987654321",$A288="012345678",$A288=REPT(LEFT($A288&amp;"",1),9)))),"Employee SSN, ","")&amp;IF(OR(AND($O288&lt;&gt;"",$B288=""),AND($B288&lt;&gt;"",OR(NOT(IFERROR(AND(LEN($B288&amp;"")=9,ISNUMBER(--($B288&amp;""))),FALSE)),$B288=$A288,$B288="123456789",$B288="987654321",$B288="012345678",$B288=REPT(LEFT($B288&amp;"",1),9)))),"Dependent SSN, ","")&amp;IF(OR($C288="",LEN($C288)&gt;19,AND($C288&lt;&gt;"",SUMPRODUCT(--(ROW($1:$19)&lt;=LEN($C288&amp;"")),--ISERROR(FIND(MID($C288&amp;"",ROW($1:$19),1),"ABCDEFGHIJKLMNOPQRSTUVWXYZabcdefghijklmnopqrstuvwxyz .,")))&gt;0)),"First Name, ","")&amp;IF(OR($D288="",LEN($D288)&gt;26,AND($D288&lt;&gt;"",SUMPRODUCT(--(ROW($1:$26)&lt;=LEN($D288&amp;"")),--ISERROR(FIND(MID($D288&amp;"",ROW($1:$26),1),"ABCDEFGHIJKLMNOPQRSTUVWXYZabcdefghijklmnopqrstuvwxyz .,")))&gt;0)),"Last Name, ","")&amp;IF(OR(LEN($E288)&gt;1,AND($E288&lt;&gt;"",SUMPRODUCT(--(ROW($1:$1)&lt;=LEN($E288&amp;"")),--ISERROR(FIND(MID($E288&amp;"",ROW($1:$1),1),"ABCDEFGHIJKLMNOPQRSTUVWXYZabcdefghijklmnopqrstuvwxyz .,")))&gt;0)),"Middle Initial, ","")&amp;IF(OR($F288="",LEN($F288)&gt;75),"Address, ","")&amp;IF(OR($H288="",LEN($H288)&gt;30),"City, ","")&amp;IF(AND($K288="US",OR($I288="",LEN($I288)&lt;&gt;2)),"State, ","")&amp;IF($J288="","ZIP, ","")&amp;IF(OR($K288="",AND($K288&lt;&gt;"US",$K288&lt;&gt;"CA")),"Country, ","")&amp;IF(OR($L288="",AND($L288&lt;&gt;"",OR(NOT(ISNUMBER($L288)),$L288&lt;=DATE(1900,1,1),$L288&gt;TODAY()))),"Birthdate, ","")&amp;IF(AND($N288&lt;&gt;"",NOT(IFERROR(AND(ISNUMBER(SEARCH("@",$N288)),ISNUMBER(SEARCH(".",$N288,SEARCH("@",$N288)+2))),FALSE))),"Email, ","")&amp;IF(OR(AND($B288&lt;&gt;"",$O288=""),AND($O288&lt;&gt;"",$O288&lt;&gt;"Spouse or Common Law Spouse",$O288&lt;&gt;"Domestic Partner",$O288&lt;&gt;"Child",$O288&lt;&gt;"Other",$O288&lt;&gt;"Estate",$O288&lt;&gt;"Unknown")),"Dependent Relationship, ","")&amp;IF($AA288&lt;&gt;"","Household, ","")&amp;IF(OR($P288="",AND($P288&lt;&gt;"",OR(NOT(ISNUMBER($P288)),$P288&lt;=DATE(1900,1,1)))),"Eligibility Date, ","")&amp;IF(OR(AND($R288="Terminated",$Q288=""),AND($Q288&lt;&gt;"",OR(NOT(ISNUMBER($Q288)),$Q288&lt;=DATE(1900,1,1))),AND(ISNUMBER($P288),ISNUMBER($Q288),$Q288&lt;$P288)),"Termination Date, ","")&amp;IF(OR($R288="",AND($R288&lt;&gt;"Active",$R288&lt;&gt;"Terminated"),AND('START HERE'!$C$8="Terminations Only",$R288&lt;&gt;"Terminated")),"Status, ","")&amp;IF($S288="","Plan Name, ","")&amp;IF($T288="","Coverage Level, ","")&amp;IF(AND($U288&lt;&gt;"",OR(NOT(ISNUMBER($U288)),$U288&lt;0)),"Funding, ","")&amp;IF(AND($A288&lt;&gt;"",$S288&lt;&gt;"",COUNTIFS($A$2:$A$501,$A288,$B$2:$B$501,$B288,$S$2:$S$501,$S288)&gt;1),"Duplicate Row, ",""))</f>
        <v/>
      </c>
      <c r="AF288">
        <f>IF(COUNTA($A288:$U288)=0,"",$Y288&amp;$Z288&amp;$AA288&amp;$AB288&amp;$AC288)</f>
        <v/>
      </c>
      <c r="AG288">
        <f>IF($N288="","",LOWER(TRIM($N288)))</f>
        <v/>
      </c>
      <c r="AH288">
        <f>IF($A288="","",COUNTIFS($A$2:$A$501,$A288,$AI$2:$AI$501,1))</f>
        <v/>
      </c>
      <c r="AI288">
        <f>IF(COUNTA($A288:$U288)=0,"",--($AF288&lt;&gt;""))</f>
        <v/>
      </c>
      <c r="AJ288">
        <f>IF(COUNTA($A288:$U288)=0,"",--($AD288&lt;&gt;""))</f>
        <v/>
      </c>
    </row>
    <row r="289" ht="20" customHeight="1">
      <c r="A289" s="80" t="n"/>
      <c r="B289" s="80" t="n"/>
      <c r="C289" s="81" t="n"/>
      <c r="D289" s="81" t="n"/>
      <c r="E289" s="80" t="n"/>
      <c r="F289" s="81" t="n"/>
      <c r="G289" s="81" t="n"/>
      <c r="H289" s="81" t="n"/>
      <c r="I289" s="80" t="n"/>
      <c r="J289" s="80" t="n"/>
      <c r="K289" s="80" t="n"/>
      <c r="L289" s="82" t="n"/>
      <c r="M289" s="80" t="n"/>
      <c r="N289" s="80" t="n"/>
      <c r="O289" s="80" t="n"/>
      <c r="P289" s="82" t="n"/>
      <c r="Q289" s="82" t="n"/>
      <c r="R289" s="80" t="n"/>
      <c r="S289" s="80" t="n"/>
      <c r="T289" s="80" t="n"/>
      <c r="U289" s="83" t="n"/>
      <c r="V289">
        <f>IF($A289="","",IF($A289=$A288,$V288,IF($V288="",0,1-$V288)))</f>
        <v/>
      </c>
      <c r="W289">
        <f>IF($B289&lt;&gt;"",$B289,$A289)</f>
        <v/>
      </c>
      <c r="X289">
        <f>IF(COUNTA($A289:$U289)=0,"",IF(OR($B289&lt;&gt;"",$O289&lt;&gt;""),"Dependent","Employee"))</f>
        <v/>
      </c>
      <c r="Y289">
        <f>IF(COUNTA($A289:$U289)=0,"",IF($A289="","Employee SSN is required; ","")&amp;IF($C289="","First Name is required; ","")&amp;IF(LEN($C289&amp;"")&gt;19,"First Name exceeds 19 characters; ","")&amp;IF(AND($C289&lt;&gt;"",SUMPRODUCT(--(ROW($1:$19)&lt;=LEN($C289&amp;"")),--ISERROR(FIND(MID($C289&amp;"",ROW($1:$19),1),"ABCDEFGHIJKLMNOPQRSTUVWXYZabcdefghijklmnopqrstuvwxyz .,")))&gt;0),"First Name contains unsupported or encoded characters; use plain A-Z letters only; ","")&amp;IF($D289="","Last Name is required; ","")&amp;IF(LEN($D289&amp;"")&gt;26,"Last Name exceeds 26 characters; ","")&amp;IF(AND($D289&lt;&gt;"",SUMPRODUCT(--(ROW($1:$26)&lt;=LEN($D289&amp;"")),--ISERROR(FIND(MID($D289&amp;"",ROW($1:$26),1),"ABCDEFGHIJKLMNOPQRSTUVWXYZabcdefghijklmnopqrstuvwxyz .,")))&gt;0),"Last Name contains unsupported or encoded characters; use plain A-Z letters only; ","")&amp;IF(LEN($E289&amp;"")&gt;1,"Middle Initial may contain only one character; ","")&amp;IF(AND($E289&lt;&gt;"",SUMPRODUCT(--(ROW($1:$1)&lt;=LEN($E289&amp;"")),--ISERROR(FIND(MID($E289&amp;"",ROW($1:$1),1),"ABCDEFGHIJKLMNOPQRSTUVWXYZabcdefghijklmnopqrstuvwxyz .,")))&gt;0),"Middle Initial must be a plain A-Z letter; ","")&amp;IF($F289="","Address is required; ","")&amp;IF(LEN($F289&amp;"")&gt;75,"Address exceeds 75 characters; ","")&amp;IF(LEN($G289&amp;"")&gt;75,"Address 2 exceeds 75 characters; ","")&amp;IF($H289="","City is required; ","")&amp;IF(LEN($H289&amp;"")&gt;30,"City exceeds 30 characters; ","")&amp;IF($K289="","Country is required; ","")&amp;IF(AND($K289&lt;&gt;"",$K289&lt;&gt;"US",$K289&lt;&gt;"CA"),"Country must be US or CA; ","")&amp;IF(AND($K289="US",OR($I289="",LEN($I289&amp;"")&lt;&gt;2)),"Use a 2-letter state code; ","")&amp;IF($J289="","ZIP or postal code is required; ","")&amp;IF(AND($K289="US",$J289&lt;&gt;"",NOT(IFERROR(OR(AND(LEN($J289&amp;"")=5,ISNUMBER(--($J289&amp;""))),AND(LEN($J289&amp;"")=9,ISNUMBER(--($J289&amp;""))),AND(LEN($J289&amp;"")=10,MID($J289&amp;"",6,1)="-",ISNUMBER(--SUBSTITUTE($J289&amp;"","-","")))),FALSE))),"US ZIP must be 5 or 9 digits, with an optional ZIP+4 hyphen; ","")&amp;IF(AND($N289&lt;&gt;"",NOT(IFERROR(AND(ISNUMBER(SEARCH("@",$N289)),ISNUMBER(SEARCH(".",$N289,SEARCH("@",$N289)+2))),FALSE))),"Email format appears invalid; ","")&amp;IF(AND($O289&lt;&gt;"",$B289=""),"Dependent SSN is required for every dependent; ","")&amp;IF(AND($B289&lt;&gt;"",$O289=""),"Dependent Relationship is required when Dependent SSN is entered; ","")&amp;IF(AND($O289&lt;&gt;"",$O289&lt;&gt;"Spouse or Common Law Spouse",$O289&lt;&gt;"Domestic Partner",$O289&lt;&gt;"Child",$O289&lt;&gt;"Other",$O289&lt;&gt;"Estate",$O289&lt;&gt;"Unknown"),"Dependent Relationship must use one of the approved options; ",""))</f>
        <v/>
      </c>
      <c r="Z289">
        <f>IF(COUNTA($A289:$U289)=0,"",IF(AND($A289&lt;&gt;"",NOT(IFERROR(AND(LEN($A289&amp;"")=9,ISNUMBER(--($A289&amp;""))),FALSE))),"Employee SSN must contain exactly 9 digits; ","")&amp;IF(AND($A289&lt;&gt;"",OR($A289="123456789",$A289="987654321",$A289="012345678",$A289=REPT(LEFT($A289&amp;"",1),9))),"Employee SSN appears to be a placeholder; ","")&amp;IF(AND($B289&lt;&gt;"",NOT(IFERROR(AND(LEN($B289&amp;"")=9,ISNUMBER(--($B289&amp;""))),FALSE))),"Dependent SSN must contain exactly 9 digits; ","")&amp;IF(AND($B289&lt;&gt;"",OR($B289="123456789",$B289="987654321",$B289="012345678",$B289=REPT(LEFT($B289&amp;"",1),9))),"Dependent SSN appears to be a placeholder; ","")&amp;IF(AND($A289&lt;&gt;"",$B289&lt;&gt;"",$A289&amp;""=$B289&amp;""),"Dependent SSN cannot match Employee SSN; ","")&amp;IF(AND($W289&lt;&gt;"",OR(COUNTIFS($W$2:$W$501,$W289,$C$2:$C$501,"&lt;&gt;"&amp;$C289)&gt;0,COUNTIFS($W$2:$W$501,$W289,$D$2:$D$501,"&lt;&gt;"&amp;$D289)&gt;0,COUNTIFS($W$2:$W$501,$W289,$L$2:$L$501,"&lt;&gt;"&amp;$L289)&gt;0)),"The same SSN is associated with a different name or birthdate; ",""))</f>
        <v/>
      </c>
      <c r="AA289">
        <f>IF(COUNTA($A289:$U289)=0,"",IF(AND($A289&lt;&gt;"",$S289&lt;&gt;"",COUNTIFS($A$2:$A$501,$A289,$S$2:$S$501,$S289,$B$2:$B$501,"",$O$2:$O$501,"")=0),"Add an employee row for this household and plan; ","")&amp;IF(AND($X289="Dependent",COUNTIFS($A$2:$A289,$A289,$S$2:$S289,$S289,$B$2:$B289,"",$O$2:$O289,"")=0),"Place the employee row before dependent rows for this plan; ","")&amp;IF(AND($X289="Dependent",COUNTIFS($A$2:$A$501,$A289,$S$2:$S$501,$S289,$B$2:$B$501,"",$O$2:$O$501,"")&gt;0,IFERROR(OR($P289&lt;&gt;LOOKUP(2,1/(($A$2:$A$501=$A289)*($S$2:$S$501=$S289)*($B$2:$B$501="")*($O$2:$O$501="")),$P$2:$P$501),$Q289&lt;&gt;LOOKUP(2,1/(($A$2:$A$501=$A289)*($S$2:$S$501=$S289)*($B$2:$B$501="")*($O$2:$O$501="")),$Q$2:$Q$501),$R289&lt;&gt;LOOKUP(2,1/(($A$2:$A$501=$A289)*($S$2:$S$501=$S289)*($B$2:$B$501="")*($O$2:$O$501="")),$R$2:$R$501),$T289&lt;&gt;LOOKUP(2,1/(($A$2:$A$501=$A289)*($S$2:$S$501=$S289)*($B$2:$B$501="")*($O$2:$O$501="")),$T$2:$T$501),$U289&lt;&gt;LOOKUP(2,1/(($A$2:$A$501=$A289)*($S$2:$S$501=$S289)*($B$2:$B$501="")*($O$2:$O$501="")),$U$2:$U$501)),FALSE)),"Dependent row does not match the employee row for eligibility, status, coverage level, or funding; ",""))</f>
        <v/>
      </c>
      <c r="AB289">
        <f>IF(COUNTA($A289:$U289)=0,"",IF($L289="","Birthdate is required; ","")&amp;IF(AND($L289&lt;&gt;"",OR(NOT(ISNUMBER($L289)),$L289&lt;=DATE(1900,1,1),$L289&gt;TODAY())),"Birthdate must be an exact valid past date; ","")&amp;IF($P289="","Eligibility Date is required; ","")&amp;IF(AND($P289&lt;&gt;"",OR(NOT(ISNUMBER($P289)),$P289&lt;=DATE(1900,1,1))),"Eligibility Date must be a valid date; ","")&amp;IF(AND($R289="Terminated",$Q289=""),"Termination Date is required when Status is Terminated; ","")&amp;IF(AND($Q289&lt;&gt;"",OR(NOT(ISNUMBER($Q289)),$Q289&lt;=DATE(1900,1,1))),"Termination Date must be a valid date; ","")&amp;IF(AND(ISNUMBER($P289),ISNUMBER($Q289),$Q289&lt;$P289),"Termination Date cannot be before Eligibility Date; ","")&amp;IF($R289="","Status is required; ","")&amp;IF(AND($R289&lt;&gt;"",$R289&lt;&gt;"Active",$R289&lt;&gt;"Terminated"),"Status must be Active or Terminated; ","")&amp;IF(AND('START HERE'!$C$8="Terminations Only",$R289&lt;&gt;"Terminated"),"Terminations Only files must contain terminated records; ",""))</f>
        <v/>
      </c>
      <c r="AC289">
        <f>IF(COUNTA($A289:$U289)=0,"",IF($S289="","Plan Name is required; ","")&amp;IF($T289="","Benefit Coverage Level is required; ","")&amp;IF(AND($U289&lt;&gt;"",OR(NOT(ISNUMBER($U289)),$U289&lt;0)),"Plan Funding Amount must be a nonnegative number; ","")&amp;IF(AND($A289&lt;&gt;"",$S289&lt;&gt;"",COUNTIFS($A$2:$A$501,$A289,$B$2:$B$501,$B289,$S$2:$S$501,$S289)&gt;1),"Duplicate participant and plan row; ",""))</f>
        <v/>
      </c>
      <c r="AD289">
        <f>IF(COUNTA($A289:$U289)=0,"",IF(AND($X289="Employee",$M289="",$N289=""),"No employee phone or email provided; ","")&amp;IF(AND($R289="Active",$Q289&lt;&gt;""),"Active record includes a Termination Date; confirm this is intentional; ","")&amp;IF(AND($B289&lt;&gt;"",$B289&amp;""&lt;&gt;$A289&amp;"",COUNTIF($A$2:$A$501,$B289)&gt;0),"Dependent SSN also appears as an Employee SSN elsewhere; confirm dual-employee coverage is intentional; ","")&amp;IF(AND($B289&lt;&gt;"",COUNTIF($B$2:$B$501,$B289)&gt;COUNTIFS($A$2:$A$501,$A289,$B$2:$B$501,$B289)),"Dependent SSN appears under more than one employee; confirm duplicate family coverage is intentional; ","")&amp;IF(AND(ROW()&gt;2,$A289&lt;&gt;"",$A289&lt;&gt;$A288,COUNTIF($A$2:$A288,$A289)&gt;0),"This household appears in more than one section of the census; keep the family together; ","")&amp;IF(OR(AND($C289&lt;&gt;"",LEN($C289&amp;"")&lt;&gt;LEN(TRIM($C289&amp;""))),AND($D289&lt;&gt;"",LEN($D289&amp;"")&lt;&gt;LEN(TRIM($D289&amp;""))),AND($E289&lt;&gt;"",LEN($E289&amp;"")&lt;&gt;LEN(TRIM($E289&amp;""))),AND($F289&lt;&gt;"",LEN($F289&amp;"")&lt;&gt;LEN(TRIM($F289&amp;""))),AND($G289&lt;&gt;"",LEN($G289&amp;"")&lt;&gt;LEN(TRIM($G289&amp;""))),AND($H289&lt;&gt;"",LEN($H289&amp;"")&lt;&gt;LEN(TRIM($H289&amp;""))),AND($I289&lt;&gt;"",LEN($I289&amp;"")&lt;&gt;LEN(TRIM($I289&amp;""))),AND($J289&lt;&gt;"",LEN($J289&amp;"")&lt;&gt;LEN(TRIM($J289&amp;""))),AND($K289&lt;&gt;"",LEN($K289&amp;"")&lt;&gt;LEN(TRIM($K289&amp;""))),AND($M289&lt;&gt;"",LEN($M289&amp;"")&lt;&gt;LEN(TRIM($M289&amp;""))),AND($N289&lt;&gt;"",LEN($N289&amp;"")&lt;&gt;LEN(TRIM($N289&amp;""))),AND($O289&lt;&gt;"",LEN($O289&amp;"")&lt;&gt;LEN(TRIM($O289&amp;""))),AND($R289&lt;&gt;"",LEN($R289&amp;"")&lt;&gt;LEN(TRIM($R289&amp;""))),AND($S289&lt;&gt;"",LEN($S289&amp;"")&lt;&gt;LEN(TRIM($S289&amp;""))),AND($T289&lt;&gt;"",LEN($T289&amp;"")&lt;&gt;LEN(TRIM($T289&amp;"")))),"Remove leading or trailing spaces from text fields; ","")&amp;IF(OR(AND(LEN($C289)&gt;1,OR(EXACT($C289,UPPER($C289)),EXACT($C289,LOWER($C289)))),AND(LEN($D289)&gt;1,OR(EXACT($D289,UPPER($D289)),EXACT($D289,LOWER($D289)))),AND(LEN($H289)&gt;1,OR(EXACT($H289,UPPER($H289)),EXACT($H289,LOWER($H289))))),"Review capitalization in First Name, Last Name, or City; ","")&amp;IF(AND($N289&lt;&gt;"",NOT(EXACT($N289,LOWER($N289)))),"Email will be standardized to lowercase in the clean output; ","")&amp;IF(AND(OR('START HERE'!$C$8="Initial Enrollment",'START HERE'!$C$8="Open Enrollment"),$R289="Terminated"),"A terminated row is included in an initial or open enrollment file; confirm this is intentional; ",""))</f>
        <v/>
      </c>
      <c r="AE289">
        <f>IF(COUNTA($A289:$U289)=0,"",IF(OR($A289="",AND($A289&lt;&gt;"",NOT(IFERROR(AND(LEN($A289&amp;"")=9,ISNUMBER(--($A289&amp;""))),FALSE))),AND($A289&lt;&gt;"",OR($A289="123456789",$A289="987654321",$A289="012345678",$A289=REPT(LEFT($A289&amp;"",1),9)))),"Employee SSN, ","")&amp;IF(OR(AND($O289&lt;&gt;"",$B289=""),AND($B289&lt;&gt;"",OR(NOT(IFERROR(AND(LEN($B289&amp;"")=9,ISNUMBER(--($B289&amp;""))),FALSE)),$B289=$A289,$B289="123456789",$B289="987654321",$B289="012345678",$B289=REPT(LEFT($B289&amp;"",1),9)))),"Dependent SSN, ","")&amp;IF(OR($C289="",LEN($C289)&gt;19,AND($C289&lt;&gt;"",SUMPRODUCT(--(ROW($1:$19)&lt;=LEN($C289&amp;"")),--ISERROR(FIND(MID($C289&amp;"",ROW($1:$19),1),"ABCDEFGHIJKLMNOPQRSTUVWXYZabcdefghijklmnopqrstuvwxyz .,")))&gt;0)),"First Name, ","")&amp;IF(OR($D289="",LEN($D289)&gt;26,AND($D289&lt;&gt;"",SUMPRODUCT(--(ROW($1:$26)&lt;=LEN($D289&amp;"")),--ISERROR(FIND(MID($D289&amp;"",ROW($1:$26),1),"ABCDEFGHIJKLMNOPQRSTUVWXYZabcdefghijklmnopqrstuvwxyz .,")))&gt;0)),"Last Name, ","")&amp;IF(OR(LEN($E289)&gt;1,AND($E289&lt;&gt;"",SUMPRODUCT(--(ROW($1:$1)&lt;=LEN($E289&amp;"")),--ISERROR(FIND(MID($E289&amp;"",ROW($1:$1),1),"ABCDEFGHIJKLMNOPQRSTUVWXYZabcdefghijklmnopqrstuvwxyz .,")))&gt;0)),"Middle Initial, ","")&amp;IF(OR($F289="",LEN($F289)&gt;75),"Address, ","")&amp;IF(OR($H289="",LEN($H289)&gt;30),"City, ","")&amp;IF(AND($K289="US",OR($I289="",LEN($I289)&lt;&gt;2)),"State, ","")&amp;IF($J289="","ZIP, ","")&amp;IF(OR($K289="",AND($K289&lt;&gt;"US",$K289&lt;&gt;"CA")),"Country, ","")&amp;IF(OR($L289="",AND($L289&lt;&gt;"",OR(NOT(ISNUMBER($L289)),$L289&lt;=DATE(1900,1,1),$L289&gt;TODAY()))),"Birthdate, ","")&amp;IF(AND($N289&lt;&gt;"",NOT(IFERROR(AND(ISNUMBER(SEARCH("@",$N289)),ISNUMBER(SEARCH(".",$N289,SEARCH("@",$N289)+2))),FALSE))),"Email, ","")&amp;IF(OR(AND($B289&lt;&gt;"",$O289=""),AND($O289&lt;&gt;"",$O289&lt;&gt;"Spouse or Common Law Spouse",$O289&lt;&gt;"Domestic Partner",$O289&lt;&gt;"Child",$O289&lt;&gt;"Other",$O289&lt;&gt;"Estate",$O289&lt;&gt;"Unknown")),"Dependent Relationship, ","")&amp;IF($AA289&lt;&gt;"","Household, ","")&amp;IF(OR($P289="",AND($P289&lt;&gt;"",OR(NOT(ISNUMBER($P289)),$P289&lt;=DATE(1900,1,1)))),"Eligibility Date, ","")&amp;IF(OR(AND($R289="Terminated",$Q289=""),AND($Q289&lt;&gt;"",OR(NOT(ISNUMBER($Q289)),$Q289&lt;=DATE(1900,1,1))),AND(ISNUMBER($P289),ISNUMBER($Q289),$Q289&lt;$P289)),"Termination Date, ","")&amp;IF(OR($R289="",AND($R289&lt;&gt;"Active",$R289&lt;&gt;"Terminated"),AND('START HERE'!$C$8="Terminations Only",$R289&lt;&gt;"Terminated")),"Status, ","")&amp;IF($S289="","Plan Name, ","")&amp;IF($T289="","Coverage Level, ","")&amp;IF(AND($U289&lt;&gt;"",OR(NOT(ISNUMBER($U289)),$U289&lt;0)),"Funding, ","")&amp;IF(AND($A289&lt;&gt;"",$S289&lt;&gt;"",COUNTIFS($A$2:$A$501,$A289,$B$2:$B$501,$B289,$S$2:$S$501,$S289)&gt;1),"Duplicate Row, ",""))</f>
        <v/>
      </c>
      <c r="AF289">
        <f>IF(COUNTA($A289:$U289)=0,"",$Y289&amp;$Z289&amp;$AA289&amp;$AB289&amp;$AC289)</f>
        <v/>
      </c>
      <c r="AG289">
        <f>IF($N289="","",LOWER(TRIM($N289)))</f>
        <v/>
      </c>
      <c r="AH289">
        <f>IF($A289="","",COUNTIFS($A$2:$A$501,$A289,$AI$2:$AI$501,1))</f>
        <v/>
      </c>
      <c r="AI289">
        <f>IF(COUNTA($A289:$U289)=0,"",--($AF289&lt;&gt;""))</f>
        <v/>
      </c>
      <c r="AJ289">
        <f>IF(COUNTA($A289:$U289)=0,"",--($AD289&lt;&gt;""))</f>
        <v/>
      </c>
    </row>
    <row r="290" ht="20" customHeight="1">
      <c r="A290" s="80" t="n"/>
      <c r="B290" s="80" t="n"/>
      <c r="C290" s="81" t="n"/>
      <c r="D290" s="81" t="n"/>
      <c r="E290" s="80" t="n"/>
      <c r="F290" s="81" t="n"/>
      <c r="G290" s="81" t="n"/>
      <c r="H290" s="81" t="n"/>
      <c r="I290" s="80" t="n"/>
      <c r="J290" s="80" t="n"/>
      <c r="K290" s="80" t="n"/>
      <c r="L290" s="82" t="n"/>
      <c r="M290" s="80" t="n"/>
      <c r="N290" s="80" t="n"/>
      <c r="O290" s="80" t="n"/>
      <c r="P290" s="82" t="n"/>
      <c r="Q290" s="82" t="n"/>
      <c r="R290" s="80" t="n"/>
      <c r="S290" s="80" t="n"/>
      <c r="T290" s="80" t="n"/>
      <c r="U290" s="83" t="n"/>
      <c r="V290">
        <f>IF($A290="","",IF($A290=$A289,$V289,IF($V289="",0,1-$V289)))</f>
        <v/>
      </c>
      <c r="W290">
        <f>IF($B290&lt;&gt;"",$B290,$A290)</f>
        <v/>
      </c>
      <c r="X290">
        <f>IF(COUNTA($A290:$U290)=0,"",IF(OR($B290&lt;&gt;"",$O290&lt;&gt;""),"Dependent","Employee"))</f>
        <v/>
      </c>
      <c r="Y290">
        <f>IF(COUNTA($A290:$U290)=0,"",IF($A290="","Employee SSN is required; ","")&amp;IF($C290="","First Name is required; ","")&amp;IF(LEN($C290&amp;"")&gt;19,"First Name exceeds 19 characters; ","")&amp;IF(AND($C290&lt;&gt;"",SUMPRODUCT(--(ROW($1:$19)&lt;=LEN($C290&amp;"")),--ISERROR(FIND(MID($C290&amp;"",ROW($1:$19),1),"ABCDEFGHIJKLMNOPQRSTUVWXYZabcdefghijklmnopqrstuvwxyz .,")))&gt;0),"First Name contains unsupported or encoded characters; use plain A-Z letters only; ","")&amp;IF($D290="","Last Name is required; ","")&amp;IF(LEN($D290&amp;"")&gt;26,"Last Name exceeds 26 characters; ","")&amp;IF(AND($D290&lt;&gt;"",SUMPRODUCT(--(ROW($1:$26)&lt;=LEN($D290&amp;"")),--ISERROR(FIND(MID($D290&amp;"",ROW($1:$26),1),"ABCDEFGHIJKLMNOPQRSTUVWXYZabcdefghijklmnopqrstuvwxyz .,")))&gt;0),"Last Name contains unsupported or encoded characters; use plain A-Z letters only; ","")&amp;IF(LEN($E290&amp;"")&gt;1,"Middle Initial may contain only one character; ","")&amp;IF(AND($E290&lt;&gt;"",SUMPRODUCT(--(ROW($1:$1)&lt;=LEN($E290&amp;"")),--ISERROR(FIND(MID($E290&amp;"",ROW($1:$1),1),"ABCDEFGHIJKLMNOPQRSTUVWXYZabcdefghijklmnopqrstuvwxyz .,")))&gt;0),"Middle Initial must be a plain A-Z letter; ","")&amp;IF($F290="","Address is required; ","")&amp;IF(LEN($F290&amp;"")&gt;75,"Address exceeds 75 characters; ","")&amp;IF(LEN($G290&amp;"")&gt;75,"Address 2 exceeds 75 characters; ","")&amp;IF($H290="","City is required; ","")&amp;IF(LEN($H290&amp;"")&gt;30,"City exceeds 30 characters; ","")&amp;IF($K290="","Country is required; ","")&amp;IF(AND($K290&lt;&gt;"",$K290&lt;&gt;"US",$K290&lt;&gt;"CA"),"Country must be US or CA; ","")&amp;IF(AND($K290="US",OR($I290="",LEN($I290&amp;"")&lt;&gt;2)),"Use a 2-letter state code; ","")&amp;IF($J290="","ZIP or postal code is required; ","")&amp;IF(AND($K290="US",$J290&lt;&gt;"",NOT(IFERROR(OR(AND(LEN($J290&amp;"")=5,ISNUMBER(--($J290&amp;""))),AND(LEN($J290&amp;"")=9,ISNUMBER(--($J290&amp;""))),AND(LEN($J290&amp;"")=10,MID($J290&amp;"",6,1)="-",ISNUMBER(--SUBSTITUTE($J290&amp;"","-","")))),FALSE))),"US ZIP must be 5 or 9 digits, with an optional ZIP+4 hyphen; ","")&amp;IF(AND($N290&lt;&gt;"",NOT(IFERROR(AND(ISNUMBER(SEARCH("@",$N290)),ISNUMBER(SEARCH(".",$N290,SEARCH("@",$N290)+2))),FALSE))),"Email format appears invalid; ","")&amp;IF(AND($O290&lt;&gt;"",$B290=""),"Dependent SSN is required for every dependent; ","")&amp;IF(AND($B290&lt;&gt;"",$O290=""),"Dependent Relationship is required when Dependent SSN is entered; ","")&amp;IF(AND($O290&lt;&gt;"",$O290&lt;&gt;"Spouse or Common Law Spouse",$O290&lt;&gt;"Domestic Partner",$O290&lt;&gt;"Child",$O290&lt;&gt;"Other",$O290&lt;&gt;"Estate",$O290&lt;&gt;"Unknown"),"Dependent Relationship must use one of the approved options; ",""))</f>
        <v/>
      </c>
      <c r="Z290">
        <f>IF(COUNTA($A290:$U290)=0,"",IF(AND($A290&lt;&gt;"",NOT(IFERROR(AND(LEN($A290&amp;"")=9,ISNUMBER(--($A290&amp;""))),FALSE))),"Employee SSN must contain exactly 9 digits; ","")&amp;IF(AND($A290&lt;&gt;"",OR($A290="123456789",$A290="987654321",$A290="012345678",$A290=REPT(LEFT($A290&amp;"",1),9))),"Employee SSN appears to be a placeholder; ","")&amp;IF(AND($B290&lt;&gt;"",NOT(IFERROR(AND(LEN($B290&amp;"")=9,ISNUMBER(--($B290&amp;""))),FALSE))),"Dependent SSN must contain exactly 9 digits; ","")&amp;IF(AND($B290&lt;&gt;"",OR($B290="123456789",$B290="987654321",$B290="012345678",$B290=REPT(LEFT($B290&amp;"",1),9))),"Dependent SSN appears to be a placeholder; ","")&amp;IF(AND($A290&lt;&gt;"",$B290&lt;&gt;"",$A290&amp;""=$B290&amp;""),"Dependent SSN cannot match Employee SSN; ","")&amp;IF(AND($W290&lt;&gt;"",OR(COUNTIFS($W$2:$W$501,$W290,$C$2:$C$501,"&lt;&gt;"&amp;$C290)&gt;0,COUNTIFS($W$2:$W$501,$W290,$D$2:$D$501,"&lt;&gt;"&amp;$D290)&gt;0,COUNTIFS($W$2:$W$501,$W290,$L$2:$L$501,"&lt;&gt;"&amp;$L290)&gt;0)),"The same SSN is associated with a different name or birthdate; ",""))</f>
        <v/>
      </c>
      <c r="AA290">
        <f>IF(COUNTA($A290:$U290)=0,"",IF(AND($A290&lt;&gt;"",$S290&lt;&gt;"",COUNTIFS($A$2:$A$501,$A290,$S$2:$S$501,$S290,$B$2:$B$501,"",$O$2:$O$501,"")=0),"Add an employee row for this household and plan; ","")&amp;IF(AND($X290="Dependent",COUNTIFS($A$2:$A290,$A290,$S$2:$S290,$S290,$B$2:$B290,"",$O$2:$O290,"")=0),"Place the employee row before dependent rows for this plan; ","")&amp;IF(AND($X290="Dependent",COUNTIFS($A$2:$A$501,$A290,$S$2:$S$501,$S290,$B$2:$B$501,"",$O$2:$O$501,"")&gt;0,IFERROR(OR($P290&lt;&gt;LOOKUP(2,1/(($A$2:$A$501=$A290)*($S$2:$S$501=$S290)*($B$2:$B$501="")*($O$2:$O$501="")),$P$2:$P$501),$Q290&lt;&gt;LOOKUP(2,1/(($A$2:$A$501=$A290)*($S$2:$S$501=$S290)*($B$2:$B$501="")*($O$2:$O$501="")),$Q$2:$Q$501),$R290&lt;&gt;LOOKUP(2,1/(($A$2:$A$501=$A290)*($S$2:$S$501=$S290)*($B$2:$B$501="")*($O$2:$O$501="")),$R$2:$R$501),$T290&lt;&gt;LOOKUP(2,1/(($A$2:$A$501=$A290)*($S$2:$S$501=$S290)*($B$2:$B$501="")*($O$2:$O$501="")),$T$2:$T$501),$U290&lt;&gt;LOOKUP(2,1/(($A$2:$A$501=$A290)*($S$2:$S$501=$S290)*($B$2:$B$501="")*($O$2:$O$501="")),$U$2:$U$501)),FALSE)),"Dependent row does not match the employee row for eligibility, status, coverage level, or funding; ",""))</f>
        <v/>
      </c>
      <c r="AB290">
        <f>IF(COUNTA($A290:$U290)=0,"",IF($L290="","Birthdate is required; ","")&amp;IF(AND($L290&lt;&gt;"",OR(NOT(ISNUMBER($L290)),$L290&lt;=DATE(1900,1,1),$L290&gt;TODAY())),"Birthdate must be an exact valid past date; ","")&amp;IF($P290="","Eligibility Date is required; ","")&amp;IF(AND($P290&lt;&gt;"",OR(NOT(ISNUMBER($P290)),$P290&lt;=DATE(1900,1,1))),"Eligibility Date must be a valid date; ","")&amp;IF(AND($R290="Terminated",$Q290=""),"Termination Date is required when Status is Terminated; ","")&amp;IF(AND($Q290&lt;&gt;"",OR(NOT(ISNUMBER($Q290)),$Q290&lt;=DATE(1900,1,1))),"Termination Date must be a valid date; ","")&amp;IF(AND(ISNUMBER($P290),ISNUMBER($Q290),$Q290&lt;$P290),"Termination Date cannot be before Eligibility Date; ","")&amp;IF($R290="","Status is required; ","")&amp;IF(AND($R290&lt;&gt;"",$R290&lt;&gt;"Active",$R290&lt;&gt;"Terminated"),"Status must be Active or Terminated; ","")&amp;IF(AND('START HERE'!$C$8="Terminations Only",$R290&lt;&gt;"Terminated"),"Terminations Only files must contain terminated records; ",""))</f>
        <v/>
      </c>
      <c r="AC290">
        <f>IF(COUNTA($A290:$U290)=0,"",IF($S290="","Plan Name is required; ","")&amp;IF($T290="","Benefit Coverage Level is required; ","")&amp;IF(AND($U290&lt;&gt;"",OR(NOT(ISNUMBER($U290)),$U290&lt;0)),"Plan Funding Amount must be a nonnegative number; ","")&amp;IF(AND($A290&lt;&gt;"",$S290&lt;&gt;"",COUNTIFS($A$2:$A$501,$A290,$B$2:$B$501,$B290,$S$2:$S$501,$S290)&gt;1),"Duplicate participant and plan row; ",""))</f>
        <v/>
      </c>
      <c r="AD290">
        <f>IF(COUNTA($A290:$U290)=0,"",IF(AND($X290="Employee",$M290="",$N290=""),"No employee phone or email provided; ","")&amp;IF(AND($R290="Active",$Q290&lt;&gt;""),"Active record includes a Termination Date; confirm this is intentional; ","")&amp;IF(AND($B290&lt;&gt;"",$B290&amp;""&lt;&gt;$A290&amp;"",COUNTIF($A$2:$A$501,$B290)&gt;0),"Dependent SSN also appears as an Employee SSN elsewhere; confirm dual-employee coverage is intentional; ","")&amp;IF(AND($B290&lt;&gt;"",COUNTIF($B$2:$B$501,$B290)&gt;COUNTIFS($A$2:$A$501,$A290,$B$2:$B$501,$B290)),"Dependent SSN appears under more than one employee; confirm duplicate family coverage is intentional; ","")&amp;IF(AND(ROW()&gt;2,$A290&lt;&gt;"",$A290&lt;&gt;$A289,COUNTIF($A$2:$A289,$A290)&gt;0),"This household appears in more than one section of the census; keep the family together; ","")&amp;IF(OR(AND($C290&lt;&gt;"",LEN($C290&amp;"")&lt;&gt;LEN(TRIM($C290&amp;""))),AND($D290&lt;&gt;"",LEN($D290&amp;"")&lt;&gt;LEN(TRIM($D290&amp;""))),AND($E290&lt;&gt;"",LEN($E290&amp;"")&lt;&gt;LEN(TRIM($E290&amp;""))),AND($F290&lt;&gt;"",LEN($F290&amp;"")&lt;&gt;LEN(TRIM($F290&amp;""))),AND($G290&lt;&gt;"",LEN($G290&amp;"")&lt;&gt;LEN(TRIM($G290&amp;""))),AND($H290&lt;&gt;"",LEN($H290&amp;"")&lt;&gt;LEN(TRIM($H290&amp;""))),AND($I290&lt;&gt;"",LEN($I290&amp;"")&lt;&gt;LEN(TRIM($I290&amp;""))),AND($J290&lt;&gt;"",LEN($J290&amp;"")&lt;&gt;LEN(TRIM($J290&amp;""))),AND($K290&lt;&gt;"",LEN($K290&amp;"")&lt;&gt;LEN(TRIM($K290&amp;""))),AND($M290&lt;&gt;"",LEN($M290&amp;"")&lt;&gt;LEN(TRIM($M290&amp;""))),AND($N290&lt;&gt;"",LEN($N290&amp;"")&lt;&gt;LEN(TRIM($N290&amp;""))),AND($O290&lt;&gt;"",LEN($O290&amp;"")&lt;&gt;LEN(TRIM($O290&amp;""))),AND($R290&lt;&gt;"",LEN($R290&amp;"")&lt;&gt;LEN(TRIM($R290&amp;""))),AND($S290&lt;&gt;"",LEN($S290&amp;"")&lt;&gt;LEN(TRIM($S290&amp;""))),AND($T290&lt;&gt;"",LEN($T290&amp;"")&lt;&gt;LEN(TRIM($T290&amp;"")))),"Remove leading or trailing spaces from text fields; ","")&amp;IF(OR(AND(LEN($C290)&gt;1,OR(EXACT($C290,UPPER($C290)),EXACT($C290,LOWER($C290)))),AND(LEN($D290)&gt;1,OR(EXACT($D290,UPPER($D290)),EXACT($D290,LOWER($D290)))),AND(LEN($H290)&gt;1,OR(EXACT($H290,UPPER($H290)),EXACT($H290,LOWER($H290))))),"Review capitalization in First Name, Last Name, or City; ","")&amp;IF(AND($N290&lt;&gt;"",NOT(EXACT($N290,LOWER($N290)))),"Email will be standardized to lowercase in the clean output; ","")&amp;IF(AND(OR('START HERE'!$C$8="Initial Enrollment",'START HERE'!$C$8="Open Enrollment"),$R290="Terminated"),"A terminated row is included in an initial or open enrollment file; confirm this is intentional; ",""))</f>
        <v/>
      </c>
      <c r="AE290">
        <f>IF(COUNTA($A290:$U290)=0,"",IF(OR($A290="",AND($A290&lt;&gt;"",NOT(IFERROR(AND(LEN($A290&amp;"")=9,ISNUMBER(--($A290&amp;""))),FALSE))),AND($A290&lt;&gt;"",OR($A290="123456789",$A290="987654321",$A290="012345678",$A290=REPT(LEFT($A290&amp;"",1),9)))),"Employee SSN, ","")&amp;IF(OR(AND($O290&lt;&gt;"",$B290=""),AND($B290&lt;&gt;"",OR(NOT(IFERROR(AND(LEN($B290&amp;"")=9,ISNUMBER(--($B290&amp;""))),FALSE)),$B290=$A290,$B290="123456789",$B290="987654321",$B290="012345678",$B290=REPT(LEFT($B290&amp;"",1),9)))),"Dependent SSN, ","")&amp;IF(OR($C290="",LEN($C290)&gt;19,AND($C290&lt;&gt;"",SUMPRODUCT(--(ROW($1:$19)&lt;=LEN($C290&amp;"")),--ISERROR(FIND(MID($C290&amp;"",ROW($1:$19),1),"ABCDEFGHIJKLMNOPQRSTUVWXYZabcdefghijklmnopqrstuvwxyz .,")))&gt;0)),"First Name, ","")&amp;IF(OR($D290="",LEN($D290)&gt;26,AND($D290&lt;&gt;"",SUMPRODUCT(--(ROW($1:$26)&lt;=LEN($D290&amp;"")),--ISERROR(FIND(MID($D290&amp;"",ROW($1:$26),1),"ABCDEFGHIJKLMNOPQRSTUVWXYZabcdefghijklmnopqrstuvwxyz .,")))&gt;0)),"Last Name, ","")&amp;IF(OR(LEN($E290)&gt;1,AND($E290&lt;&gt;"",SUMPRODUCT(--(ROW($1:$1)&lt;=LEN($E290&amp;"")),--ISERROR(FIND(MID($E290&amp;"",ROW($1:$1),1),"ABCDEFGHIJKLMNOPQRSTUVWXYZabcdefghijklmnopqrstuvwxyz .,")))&gt;0)),"Middle Initial, ","")&amp;IF(OR($F290="",LEN($F290)&gt;75),"Address, ","")&amp;IF(OR($H290="",LEN($H290)&gt;30),"City, ","")&amp;IF(AND($K290="US",OR($I290="",LEN($I290)&lt;&gt;2)),"State, ","")&amp;IF($J290="","ZIP, ","")&amp;IF(OR($K290="",AND($K290&lt;&gt;"US",$K290&lt;&gt;"CA")),"Country, ","")&amp;IF(OR($L290="",AND($L290&lt;&gt;"",OR(NOT(ISNUMBER($L290)),$L290&lt;=DATE(1900,1,1),$L290&gt;TODAY()))),"Birthdate, ","")&amp;IF(AND($N290&lt;&gt;"",NOT(IFERROR(AND(ISNUMBER(SEARCH("@",$N290)),ISNUMBER(SEARCH(".",$N290,SEARCH("@",$N290)+2))),FALSE))),"Email, ","")&amp;IF(OR(AND($B290&lt;&gt;"",$O290=""),AND($O290&lt;&gt;"",$O290&lt;&gt;"Spouse or Common Law Spouse",$O290&lt;&gt;"Domestic Partner",$O290&lt;&gt;"Child",$O290&lt;&gt;"Other",$O290&lt;&gt;"Estate",$O290&lt;&gt;"Unknown")),"Dependent Relationship, ","")&amp;IF($AA290&lt;&gt;"","Household, ","")&amp;IF(OR($P290="",AND($P290&lt;&gt;"",OR(NOT(ISNUMBER($P290)),$P290&lt;=DATE(1900,1,1)))),"Eligibility Date, ","")&amp;IF(OR(AND($R290="Terminated",$Q290=""),AND($Q290&lt;&gt;"",OR(NOT(ISNUMBER($Q290)),$Q290&lt;=DATE(1900,1,1))),AND(ISNUMBER($P290),ISNUMBER($Q290),$Q290&lt;$P290)),"Termination Date, ","")&amp;IF(OR($R290="",AND($R290&lt;&gt;"Active",$R290&lt;&gt;"Terminated"),AND('START HERE'!$C$8="Terminations Only",$R290&lt;&gt;"Terminated")),"Status, ","")&amp;IF($S290="","Plan Name, ","")&amp;IF($T290="","Coverage Level, ","")&amp;IF(AND($U290&lt;&gt;"",OR(NOT(ISNUMBER($U290)),$U290&lt;0)),"Funding, ","")&amp;IF(AND($A290&lt;&gt;"",$S290&lt;&gt;"",COUNTIFS($A$2:$A$501,$A290,$B$2:$B$501,$B290,$S$2:$S$501,$S290)&gt;1),"Duplicate Row, ",""))</f>
        <v/>
      </c>
      <c r="AF290">
        <f>IF(COUNTA($A290:$U290)=0,"",$Y290&amp;$Z290&amp;$AA290&amp;$AB290&amp;$AC290)</f>
        <v/>
      </c>
      <c r="AG290">
        <f>IF($N290="","",LOWER(TRIM($N290)))</f>
        <v/>
      </c>
      <c r="AH290">
        <f>IF($A290="","",COUNTIFS($A$2:$A$501,$A290,$AI$2:$AI$501,1))</f>
        <v/>
      </c>
      <c r="AI290">
        <f>IF(COUNTA($A290:$U290)=0,"",--($AF290&lt;&gt;""))</f>
        <v/>
      </c>
      <c r="AJ290">
        <f>IF(COUNTA($A290:$U290)=0,"",--($AD290&lt;&gt;""))</f>
        <v/>
      </c>
    </row>
    <row r="291" ht="20" customHeight="1">
      <c r="A291" s="80" t="n"/>
      <c r="B291" s="80" t="n"/>
      <c r="C291" s="81" t="n"/>
      <c r="D291" s="81" t="n"/>
      <c r="E291" s="80" t="n"/>
      <c r="F291" s="81" t="n"/>
      <c r="G291" s="81" t="n"/>
      <c r="H291" s="81" t="n"/>
      <c r="I291" s="80" t="n"/>
      <c r="J291" s="80" t="n"/>
      <c r="K291" s="80" t="n"/>
      <c r="L291" s="82" t="n"/>
      <c r="M291" s="80" t="n"/>
      <c r="N291" s="80" t="n"/>
      <c r="O291" s="80" t="n"/>
      <c r="P291" s="82" t="n"/>
      <c r="Q291" s="82" t="n"/>
      <c r="R291" s="80" t="n"/>
      <c r="S291" s="80" t="n"/>
      <c r="T291" s="80" t="n"/>
      <c r="U291" s="83" t="n"/>
      <c r="V291">
        <f>IF($A291="","",IF($A291=$A290,$V290,IF($V290="",0,1-$V290)))</f>
        <v/>
      </c>
      <c r="W291">
        <f>IF($B291&lt;&gt;"",$B291,$A291)</f>
        <v/>
      </c>
      <c r="X291">
        <f>IF(COUNTA($A291:$U291)=0,"",IF(OR($B291&lt;&gt;"",$O291&lt;&gt;""),"Dependent","Employee"))</f>
        <v/>
      </c>
      <c r="Y291">
        <f>IF(COUNTA($A291:$U291)=0,"",IF($A291="","Employee SSN is required; ","")&amp;IF($C291="","First Name is required; ","")&amp;IF(LEN($C291&amp;"")&gt;19,"First Name exceeds 19 characters; ","")&amp;IF(AND($C291&lt;&gt;"",SUMPRODUCT(--(ROW($1:$19)&lt;=LEN($C291&amp;"")),--ISERROR(FIND(MID($C291&amp;"",ROW($1:$19),1),"ABCDEFGHIJKLMNOPQRSTUVWXYZabcdefghijklmnopqrstuvwxyz .,")))&gt;0),"First Name contains unsupported or encoded characters; use plain A-Z letters only; ","")&amp;IF($D291="","Last Name is required; ","")&amp;IF(LEN($D291&amp;"")&gt;26,"Last Name exceeds 26 characters; ","")&amp;IF(AND($D291&lt;&gt;"",SUMPRODUCT(--(ROW($1:$26)&lt;=LEN($D291&amp;"")),--ISERROR(FIND(MID($D291&amp;"",ROW($1:$26),1),"ABCDEFGHIJKLMNOPQRSTUVWXYZabcdefghijklmnopqrstuvwxyz .,")))&gt;0),"Last Name contains unsupported or encoded characters; use plain A-Z letters only; ","")&amp;IF(LEN($E291&amp;"")&gt;1,"Middle Initial may contain only one character; ","")&amp;IF(AND($E291&lt;&gt;"",SUMPRODUCT(--(ROW($1:$1)&lt;=LEN($E291&amp;"")),--ISERROR(FIND(MID($E291&amp;"",ROW($1:$1),1),"ABCDEFGHIJKLMNOPQRSTUVWXYZabcdefghijklmnopqrstuvwxyz .,")))&gt;0),"Middle Initial must be a plain A-Z letter; ","")&amp;IF($F291="","Address is required; ","")&amp;IF(LEN($F291&amp;"")&gt;75,"Address exceeds 75 characters; ","")&amp;IF(LEN($G291&amp;"")&gt;75,"Address 2 exceeds 75 characters; ","")&amp;IF($H291="","City is required; ","")&amp;IF(LEN($H291&amp;"")&gt;30,"City exceeds 30 characters; ","")&amp;IF($K291="","Country is required; ","")&amp;IF(AND($K291&lt;&gt;"",$K291&lt;&gt;"US",$K291&lt;&gt;"CA"),"Country must be US or CA; ","")&amp;IF(AND($K291="US",OR($I291="",LEN($I291&amp;"")&lt;&gt;2)),"Use a 2-letter state code; ","")&amp;IF($J291="","ZIP or postal code is required; ","")&amp;IF(AND($K291="US",$J291&lt;&gt;"",NOT(IFERROR(OR(AND(LEN($J291&amp;"")=5,ISNUMBER(--($J291&amp;""))),AND(LEN($J291&amp;"")=9,ISNUMBER(--($J291&amp;""))),AND(LEN($J291&amp;"")=10,MID($J291&amp;"",6,1)="-",ISNUMBER(--SUBSTITUTE($J291&amp;"","-","")))),FALSE))),"US ZIP must be 5 or 9 digits, with an optional ZIP+4 hyphen; ","")&amp;IF(AND($N291&lt;&gt;"",NOT(IFERROR(AND(ISNUMBER(SEARCH("@",$N291)),ISNUMBER(SEARCH(".",$N291,SEARCH("@",$N291)+2))),FALSE))),"Email format appears invalid; ","")&amp;IF(AND($O291&lt;&gt;"",$B291=""),"Dependent SSN is required for every dependent; ","")&amp;IF(AND($B291&lt;&gt;"",$O291=""),"Dependent Relationship is required when Dependent SSN is entered; ","")&amp;IF(AND($O291&lt;&gt;"",$O291&lt;&gt;"Spouse or Common Law Spouse",$O291&lt;&gt;"Domestic Partner",$O291&lt;&gt;"Child",$O291&lt;&gt;"Other",$O291&lt;&gt;"Estate",$O291&lt;&gt;"Unknown"),"Dependent Relationship must use one of the approved options; ",""))</f>
        <v/>
      </c>
      <c r="Z291">
        <f>IF(COUNTA($A291:$U291)=0,"",IF(AND($A291&lt;&gt;"",NOT(IFERROR(AND(LEN($A291&amp;"")=9,ISNUMBER(--($A291&amp;""))),FALSE))),"Employee SSN must contain exactly 9 digits; ","")&amp;IF(AND($A291&lt;&gt;"",OR($A291="123456789",$A291="987654321",$A291="012345678",$A291=REPT(LEFT($A291&amp;"",1),9))),"Employee SSN appears to be a placeholder; ","")&amp;IF(AND($B291&lt;&gt;"",NOT(IFERROR(AND(LEN($B291&amp;"")=9,ISNUMBER(--($B291&amp;""))),FALSE))),"Dependent SSN must contain exactly 9 digits; ","")&amp;IF(AND($B291&lt;&gt;"",OR($B291="123456789",$B291="987654321",$B291="012345678",$B291=REPT(LEFT($B291&amp;"",1),9))),"Dependent SSN appears to be a placeholder; ","")&amp;IF(AND($A291&lt;&gt;"",$B291&lt;&gt;"",$A291&amp;""=$B291&amp;""),"Dependent SSN cannot match Employee SSN; ","")&amp;IF(AND($W291&lt;&gt;"",OR(COUNTIFS($W$2:$W$501,$W291,$C$2:$C$501,"&lt;&gt;"&amp;$C291)&gt;0,COUNTIFS($W$2:$W$501,$W291,$D$2:$D$501,"&lt;&gt;"&amp;$D291)&gt;0,COUNTIFS($W$2:$W$501,$W291,$L$2:$L$501,"&lt;&gt;"&amp;$L291)&gt;0)),"The same SSN is associated with a different name or birthdate; ",""))</f>
        <v/>
      </c>
      <c r="AA291">
        <f>IF(COUNTA($A291:$U291)=0,"",IF(AND($A291&lt;&gt;"",$S291&lt;&gt;"",COUNTIFS($A$2:$A$501,$A291,$S$2:$S$501,$S291,$B$2:$B$501,"",$O$2:$O$501,"")=0),"Add an employee row for this household and plan; ","")&amp;IF(AND($X291="Dependent",COUNTIFS($A$2:$A291,$A291,$S$2:$S291,$S291,$B$2:$B291,"",$O$2:$O291,"")=0),"Place the employee row before dependent rows for this plan; ","")&amp;IF(AND($X291="Dependent",COUNTIFS($A$2:$A$501,$A291,$S$2:$S$501,$S291,$B$2:$B$501,"",$O$2:$O$501,"")&gt;0,IFERROR(OR($P291&lt;&gt;LOOKUP(2,1/(($A$2:$A$501=$A291)*($S$2:$S$501=$S291)*($B$2:$B$501="")*($O$2:$O$501="")),$P$2:$P$501),$Q291&lt;&gt;LOOKUP(2,1/(($A$2:$A$501=$A291)*($S$2:$S$501=$S291)*($B$2:$B$501="")*($O$2:$O$501="")),$Q$2:$Q$501),$R291&lt;&gt;LOOKUP(2,1/(($A$2:$A$501=$A291)*($S$2:$S$501=$S291)*($B$2:$B$501="")*($O$2:$O$501="")),$R$2:$R$501),$T291&lt;&gt;LOOKUP(2,1/(($A$2:$A$501=$A291)*($S$2:$S$501=$S291)*($B$2:$B$501="")*($O$2:$O$501="")),$T$2:$T$501),$U291&lt;&gt;LOOKUP(2,1/(($A$2:$A$501=$A291)*($S$2:$S$501=$S291)*($B$2:$B$501="")*($O$2:$O$501="")),$U$2:$U$501)),FALSE)),"Dependent row does not match the employee row for eligibility, status, coverage level, or funding; ",""))</f>
        <v/>
      </c>
      <c r="AB291">
        <f>IF(COUNTA($A291:$U291)=0,"",IF($L291="","Birthdate is required; ","")&amp;IF(AND($L291&lt;&gt;"",OR(NOT(ISNUMBER($L291)),$L291&lt;=DATE(1900,1,1),$L291&gt;TODAY())),"Birthdate must be an exact valid past date; ","")&amp;IF($P291="","Eligibility Date is required; ","")&amp;IF(AND($P291&lt;&gt;"",OR(NOT(ISNUMBER($P291)),$P291&lt;=DATE(1900,1,1))),"Eligibility Date must be a valid date; ","")&amp;IF(AND($R291="Terminated",$Q291=""),"Termination Date is required when Status is Terminated; ","")&amp;IF(AND($Q291&lt;&gt;"",OR(NOT(ISNUMBER($Q291)),$Q291&lt;=DATE(1900,1,1))),"Termination Date must be a valid date; ","")&amp;IF(AND(ISNUMBER($P291),ISNUMBER($Q291),$Q291&lt;$P291),"Termination Date cannot be before Eligibility Date; ","")&amp;IF($R291="","Status is required; ","")&amp;IF(AND($R291&lt;&gt;"",$R291&lt;&gt;"Active",$R291&lt;&gt;"Terminated"),"Status must be Active or Terminated; ","")&amp;IF(AND('START HERE'!$C$8="Terminations Only",$R291&lt;&gt;"Terminated"),"Terminations Only files must contain terminated records; ",""))</f>
        <v/>
      </c>
      <c r="AC291">
        <f>IF(COUNTA($A291:$U291)=0,"",IF($S291="","Plan Name is required; ","")&amp;IF($T291="","Benefit Coverage Level is required; ","")&amp;IF(AND($U291&lt;&gt;"",OR(NOT(ISNUMBER($U291)),$U291&lt;0)),"Plan Funding Amount must be a nonnegative number; ","")&amp;IF(AND($A291&lt;&gt;"",$S291&lt;&gt;"",COUNTIFS($A$2:$A$501,$A291,$B$2:$B$501,$B291,$S$2:$S$501,$S291)&gt;1),"Duplicate participant and plan row; ",""))</f>
        <v/>
      </c>
      <c r="AD291">
        <f>IF(COUNTA($A291:$U291)=0,"",IF(AND($X291="Employee",$M291="",$N291=""),"No employee phone or email provided; ","")&amp;IF(AND($R291="Active",$Q291&lt;&gt;""),"Active record includes a Termination Date; confirm this is intentional; ","")&amp;IF(AND($B291&lt;&gt;"",$B291&amp;""&lt;&gt;$A291&amp;"",COUNTIF($A$2:$A$501,$B291)&gt;0),"Dependent SSN also appears as an Employee SSN elsewhere; confirm dual-employee coverage is intentional; ","")&amp;IF(AND($B291&lt;&gt;"",COUNTIF($B$2:$B$501,$B291)&gt;COUNTIFS($A$2:$A$501,$A291,$B$2:$B$501,$B291)),"Dependent SSN appears under more than one employee; confirm duplicate family coverage is intentional; ","")&amp;IF(AND(ROW()&gt;2,$A291&lt;&gt;"",$A291&lt;&gt;$A290,COUNTIF($A$2:$A290,$A291)&gt;0),"This household appears in more than one section of the census; keep the family together; ","")&amp;IF(OR(AND($C291&lt;&gt;"",LEN($C291&amp;"")&lt;&gt;LEN(TRIM($C291&amp;""))),AND($D291&lt;&gt;"",LEN($D291&amp;"")&lt;&gt;LEN(TRIM($D291&amp;""))),AND($E291&lt;&gt;"",LEN($E291&amp;"")&lt;&gt;LEN(TRIM($E291&amp;""))),AND($F291&lt;&gt;"",LEN($F291&amp;"")&lt;&gt;LEN(TRIM($F291&amp;""))),AND($G291&lt;&gt;"",LEN($G291&amp;"")&lt;&gt;LEN(TRIM($G291&amp;""))),AND($H291&lt;&gt;"",LEN($H291&amp;"")&lt;&gt;LEN(TRIM($H291&amp;""))),AND($I291&lt;&gt;"",LEN($I291&amp;"")&lt;&gt;LEN(TRIM($I291&amp;""))),AND($J291&lt;&gt;"",LEN($J291&amp;"")&lt;&gt;LEN(TRIM($J291&amp;""))),AND($K291&lt;&gt;"",LEN($K291&amp;"")&lt;&gt;LEN(TRIM($K291&amp;""))),AND($M291&lt;&gt;"",LEN($M291&amp;"")&lt;&gt;LEN(TRIM($M291&amp;""))),AND($N291&lt;&gt;"",LEN($N291&amp;"")&lt;&gt;LEN(TRIM($N291&amp;""))),AND($O291&lt;&gt;"",LEN($O291&amp;"")&lt;&gt;LEN(TRIM($O291&amp;""))),AND($R291&lt;&gt;"",LEN($R291&amp;"")&lt;&gt;LEN(TRIM($R291&amp;""))),AND($S291&lt;&gt;"",LEN($S291&amp;"")&lt;&gt;LEN(TRIM($S291&amp;""))),AND($T291&lt;&gt;"",LEN($T291&amp;"")&lt;&gt;LEN(TRIM($T291&amp;"")))),"Remove leading or trailing spaces from text fields; ","")&amp;IF(OR(AND(LEN($C291)&gt;1,OR(EXACT($C291,UPPER($C291)),EXACT($C291,LOWER($C291)))),AND(LEN($D291)&gt;1,OR(EXACT($D291,UPPER($D291)),EXACT($D291,LOWER($D291)))),AND(LEN($H291)&gt;1,OR(EXACT($H291,UPPER($H291)),EXACT($H291,LOWER($H291))))),"Review capitalization in First Name, Last Name, or City; ","")&amp;IF(AND($N291&lt;&gt;"",NOT(EXACT($N291,LOWER($N291)))),"Email will be standardized to lowercase in the clean output; ","")&amp;IF(AND(OR('START HERE'!$C$8="Initial Enrollment",'START HERE'!$C$8="Open Enrollment"),$R291="Terminated"),"A terminated row is included in an initial or open enrollment file; confirm this is intentional; ",""))</f>
        <v/>
      </c>
      <c r="AE291">
        <f>IF(COUNTA($A291:$U291)=0,"",IF(OR($A291="",AND($A291&lt;&gt;"",NOT(IFERROR(AND(LEN($A291&amp;"")=9,ISNUMBER(--($A291&amp;""))),FALSE))),AND($A291&lt;&gt;"",OR($A291="123456789",$A291="987654321",$A291="012345678",$A291=REPT(LEFT($A291&amp;"",1),9)))),"Employee SSN, ","")&amp;IF(OR(AND($O291&lt;&gt;"",$B291=""),AND($B291&lt;&gt;"",OR(NOT(IFERROR(AND(LEN($B291&amp;"")=9,ISNUMBER(--($B291&amp;""))),FALSE)),$B291=$A291,$B291="123456789",$B291="987654321",$B291="012345678",$B291=REPT(LEFT($B291&amp;"",1),9)))),"Dependent SSN, ","")&amp;IF(OR($C291="",LEN($C291)&gt;19,AND($C291&lt;&gt;"",SUMPRODUCT(--(ROW($1:$19)&lt;=LEN($C291&amp;"")),--ISERROR(FIND(MID($C291&amp;"",ROW($1:$19),1),"ABCDEFGHIJKLMNOPQRSTUVWXYZabcdefghijklmnopqrstuvwxyz .,")))&gt;0)),"First Name, ","")&amp;IF(OR($D291="",LEN($D291)&gt;26,AND($D291&lt;&gt;"",SUMPRODUCT(--(ROW($1:$26)&lt;=LEN($D291&amp;"")),--ISERROR(FIND(MID($D291&amp;"",ROW($1:$26),1),"ABCDEFGHIJKLMNOPQRSTUVWXYZabcdefghijklmnopqrstuvwxyz .,")))&gt;0)),"Last Name, ","")&amp;IF(OR(LEN($E291)&gt;1,AND($E291&lt;&gt;"",SUMPRODUCT(--(ROW($1:$1)&lt;=LEN($E291&amp;"")),--ISERROR(FIND(MID($E291&amp;"",ROW($1:$1),1),"ABCDEFGHIJKLMNOPQRSTUVWXYZabcdefghijklmnopqrstuvwxyz .,")))&gt;0)),"Middle Initial, ","")&amp;IF(OR($F291="",LEN($F291)&gt;75),"Address, ","")&amp;IF(OR($H291="",LEN($H291)&gt;30),"City, ","")&amp;IF(AND($K291="US",OR($I291="",LEN($I291)&lt;&gt;2)),"State, ","")&amp;IF($J291="","ZIP, ","")&amp;IF(OR($K291="",AND($K291&lt;&gt;"US",$K291&lt;&gt;"CA")),"Country, ","")&amp;IF(OR($L291="",AND($L291&lt;&gt;"",OR(NOT(ISNUMBER($L291)),$L291&lt;=DATE(1900,1,1),$L291&gt;TODAY()))),"Birthdate, ","")&amp;IF(AND($N291&lt;&gt;"",NOT(IFERROR(AND(ISNUMBER(SEARCH("@",$N291)),ISNUMBER(SEARCH(".",$N291,SEARCH("@",$N291)+2))),FALSE))),"Email, ","")&amp;IF(OR(AND($B291&lt;&gt;"",$O291=""),AND($O291&lt;&gt;"",$O291&lt;&gt;"Spouse or Common Law Spouse",$O291&lt;&gt;"Domestic Partner",$O291&lt;&gt;"Child",$O291&lt;&gt;"Other",$O291&lt;&gt;"Estate",$O291&lt;&gt;"Unknown")),"Dependent Relationship, ","")&amp;IF($AA291&lt;&gt;"","Household, ","")&amp;IF(OR($P291="",AND($P291&lt;&gt;"",OR(NOT(ISNUMBER($P291)),$P291&lt;=DATE(1900,1,1)))),"Eligibility Date, ","")&amp;IF(OR(AND($R291="Terminated",$Q291=""),AND($Q291&lt;&gt;"",OR(NOT(ISNUMBER($Q291)),$Q291&lt;=DATE(1900,1,1))),AND(ISNUMBER($P291),ISNUMBER($Q291),$Q291&lt;$P291)),"Termination Date, ","")&amp;IF(OR($R291="",AND($R291&lt;&gt;"Active",$R291&lt;&gt;"Terminated"),AND('START HERE'!$C$8="Terminations Only",$R291&lt;&gt;"Terminated")),"Status, ","")&amp;IF($S291="","Plan Name, ","")&amp;IF($T291="","Coverage Level, ","")&amp;IF(AND($U291&lt;&gt;"",OR(NOT(ISNUMBER($U291)),$U291&lt;0)),"Funding, ","")&amp;IF(AND($A291&lt;&gt;"",$S291&lt;&gt;"",COUNTIFS($A$2:$A$501,$A291,$B$2:$B$501,$B291,$S$2:$S$501,$S291)&gt;1),"Duplicate Row, ",""))</f>
        <v/>
      </c>
      <c r="AF291">
        <f>IF(COUNTA($A291:$U291)=0,"",$Y291&amp;$Z291&amp;$AA291&amp;$AB291&amp;$AC291)</f>
        <v/>
      </c>
      <c r="AG291">
        <f>IF($N291="","",LOWER(TRIM($N291)))</f>
        <v/>
      </c>
      <c r="AH291">
        <f>IF($A291="","",COUNTIFS($A$2:$A$501,$A291,$AI$2:$AI$501,1))</f>
        <v/>
      </c>
      <c r="AI291">
        <f>IF(COUNTA($A291:$U291)=0,"",--($AF291&lt;&gt;""))</f>
        <v/>
      </c>
      <c r="AJ291">
        <f>IF(COUNTA($A291:$U291)=0,"",--($AD291&lt;&gt;""))</f>
        <v/>
      </c>
    </row>
    <row r="292" ht="20" customHeight="1">
      <c r="A292" s="80" t="n"/>
      <c r="B292" s="80" t="n"/>
      <c r="C292" s="81" t="n"/>
      <c r="D292" s="81" t="n"/>
      <c r="E292" s="80" t="n"/>
      <c r="F292" s="81" t="n"/>
      <c r="G292" s="81" t="n"/>
      <c r="H292" s="81" t="n"/>
      <c r="I292" s="80" t="n"/>
      <c r="J292" s="80" t="n"/>
      <c r="K292" s="80" t="n"/>
      <c r="L292" s="82" t="n"/>
      <c r="M292" s="80" t="n"/>
      <c r="N292" s="80" t="n"/>
      <c r="O292" s="80" t="n"/>
      <c r="P292" s="82" t="n"/>
      <c r="Q292" s="82" t="n"/>
      <c r="R292" s="80" t="n"/>
      <c r="S292" s="80" t="n"/>
      <c r="T292" s="80" t="n"/>
      <c r="U292" s="83" t="n"/>
      <c r="V292">
        <f>IF($A292="","",IF($A292=$A291,$V291,IF($V291="",0,1-$V291)))</f>
        <v/>
      </c>
      <c r="W292">
        <f>IF($B292&lt;&gt;"",$B292,$A292)</f>
        <v/>
      </c>
      <c r="X292">
        <f>IF(COUNTA($A292:$U292)=0,"",IF(OR($B292&lt;&gt;"",$O292&lt;&gt;""),"Dependent","Employee"))</f>
        <v/>
      </c>
      <c r="Y292">
        <f>IF(COUNTA($A292:$U292)=0,"",IF($A292="","Employee SSN is required; ","")&amp;IF($C292="","First Name is required; ","")&amp;IF(LEN($C292&amp;"")&gt;19,"First Name exceeds 19 characters; ","")&amp;IF(AND($C292&lt;&gt;"",SUMPRODUCT(--(ROW($1:$19)&lt;=LEN($C292&amp;"")),--ISERROR(FIND(MID($C292&amp;"",ROW($1:$19),1),"ABCDEFGHIJKLMNOPQRSTUVWXYZabcdefghijklmnopqrstuvwxyz .,")))&gt;0),"First Name contains unsupported or encoded characters; use plain A-Z letters only; ","")&amp;IF($D292="","Last Name is required; ","")&amp;IF(LEN($D292&amp;"")&gt;26,"Last Name exceeds 26 characters; ","")&amp;IF(AND($D292&lt;&gt;"",SUMPRODUCT(--(ROW($1:$26)&lt;=LEN($D292&amp;"")),--ISERROR(FIND(MID($D292&amp;"",ROW($1:$26),1),"ABCDEFGHIJKLMNOPQRSTUVWXYZabcdefghijklmnopqrstuvwxyz .,")))&gt;0),"Last Name contains unsupported or encoded characters; use plain A-Z letters only; ","")&amp;IF(LEN($E292&amp;"")&gt;1,"Middle Initial may contain only one character; ","")&amp;IF(AND($E292&lt;&gt;"",SUMPRODUCT(--(ROW($1:$1)&lt;=LEN($E292&amp;"")),--ISERROR(FIND(MID($E292&amp;"",ROW($1:$1),1),"ABCDEFGHIJKLMNOPQRSTUVWXYZabcdefghijklmnopqrstuvwxyz .,")))&gt;0),"Middle Initial must be a plain A-Z letter; ","")&amp;IF($F292="","Address is required; ","")&amp;IF(LEN($F292&amp;"")&gt;75,"Address exceeds 75 characters; ","")&amp;IF(LEN($G292&amp;"")&gt;75,"Address 2 exceeds 75 characters; ","")&amp;IF($H292="","City is required; ","")&amp;IF(LEN($H292&amp;"")&gt;30,"City exceeds 30 characters; ","")&amp;IF($K292="","Country is required; ","")&amp;IF(AND($K292&lt;&gt;"",$K292&lt;&gt;"US",$K292&lt;&gt;"CA"),"Country must be US or CA; ","")&amp;IF(AND($K292="US",OR($I292="",LEN($I292&amp;"")&lt;&gt;2)),"Use a 2-letter state code; ","")&amp;IF($J292="","ZIP or postal code is required; ","")&amp;IF(AND($K292="US",$J292&lt;&gt;"",NOT(IFERROR(OR(AND(LEN($J292&amp;"")=5,ISNUMBER(--($J292&amp;""))),AND(LEN($J292&amp;"")=9,ISNUMBER(--($J292&amp;""))),AND(LEN($J292&amp;"")=10,MID($J292&amp;"",6,1)="-",ISNUMBER(--SUBSTITUTE($J292&amp;"","-","")))),FALSE))),"US ZIP must be 5 or 9 digits, with an optional ZIP+4 hyphen; ","")&amp;IF(AND($N292&lt;&gt;"",NOT(IFERROR(AND(ISNUMBER(SEARCH("@",$N292)),ISNUMBER(SEARCH(".",$N292,SEARCH("@",$N292)+2))),FALSE))),"Email format appears invalid; ","")&amp;IF(AND($O292&lt;&gt;"",$B292=""),"Dependent SSN is required for every dependent; ","")&amp;IF(AND($B292&lt;&gt;"",$O292=""),"Dependent Relationship is required when Dependent SSN is entered; ","")&amp;IF(AND($O292&lt;&gt;"",$O292&lt;&gt;"Spouse or Common Law Spouse",$O292&lt;&gt;"Domestic Partner",$O292&lt;&gt;"Child",$O292&lt;&gt;"Other",$O292&lt;&gt;"Estate",$O292&lt;&gt;"Unknown"),"Dependent Relationship must use one of the approved options; ",""))</f>
        <v/>
      </c>
      <c r="Z292">
        <f>IF(COUNTA($A292:$U292)=0,"",IF(AND($A292&lt;&gt;"",NOT(IFERROR(AND(LEN($A292&amp;"")=9,ISNUMBER(--($A292&amp;""))),FALSE))),"Employee SSN must contain exactly 9 digits; ","")&amp;IF(AND($A292&lt;&gt;"",OR($A292="123456789",$A292="987654321",$A292="012345678",$A292=REPT(LEFT($A292&amp;"",1),9))),"Employee SSN appears to be a placeholder; ","")&amp;IF(AND($B292&lt;&gt;"",NOT(IFERROR(AND(LEN($B292&amp;"")=9,ISNUMBER(--($B292&amp;""))),FALSE))),"Dependent SSN must contain exactly 9 digits; ","")&amp;IF(AND($B292&lt;&gt;"",OR($B292="123456789",$B292="987654321",$B292="012345678",$B292=REPT(LEFT($B292&amp;"",1),9))),"Dependent SSN appears to be a placeholder; ","")&amp;IF(AND($A292&lt;&gt;"",$B292&lt;&gt;"",$A292&amp;""=$B292&amp;""),"Dependent SSN cannot match Employee SSN; ","")&amp;IF(AND($W292&lt;&gt;"",OR(COUNTIFS($W$2:$W$501,$W292,$C$2:$C$501,"&lt;&gt;"&amp;$C292)&gt;0,COUNTIFS($W$2:$W$501,$W292,$D$2:$D$501,"&lt;&gt;"&amp;$D292)&gt;0,COUNTIFS($W$2:$W$501,$W292,$L$2:$L$501,"&lt;&gt;"&amp;$L292)&gt;0)),"The same SSN is associated with a different name or birthdate; ",""))</f>
        <v/>
      </c>
      <c r="AA292">
        <f>IF(COUNTA($A292:$U292)=0,"",IF(AND($A292&lt;&gt;"",$S292&lt;&gt;"",COUNTIFS($A$2:$A$501,$A292,$S$2:$S$501,$S292,$B$2:$B$501,"",$O$2:$O$501,"")=0),"Add an employee row for this household and plan; ","")&amp;IF(AND($X292="Dependent",COUNTIFS($A$2:$A292,$A292,$S$2:$S292,$S292,$B$2:$B292,"",$O$2:$O292,"")=0),"Place the employee row before dependent rows for this plan; ","")&amp;IF(AND($X292="Dependent",COUNTIFS($A$2:$A$501,$A292,$S$2:$S$501,$S292,$B$2:$B$501,"",$O$2:$O$501,"")&gt;0,IFERROR(OR($P292&lt;&gt;LOOKUP(2,1/(($A$2:$A$501=$A292)*($S$2:$S$501=$S292)*($B$2:$B$501="")*($O$2:$O$501="")),$P$2:$P$501),$Q292&lt;&gt;LOOKUP(2,1/(($A$2:$A$501=$A292)*($S$2:$S$501=$S292)*($B$2:$B$501="")*($O$2:$O$501="")),$Q$2:$Q$501),$R292&lt;&gt;LOOKUP(2,1/(($A$2:$A$501=$A292)*($S$2:$S$501=$S292)*($B$2:$B$501="")*($O$2:$O$501="")),$R$2:$R$501),$T292&lt;&gt;LOOKUP(2,1/(($A$2:$A$501=$A292)*($S$2:$S$501=$S292)*($B$2:$B$501="")*($O$2:$O$501="")),$T$2:$T$501),$U292&lt;&gt;LOOKUP(2,1/(($A$2:$A$501=$A292)*($S$2:$S$501=$S292)*($B$2:$B$501="")*($O$2:$O$501="")),$U$2:$U$501)),FALSE)),"Dependent row does not match the employee row for eligibility, status, coverage level, or funding; ",""))</f>
        <v/>
      </c>
      <c r="AB292">
        <f>IF(COUNTA($A292:$U292)=0,"",IF($L292="","Birthdate is required; ","")&amp;IF(AND($L292&lt;&gt;"",OR(NOT(ISNUMBER($L292)),$L292&lt;=DATE(1900,1,1),$L292&gt;TODAY())),"Birthdate must be an exact valid past date; ","")&amp;IF($P292="","Eligibility Date is required; ","")&amp;IF(AND($P292&lt;&gt;"",OR(NOT(ISNUMBER($P292)),$P292&lt;=DATE(1900,1,1))),"Eligibility Date must be a valid date; ","")&amp;IF(AND($R292="Terminated",$Q292=""),"Termination Date is required when Status is Terminated; ","")&amp;IF(AND($Q292&lt;&gt;"",OR(NOT(ISNUMBER($Q292)),$Q292&lt;=DATE(1900,1,1))),"Termination Date must be a valid date; ","")&amp;IF(AND(ISNUMBER($P292),ISNUMBER($Q292),$Q292&lt;$P292),"Termination Date cannot be before Eligibility Date; ","")&amp;IF($R292="","Status is required; ","")&amp;IF(AND($R292&lt;&gt;"",$R292&lt;&gt;"Active",$R292&lt;&gt;"Terminated"),"Status must be Active or Terminated; ","")&amp;IF(AND('START HERE'!$C$8="Terminations Only",$R292&lt;&gt;"Terminated"),"Terminations Only files must contain terminated records; ",""))</f>
        <v/>
      </c>
      <c r="AC292">
        <f>IF(COUNTA($A292:$U292)=0,"",IF($S292="","Plan Name is required; ","")&amp;IF($T292="","Benefit Coverage Level is required; ","")&amp;IF(AND($U292&lt;&gt;"",OR(NOT(ISNUMBER($U292)),$U292&lt;0)),"Plan Funding Amount must be a nonnegative number; ","")&amp;IF(AND($A292&lt;&gt;"",$S292&lt;&gt;"",COUNTIFS($A$2:$A$501,$A292,$B$2:$B$501,$B292,$S$2:$S$501,$S292)&gt;1),"Duplicate participant and plan row; ",""))</f>
        <v/>
      </c>
      <c r="AD292">
        <f>IF(COUNTA($A292:$U292)=0,"",IF(AND($X292="Employee",$M292="",$N292=""),"No employee phone or email provided; ","")&amp;IF(AND($R292="Active",$Q292&lt;&gt;""),"Active record includes a Termination Date; confirm this is intentional; ","")&amp;IF(AND($B292&lt;&gt;"",$B292&amp;""&lt;&gt;$A292&amp;"",COUNTIF($A$2:$A$501,$B292)&gt;0),"Dependent SSN also appears as an Employee SSN elsewhere; confirm dual-employee coverage is intentional; ","")&amp;IF(AND($B292&lt;&gt;"",COUNTIF($B$2:$B$501,$B292)&gt;COUNTIFS($A$2:$A$501,$A292,$B$2:$B$501,$B292)),"Dependent SSN appears under more than one employee; confirm duplicate family coverage is intentional; ","")&amp;IF(AND(ROW()&gt;2,$A292&lt;&gt;"",$A292&lt;&gt;$A291,COUNTIF($A$2:$A291,$A292)&gt;0),"This household appears in more than one section of the census; keep the family together; ","")&amp;IF(OR(AND($C292&lt;&gt;"",LEN($C292&amp;"")&lt;&gt;LEN(TRIM($C292&amp;""))),AND($D292&lt;&gt;"",LEN($D292&amp;"")&lt;&gt;LEN(TRIM($D292&amp;""))),AND($E292&lt;&gt;"",LEN($E292&amp;"")&lt;&gt;LEN(TRIM($E292&amp;""))),AND($F292&lt;&gt;"",LEN($F292&amp;"")&lt;&gt;LEN(TRIM($F292&amp;""))),AND($G292&lt;&gt;"",LEN($G292&amp;"")&lt;&gt;LEN(TRIM($G292&amp;""))),AND($H292&lt;&gt;"",LEN($H292&amp;"")&lt;&gt;LEN(TRIM($H292&amp;""))),AND($I292&lt;&gt;"",LEN($I292&amp;"")&lt;&gt;LEN(TRIM($I292&amp;""))),AND($J292&lt;&gt;"",LEN($J292&amp;"")&lt;&gt;LEN(TRIM($J292&amp;""))),AND($K292&lt;&gt;"",LEN($K292&amp;"")&lt;&gt;LEN(TRIM($K292&amp;""))),AND($M292&lt;&gt;"",LEN($M292&amp;"")&lt;&gt;LEN(TRIM($M292&amp;""))),AND($N292&lt;&gt;"",LEN($N292&amp;"")&lt;&gt;LEN(TRIM($N292&amp;""))),AND($O292&lt;&gt;"",LEN($O292&amp;"")&lt;&gt;LEN(TRIM($O292&amp;""))),AND($R292&lt;&gt;"",LEN($R292&amp;"")&lt;&gt;LEN(TRIM($R292&amp;""))),AND($S292&lt;&gt;"",LEN($S292&amp;"")&lt;&gt;LEN(TRIM($S292&amp;""))),AND($T292&lt;&gt;"",LEN($T292&amp;"")&lt;&gt;LEN(TRIM($T292&amp;"")))),"Remove leading or trailing spaces from text fields; ","")&amp;IF(OR(AND(LEN($C292)&gt;1,OR(EXACT($C292,UPPER($C292)),EXACT($C292,LOWER($C292)))),AND(LEN($D292)&gt;1,OR(EXACT($D292,UPPER($D292)),EXACT($D292,LOWER($D292)))),AND(LEN($H292)&gt;1,OR(EXACT($H292,UPPER($H292)),EXACT($H292,LOWER($H292))))),"Review capitalization in First Name, Last Name, or City; ","")&amp;IF(AND($N292&lt;&gt;"",NOT(EXACT($N292,LOWER($N292)))),"Email will be standardized to lowercase in the clean output; ","")&amp;IF(AND(OR('START HERE'!$C$8="Initial Enrollment",'START HERE'!$C$8="Open Enrollment"),$R292="Terminated"),"A terminated row is included in an initial or open enrollment file; confirm this is intentional; ",""))</f>
        <v/>
      </c>
      <c r="AE292">
        <f>IF(COUNTA($A292:$U292)=0,"",IF(OR($A292="",AND($A292&lt;&gt;"",NOT(IFERROR(AND(LEN($A292&amp;"")=9,ISNUMBER(--($A292&amp;""))),FALSE))),AND($A292&lt;&gt;"",OR($A292="123456789",$A292="987654321",$A292="012345678",$A292=REPT(LEFT($A292&amp;"",1),9)))),"Employee SSN, ","")&amp;IF(OR(AND($O292&lt;&gt;"",$B292=""),AND($B292&lt;&gt;"",OR(NOT(IFERROR(AND(LEN($B292&amp;"")=9,ISNUMBER(--($B292&amp;""))),FALSE)),$B292=$A292,$B292="123456789",$B292="987654321",$B292="012345678",$B292=REPT(LEFT($B292&amp;"",1),9)))),"Dependent SSN, ","")&amp;IF(OR($C292="",LEN($C292)&gt;19,AND($C292&lt;&gt;"",SUMPRODUCT(--(ROW($1:$19)&lt;=LEN($C292&amp;"")),--ISERROR(FIND(MID($C292&amp;"",ROW($1:$19),1),"ABCDEFGHIJKLMNOPQRSTUVWXYZabcdefghijklmnopqrstuvwxyz .,")))&gt;0)),"First Name, ","")&amp;IF(OR($D292="",LEN($D292)&gt;26,AND($D292&lt;&gt;"",SUMPRODUCT(--(ROW($1:$26)&lt;=LEN($D292&amp;"")),--ISERROR(FIND(MID($D292&amp;"",ROW($1:$26),1),"ABCDEFGHIJKLMNOPQRSTUVWXYZabcdefghijklmnopqrstuvwxyz .,")))&gt;0)),"Last Name, ","")&amp;IF(OR(LEN($E292)&gt;1,AND($E292&lt;&gt;"",SUMPRODUCT(--(ROW($1:$1)&lt;=LEN($E292&amp;"")),--ISERROR(FIND(MID($E292&amp;"",ROW($1:$1),1),"ABCDEFGHIJKLMNOPQRSTUVWXYZabcdefghijklmnopqrstuvwxyz .,")))&gt;0)),"Middle Initial, ","")&amp;IF(OR($F292="",LEN($F292)&gt;75),"Address, ","")&amp;IF(OR($H292="",LEN($H292)&gt;30),"City, ","")&amp;IF(AND($K292="US",OR($I292="",LEN($I292)&lt;&gt;2)),"State, ","")&amp;IF($J292="","ZIP, ","")&amp;IF(OR($K292="",AND($K292&lt;&gt;"US",$K292&lt;&gt;"CA")),"Country, ","")&amp;IF(OR($L292="",AND($L292&lt;&gt;"",OR(NOT(ISNUMBER($L292)),$L292&lt;=DATE(1900,1,1),$L292&gt;TODAY()))),"Birthdate, ","")&amp;IF(AND($N292&lt;&gt;"",NOT(IFERROR(AND(ISNUMBER(SEARCH("@",$N292)),ISNUMBER(SEARCH(".",$N292,SEARCH("@",$N292)+2))),FALSE))),"Email, ","")&amp;IF(OR(AND($B292&lt;&gt;"",$O292=""),AND($O292&lt;&gt;"",$O292&lt;&gt;"Spouse or Common Law Spouse",$O292&lt;&gt;"Domestic Partner",$O292&lt;&gt;"Child",$O292&lt;&gt;"Other",$O292&lt;&gt;"Estate",$O292&lt;&gt;"Unknown")),"Dependent Relationship, ","")&amp;IF($AA292&lt;&gt;"","Household, ","")&amp;IF(OR($P292="",AND($P292&lt;&gt;"",OR(NOT(ISNUMBER($P292)),$P292&lt;=DATE(1900,1,1)))),"Eligibility Date, ","")&amp;IF(OR(AND($R292="Terminated",$Q292=""),AND($Q292&lt;&gt;"",OR(NOT(ISNUMBER($Q292)),$Q292&lt;=DATE(1900,1,1))),AND(ISNUMBER($P292),ISNUMBER($Q292),$Q292&lt;$P292)),"Termination Date, ","")&amp;IF(OR($R292="",AND($R292&lt;&gt;"Active",$R292&lt;&gt;"Terminated"),AND('START HERE'!$C$8="Terminations Only",$R292&lt;&gt;"Terminated")),"Status, ","")&amp;IF($S292="","Plan Name, ","")&amp;IF($T292="","Coverage Level, ","")&amp;IF(AND($U292&lt;&gt;"",OR(NOT(ISNUMBER($U292)),$U292&lt;0)),"Funding, ","")&amp;IF(AND($A292&lt;&gt;"",$S292&lt;&gt;"",COUNTIFS($A$2:$A$501,$A292,$B$2:$B$501,$B292,$S$2:$S$501,$S292)&gt;1),"Duplicate Row, ",""))</f>
        <v/>
      </c>
      <c r="AF292">
        <f>IF(COUNTA($A292:$U292)=0,"",$Y292&amp;$Z292&amp;$AA292&amp;$AB292&amp;$AC292)</f>
        <v/>
      </c>
      <c r="AG292">
        <f>IF($N292="","",LOWER(TRIM($N292)))</f>
        <v/>
      </c>
      <c r="AH292">
        <f>IF($A292="","",COUNTIFS($A$2:$A$501,$A292,$AI$2:$AI$501,1))</f>
        <v/>
      </c>
      <c r="AI292">
        <f>IF(COUNTA($A292:$U292)=0,"",--($AF292&lt;&gt;""))</f>
        <v/>
      </c>
      <c r="AJ292">
        <f>IF(COUNTA($A292:$U292)=0,"",--($AD292&lt;&gt;""))</f>
        <v/>
      </c>
    </row>
    <row r="293" ht="20" customHeight="1">
      <c r="A293" s="80" t="n"/>
      <c r="B293" s="80" t="n"/>
      <c r="C293" s="81" t="n"/>
      <c r="D293" s="81" t="n"/>
      <c r="E293" s="80" t="n"/>
      <c r="F293" s="81" t="n"/>
      <c r="G293" s="81" t="n"/>
      <c r="H293" s="81" t="n"/>
      <c r="I293" s="80" t="n"/>
      <c r="J293" s="80" t="n"/>
      <c r="K293" s="80" t="n"/>
      <c r="L293" s="82" t="n"/>
      <c r="M293" s="80" t="n"/>
      <c r="N293" s="80" t="n"/>
      <c r="O293" s="80" t="n"/>
      <c r="P293" s="82" t="n"/>
      <c r="Q293" s="82" t="n"/>
      <c r="R293" s="80" t="n"/>
      <c r="S293" s="80" t="n"/>
      <c r="T293" s="80" t="n"/>
      <c r="U293" s="83" t="n"/>
      <c r="V293">
        <f>IF($A293="","",IF($A293=$A292,$V292,IF($V292="",0,1-$V292)))</f>
        <v/>
      </c>
      <c r="W293">
        <f>IF($B293&lt;&gt;"",$B293,$A293)</f>
        <v/>
      </c>
      <c r="X293">
        <f>IF(COUNTA($A293:$U293)=0,"",IF(OR($B293&lt;&gt;"",$O293&lt;&gt;""),"Dependent","Employee"))</f>
        <v/>
      </c>
      <c r="Y293">
        <f>IF(COUNTA($A293:$U293)=0,"",IF($A293="","Employee SSN is required; ","")&amp;IF($C293="","First Name is required; ","")&amp;IF(LEN($C293&amp;"")&gt;19,"First Name exceeds 19 characters; ","")&amp;IF(AND($C293&lt;&gt;"",SUMPRODUCT(--(ROW($1:$19)&lt;=LEN($C293&amp;"")),--ISERROR(FIND(MID($C293&amp;"",ROW($1:$19),1),"ABCDEFGHIJKLMNOPQRSTUVWXYZabcdefghijklmnopqrstuvwxyz .,")))&gt;0),"First Name contains unsupported or encoded characters; use plain A-Z letters only; ","")&amp;IF($D293="","Last Name is required; ","")&amp;IF(LEN($D293&amp;"")&gt;26,"Last Name exceeds 26 characters; ","")&amp;IF(AND($D293&lt;&gt;"",SUMPRODUCT(--(ROW($1:$26)&lt;=LEN($D293&amp;"")),--ISERROR(FIND(MID($D293&amp;"",ROW($1:$26),1),"ABCDEFGHIJKLMNOPQRSTUVWXYZabcdefghijklmnopqrstuvwxyz .,")))&gt;0),"Last Name contains unsupported or encoded characters; use plain A-Z letters only; ","")&amp;IF(LEN($E293&amp;"")&gt;1,"Middle Initial may contain only one character; ","")&amp;IF(AND($E293&lt;&gt;"",SUMPRODUCT(--(ROW($1:$1)&lt;=LEN($E293&amp;"")),--ISERROR(FIND(MID($E293&amp;"",ROW($1:$1),1),"ABCDEFGHIJKLMNOPQRSTUVWXYZabcdefghijklmnopqrstuvwxyz .,")))&gt;0),"Middle Initial must be a plain A-Z letter; ","")&amp;IF($F293="","Address is required; ","")&amp;IF(LEN($F293&amp;"")&gt;75,"Address exceeds 75 characters; ","")&amp;IF(LEN($G293&amp;"")&gt;75,"Address 2 exceeds 75 characters; ","")&amp;IF($H293="","City is required; ","")&amp;IF(LEN($H293&amp;"")&gt;30,"City exceeds 30 characters; ","")&amp;IF($K293="","Country is required; ","")&amp;IF(AND($K293&lt;&gt;"",$K293&lt;&gt;"US",$K293&lt;&gt;"CA"),"Country must be US or CA; ","")&amp;IF(AND($K293="US",OR($I293="",LEN($I293&amp;"")&lt;&gt;2)),"Use a 2-letter state code; ","")&amp;IF($J293="","ZIP or postal code is required; ","")&amp;IF(AND($K293="US",$J293&lt;&gt;"",NOT(IFERROR(OR(AND(LEN($J293&amp;"")=5,ISNUMBER(--($J293&amp;""))),AND(LEN($J293&amp;"")=9,ISNUMBER(--($J293&amp;""))),AND(LEN($J293&amp;"")=10,MID($J293&amp;"",6,1)="-",ISNUMBER(--SUBSTITUTE($J293&amp;"","-","")))),FALSE))),"US ZIP must be 5 or 9 digits, with an optional ZIP+4 hyphen; ","")&amp;IF(AND($N293&lt;&gt;"",NOT(IFERROR(AND(ISNUMBER(SEARCH("@",$N293)),ISNUMBER(SEARCH(".",$N293,SEARCH("@",$N293)+2))),FALSE))),"Email format appears invalid; ","")&amp;IF(AND($O293&lt;&gt;"",$B293=""),"Dependent SSN is required for every dependent; ","")&amp;IF(AND($B293&lt;&gt;"",$O293=""),"Dependent Relationship is required when Dependent SSN is entered; ","")&amp;IF(AND($O293&lt;&gt;"",$O293&lt;&gt;"Spouse or Common Law Spouse",$O293&lt;&gt;"Domestic Partner",$O293&lt;&gt;"Child",$O293&lt;&gt;"Other",$O293&lt;&gt;"Estate",$O293&lt;&gt;"Unknown"),"Dependent Relationship must use one of the approved options; ",""))</f>
        <v/>
      </c>
      <c r="Z293">
        <f>IF(COUNTA($A293:$U293)=0,"",IF(AND($A293&lt;&gt;"",NOT(IFERROR(AND(LEN($A293&amp;"")=9,ISNUMBER(--($A293&amp;""))),FALSE))),"Employee SSN must contain exactly 9 digits; ","")&amp;IF(AND($A293&lt;&gt;"",OR($A293="123456789",$A293="987654321",$A293="012345678",$A293=REPT(LEFT($A293&amp;"",1),9))),"Employee SSN appears to be a placeholder; ","")&amp;IF(AND($B293&lt;&gt;"",NOT(IFERROR(AND(LEN($B293&amp;"")=9,ISNUMBER(--($B293&amp;""))),FALSE))),"Dependent SSN must contain exactly 9 digits; ","")&amp;IF(AND($B293&lt;&gt;"",OR($B293="123456789",$B293="987654321",$B293="012345678",$B293=REPT(LEFT($B293&amp;"",1),9))),"Dependent SSN appears to be a placeholder; ","")&amp;IF(AND($A293&lt;&gt;"",$B293&lt;&gt;"",$A293&amp;""=$B293&amp;""),"Dependent SSN cannot match Employee SSN; ","")&amp;IF(AND($W293&lt;&gt;"",OR(COUNTIFS($W$2:$W$501,$W293,$C$2:$C$501,"&lt;&gt;"&amp;$C293)&gt;0,COUNTIFS($W$2:$W$501,$W293,$D$2:$D$501,"&lt;&gt;"&amp;$D293)&gt;0,COUNTIFS($W$2:$W$501,$W293,$L$2:$L$501,"&lt;&gt;"&amp;$L293)&gt;0)),"The same SSN is associated with a different name or birthdate; ",""))</f>
        <v/>
      </c>
      <c r="AA293">
        <f>IF(COUNTA($A293:$U293)=0,"",IF(AND($A293&lt;&gt;"",$S293&lt;&gt;"",COUNTIFS($A$2:$A$501,$A293,$S$2:$S$501,$S293,$B$2:$B$501,"",$O$2:$O$501,"")=0),"Add an employee row for this household and plan; ","")&amp;IF(AND($X293="Dependent",COUNTIFS($A$2:$A293,$A293,$S$2:$S293,$S293,$B$2:$B293,"",$O$2:$O293,"")=0),"Place the employee row before dependent rows for this plan; ","")&amp;IF(AND($X293="Dependent",COUNTIFS($A$2:$A$501,$A293,$S$2:$S$501,$S293,$B$2:$B$501,"",$O$2:$O$501,"")&gt;0,IFERROR(OR($P293&lt;&gt;LOOKUP(2,1/(($A$2:$A$501=$A293)*($S$2:$S$501=$S293)*($B$2:$B$501="")*($O$2:$O$501="")),$P$2:$P$501),$Q293&lt;&gt;LOOKUP(2,1/(($A$2:$A$501=$A293)*($S$2:$S$501=$S293)*($B$2:$B$501="")*($O$2:$O$501="")),$Q$2:$Q$501),$R293&lt;&gt;LOOKUP(2,1/(($A$2:$A$501=$A293)*($S$2:$S$501=$S293)*($B$2:$B$501="")*($O$2:$O$501="")),$R$2:$R$501),$T293&lt;&gt;LOOKUP(2,1/(($A$2:$A$501=$A293)*($S$2:$S$501=$S293)*($B$2:$B$501="")*($O$2:$O$501="")),$T$2:$T$501),$U293&lt;&gt;LOOKUP(2,1/(($A$2:$A$501=$A293)*($S$2:$S$501=$S293)*($B$2:$B$501="")*($O$2:$O$501="")),$U$2:$U$501)),FALSE)),"Dependent row does not match the employee row for eligibility, status, coverage level, or funding; ",""))</f>
        <v/>
      </c>
      <c r="AB293">
        <f>IF(COUNTA($A293:$U293)=0,"",IF($L293="","Birthdate is required; ","")&amp;IF(AND($L293&lt;&gt;"",OR(NOT(ISNUMBER($L293)),$L293&lt;=DATE(1900,1,1),$L293&gt;TODAY())),"Birthdate must be an exact valid past date; ","")&amp;IF($P293="","Eligibility Date is required; ","")&amp;IF(AND($P293&lt;&gt;"",OR(NOT(ISNUMBER($P293)),$P293&lt;=DATE(1900,1,1))),"Eligibility Date must be a valid date; ","")&amp;IF(AND($R293="Terminated",$Q293=""),"Termination Date is required when Status is Terminated; ","")&amp;IF(AND($Q293&lt;&gt;"",OR(NOT(ISNUMBER($Q293)),$Q293&lt;=DATE(1900,1,1))),"Termination Date must be a valid date; ","")&amp;IF(AND(ISNUMBER($P293),ISNUMBER($Q293),$Q293&lt;$P293),"Termination Date cannot be before Eligibility Date; ","")&amp;IF($R293="","Status is required; ","")&amp;IF(AND($R293&lt;&gt;"",$R293&lt;&gt;"Active",$R293&lt;&gt;"Terminated"),"Status must be Active or Terminated; ","")&amp;IF(AND('START HERE'!$C$8="Terminations Only",$R293&lt;&gt;"Terminated"),"Terminations Only files must contain terminated records; ",""))</f>
        <v/>
      </c>
      <c r="AC293">
        <f>IF(COUNTA($A293:$U293)=0,"",IF($S293="","Plan Name is required; ","")&amp;IF($T293="","Benefit Coverage Level is required; ","")&amp;IF(AND($U293&lt;&gt;"",OR(NOT(ISNUMBER($U293)),$U293&lt;0)),"Plan Funding Amount must be a nonnegative number; ","")&amp;IF(AND($A293&lt;&gt;"",$S293&lt;&gt;"",COUNTIFS($A$2:$A$501,$A293,$B$2:$B$501,$B293,$S$2:$S$501,$S293)&gt;1),"Duplicate participant and plan row; ",""))</f>
        <v/>
      </c>
      <c r="AD293">
        <f>IF(COUNTA($A293:$U293)=0,"",IF(AND($X293="Employee",$M293="",$N293=""),"No employee phone or email provided; ","")&amp;IF(AND($R293="Active",$Q293&lt;&gt;""),"Active record includes a Termination Date; confirm this is intentional; ","")&amp;IF(AND($B293&lt;&gt;"",$B293&amp;""&lt;&gt;$A293&amp;"",COUNTIF($A$2:$A$501,$B293)&gt;0),"Dependent SSN also appears as an Employee SSN elsewhere; confirm dual-employee coverage is intentional; ","")&amp;IF(AND($B293&lt;&gt;"",COUNTIF($B$2:$B$501,$B293)&gt;COUNTIFS($A$2:$A$501,$A293,$B$2:$B$501,$B293)),"Dependent SSN appears under more than one employee; confirm duplicate family coverage is intentional; ","")&amp;IF(AND(ROW()&gt;2,$A293&lt;&gt;"",$A293&lt;&gt;$A292,COUNTIF($A$2:$A292,$A293)&gt;0),"This household appears in more than one section of the census; keep the family together; ","")&amp;IF(OR(AND($C293&lt;&gt;"",LEN($C293&amp;"")&lt;&gt;LEN(TRIM($C293&amp;""))),AND($D293&lt;&gt;"",LEN($D293&amp;"")&lt;&gt;LEN(TRIM($D293&amp;""))),AND($E293&lt;&gt;"",LEN($E293&amp;"")&lt;&gt;LEN(TRIM($E293&amp;""))),AND($F293&lt;&gt;"",LEN($F293&amp;"")&lt;&gt;LEN(TRIM($F293&amp;""))),AND($G293&lt;&gt;"",LEN($G293&amp;"")&lt;&gt;LEN(TRIM($G293&amp;""))),AND($H293&lt;&gt;"",LEN($H293&amp;"")&lt;&gt;LEN(TRIM($H293&amp;""))),AND($I293&lt;&gt;"",LEN($I293&amp;"")&lt;&gt;LEN(TRIM($I293&amp;""))),AND($J293&lt;&gt;"",LEN($J293&amp;"")&lt;&gt;LEN(TRIM($J293&amp;""))),AND($K293&lt;&gt;"",LEN($K293&amp;"")&lt;&gt;LEN(TRIM($K293&amp;""))),AND($M293&lt;&gt;"",LEN($M293&amp;"")&lt;&gt;LEN(TRIM($M293&amp;""))),AND($N293&lt;&gt;"",LEN($N293&amp;"")&lt;&gt;LEN(TRIM($N293&amp;""))),AND($O293&lt;&gt;"",LEN($O293&amp;"")&lt;&gt;LEN(TRIM($O293&amp;""))),AND($R293&lt;&gt;"",LEN($R293&amp;"")&lt;&gt;LEN(TRIM($R293&amp;""))),AND($S293&lt;&gt;"",LEN($S293&amp;"")&lt;&gt;LEN(TRIM($S293&amp;""))),AND($T293&lt;&gt;"",LEN($T293&amp;"")&lt;&gt;LEN(TRIM($T293&amp;"")))),"Remove leading or trailing spaces from text fields; ","")&amp;IF(OR(AND(LEN($C293)&gt;1,OR(EXACT($C293,UPPER($C293)),EXACT($C293,LOWER($C293)))),AND(LEN($D293)&gt;1,OR(EXACT($D293,UPPER($D293)),EXACT($D293,LOWER($D293)))),AND(LEN($H293)&gt;1,OR(EXACT($H293,UPPER($H293)),EXACT($H293,LOWER($H293))))),"Review capitalization in First Name, Last Name, or City; ","")&amp;IF(AND($N293&lt;&gt;"",NOT(EXACT($N293,LOWER($N293)))),"Email will be standardized to lowercase in the clean output; ","")&amp;IF(AND(OR('START HERE'!$C$8="Initial Enrollment",'START HERE'!$C$8="Open Enrollment"),$R293="Terminated"),"A terminated row is included in an initial or open enrollment file; confirm this is intentional; ",""))</f>
        <v/>
      </c>
      <c r="AE293">
        <f>IF(COUNTA($A293:$U293)=0,"",IF(OR($A293="",AND($A293&lt;&gt;"",NOT(IFERROR(AND(LEN($A293&amp;"")=9,ISNUMBER(--($A293&amp;""))),FALSE))),AND($A293&lt;&gt;"",OR($A293="123456789",$A293="987654321",$A293="012345678",$A293=REPT(LEFT($A293&amp;"",1),9)))),"Employee SSN, ","")&amp;IF(OR(AND($O293&lt;&gt;"",$B293=""),AND($B293&lt;&gt;"",OR(NOT(IFERROR(AND(LEN($B293&amp;"")=9,ISNUMBER(--($B293&amp;""))),FALSE)),$B293=$A293,$B293="123456789",$B293="987654321",$B293="012345678",$B293=REPT(LEFT($B293&amp;"",1),9)))),"Dependent SSN, ","")&amp;IF(OR($C293="",LEN($C293)&gt;19,AND($C293&lt;&gt;"",SUMPRODUCT(--(ROW($1:$19)&lt;=LEN($C293&amp;"")),--ISERROR(FIND(MID($C293&amp;"",ROW($1:$19),1),"ABCDEFGHIJKLMNOPQRSTUVWXYZabcdefghijklmnopqrstuvwxyz .,")))&gt;0)),"First Name, ","")&amp;IF(OR($D293="",LEN($D293)&gt;26,AND($D293&lt;&gt;"",SUMPRODUCT(--(ROW($1:$26)&lt;=LEN($D293&amp;"")),--ISERROR(FIND(MID($D293&amp;"",ROW($1:$26),1),"ABCDEFGHIJKLMNOPQRSTUVWXYZabcdefghijklmnopqrstuvwxyz .,")))&gt;0)),"Last Name, ","")&amp;IF(OR(LEN($E293)&gt;1,AND($E293&lt;&gt;"",SUMPRODUCT(--(ROW($1:$1)&lt;=LEN($E293&amp;"")),--ISERROR(FIND(MID($E293&amp;"",ROW($1:$1),1),"ABCDEFGHIJKLMNOPQRSTUVWXYZabcdefghijklmnopqrstuvwxyz .,")))&gt;0)),"Middle Initial, ","")&amp;IF(OR($F293="",LEN($F293)&gt;75),"Address, ","")&amp;IF(OR($H293="",LEN($H293)&gt;30),"City, ","")&amp;IF(AND($K293="US",OR($I293="",LEN($I293)&lt;&gt;2)),"State, ","")&amp;IF($J293="","ZIP, ","")&amp;IF(OR($K293="",AND($K293&lt;&gt;"US",$K293&lt;&gt;"CA")),"Country, ","")&amp;IF(OR($L293="",AND($L293&lt;&gt;"",OR(NOT(ISNUMBER($L293)),$L293&lt;=DATE(1900,1,1),$L293&gt;TODAY()))),"Birthdate, ","")&amp;IF(AND($N293&lt;&gt;"",NOT(IFERROR(AND(ISNUMBER(SEARCH("@",$N293)),ISNUMBER(SEARCH(".",$N293,SEARCH("@",$N293)+2))),FALSE))),"Email, ","")&amp;IF(OR(AND($B293&lt;&gt;"",$O293=""),AND($O293&lt;&gt;"",$O293&lt;&gt;"Spouse or Common Law Spouse",$O293&lt;&gt;"Domestic Partner",$O293&lt;&gt;"Child",$O293&lt;&gt;"Other",$O293&lt;&gt;"Estate",$O293&lt;&gt;"Unknown")),"Dependent Relationship, ","")&amp;IF($AA293&lt;&gt;"","Household, ","")&amp;IF(OR($P293="",AND($P293&lt;&gt;"",OR(NOT(ISNUMBER($P293)),$P293&lt;=DATE(1900,1,1)))),"Eligibility Date, ","")&amp;IF(OR(AND($R293="Terminated",$Q293=""),AND($Q293&lt;&gt;"",OR(NOT(ISNUMBER($Q293)),$Q293&lt;=DATE(1900,1,1))),AND(ISNUMBER($P293),ISNUMBER($Q293),$Q293&lt;$P293)),"Termination Date, ","")&amp;IF(OR($R293="",AND($R293&lt;&gt;"Active",$R293&lt;&gt;"Terminated"),AND('START HERE'!$C$8="Terminations Only",$R293&lt;&gt;"Terminated")),"Status, ","")&amp;IF($S293="","Plan Name, ","")&amp;IF($T293="","Coverage Level, ","")&amp;IF(AND($U293&lt;&gt;"",OR(NOT(ISNUMBER($U293)),$U293&lt;0)),"Funding, ","")&amp;IF(AND($A293&lt;&gt;"",$S293&lt;&gt;"",COUNTIFS($A$2:$A$501,$A293,$B$2:$B$501,$B293,$S$2:$S$501,$S293)&gt;1),"Duplicate Row, ",""))</f>
        <v/>
      </c>
      <c r="AF293">
        <f>IF(COUNTA($A293:$U293)=0,"",$Y293&amp;$Z293&amp;$AA293&amp;$AB293&amp;$AC293)</f>
        <v/>
      </c>
      <c r="AG293">
        <f>IF($N293="","",LOWER(TRIM($N293)))</f>
        <v/>
      </c>
      <c r="AH293">
        <f>IF($A293="","",COUNTIFS($A$2:$A$501,$A293,$AI$2:$AI$501,1))</f>
        <v/>
      </c>
      <c r="AI293">
        <f>IF(COUNTA($A293:$U293)=0,"",--($AF293&lt;&gt;""))</f>
        <v/>
      </c>
      <c r="AJ293">
        <f>IF(COUNTA($A293:$U293)=0,"",--($AD293&lt;&gt;""))</f>
        <v/>
      </c>
    </row>
    <row r="294" ht="20" customHeight="1">
      <c r="A294" s="80" t="n"/>
      <c r="B294" s="80" t="n"/>
      <c r="C294" s="81" t="n"/>
      <c r="D294" s="81" t="n"/>
      <c r="E294" s="80" t="n"/>
      <c r="F294" s="81" t="n"/>
      <c r="G294" s="81" t="n"/>
      <c r="H294" s="81" t="n"/>
      <c r="I294" s="80" t="n"/>
      <c r="J294" s="80" t="n"/>
      <c r="K294" s="80" t="n"/>
      <c r="L294" s="82" t="n"/>
      <c r="M294" s="80" t="n"/>
      <c r="N294" s="80" t="n"/>
      <c r="O294" s="80" t="n"/>
      <c r="P294" s="82" t="n"/>
      <c r="Q294" s="82" t="n"/>
      <c r="R294" s="80" t="n"/>
      <c r="S294" s="80" t="n"/>
      <c r="T294" s="80" t="n"/>
      <c r="U294" s="83" t="n"/>
      <c r="V294">
        <f>IF($A294="","",IF($A294=$A293,$V293,IF($V293="",0,1-$V293)))</f>
        <v/>
      </c>
      <c r="W294">
        <f>IF($B294&lt;&gt;"",$B294,$A294)</f>
        <v/>
      </c>
      <c r="X294">
        <f>IF(COUNTA($A294:$U294)=0,"",IF(OR($B294&lt;&gt;"",$O294&lt;&gt;""),"Dependent","Employee"))</f>
        <v/>
      </c>
      <c r="Y294">
        <f>IF(COUNTA($A294:$U294)=0,"",IF($A294="","Employee SSN is required; ","")&amp;IF($C294="","First Name is required; ","")&amp;IF(LEN($C294&amp;"")&gt;19,"First Name exceeds 19 characters; ","")&amp;IF(AND($C294&lt;&gt;"",SUMPRODUCT(--(ROW($1:$19)&lt;=LEN($C294&amp;"")),--ISERROR(FIND(MID($C294&amp;"",ROW($1:$19),1),"ABCDEFGHIJKLMNOPQRSTUVWXYZabcdefghijklmnopqrstuvwxyz .,")))&gt;0),"First Name contains unsupported or encoded characters; use plain A-Z letters only; ","")&amp;IF($D294="","Last Name is required; ","")&amp;IF(LEN($D294&amp;"")&gt;26,"Last Name exceeds 26 characters; ","")&amp;IF(AND($D294&lt;&gt;"",SUMPRODUCT(--(ROW($1:$26)&lt;=LEN($D294&amp;"")),--ISERROR(FIND(MID($D294&amp;"",ROW($1:$26),1),"ABCDEFGHIJKLMNOPQRSTUVWXYZabcdefghijklmnopqrstuvwxyz .,")))&gt;0),"Last Name contains unsupported or encoded characters; use plain A-Z letters only; ","")&amp;IF(LEN($E294&amp;"")&gt;1,"Middle Initial may contain only one character; ","")&amp;IF(AND($E294&lt;&gt;"",SUMPRODUCT(--(ROW($1:$1)&lt;=LEN($E294&amp;"")),--ISERROR(FIND(MID($E294&amp;"",ROW($1:$1),1),"ABCDEFGHIJKLMNOPQRSTUVWXYZabcdefghijklmnopqrstuvwxyz .,")))&gt;0),"Middle Initial must be a plain A-Z letter; ","")&amp;IF($F294="","Address is required; ","")&amp;IF(LEN($F294&amp;"")&gt;75,"Address exceeds 75 characters; ","")&amp;IF(LEN($G294&amp;"")&gt;75,"Address 2 exceeds 75 characters; ","")&amp;IF($H294="","City is required; ","")&amp;IF(LEN($H294&amp;"")&gt;30,"City exceeds 30 characters; ","")&amp;IF($K294="","Country is required; ","")&amp;IF(AND($K294&lt;&gt;"",$K294&lt;&gt;"US",$K294&lt;&gt;"CA"),"Country must be US or CA; ","")&amp;IF(AND($K294="US",OR($I294="",LEN($I294&amp;"")&lt;&gt;2)),"Use a 2-letter state code; ","")&amp;IF($J294="","ZIP or postal code is required; ","")&amp;IF(AND($K294="US",$J294&lt;&gt;"",NOT(IFERROR(OR(AND(LEN($J294&amp;"")=5,ISNUMBER(--($J294&amp;""))),AND(LEN($J294&amp;"")=9,ISNUMBER(--($J294&amp;""))),AND(LEN($J294&amp;"")=10,MID($J294&amp;"",6,1)="-",ISNUMBER(--SUBSTITUTE($J294&amp;"","-","")))),FALSE))),"US ZIP must be 5 or 9 digits, with an optional ZIP+4 hyphen; ","")&amp;IF(AND($N294&lt;&gt;"",NOT(IFERROR(AND(ISNUMBER(SEARCH("@",$N294)),ISNUMBER(SEARCH(".",$N294,SEARCH("@",$N294)+2))),FALSE))),"Email format appears invalid; ","")&amp;IF(AND($O294&lt;&gt;"",$B294=""),"Dependent SSN is required for every dependent; ","")&amp;IF(AND($B294&lt;&gt;"",$O294=""),"Dependent Relationship is required when Dependent SSN is entered; ","")&amp;IF(AND($O294&lt;&gt;"",$O294&lt;&gt;"Spouse or Common Law Spouse",$O294&lt;&gt;"Domestic Partner",$O294&lt;&gt;"Child",$O294&lt;&gt;"Other",$O294&lt;&gt;"Estate",$O294&lt;&gt;"Unknown"),"Dependent Relationship must use one of the approved options; ",""))</f>
        <v/>
      </c>
      <c r="Z294">
        <f>IF(COUNTA($A294:$U294)=0,"",IF(AND($A294&lt;&gt;"",NOT(IFERROR(AND(LEN($A294&amp;"")=9,ISNUMBER(--($A294&amp;""))),FALSE))),"Employee SSN must contain exactly 9 digits; ","")&amp;IF(AND($A294&lt;&gt;"",OR($A294="123456789",$A294="987654321",$A294="012345678",$A294=REPT(LEFT($A294&amp;"",1),9))),"Employee SSN appears to be a placeholder; ","")&amp;IF(AND($B294&lt;&gt;"",NOT(IFERROR(AND(LEN($B294&amp;"")=9,ISNUMBER(--($B294&amp;""))),FALSE))),"Dependent SSN must contain exactly 9 digits; ","")&amp;IF(AND($B294&lt;&gt;"",OR($B294="123456789",$B294="987654321",$B294="012345678",$B294=REPT(LEFT($B294&amp;"",1),9))),"Dependent SSN appears to be a placeholder; ","")&amp;IF(AND($A294&lt;&gt;"",$B294&lt;&gt;"",$A294&amp;""=$B294&amp;""),"Dependent SSN cannot match Employee SSN; ","")&amp;IF(AND($W294&lt;&gt;"",OR(COUNTIFS($W$2:$W$501,$W294,$C$2:$C$501,"&lt;&gt;"&amp;$C294)&gt;0,COUNTIFS($W$2:$W$501,$W294,$D$2:$D$501,"&lt;&gt;"&amp;$D294)&gt;0,COUNTIFS($W$2:$W$501,$W294,$L$2:$L$501,"&lt;&gt;"&amp;$L294)&gt;0)),"The same SSN is associated with a different name or birthdate; ",""))</f>
        <v/>
      </c>
      <c r="AA294">
        <f>IF(COUNTA($A294:$U294)=0,"",IF(AND($A294&lt;&gt;"",$S294&lt;&gt;"",COUNTIFS($A$2:$A$501,$A294,$S$2:$S$501,$S294,$B$2:$B$501,"",$O$2:$O$501,"")=0),"Add an employee row for this household and plan; ","")&amp;IF(AND($X294="Dependent",COUNTIFS($A$2:$A294,$A294,$S$2:$S294,$S294,$B$2:$B294,"",$O$2:$O294,"")=0),"Place the employee row before dependent rows for this plan; ","")&amp;IF(AND($X294="Dependent",COUNTIFS($A$2:$A$501,$A294,$S$2:$S$501,$S294,$B$2:$B$501,"",$O$2:$O$501,"")&gt;0,IFERROR(OR($P294&lt;&gt;LOOKUP(2,1/(($A$2:$A$501=$A294)*($S$2:$S$501=$S294)*($B$2:$B$501="")*($O$2:$O$501="")),$P$2:$P$501),$Q294&lt;&gt;LOOKUP(2,1/(($A$2:$A$501=$A294)*($S$2:$S$501=$S294)*($B$2:$B$501="")*($O$2:$O$501="")),$Q$2:$Q$501),$R294&lt;&gt;LOOKUP(2,1/(($A$2:$A$501=$A294)*($S$2:$S$501=$S294)*($B$2:$B$501="")*($O$2:$O$501="")),$R$2:$R$501),$T294&lt;&gt;LOOKUP(2,1/(($A$2:$A$501=$A294)*($S$2:$S$501=$S294)*($B$2:$B$501="")*($O$2:$O$501="")),$T$2:$T$501),$U294&lt;&gt;LOOKUP(2,1/(($A$2:$A$501=$A294)*($S$2:$S$501=$S294)*($B$2:$B$501="")*($O$2:$O$501="")),$U$2:$U$501)),FALSE)),"Dependent row does not match the employee row for eligibility, status, coverage level, or funding; ",""))</f>
        <v/>
      </c>
      <c r="AB294">
        <f>IF(COUNTA($A294:$U294)=0,"",IF($L294="","Birthdate is required; ","")&amp;IF(AND($L294&lt;&gt;"",OR(NOT(ISNUMBER($L294)),$L294&lt;=DATE(1900,1,1),$L294&gt;TODAY())),"Birthdate must be an exact valid past date; ","")&amp;IF($P294="","Eligibility Date is required; ","")&amp;IF(AND($P294&lt;&gt;"",OR(NOT(ISNUMBER($P294)),$P294&lt;=DATE(1900,1,1))),"Eligibility Date must be a valid date; ","")&amp;IF(AND($R294="Terminated",$Q294=""),"Termination Date is required when Status is Terminated; ","")&amp;IF(AND($Q294&lt;&gt;"",OR(NOT(ISNUMBER($Q294)),$Q294&lt;=DATE(1900,1,1))),"Termination Date must be a valid date; ","")&amp;IF(AND(ISNUMBER($P294),ISNUMBER($Q294),$Q294&lt;$P294),"Termination Date cannot be before Eligibility Date; ","")&amp;IF($R294="","Status is required; ","")&amp;IF(AND($R294&lt;&gt;"",$R294&lt;&gt;"Active",$R294&lt;&gt;"Terminated"),"Status must be Active or Terminated; ","")&amp;IF(AND('START HERE'!$C$8="Terminations Only",$R294&lt;&gt;"Terminated"),"Terminations Only files must contain terminated records; ",""))</f>
        <v/>
      </c>
      <c r="AC294">
        <f>IF(COUNTA($A294:$U294)=0,"",IF($S294="","Plan Name is required; ","")&amp;IF($T294="","Benefit Coverage Level is required; ","")&amp;IF(AND($U294&lt;&gt;"",OR(NOT(ISNUMBER($U294)),$U294&lt;0)),"Plan Funding Amount must be a nonnegative number; ","")&amp;IF(AND($A294&lt;&gt;"",$S294&lt;&gt;"",COUNTIFS($A$2:$A$501,$A294,$B$2:$B$501,$B294,$S$2:$S$501,$S294)&gt;1),"Duplicate participant and plan row; ",""))</f>
        <v/>
      </c>
      <c r="AD294">
        <f>IF(COUNTA($A294:$U294)=0,"",IF(AND($X294="Employee",$M294="",$N294=""),"No employee phone or email provided; ","")&amp;IF(AND($R294="Active",$Q294&lt;&gt;""),"Active record includes a Termination Date; confirm this is intentional; ","")&amp;IF(AND($B294&lt;&gt;"",$B294&amp;""&lt;&gt;$A294&amp;"",COUNTIF($A$2:$A$501,$B294)&gt;0),"Dependent SSN also appears as an Employee SSN elsewhere; confirm dual-employee coverage is intentional; ","")&amp;IF(AND($B294&lt;&gt;"",COUNTIF($B$2:$B$501,$B294)&gt;COUNTIFS($A$2:$A$501,$A294,$B$2:$B$501,$B294)),"Dependent SSN appears under more than one employee; confirm duplicate family coverage is intentional; ","")&amp;IF(AND(ROW()&gt;2,$A294&lt;&gt;"",$A294&lt;&gt;$A293,COUNTIF($A$2:$A293,$A294)&gt;0),"This household appears in more than one section of the census; keep the family together; ","")&amp;IF(OR(AND($C294&lt;&gt;"",LEN($C294&amp;"")&lt;&gt;LEN(TRIM($C294&amp;""))),AND($D294&lt;&gt;"",LEN($D294&amp;"")&lt;&gt;LEN(TRIM($D294&amp;""))),AND($E294&lt;&gt;"",LEN($E294&amp;"")&lt;&gt;LEN(TRIM($E294&amp;""))),AND($F294&lt;&gt;"",LEN($F294&amp;"")&lt;&gt;LEN(TRIM($F294&amp;""))),AND($G294&lt;&gt;"",LEN($G294&amp;"")&lt;&gt;LEN(TRIM($G294&amp;""))),AND($H294&lt;&gt;"",LEN($H294&amp;"")&lt;&gt;LEN(TRIM($H294&amp;""))),AND($I294&lt;&gt;"",LEN($I294&amp;"")&lt;&gt;LEN(TRIM($I294&amp;""))),AND($J294&lt;&gt;"",LEN($J294&amp;"")&lt;&gt;LEN(TRIM($J294&amp;""))),AND($K294&lt;&gt;"",LEN($K294&amp;"")&lt;&gt;LEN(TRIM($K294&amp;""))),AND($M294&lt;&gt;"",LEN($M294&amp;"")&lt;&gt;LEN(TRIM($M294&amp;""))),AND($N294&lt;&gt;"",LEN($N294&amp;"")&lt;&gt;LEN(TRIM($N294&amp;""))),AND($O294&lt;&gt;"",LEN($O294&amp;"")&lt;&gt;LEN(TRIM($O294&amp;""))),AND($R294&lt;&gt;"",LEN($R294&amp;"")&lt;&gt;LEN(TRIM($R294&amp;""))),AND($S294&lt;&gt;"",LEN($S294&amp;"")&lt;&gt;LEN(TRIM($S294&amp;""))),AND($T294&lt;&gt;"",LEN($T294&amp;"")&lt;&gt;LEN(TRIM($T294&amp;"")))),"Remove leading or trailing spaces from text fields; ","")&amp;IF(OR(AND(LEN($C294)&gt;1,OR(EXACT($C294,UPPER($C294)),EXACT($C294,LOWER($C294)))),AND(LEN($D294)&gt;1,OR(EXACT($D294,UPPER($D294)),EXACT($D294,LOWER($D294)))),AND(LEN($H294)&gt;1,OR(EXACT($H294,UPPER($H294)),EXACT($H294,LOWER($H294))))),"Review capitalization in First Name, Last Name, or City; ","")&amp;IF(AND($N294&lt;&gt;"",NOT(EXACT($N294,LOWER($N294)))),"Email will be standardized to lowercase in the clean output; ","")&amp;IF(AND(OR('START HERE'!$C$8="Initial Enrollment",'START HERE'!$C$8="Open Enrollment"),$R294="Terminated"),"A terminated row is included in an initial or open enrollment file; confirm this is intentional; ",""))</f>
        <v/>
      </c>
      <c r="AE294">
        <f>IF(COUNTA($A294:$U294)=0,"",IF(OR($A294="",AND($A294&lt;&gt;"",NOT(IFERROR(AND(LEN($A294&amp;"")=9,ISNUMBER(--($A294&amp;""))),FALSE))),AND($A294&lt;&gt;"",OR($A294="123456789",$A294="987654321",$A294="012345678",$A294=REPT(LEFT($A294&amp;"",1),9)))),"Employee SSN, ","")&amp;IF(OR(AND($O294&lt;&gt;"",$B294=""),AND($B294&lt;&gt;"",OR(NOT(IFERROR(AND(LEN($B294&amp;"")=9,ISNUMBER(--($B294&amp;""))),FALSE)),$B294=$A294,$B294="123456789",$B294="987654321",$B294="012345678",$B294=REPT(LEFT($B294&amp;"",1),9)))),"Dependent SSN, ","")&amp;IF(OR($C294="",LEN($C294)&gt;19,AND($C294&lt;&gt;"",SUMPRODUCT(--(ROW($1:$19)&lt;=LEN($C294&amp;"")),--ISERROR(FIND(MID($C294&amp;"",ROW($1:$19),1),"ABCDEFGHIJKLMNOPQRSTUVWXYZabcdefghijklmnopqrstuvwxyz .,")))&gt;0)),"First Name, ","")&amp;IF(OR($D294="",LEN($D294)&gt;26,AND($D294&lt;&gt;"",SUMPRODUCT(--(ROW($1:$26)&lt;=LEN($D294&amp;"")),--ISERROR(FIND(MID($D294&amp;"",ROW($1:$26),1),"ABCDEFGHIJKLMNOPQRSTUVWXYZabcdefghijklmnopqrstuvwxyz .,")))&gt;0)),"Last Name, ","")&amp;IF(OR(LEN($E294)&gt;1,AND($E294&lt;&gt;"",SUMPRODUCT(--(ROW($1:$1)&lt;=LEN($E294&amp;"")),--ISERROR(FIND(MID($E294&amp;"",ROW($1:$1),1),"ABCDEFGHIJKLMNOPQRSTUVWXYZabcdefghijklmnopqrstuvwxyz .,")))&gt;0)),"Middle Initial, ","")&amp;IF(OR($F294="",LEN($F294)&gt;75),"Address, ","")&amp;IF(OR($H294="",LEN($H294)&gt;30),"City, ","")&amp;IF(AND($K294="US",OR($I294="",LEN($I294)&lt;&gt;2)),"State, ","")&amp;IF($J294="","ZIP, ","")&amp;IF(OR($K294="",AND($K294&lt;&gt;"US",$K294&lt;&gt;"CA")),"Country, ","")&amp;IF(OR($L294="",AND($L294&lt;&gt;"",OR(NOT(ISNUMBER($L294)),$L294&lt;=DATE(1900,1,1),$L294&gt;TODAY()))),"Birthdate, ","")&amp;IF(AND($N294&lt;&gt;"",NOT(IFERROR(AND(ISNUMBER(SEARCH("@",$N294)),ISNUMBER(SEARCH(".",$N294,SEARCH("@",$N294)+2))),FALSE))),"Email, ","")&amp;IF(OR(AND($B294&lt;&gt;"",$O294=""),AND($O294&lt;&gt;"",$O294&lt;&gt;"Spouse or Common Law Spouse",$O294&lt;&gt;"Domestic Partner",$O294&lt;&gt;"Child",$O294&lt;&gt;"Other",$O294&lt;&gt;"Estate",$O294&lt;&gt;"Unknown")),"Dependent Relationship, ","")&amp;IF($AA294&lt;&gt;"","Household, ","")&amp;IF(OR($P294="",AND($P294&lt;&gt;"",OR(NOT(ISNUMBER($P294)),$P294&lt;=DATE(1900,1,1)))),"Eligibility Date, ","")&amp;IF(OR(AND($R294="Terminated",$Q294=""),AND($Q294&lt;&gt;"",OR(NOT(ISNUMBER($Q294)),$Q294&lt;=DATE(1900,1,1))),AND(ISNUMBER($P294),ISNUMBER($Q294),$Q294&lt;$P294)),"Termination Date, ","")&amp;IF(OR($R294="",AND($R294&lt;&gt;"Active",$R294&lt;&gt;"Terminated"),AND('START HERE'!$C$8="Terminations Only",$R294&lt;&gt;"Terminated")),"Status, ","")&amp;IF($S294="","Plan Name, ","")&amp;IF($T294="","Coverage Level, ","")&amp;IF(AND($U294&lt;&gt;"",OR(NOT(ISNUMBER($U294)),$U294&lt;0)),"Funding, ","")&amp;IF(AND($A294&lt;&gt;"",$S294&lt;&gt;"",COUNTIFS($A$2:$A$501,$A294,$B$2:$B$501,$B294,$S$2:$S$501,$S294)&gt;1),"Duplicate Row, ",""))</f>
        <v/>
      </c>
      <c r="AF294">
        <f>IF(COUNTA($A294:$U294)=0,"",$Y294&amp;$Z294&amp;$AA294&amp;$AB294&amp;$AC294)</f>
        <v/>
      </c>
      <c r="AG294">
        <f>IF($N294="","",LOWER(TRIM($N294)))</f>
        <v/>
      </c>
      <c r="AH294">
        <f>IF($A294="","",COUNTIFS($A$2:$A$501,$A294,$AI$2:$AI$501,1))</f>
        <v/>
      </c>
      <c r="AI294">
        <f>IF(COUNTA($A294:$U294)=0,"",--($AF294&lt;&gt;""))</f>
        <v/>
      </c>
      <c r="AJ294">
        <f>IF(COUNTA($A294:$U294)=0,"",--($AD294&lt;&gt;""))</f>
        <v/>
      </c>
    </row>
    <row r="295" ht="20" customHeight="1">
      <c r="A295" s="80" t="n"/>
      <c r="B295" s="80" t="n"/>
      <c r="C295" s="81" t="n"/>
      <c r="D295" s="81" t="n"/>
      <c r="E295" s="80" t="n"/>
      <c r="F295" s="81" t="n"/>
      <c r="G295" s="81" t="n"/>
      <c r="H295" s="81" t="n"/>
      <c r="I295" s="80" t="n"/>
      <c r="J295" s="80" t="n"/>
      <c r="K295" s="80" t="n"/>
      <c r="L295" s="82" t="n"/>
      <c r="M295" s="80" t="n"/>
      <c r="N295" s="80" t="n"/>
      <c r="O295" s="80" t="n"/>
      <c r="P295" s="82" t="n"/>
      <c r="Q295" s="82" t="n"/>
      <c r="R295" s="80" t="n"/>
      <c r="S295" s="80" t="n"/>
      <c r="T295" s="80" t="n"/>
      <c r="U295" s="83" t="n"/>
      <c r="V295">
        <f>IF($A295="","",IF($A295=$A294,$V294,IF($V294="",0,1-$V294)))</f>
        <v/>
      </c>
      <c r="W295">
        <f>IF($B295&lt;&gt;"",$B295,$A295)</f>
        <v/>
      </c>
      <c r="X295">
        <f>IF(COUNTA($A295:$U295)=0,"",IF(OR($B295&lt;&gt;"",$O295&lt;&gt;""),"Dependent","Employee"))</f>
        <v/>
      </c>
      <c r="Y295">
        <f>IF(COUNTA($A295:$U295)=0,"",IF($A295="","Employee SSN is required; ","")&amp;IF($C295="","First Name is required; ","")&amp;IF(LEN($C295&amp;"")&gt;19,"First Name exceeds 19 characters; ","")&amp;IF(AND($C295&lt;&gt;"",SUMPRODUCT(--(ROW($1:$19)&lt;=LEN($C295&amp;"")),--ISERROR(FIND(MID($C295&amp;"",ROW($1:$19),1),"ABCDEFGHIJKLMNOPQRSTUVWXYZabcdefghijklmnopqrstuvwxyz .,")))&gt;0),"First Name contains unsupported or encoded characters; use plain A-Z letters only; ","")&amp;IF($D295="","Last Name is required; ","")&amp;IF(LEN($D295&amp;"")&gt;26,"Last Name exceeds 26 characters; ","")&amp;IF(AND($D295&lt;&gt;"",SUMPRODUCT(--(ROW($1:$26)&lt;=LEN($D295&amp;"")),--ISERROR(FIND(MID($D295&amp;"",ROW($1:$26),1),"ABCDEFGHIJKLMNOPQRSTUVWXYZabcdefghijklmnopqrstuvwxyz .,")))&gt;0),"Last Name contains unsupported or encoded characters; use plain A-Z letters only; ","")&amp;IF(LEN($E295&amp;"")&gt;1,"Middle Initial may contain only one character; ","")&amp;IF(AND($E295&lt;&gt;"",SUMPRODUCT(--(ROW($1:$1)&lt;=LEN($E295&amp;"")),--ISERROR(FIND(MID($E295&amp;"",ROW($1:$1),1),"ABCDEFGHIJKLMNOPQRSTUVWXYZabcdefghijklmnopqrstuvwxyz .,")))&gt;0),"Middle Initial must be a plain A-Z letter; ","")&amp;IF($F295="","Address is required; ","")&amp;IF(LEN($F295&amp;"")&gt;75,"Address exceeds 75 characters; ","")&amp;IF(LEN($G295&amp;"")&gt;75,"Address 2 exceeds 75 characters; ","")&amp;IF($H295="","City is required; ","")&amp;IF(LEN($H295&amp;"")&gt;30,"City exceeds 30 characters; ","")&amp;IF($K295="","Country is required; ","")&amp;IF(AND($K295&lt;&gt;"",$K295&lt;&gt;"US",$K295&lt;&gt;"CA"),"Country must be US or CA; ","")&amp;IF(AND($K295="US",OR($I295="",LEN($I295&amp;"")&lt;&gt;2)),"Use a 2-letter state code; ","")&amp;IF($J295="","ZIP or postal code is required; ","")&amp;IF(AND($K295="US",$J295&lt;&gt;"",NOT(IFERROR(OR(AND(LEN($J295&amp;"")=5,ISNUMBER(--($J295&amp;""))),AND(LEN($J295&amp;"")=9,ISNUMBER(--($J295&amp;""))),AND(LEN($J295&amp;"")=10,MID($J295&amp;"",6,1)="-",ISNUMBER(--SUBSTITUTE($J295&amp;"","-","")))),FALSE))),"US ZIP must be 5 or 9 digits, with an optional ZIP+4 hyphen; ","")&amp;IF(AND($N295&lt;&gt;"",NOT(IFERROR(AND(ISNUMBER(SEARCH("@",$N295)),ISNUMBER(SEARCH(".",$N295,SEARCH("@",$N295)+2))),FALSE))),"Email format appears invalid; ","")&amp;IF(AND($O295&lt;&gt;"",$B295=""),"Dependent SSN is required for every dependent; ","")&amp;IF(AND($B295&lt;&gt;"",$O295=""),"Dependent Relationship is required when Dependent SSN is entered; ","")&amp;IF(AND($O295&lt;&gt;"",$O295&lt;&gt;"Spouse or Common Law Spouse",$O295&lt;&gt;"Domestic Partner",$O295&lt;&gt;"Child",$O295&lt;&gt;"Other",$O295&lt;&gt;"Estate",$O295&lt;&gt;"Unknown"),"Dependent Relationship must use one of the approved options; ",""))</f>
        <v/>
      </c>
      <c r="Z295">
        <f>IF(COUNTA($A295:$U295)=0,"",IF(AND($A295&lt;&gt;"",NOT(IFERROR(AND(LEN($A295&amp;"")=9,ISNUMBER(--($A295&amp;""))),FALSE))),"Employee SSN must contain exactly 9 digits; ","")&amp;IF(AND($A295&lt;&gt;"",OR($A295="123456789",$A295="987654321",$A295="012345678",$A295=REPT(LEFT($A295&amp;"",1),9))),"Employee SSN appears to be a placeholder; ","")&amp;IF(AND($B295&lt;&gt;"",NOT(IFERROR(AND(LEN($B295&amp;"")=9,ISNUMBER(--($B295&amp;""))),FALSE))),"Dependent SSN must contain exactly 9 digits; ","")&amp;IF(AND($B295&lt;&gt;"",OR($B295="123456789",$B295="987654321",$B295="012345678",$B295=REPT(LEFT($B295&amp;"",1),9))),"Dependent SSN appears to be a placeholder; ","")&amp;IF(AND($A295&lt;&gt;"",$B295&lt;&gt;"",$A295&amp;""=$B295&amp;""),"Dependent SSN cannot match Employee SSN; ","")&amp;IF(AND($W295&lt;&gt;"",OR(COUNTIFS($W$2:$W$501,$W295,$C$2:$C$501,"&lt;&gt;"&amp;$C295)&gt;0,COUNTIFS($W$2:$W$501,$W295,$D$2:$D$501,"&lt;&gt;"&amp;$D295)&gt;0,COUNTIFS($W$2:$W$501,$W295,$L$2:$L$501,"&lt;&gt;"&amp;$L295)&gt;0)),"The same SSN is associated with a different name or birthdate; ",""))</f>
        <v/>
      </c>
      <c r="AA295">
        <f>IF(COUNTA($A295:$U295)=0,"",IF(AND($A295&lt;&gt;"",$S295&lt;&gt;"",COUNTIFS($A$2:$A$501,$A295,$S$2:$S$501,$S295,$B$2:$B$501,"",$O$2:$O$501,"")=0),"Add an employee row for this household and plan; ","")&amp;IF(AND($X295="Dependent",COUNTIFS($A$2:$A295,$A295,$S$2:$S295,$S295,$B$2:$B295,"",$O$2:$O295,"")=0),"Place the employee row before dependent rows for this plan; ","")&amp;IF(AND($X295="Dependent",COUNTIFS($A$2:$A$501,$A295,$S$2:$S$501,$S295,$B$2:$B$501,"",$O$2:$O$501,"")&gt;0,IFERROR(OR($P295&lt;&gt;LOOKUP(2,1/(($A$2:$A$501=$A295)*($S$2:$S$501=$S295)*($B$2:$B$501="")*($O$2:$O$501="")),$P$2:$P$501),$Q295&lt;&gt;LOOKUP(2,1/(($A$2:$A$501=$A295)*($S$2:$S$501=$S295)*($B$2:$B$501="")*($O$2:$O$501="")),$Q$2:$Q$501),$R295&lt;&gt;LOOKUP(2,1/(($A$2:$A$501=$A295)*($S$2:$S$501=$S295)*($B$2:$B$501="")*($O$2:$O$501="")),$R$2:$R$501),$T295&lt;&gt;LOOKUP(2,1/(($A$2:$A$501=$A295)*($S$2:$S$501=$S295)*($B$2:$B$501="")*($O$2:$O$501="")),$T$2:$T$501),$U295&lt;&gt;LOOKUP(2,1/(($A$2:$A$501=$A295)*($S$2:$S$501=$S295)*($B$2:$B$501="")*($O$2:$O$501="")),$U$2:$U$501)),FALSE)),"Dependent row does not match the employee row for eligibility, status, coverage level, or funding; ",""))</f>
        <v/>
      </c>
      <c r="AB295">
        <f>IF(COUNTA($A295:$U295)=0,"",IF($L295="","Birthdate is required; ","")&amp;IF(AND($L295&lt;&gt;"",OR(NOT(ISNUMBER($L295)),$L295&lt;=DATE(1900,1,1),$L295&gt;TODAY())),"Birthdate must be an exact valid past date; ","")&amp;IF($P295="","Eligibility Date is required; ","")&amp;IF(AND($P295&lt;&gt;"",OR(NOT(ISNUMBER($P295)),$P295&lt;=DATE(1900,1,1))),"Eligibility Date must be a valid date; ","")&amp;IF(AND($R295="Terminated",$Q295=""),"Termination Date is required when Status is Terminated; ","")&amp;IF(AND($Q295&lt;&gt;"",OR(NOT(ISNUMBER($Q295)),$Q295&lt;=DATE(1900,1,1))),"Termination Date must be a valid date; ","")&amp;IF(AND(ISNUMBER($P295),ISNUMBER($Q295),$Q295&lt;$P295),"Termination Date cannot be before Eligibility Date; ","")&amp;IF($R295="","Status is required; ","")&amp;IF(AND($R295&lt;&gt;"",$R295&lt;&gt;"Active",$R295&lt;&gt;"Terminated"),"Status must be Active or Terminated; ","")&amp;IF(AND('START HERE'!$C$8="Terminations Only",$R295&lt;&gt;"Terminated"),"Terminations Only files must contain terminated records; ",""))</f>
        <v/>
      </c>
      <c r="AC295">
        <f>IF(COUNTA($A295:$U295)=0,"",IF($S295="","Plan Name is required; ","")&amp;IF($T295="","Benefit Coverage Level is required; ","")&amp;IF(AND($U295&lt;&gt;"",OR(NOT(ISNUMBER($U295)),$U295&lt;0)),"Plan Funding Amount must be a nonnegative number; ","")&amp;IF(AND($A295&lt;&gt;"",$S295&lt;&gt;"",COUNTIFS($A$2:$A$501,$A295,$B$2:$B$501,$B295,$S$2:$S$501,$S295)&gt;1),"Duplicate participant and plan row; ",""))</f>
        <v/>
      </c>
      <c r="AD295">
        <f>IF(COUNTA($A295:$U295)=0,"",IF(AND($X295="Employee",$M295="",$N295=""),"No employee phone or email provided; ","")&amp;IF(AND($R295="Active",$Q295&lt;&gt;""),"Active record includes a Termination Date; confirm this is intentional; ","")&amp;IF(AND($B295&lt;&gt;"",$B295&amp;""&lt;&gt;$A295&amp;"",COUNTIF($A$2:$A$501,$B295)&gt;0),"Dependent SSN also appears as an Employee SSN elsewhere; confirm dual-employee coverage is intentional; ","")&amp;IF(AND($B295&lt;&gt;"",COUNTIF($B$2:$B$501,$B295)&gt;COUNTIFS($A$2:$A$501,$A295,$B$2:$B$501,$B295)),"Dependent SSN appears under more than one employee; confirm duplicate family coverage is intentional; ","")&amp;IF(AND(ROW()&gt;2,$A295&lt;&gt;"",$A295&lt;&gt;$A294,COUNTIF($A$2:$A294,$A295)&gt;0),"This household appears in more than one section of the census; keep the family together; ","")&amp;IF(OR(AND($C295&lt;&gt;"",LEN($C295&amp;"")&lt;&gt;LEN(TRIM($C295&amp;""))),AND($D295&lt;&gt;"",LEN($D295&amp;"")&lt;&gt;LEN(TRIM($D295&amp;""))),AND($E295&lt;&gt;"",LEN($E295&amp;"")&lt;&gt;LEN(TRIM($E295&amp;""))),AND($F295&lt;&gt;"",LEN($F295&amp;"")&lt;&gt;LEN(TRIM($F295&amp;""))),AND($G295&lt;&gt;"",LEN($G295&amp;"")&lt;&gt;LEN(TRIM($G295&amp;""))),AND($H295&lt;&gt;"",LEN($H295&amp;"")&lt;&gt;LEN(TRIM($H295&amp;""))),AND($I295&lt;&gt;"",LEN($I295&amp;"")&lt;&gt;LEN(TRIM($I295&amp;""))),AND($J295&lt;&gt;"",LEN($J295&amp;"")&lt;&gt;LEN(TRIM($J295&amp;""))),AND($K295&lt;&gt;"",LEN($K295&amp;"")&lt;&gt;LEN(TRIM($K295&amp;""))),AND($M295&lt;&gt;"",LEN($M295&amp;"")&lt;&gt;LEN(TRIM($M295&amp;""))),AND($N295&lt;&gt;"",LEN($N295&amp;"")&lt;&gt;LEN(TRIM($N295&amp;""))),AND($O295&lt;&gt;"",LEN($O295&amp;"")&lt;&gt;LEN(TRIM($O295&amp;""))),AND($R295&lt;&gt;"",LEN($R295&amp;"")&lt;&gt;LEN(TRIM($R295&amp;""))),AND($S295&lt;&gt;"",LEN($S295&amp;"")&lt;&gt;LEN(TRIM($S295&amp;""))),AND($T295&lt;&gt;"",LEN($T295&amp;"")&lt;&gt;LEN(TRIM($T295&amp;"")))),"Remove leading or trailing spaces from text fields; ","")&amp;IF(OR(AND(LEN($C295)&gt;1,OR(EXACT($C295,UPPER($C295)),EXACT($C295,LOWER($C295)))),AND(LEN($D295)&gt;1,OR(EXACT($D295,UPPER($D295)),EXACT($D295,LOWER($D295)))),AND(LEN($H295)&gt;1,OR(EXACT($H295,UPPER($H295)),EXACT($H295,LOWER($H295))))),"Review capitalization in First Name, Last Name, or City; ","")&amp;IF(AND($N295&lt;&gt;"",NOT(EXACT($N295,LOWER($N295)))),"Email will be standardized to lowercase in the clean output; ","")&amp;IF(AND(OR('START HERE'!$C$8="Initial Enrollment",'START HERE'!$C$8="Open Enrollment"),$R295="Terminated"),"A terminated row is included in an initial or open enrollment file; confirm this is intentional; ",""))</f>
        <v/>
      </c>
      <c r="AE295">
        <f>IF(COUNTA($A295:$U295)=0,"",IF(OR($A295="",AND($A295&lt;&gt;"",NOT(IFERROR(AND(LEN($A295&amp;"")=9,ISNUMBER(--($A295&amp;""))),FALSE))),AND($A295&lt;&gt;"",OR($A295="123456789",$A295="987654321",$A295="012345678",$A295=REPT(LEFT($A295&amp;"",1),9)))),"Employee SSN, ","")&amp;IF(OR(AND($O295&lt;&gt;"",$B295=""),AND($B295&lt;&gt;"",OR(NOT(IFERROR(AND(LEN($B295&amp;"")=9,ISNUMBER(--($B295&amp;""))),FALSE)),$B295=$A295,$B295="123456789",$B295="987654321",$B295="012345678",$B295=REPT(LEFT($B295&amp;"",1),9)))),"Dependent SSN, ","")&amp;IF(OR($C295="",LEN($C295)&gt;19,AND($C295&lt;&gt;"",SUMPRODUCT(--(ROW($1:$19)&lt;=LEN($C295&amp;"")),--ISERROR(FIND(MID($C295&amp;"",ROW($1:$19),1),"ABCDEFGHIJKLMNOPQRSTUVWXYZabcdefghijklmnopqrstuvwxyz .,")))&gt;0)),"First Name, ","")&amp;IF(OR($D295="",LEN($D295)&gt;26,AND($D295&lt;&gt;"",SUMPRODUCT(--(ROW($1:$26)&lt;=LEN($D295&amp;"")),--ISERROR(FIND(MID($D295&amp;"",ROW($1:$26),1),"ABCDEFGHIJKLMNOPQRSTUVWXYZabcdefghijklmnopqrstuvwxyz .,")))&gt;0)),"Last Name, ","")&amp;IF(OR(LEN($E295)&gt;1,AND($E295&lt;&gt;"",SUMPRODUCT(--(ROW($1:$1)&lt;=LEN($E295&amp;"")),--ISERROR(FIND(MID($E295&amp;"",ROW($1:$1),1),"ABCDEFGHIJKLMNOPQRSTUVWXYZabcdefghijklmnopqrstuvwxyz .,")))&gt;0)),"Middle Initial, ","")&amp;IF(OR($F295="",LEN($F295)&gt;75),"Address, ","")&amp;IF(OR($H295="",LEN($H295)&gt;30),"City, ","")&amp;IF(AND($K295="US",OR($I295="",LEN($I295)&lt;&gt;2)),"State, ","")&amp;IF($J295="","ZIP, ","")&amp;IF(OR($K295="",AND($K295&lt;&gt;"US",$K295&lt;&gt;"CA")),"Country, ","")&amp;IF(OR($L295="",AND($L295&lt;&gt;"",OR(NOT(ISNUMBER($L295)),$L295&lt;=DATE(1900,1,1),$L295&gt;TODAY()))),"Birthdate, ","")&amp;IF(AND($N295&lt;&gt;"",NOT(IFERROR(AND(ISNUMBER(SEARCH("@",$N295)),ISNUMBER(SEARCH(".",$N295,SEARCH("@",$N295)+2))),FALSE))),"Email, ","")&amp;IF(OR(AND($B295&lt;&gt;"",$O295=""),AND($O295&lt;&gt;"",$O295&lt;&gt;"Spouse or Common Law Spouse",$O295&lt;&gt;"Domestic Partner",$O295&lt;&gt;"Child",$O295&lt;&gt;"Other",$O295&lt;&gt;"Estate",$O295&lt;&gt;"Unknown")),"Dependent Relationship, ","")&amp;IF($AA295&lt;&gt;"","Household, ","")&amp;IF(OR($P295="",AND($P295&lt;&gt;"",OR(NOT(ISNUMBER($P295)),$P295&lt;=DATE(1900,1,1)))),"Eligibility Date, ","")&amp;IF(OR(AND($R295="Terminated",$Q295=""),AND($Q295&lt;&gt;"",OR(NOT(ISNUMBER($Q295)),$Q295&lt;=DATE(1900,1,1))),AND(ISNUMBER($P295),ISNUMBER($Q295),$Q295&lt;$P295)),"Termination Date, ","")&amp;IF(OR($R295="",AND($R295&lt;&gt;"Active",$R295&lt;&gt;"Terminated"),AND('START HERE'!$C$8="Terminations Only",$R295&lt;&gt;"Terminated")),"Status, ","")&amp;IF($S295="","Plan Name, ","")&amp;IF($T295="","Coverage Level, ","")&amp;IF(AND($U295&lt;&gt;"",OR(NOT(ISNUMBER($U295)),$U295&lt;0)),"Funding, ","")&amp;IF(AND($A295&lt;&gt;"",$S295&lt;&gt;"",COUNTIFS($A$2:$A$501,$A295,$B$2:$B$501,$B295,$S$2:$S$501,$S295)&gt;1),"Duplicate Row, ",""))</f>
        <v/>
      </c>
      <c r="AF295">
        <f>IF(COUNTA($A295:$U295)=0,"",$Y295&amp;$Z295&amp;$AA295&amp;$AB295&amp;$AC295)</f>
        <v/>
      </c>
      <c r="AG295">
        <f>IF($N295="","",LOWER(TRIM($N295)))</f>
        <v/>
      </c>
      <c r="AH295">
        <f>IF($A295="","",COUNTIFS($A$2:$A$501,$A295,$AI$2:$AI$501,1))</f>
        <v/>
      </c>
      <c r="AI295">
        <f>IF(COUNTA($A295:$U295)=0,"",--($AF295&lt;&gt;""))</f>
        <v/>
      </c>
      <c r="AJ295">
        <f>IF(COUNTA($A295:$U295)=0,"",--($AD295&lt;&gt;""))</f>
        <v/>
      </c>
    </row>
    <row r="296" ht="20" customHeight="1">
      <c r="A296" s="80" t="n"/>
      <c r="B296" s="80" t="n"/>
      <c r="C296" s="81" t="n"/>
      <c r="D296" s="81" t="n"/>
      <c r="E296" s="80" t="n"/>
      <c r="F296" s="81" t="n"/>
      <c r="G296" s="81" t="n"/>
      <c r="H296" s="81" t="n"/>
      <c r="I296" s="80" t="n"/>
      <c r="J296" s="80" t="n"/>
      <c r="K296" s="80" t="n"/>
      <c r="L296" s="82" t="n"/>
      <c r="M296" s="80" t="n"/>
      <c r="N296" s="80" t="n"/>
      <c r="O296" s="80" t="n"/>
      <c r="P296" s="82" t="n"/>
      <c r="Q296" s="82" t="n"/>
      <c r="R296" s="80" t="n"/>
      <c r="S296" s="80" t="n"/>
      <c r="T296" s="80" t="n"/>
      <c r="U296" s="83" t="n"/>
      <c r="V296">
        <f>IF($A296="","",IF($A296=$A295,$V295,IF($V295="",0,1-$V295)))</f>
        <v/>
      </c>
      <c r="W296">
        <f>IF($B296&lt;&gt;"",$B296,$A296)</f>
        <v/>
      </c>
      <c r="X296">
        <f>IF(COUNTA($A296:$U296)=0,"",IF(OR($B296&lt;&gt;"",$O296&lt;&gt;""),"Dependent","Employee"))</f>
        <v/>
      </c>
      <c r="Y296">
        <f>IF(COUNTA($A296:$U296)=0,"",IF($A296="","Employee SSN is required; ","")&amp;IF($C296="","First Name is required; ","")&amp;IF(LEN($C296&amp;"")&gt;19,"First Name exceeds 19 characters; ","")&amp;IF(AND($C296&lt;&gt;"",SUMPRODUCT(--(ROW($1:$19)&lt;=LEN($C296&amp;"")),--ISERROR(FIND(MID($C296&amp;"",ROW($1:$19),1),"ABCDEFGHIJKLMNOPQRSTUVWXYZabcdefghijklmnopqrstuvwxyz .,")))&gt;0),"First Name contains unsupported or encoded characters; use plain A-Z letters only; ","")&amp;IF($D296="","Last Name is required; ","")&amp;IF(LEN($D296&amp;"")&gt;26,"Last Name exceeds 26 characters; ","")&amp;IF(AND($D296&lt;&gt;"",SUMPRODUCT(--(ROW($1:$26)&lt;=LEN($D296&amp;"")),--ISERROR(FIND(MID($D296&amp;"",ROW($1:$26),1),"ABCDEFGHIJKLMNOPQRSTUVWXYZabcdefghijklmnopqrstuvwxyz .,")))&gt;0),"Last Name contains unsupported or encoded characters; use plain A-Z letters only; ","")&amp;IF(LEN($E296&amp;"")&gt;1,"Middle Initial may contain only one character; ","")&amp;IF(AND($E296&lt;&gt;"",SUMPRODUCT(--(ROW($1:$1)&lt;=LEN($E296&amp;"")),--ISERROR(FIND(MID($E296&amp;"",ROW($1:$1),1),"ABCDEFGHIJKLMNOPQRSTUVWXYZabcdefghijklmnopqrstuvwxyz .,")))&gt;0),"Middle Initial must be a plain A-Z letter; ","")&amp;IF($F296="","Address is required; ","")&amp;IF(LEN($F296&amp;"")&gt;75,"Address exceeds 75 characters; ","")&amp;IF(LEN($G296&amp;"")&gt;75,"Address 2 exceeds 75 characters; ","")&amp;IF($H296="","City is required; ","")&amp;IF(LEN($H296&amp;"")&gt;30,"City exceeds 30 characters; ","")&amp;IF($K296="","Country is required; ","")&amp;IF(AND($K296&lt;&gt;"",$K296&lt;&gt;"US",$K296&lt;&gt;"CA"),"Country must be US or CA; ","")&amp;IF(AND($K296="US",OR($I296="",LEN($I296&amp;"")&lt;&gt;2)),"Use a 2-letter state code; ","")&amp;IF($J296="","ZIP or postal code is required; ","")&amp;IF(AND($K296="US",$J296&lt;&gt;"",NOT(IFERROR(OR(AND(LEN($J296&amp;"")=5,ISNUMBER(--($J296&amp;""))),AND(LEN($J296&amp;"")=9,ISNUMBER(--($J296&amp;""))),AND(LEN($J296&amp;"")=10,MID($J296&amp;"",6,1)="-",ISNUMBER(--SUBSTITUTE($J296&amp;"","-","")))),FALSE))),"US ZIP must be 5 or 9 digits, with an optional ZIP+4 hyphen; ","")&amp;IF(AND($N296&lt;&gt;"",NOT(IFERROR(AND(ISNUMBER(SEARCH("@",$N296)),ISNUMBER(SEARCH(".",$N296,SEARCH("@",$N296)+2))),FALSE))),"Email format appears invalid; ","")&amp;IF(AND($O296&lt;&gt;"",$B296=""),"Dependent SSN is required for every dependent; ","")&amp;IF(AND($B296&lt;&gt;"",$O296=""),"Dependent Relationship is required when Dependent SSN is entered; ","")&amp;IF(AND($O296&lt;&gt;"",$O296&lt;&gt;"Spouse or Common Law Spouse",$O296&lt;&gt;"Domestic Partner",$O296&lt;&gt;"Child",$O296&lt;&gt;"Other",$O296&lt;&gt;"Estate",$O296&lt;&gt;"Unknown"),"Dependent Relationship must use one of the approved options; ",""))</f>
        <v/>
      </c>
      <c r="Z296">
        <f>IF(COUNTA($A296:$U296)=0,"",IF(AND($A296&lt;&gt;"",NOT(IFERROR(AND(LEN($A296&amp;"")=9,ISNUMBER(--($A296&amp;""))),FALSE))),"Employee SSN must contain exactly 9 digits; ","")&amp;IF(AND($A296&lt;&gt;"",OR($A296="123456789",$A296="987654321",$A296="012345678",$A296=REPT(LEFT($A296&amp;"",1),9))),"Employee SSN appears to be a placeholder; ","")&amp;IF(AND($B296&lt;&gt;"",NOT(IFERROR(AND(LEN($B296&amp;"")=9,ISNUMBER(--($B296&amp;""))),FALSE))),"Dependent SSN must contain exactly 9 digits; ","")&amp;IF(AND($B296&lt;&gt;"",OR($B296="123456789",$B296="987654321",$B296="012345678",$B296=REPT(LEFT($B296&amp;"",1),9))),"Dependent SSN appears to be a placeholder; ","")&amp;IF(AND($A296&lt;&gt;"",$B296&lt;&gt;"",$A296&amp;""=$B296&amp;""),"Dependent SSN cannot match Employee SSN; ","")&amp;IF(AND($W296&lt;&gt;"",OR(COUNTIFS($W$2:$W$501,$W296,$C$2:$C$501,"&lt;&gt;"&amp;$C296)&gt;0,COUNTIFS($W$2:$W$501,$W296,$D$2:$D$501,"&lt;&gt;"&amp;$D296)&gt;0,COUNTIFS($W$2:$W$501,$W296,$L$2:$L$501,"&lt;&gt;"&amp;$L296)&gt;0)),"The same SSN is associated with a different name or birthdate; ",""))</f>
        <v/>
      </c>
      <c r="AA296">
        <f>IF(COUNTA($A296:$U296)=0,"",IF(AND($A296&lt;&gt;"",$S296&lt;&gt;"",COUNTIFS($A$2:$A$501,$A296,$S$2:$S$501,$S296,$B$2:$B$501,"",$O$2:$O$501,"")=0),"Add an employee row for this household and plan; ","")&amp;IF(AND($X296="Dependent",COUNTIFS($A$2:$A296,$A296,$S$2:$S296,$S296,$B$2:$B296,"",$O$2:$O296,"")=0),"Place the employee row before dependent rows for this plan; ","")&amp;IF(AND($X296="Dependent",COUNTIFS($A$2:$A$501,$A296,$S$2:$S$501,$S296,$B$2:$B$501,"",$O$2:$O$501,"")&gt;0,IFERROR(OR($P296&lt;&gt;LOOKUP(2,1/(($A$2:$A$501=$A296)*($S$2:$S$501=$S296)*($B$2:$B$501="")*($O$2:$O$501="")),$P$2:$P$501),$Q296&lt;&gt;LOOKUP(2,1/(($A$2:$A$501=$A296)*($S$2:$S$501=$S296)*($B$2:$B$501="")*($O$2:$O$501="")),$Q$2:$Q$501),$R296&lt;&gt;LOOKUP(2,1/(($A$2:$A$501=$A296)*($S$2:$S$501=$S296)*($B$2:$B$501="")*($O$2:$O$501="")),$R$2:$R$501),$T296&lt;&gt;LOOKUP(2,1/(($A$2:$A$501=$A296)*($S$2:$S$501=$S296)*($B$2:$B$501="")*($O$2:$O$501="")),$T$2:$T$501),$U296&lt;&gt;LOOKUP(2,1/(($A$2:$A$501=$A296)*($S$2:$S$501=$S296)*($B$2:$B$501="")*($O$2:$O$501="")),$U$2:$U$501)),FALSE)),"Dependent row does not match the employee row for eligibility, status, coverage level, or funding; ",""))</f>
        <v/>
      </c>
      <c r="AB296">
        <f>IF(COUNTA($A296:$U296)=0,"",IF($L296="","Birthdate is required; ","")&amp;IF(AND($L296&lt;&gt;"",OR(NOT(ISNUMBER($L296)),$L296&lt;=DATE(1900,1,1),$L296&gt;TODAY())),"Birthdate must be an exact valid past date; ","")&amp;IF($P296="","Eligibility Date is required; ","")&amp;IF(AND($P296&lt;&gt;"",OR(NOT(ISNUMBER($P296)),$P296&lt;=DATE(1900,1,1))),"Eligibility Date must be a valid date; ","")&amp;IF(AND($R296="Terminated",$Q296=""),"Termination Date is required when Status is Terminated; ","")&amp;IF(AND($Q296&lt;&gt;"",OR(NOT(ISNUMBER($Q296)),$Q296&lt;=DATE(1900,1,1))),"Termination Date must be a valid date; ","")&amp;IF(AND(ISNUMBER($P296),ISNUMBER($Q296),$Q296&lt;$P296),"Termination Date cannot be before Eligibility Date; ","")&amp;IF($R296="","Status is required; ","")&amp;IF(AND($R296&lt;&gt;"",$R296&lt;&gt;"Active",$R296&lt;&gt;"Terminated"),"Status must be Active or Terminated; ","")&amp;IF(AND('START HERE'!$C$8="Terminations Only",$R296&lt;&gt;"Terminated"),"Terminations Only files must contain terminated records; ",""))</f>
        <v/>
      </c>
      <c r="AC296">
        <f>IF(COUNTA($A296:$U296)=0,"",IF($S296="","Plan Name is required; ","")&amp;IF($T296="","Benefit Coverage Level is required; ","")&amp;IF(AND($U296&lt;&gt;"",OR(NOT(ISNUMBER($U296)),$U296&lt;0)),"Plan Funding Amount must be a nonnegative number; ","")&amp;IF(AND($A296&lt;&gt;"",$S296&lt;&gt;"",COUNTIFS($A$2:$A$501,$A296,$B$2:$B$501,$B296,$S$2:$S$501,$S296)&gt;1),"Duplicate participant and plan row; ",""))</f>
        <v/>
      </c>
      <c r="AD296">
        <f>IF(COUNTA($A296:$U296)=0,"",IF(AND($X296="Employee",$M296="",$N296=""),"No employee phone or email provided; ","")&amp;IF(AND($R296="Active",$Q296&lt;&gt;""),"Active record includes a Termination Date; confirm this is intentional; ","")&amp;IF(AND($B296&lt;&gt;"",$B296&amp;""&lt;&gt;$A296&amp;"",COUNTIF($A$2:$A$501,$B296)&gt;0),"Dependent SSN also appears as an Employee SSN elsewhere; confirm dual-employee coverage is intentional; ","")&amp;IF(AND($B296&lt;&gt;"",COUNTIF($B$2:$B$501,$B296)&gt;COUNTIFS($A$2:$A$501,$A296,$B$2:$B$501,$B296)),"Dependent SSN appears under more than one employee; confirm duplicate family coverage is intentional; ","")&amp;IF(AND(ROW()&gt;2,$A296&lt;&gt;"",$A296&lt;&gt;$A295,COUNTIF($A$2:$A295,$A296)&gt;0),"This household appears in more than one section of the census; keep the family together; ","")&amp;IF(OR(AND($C296&lt;&gt;"",LEN($C296&amp;"")&lt;&gt;LEN(TRIM($C296&amp;""))),AND($D296&lt;&gt;"",LEN($D296&amp;"")&lt;&gt;LEN(TRIM($D296&amp;""))),AND($E296&lt;&gt;"",LEN($E296&amp;"")&lt;&gt;LEN(TRIM($E296&amp;""))),AND($F296&lt;&gt;"",LEN($F296&amp;"")&lt;&gt;LEN(TRIM($F296&amp;""))),AND($G296&lt;&gt;"",LEN($G296&amp;"")&lt;&gt;LEN(TRIM($G296&amp;""))),AND($H296&lt;&gt;"",LEN($H296&amp;"")&lt;&gt;LEN(TRIM($H296&amp;""))),AND($I296&lt;&gt;"",LEN($I296&amp;"")&lt;&gt;LEN(TRIM($I296&amp;""))),AND($J296&lt;&gt;"",LEN($J296&amp;"")&lt;&gt;LEN(TRIM($J296&amp;""))),AND($K296&lt;&gt;"",LEN($K296&amp;"")&lt;&gt;LEN(TRIM($K296&amp;""))),AND($M296&lt;&gt;"",LEN($M296&amp;"")&lt;&gt;LEN(TRIM($M296&amp;""))),AND($N296&lt;&gt;"",LEN($N296&amp;"")&lt;&gt;LEN(TRIM($N296&amp;""))),AND($O296&lt;&gt;"",LEN($O296&amp;"")&lt;&gt;LEN(TRIM($O296&amp;""))),AND($R296&lt;&gt;"",LEN($R296&amp;"")&lt;&gt;LEN(TRIM($R296&amp;""))),AND($S296&lt;&gt;"",LEN($S296&amp;"")&lt;&gt;LEN(TRIM($S296&amp;""))),AND($T296&lt;&gt;"",LEN($T296&amp;"")&lt;&gt;LEN(TRIM($T296&amp;"")))),"Remove leading or trailing spaces from text fields; ","")&amp;IF(OR(AND(LEN($C296)&gt;1,OR(EXACT($C296,UPPER($C296)),EXACT($C296,LOWER($C296)))),AND(LEN($D296)&gt;1,OR(EXACT($D296,UPPER($D296)),EXACT($D296,LOWER($D296)))),AND(LEN($H296)&gt;1,OR(EXACT($H296,UPPER($H296)),EXACT($H296,LOWER($H296))))),"Review capitalization in First Name, Last Name, or City; ","")&amp;IF(AND($N296&lt;&gt;"",NOT(EXACT($N296,LOWER($N296)))),"Email will be standardized to lowercase in the clean output; ","")&amp;IF(AND(OR('START HERE'!$C$8="Initial Enrollment",'START HERE'!$C$8="Open Enrollment"),$R296="Terminated"),"A terminated row is included in an initial or open enrollment file; confirm this is intentional; ",""))</f>
        <v/>
      </c>
      <c r="AE296">
        <f>IF(COUNTA($A296:$U296)=0,"",IF(OR($A296="",AND($A296&lt;&gt;"",NOT(IFERROR(AND(LEN($A296&amp;"")=9,ISNUMBER(--($A296&amp;""))),FALSE))),AND($A296&lt;&gt;"",OR($A296="123456789",$A296="987654321",$A296="012345678",$A296=REPT(LEFT($A296&amp;"",1),9)))),"Employee SSN, ","")&amp;IF(OR(AND($O296&lt;&gt;"",$B296=""),AND($B296&lt;&gt;"",OR(NOT(IFERROR(AND(LEN($B296&amp;"")=9,ISNUMBER(--($B296&amp;""))),FALSE)),$B296=$A296,$B296="123456789",$B296="987654321",$B296="012345678",$B296=REPT(LEFT($B296&amp;"",1),9)))),"Dependent SSN, ","")&amp;IF(OR($C296="",LEN($C296)&gt;19,AND($C296&lt;&gt;"",SUMPRODUCT(--(ROW($1:$19)&lt;=LEN($C296&amp;"")),--ISERROR(FIND(MID($C296&amp;"",ROW($1:$19),1),"ABCDEFGHIJKLMNOPQRSTUVWXYZabcdefghijklmnopqrstuvwxyz .,")))&gt;0)),"First Name, ","")&amp;IF(OR($D296="",LEN($D296)&gt;26,AND($D296&lt;&gt;"",SUMPRODUCT(--(ROW($1:$26)&lt;=LEN($D296&amp;"")),--ISERROR(FIND(MID($D296&amp;"",ROW($1:$26),1),"ABCDEFGHIJKLMNOPQRSTUVWXYZabcdefghijklmnopqrstuvwxyz .,")))&gt;0)),"Last Name, ","")&amp;IF(OR(LEN($E296)&gt;1,AND($E296&lt;&gt;"",SUMPRODUCT(--(ROW($1:$1)&lt;=LEN($E296&amp;"")),--ISERROR(FIND(MID($E296&amp;"",ROW($1:$1),1),"ABCDEFGHIJKLMNOPQRSTUVWXYZabcdefghijklmnopqrstuvwxyz .,")))&gt;0)),"Middle Initial, ","")&amp;IF(OR($F296="",LEN($F296)&gt;75),"Address, ","")&amp;IF(OR($H296="",LEN($H296)&gt;30),"City, ","")&amp;IF(AND($K296="US",OR($I296="",LEN($I296)&lt;&gt;2)),"State, ","")&amp;IF($J296="","ZIP, ","")&amp;IF(OR($K296="",AND($K296&lt;&gt;"US",$K296&lt;&gt;"CA")),"Country, ","")&amp;IF(OR($L296="",AND($L296&lt;&gt;"",OR(NOT(ISNUMBER($L296)),$L296&lt;=DATE(1900,1,1),$L296&gt;TODAY()))),"Birthdate, ","")&amp;IF(AND($N296&lt;&gt;"",NOT(IFERROR(AND(ISNUMBER(SEARCH("@",$N296)),ISNUMBER(SEARCH(".",$N296,SEARCH("@",$N296)+2))),FALSE))),"Email, ","")&amp;IF(OR(AND($B296&lt;&gt;"",$O296=""),AND($O296&lt;&gt;"",$O296&lt;&gt;"Spouse or Common Law Spouse",$O296&lt;&gt;"Domestic Partner",$O296&lt;&gt;"Child",$O296&lt;&gt;"Other",$O296&lt;&gt;"Estate",$O296&lt;&gt;"Unknown")),"Dependent Relationship, ","")&amp;IF($AA296&lt;&gt;"","Household, ","")&amp;IF(OR($P296="",AND($P296&lt;&gt;"",OR(NOT(ISNUMBER($P296)),$P296&lt;=DATE(1900,1,1)))),"Eligibility Date, ","")&amp;IF(OR(AND($R296="Terminated",$Q296=""),AND($Q296&lt;&gt;"",OR(NOT(ISNUMBER($Q296)),$Q296&lt;=DATE(1900,1,1))),AND(ISNUMBER($P296),ISNUMBER($Q296),$Q296&lt;$P296)),"Termination Date, ","")&amp;IF(OR($R296="",AND($R296&lt;&gt;"Active",$R296&lt;&gt;"Terminated"),AND('START HERE'!$C$8="Terminations Only",$R296&lt;&gt;"Terminated")),"Status, ","")&amp;IF($S296="","Plan Name, ","")&amp;IF($T296="","Coverage Level, ","")&amp;IF(AND($U296&lt;&gt;"",OR(NOT(ISNUMBER($U296)),$U296&lt;0)),"Funding, ","")&amp;IF(AND($A296&lt;&gt;"",$S296&lt;&gt;"",COUNTIFS($A$2:$A$501,$A296,$B$2:$B$501,$B296,$S$2:$S$501,$S296)&gt;1),"Duplicate Row, ",""))</f>
        <v/>
      </c>
      <c r="AF296">
        <f>IF(COUNTA($A296:$U296)=0,"",$Y296&amp;$Z296&amp;$AA296&amp;$AB296&amp;$AC296)</f>
        <v/>
      </c>
      <c r="AG296">
        <f>IF($N296="","",LOWER(TRIM($N296)))</f>
        <v/>
      </c>
      <c r="AH296">
        <f>IF($A296="","",COUNTIFS($A$2:$A$501,$A296,$AI$2:$AI$501,1))</f>
        <v/>
      </c>
      <c r="AI296">
        <f>IF(COUNTA($A296:$U296)=0,"",--($AF296&lt;&gt;""))</f>
        <v/>
      </c>
      <c r="AJ296">
        <f>IF(COUNTA($A296:$U296)=0,"",--($AD296&lt;&gt;""))</f>
        <v/>
      </c>
    </row>
    <row r="297" ht="20" customHeight="1">
      <c r="A297" s="80" t="n"/>
      <c r="B297" s="80" t="n"/>
      <c r="C297" s="81" t="n"/>
      <c r="D297" s="81" t="n"/>
      <c r="E297" s="80" t="n"/>
      <c r="F297" s="81" t="n"/>
      <c r="G297" s="81" t="n"/>
      <c r="H297" s="81" t="n"/>
      <c r="I297" s="80" t="n"/>
      <c r="J297" s="80" t="n"/>
      <c r="K297" s="80" t="n"/>
      <c r="L297" s="82" t="n"/>
      <c r="M297" s="80" t="n"/>
      <c r="N297" s="80" t="n"/>
      <c r="O297" s="80" t="n"/>
      <c r="P297" s="82" t="n"/>
      <c r="Q297" s="82" t="n"/>
      <c r="R297" s="80" t="n"/>
      <c r="S297" s="80" t="n"/>
      <c r="T297" s="80" t="n"/>
      <c r="U297" s="83" t="n"/>
      <c r="V297">
        <f>IF($A297="","",IF($A297=$A296,$V296,IF($V296="",0,1-$V296)))</f>
        <v/>
      </c>
      <c r="W297">
        <f>IF($B297&lt;&gt;"",$B297,$A297)</f>
        <v/>
      </c>
      <c r="X297">
        <f>IF(COUNTA($A297:$U297)=0,"",IF(OR($B297&lt;&gt;"",$O297&lt;&gt;""),"Dependent","Employee"))</f>
        <v/>
      </c>
      <c r="Y297">
        <f>IF(COUNTA($A297:$U297)=0,"",IF($A297="","Employee SSN is required; ","")&amp;IF($C297="","First Name is required; ","")&amp;IF(LEN($C297&amp;"")&gt;19,"First Name exceeds 19 characters; ","")&amp;IF(AND($C297&lt;&gt;"",SUMPRODUCT(--(ROW($1:$19)&lt;=LEN($C297&amp;"")),--ISERROR(FIND(MID($C297&amp;"",ROW($1:$19),1),"ABCDEFGHIJKLMNOPQRSTUVWXYZabcdefghijklmnopqrstuvwxyz .,")))&gt;0),"First Name contains unsupported or encoded characters; use plain A-Z letters only; ","")&amp;IF($D297="","Last Name is required; ","")&amp;IF(LEN($D297&amp;"")&gt;26,"Last Name exceeds 26 characters; ","")&amp;IF(AND($D297&lt;&gt;"",SUMPRODUCT(--(ROW($1:$26)&lt;=LEN($D297&amp;"")),--ISERROR(FIND(MID($D297&amp;"",ROW($1:$26),1),"ABCDEFGHIJKLMNOPQRSTUVWXYZabcdefghijklmnopqrstuvwxyz .,")))&gt;0),"Last Name contains unsupported or encoded characters; use plain A-Z letters only; ","")&amp;IF(LEN($E297&amp;"")&gt;1,"Middle Initial may contain only one character; ","")&amp;IF(AND($E297&lt;&gt;"",SUMPRODUCT(--(ROW($1:$1)&lt;=LEN($E297&amp;"")),--ISERROR(FIND(MID($E297&amp;"",ROW($1:$1),1),"ABCDEFGHIJKLMNOPQRSTUVWXYZabcdefghijklmnopqrstuvwxyz .,")))&gt;0),"Middle Initial must be a plain A-Z letter; ","")&amp;IF($F297="","Address is required; ","")&amp;IF(LEN($F297&amp;"")&gt;75,"Address exceeds 75 characters; ","")&amp;IF(LEN($G297&amp;"")&gt;75,"Address 2 exceeds 75 characters; ","")&amp;IF($H297="","City is required; ","")&amp;IF(LEN($H297&amp;"")&gt;30,"City exceeds 30 characters; ","")&amp;IF($K297="","Country is required; ","")&amp;IF(AND($K297&lt;&gt;"",$K297&lt;&gt;"US",$K297&lt;&gt;"CA"),"Country must be US or CA; ","")&amp;IF(AND($K297="US",OR($I297="",LEN($I297&amp;"")&lt;&gt;2)),"Use a 2-letter state code; ","")&amp;IF($J297="","ZIP or postal code is required; ","")&amp;IF(AND($K297="US",$J297&lt;&gt;"",NOT(IFERROR(OR(AND(LEN($J297&amp;"")=5,ISNUMBER(--($J297&amp;""))),AND(LEN($J297&amp;"")=9,ISNUMBER(--($J297&amp;""))),AND(LEN($J297&amp;"")=10,MID($J297&amp;"",6,1)="-",ISNUMBER(--SUBSTITUTE($J297&amp;"","-","")))),FALSE))),"US ZIP must be 5 or 9 digits, with an optional ZIP+4 hyphen; ","")&amp;IF(AND($N297&lt;&gt;"",NOT(IFERROR(AND(ISNUMBER(SEARCH("@",$N297)),ISNUMBER(SEARCH(".",$N297,SEARCH("@",$N297)+2))),FALSE))),"Email format appears invalid; ","")&amp;IF(AND($O297&lt;&gt;"",$B297=""),"Dependent SSN is required for every dependent; ","")&amp;IF(AND($B297&lt;&gt;"",$O297=""),"Dependent Relationship is required when Dependent SSN is entered; ","")&amp;IF(AND($O297&lt;&gt;"",$O297&lt;&gt;"Spouse or Common Law Spouse",$O297&lt;&gt;"Domestic Partner",$O297&lt;&gt;"Child",$O297&lt;&gt;"Other",$O297&lt;&gt;"Estate",$O297&lt;&gt;"Unknown"),"Dependent Relationship must use one of the approved options; ",""))</f>
        <v/>
      </c>
      <c r="Z297">
        <f>IF(COUNTA($A297:$U297)=0,"",IF(AND($A297&lt;&gt;"",NOT(IFERROR(AND(LEN($A297&amp;"")=9,ISNUMBER(--($A297&amp;""))),FALSE))),"Employee SSN must contain exactly 9 digits; ","")&amp;IF(AND($A297&lt;&gt;"",OR($A297="123456789",$A297="987654321",$A297="012345678",$A297=REPT(LEFT($A297&amp;"",1),9))),"Employee SSN appears to be a placeholder; ","")&amp;IF(AND($B297&lt;&gt;"",NOT(IFERROR(AND(LEN($B297&amp;"")=9,ISNUMBER(--($B297&amp;""))),FALSE))),"Dependent SSN must contain exactly 9 digits; ","")&amp;IF(AND($B297&lt;&gt;"",OR($B297="123456789",$B297="987654321",$B297="012345678",$B297=REPT(LEFT($B297&amp;"",1),9))),"Dependent SSN appears to be a placeholder; ","")&amp;IF(AND($A297&lt;&gt;"",$B297&lt;&gt;"",$A297&amp;""=$B297&amp;""),"Dependent SSN cannot match Employee SSN; ","")&amp;IF(AND($W297&lt;&gt;"",OR(COUNTIFS($W$2:$W$501,$W297,$C$2:$C$501,"&lt;&gt;"&amp;$C297)&gt;0,COUNTIFS($W$2:$W$501,$W297,$D$2:$D$501,"&lt;&gt;"&amp;$D297)&gt;0,COUNTIFS($W$2:$W$501,$W297,$L$2:$L$501,"&lt;&gt;"&amp;$L297)&gt;0)),"The same SSN is associated with a different name or birthdate; ",""))</f>
        <v/>
      </c>
      <c r="AA297">
        <f>IF(COUNTA($A297:$U297)=0,"",IF(AND($A297&lt;&gt;"",$S297&lt;&gt;"",COUNTIFS($A$2:$A$501,$A297,$S$2:$S$501,$S297,$B$2:$B$501,"",$O$2:$O$501,"")=0),"Add an employee row for this household and plan; ","")&amp;IF(AND($X297="Dependent",COUNTIFS($A$2:$A297,$A297,$S$2:$S297,$S297,$B$2:$B297,"",$O$2:$O297,"")=0),"Place the employee row before dependent rows for this plan; ","")&amp;IF(AND($X297="Dependent",COUNTIFS($A$2:$A$501,$A297,$S$2:$S$501,$S297,$B$2:$B$501,"",$O$2:$O$501,"")&gt;0,IFERROR(OR($P297&lt;&gt;LOOKUP(2,1/(($A$2:$A$501=$A297)*($S$2:$S$501=$S297)*($B$2:$B$501="")*($O$2:$O$501="")),$P$2:$P$501),$Q297&lt;&gt;LOOKUP(2,1/(($A$2:$A$501=$A297)*($S$2:$S$501=$S297)*($B$2:$B$501="")*($O$2:$O$501="")),$Q$2:$Q$501),$R297&lt;&gt;LOOKUP(2,1/(($A$2:$A$501=$A297)*($S$2:$S$501=$S297)*($B$2:$B$501="")*($O$2:$O$501="")),$R$2:$R$501),$T297&lt;&gt;LOOKUP(2,1/(($A$2:$A$501=$A297)*($S$2:$S$501=$S297)*($B$2:$B$501="")*($O$2:$O$501="")),$T$2:$T$501),$U297&lt;&gt;LOOKUP(2,1/(($A$2:$A$501=$A297)*($S$2:$S$501=$S297)*($B$2:$B$501="")*($O$2:$O$501="")),$U$2:$U$501)),FALSE)),"Dependent row does not match the employee row for eligibility, status, coverage level, or funding; ",""))</f>
        <v/>
      </c>
      <c r="AB297">
        <f>IF(COUNTA($A297:$U297)=0,"",IF($L297="","Birthdate is required; ","")&amp;IF(AND($L297&lt;&gt;"",OR(NOT(ISNUMBER($L297)),$L297&lt;=DATE(1900,1,1),$L297&gt;TODAY())),"Birthdate must be an exact valid past date; ","")&amp;IF($P297="","Eligibility Date is required; ","")&amp;IF(AND($P297&lt;&gt;"",OR(NOT(ISNUMBER($P297)),$P297&lt;=DATE(1900,1,1))),"Eligibility Date must be a valid date; ","")&amp;IF(AND($R297="Terminated",$Q297=""),"Termination Date is required when Status is Terminated; ","")&amp;IF(AND($Q297&lt;&gt;"",OR(NOT(ISNUMBER($Q297)),$Q297&lt;=DATE(1900,1,1))),"Termination Date must be a valid date; ","")&amp;IF(AND(ISNUMBER($P297),ISNUMBER($Q297),$Q297&lt;$P297),"Termination Date cannot be before Eligibility Date; ","")&amp;IF($R297="","Status is required; ","")&amp;IF(AND($R297&lt;&gt;"",$R297&lt;&gt;"Active",$R297&lt;&gt;"Terminated"),"Status must be Active or Terminated; ","")&amp;IF(AND('START HERE'!$C$8="Terminations Only",$R297&lt;&gt;"Terminated"),"Terminations Only files must contain terminated records; ",""))</f>
        <v/>
      </c>
      <c r="AC297">
        <f>IF(COUNTA($A297:$U297)=0,"",IF($S297="","Plan Name is required; ","")&amp;IF($T297="","Benefit Coverage Level is required; ","")&amp;IF(AND($U297&lt;&gt;"",OR(NOT(ISNUMBER($U297)),$U297&lt;0)),"Plan Funding Amount must be a nonnegative number; ","")&amp;IF(AND($A297&lt;&gt;"",$S297&lt;&gt;"",COUNTIFS($A$2:$A$501,$A297,$B$2:$B$501,$B297,$S$2:$S$501,$S297)&gt;1),"Duplicate participant and plan row; ",""))</f>
        <v/>
      </c>
      <c r="AD297">
        <f>IF(COUNTA($A297:$U297)=0,"",IF(AND($X297="Employee",$M297="",$N297=""),"No employee phone or email provided; ","")&amp;IF(AND($R297="Active",$Q297&lt;&gt;""),"Active record includes a Termination Date; confirm this is intentional; ","")&amp;IF(AND($B297&lt;&gt;"",$B297&amp;""&lt;&gt;$A297&amp;"",COUNTIF($A$2:$A$501,$B297)&gt;0),"Dependent SSN also appears as an Employee SSN elsewhere; confirm dual-employee coverage is intentional; ","")&amp;IF(AND($B297&lt;&gt;"",COUNTIF($B$2:$B$501,$B297)&gt;COUNTIFS($A$2:$A$501,$A297,$B$2:$B$501,$B297)),"Dependent SSN appears under more than one employee; confirm duplicate family coverage is intentional; ","")&amp;IF(AND(ROW()&gt;2,$A297&lt;&gt;"",$A297&lt;&gt;$A296,COUNTIF($A$2:$A296,$A297)&gt;0),"This household appears in more than one section of the census; keep the family together; ","")&amp;IF(OR(AND($C297&lt;&gt;"",LEN($C297&amp;"")&lt;&gt;LEN(TRIM($C297&amp;""))),AND($D297&lt;&gt;"",LEN($D297&amp;"")&lt;&gt;LEN(TRIM($D297&amp;""))),AND($E297&lt;&gt;"",LEN($E297&amp;"")&lt;&gt;LEN(TRIM($E297&amp;""))),AND($F297&lt;&gt;"",LEN($F297&amp;"")&lt;&gt;LEN(TRIM($F297&amp;""))),AND($G297&lt;&gt;"",LEN($G297&amp;"")&lt;&gt;LEN(TRIM($G297&amp;""))),AND($H297&lt;&gt;"",LEN($H297&amp;"")&lt;&gt;LEN(TRIM($H297&amp;""))),AND($I297&lt;&gt;"",LEN($I297&amp;"")&lt;&gt;LEN(TRIM($I297&amp;""))),AND($J297&lt;&gt;"",LEN($J297&amp;"")&lt;&gt;LEN(TRIM($J297&amp;""))),AND($K297&lt;&gt;"",LEN($K297&amp;"")&lt;&gt;LEN(TRIM($K297&amp;""))),AND($M297&lt;&gt;"",LEN($M297&amp;"")&lt;&gt;LEN(TRIM($M297&amp;""))),AND($N297&lt;&gt;"",LEN($N297&amp;"")&lt;&gt;LEN(TRIM($N297&amp;""))),AND($O297&lt;&gt;"",LEN($O297&amp;"")&lt;&gt;LEN(TRIM($O297&amp;""))),AND($R297&lt;&gt;"",LEN($R297&amp;"")&lt;&gt;LEN(TRIM($R297&amp;""))),AND($S297&lt;&gt;"",LEN($S297&amp;"")&lt;&gt;LEN(TRIM($S297&amp;""))),AND($T297&lt;&gt;"",LEN($T297&amp;"")&lt;&gt;LEN(TRIM($T297&amp;"")))),"Remove leading or trailing spaces from text fields; ","")&amp;IF(OR(AND(LEN($C297)&gt;1,OR(EXACT($C297,UPPER($C297)),EXACT($C297,LOWER($C297)))),AND(LEN($D297)&gt;1,OR(EXACT($D297,UPPER($D297)),EXACT($D297,LOWER($D297)))),AND(LEN($H297)&gt;1,OR(EXACT($H297,UPPER($H297)),EXACT($H297,LOWER($H297))))),"Review capitalization in First Name, Last Name, or City; ","")&amp;IF(AND($N297&lt;&gt;"",NOT(EXACT($N297,LOWER($N297)))),"Email will be standardized to lowercase in the clean output; ","")&amp;IF(AND(OR('START HERE'!$C$8="Initial Enrollment",'START HERE'!$C$8="Open Enrollment"),$R297="Terminated"),"A terminated row is included in an initial or open enrollment file; confirm this is intentional; ",""))</f>
        <v/>
      </c>
      <c r="AE297">
        <f>IF(COUNTA($A297:$U297)=0,"",IF(OR($A297="",AND($A297&lt;&gt;"",NOT(IFERROR(AND(LEN($A297&amp;"")=9,ISNUMBER(--($A297&amp;""))),FALSE))),AND($A297&lt;&gt;"",OR($A297="123456789",$A297="987654321",$A297="012345678",$A297=REPT(LEFT($A297&amp;"",1),9)))),"Employee SSN, ","")&amp;IF(OR(AND($O297&lt;&gt;"",$B297=""),AND($B297&lt;&gt;"",OR(NOT(IFERROR(AND(LEN($B297&amp;"")=9,ISNUMBER(--($B297&amp;""))),FALSE)),$B297=$A297,$B297="123456789",$B297="987654321",$B297="012345678",$B297=REPT(LEFT($B297&amp;"",1),9)))),"Dependent SSN, ","")&amp;IF(OR($C297="",LEN($C297)&gt;19,AND($C297&lt;&gt;"",SUMPRODUCT(--(ROW($1:$19)&lt;=LEN($C297&amp;"")),--ISERROR(FIND(MID($C297&amp;"",ROW($1:$19),1),"ABCDEFGHIJKLMNOPQRSTUVWXYZabcdefghijklmnopqrstuvwxyz .,")))&gt;0)),"First Name, ","")&amp;IF(OR($D297="",LEN($D297)&gt;26,AND($D297&lt;&gt;"",SUMPRODUCT(--(ROW($1:$26)&lt;=LEN($D297&amp;"")),--ISERROR(FIND(MID($D297&amp;"",ROW($1:$26),1),"ABCDEFGHIJKLMNOPQRSTUVWXYZabcdefghijklmnopqrstuvwxyz .,")))&gt;0)),"Last Name, ","")&amp;IF(OR(LEN($E297)&gt;1,AND($E297&lt;&gt;"",SUMPRODUCT(--(ROW($1:$1)&lt;=LEN($E297&amp;"")),--ISERROR(FIND(MID($E297&amp;"",ROW($1:$1),1),"ABCDEFGHIJKLMNOPQRSTUVWXYZabcdefghijklmnopqrstuvwxyz .,")))&gt;0)),"Middle Initial, ","")&amp;IF(OR($F297="",LEN($F297)&gt;75),"Address, ","")&amp;IF(OR($H297="",LEN($H297)&gt;30),"City, ","")&amp;IF(AND($K297="US",OR($I297="",LEN($I297)&lt;&gt;2)),"State, ","")&amp;IF($J297="","ZIP, ","")&amp;IF(OR($K297="",AND($K297&lt;&gt;"US",$K297&lt;&gt;"CA")),"Country, ","")&amp;IF(OR($L297="",AND($L297&lt;&gt;"",OR(NOT(ISNUMBER($L297)),$L297&lt;=DATE(1900,1,1),$L297&gt;TODAY()))),"Birthdate, ","")&amp;IF(AND($N297&lt;&gt;"",NOT(IFERROR(AND(ISNUMBER(SEARCH("@",$N297)),ISNUMBER(SEARCH(".",$N297,SEARCH("@",$N297)+2))),FALSE))),"Email, ","")&amp;IF(OR(AND($B297&lt;&gt;"",$O297=""),AND($O297&lt;&gt;"",$O297&lt;&gt;"Spouse or Common Law Spouse",$O297&lt;&gt;"Domestic Partner",$O297&lt;&gt;"Child",$O297&lt;&gt;"Other",$O297&lt;&gt;"Estate",$O297&lt;&gt;"Unknown")),"Dependent Relationship, ","")&amp;IF($AA297&lt;&gt;"","Household, ","")&amp;IF(OR($P297="",AND($P297&lt;&gt;"",OR(NOT(ISNUMBER($P297)),$P297&lt;=DATE(1900,1,1)))),"Eligibility Date, ","")&amp;IF(OR(AND($R297="Terminated",$Q297=""),AND($Q297&lt;&gt;"",OR(NOT(ISNUMBER($Q297)),$Q297&lt;=DATE(1900,1,1))),AND(ISNUMBER($P297),ISNUMBER($Q297),$Q297&lt;$P297)),"Termination Date, ","")&amp;IF(OR($R297="",AND($R297&lt;&gt;"Active",$R297&lt;&gt;"Terminated"),AND('START HERE'!$C$8="Terminations Only",$R297&lt;&gt;"Terminated")),"Status, ","")&amp;IF($S297="","Plan Name, ","")&amp;IF($T297="","Coverage Level, ","")&amp;IF(AND($U297&lt;&gt;"",OR(NOT(ISNUMBER($U297)),$U297&lt;0)),"Funding, ","")&amp;IF(AND($A297&lt;&gt;"",$S297&lt;&gt;"",COUNTIFS($A$2:$A$501,$A297,$B$2:$B$501,$B297,$S$2:$S$501,$S297)&gt;1),"Duplicate Row, ",""))</f>
        <v/>
      </c>
      <c r="AF297">
        <f>IF(COUNTA($A297:$U297)=0,"",$Y297&amp;$Z297&amp;$AA297&amp;$AB297&amp;$AC297)</f>
        <v/>
      </c>
      <c r="AG297">
        <f>IF($N297="","",LOWER(TRIM($N297)))</f>
        <v/>
      </c>
      <c r="AH297">
        <f>IF($A297="","",COUNTIFS($A$2:$A$501,$A297,$AI$2:$AI$501,1))</f>
        <v/>
      </c>
      <c r="AI297">
        <f>IF(COUNTA($A297:$U297)=0,"",--($AF297&lt;&gt;""))</f>
        <v/>
      </c>
      <c r="AJ297">
        <f>IF(COUNTA($A297:$U297)=0,"",--($AD297&lt;&gt;""))</f>
        <v/>
      </c>
    </row>
    <row r="298" ht="20" customHeight="1">
      <c r="A298" s="80" t="n"/>
      <c r="B298" s="80" t="n"/>
      <c r="C298" s="81" t="n"/>
      <c r="D298" s="81" t="n"/>
      <c r="E298" s="80" t="n"/>
      <c r="F298" s="81" t="n"/>
      <c r="G298" s="81" t="n"/>
      <c r="H298" s="81" t="n"/>
      <c r="I298" s="80" t="n"/>
      <c r="J298" s="80" t="n"/>
      <c r="K298" s="80" t="n"/>
      <c r="L298" s="82" t="n"/>
      <c r="M298" s="80" t="n"/>
      <c r="N298" s="80" t="n"/>
      <c r="O298" s="80" t="n"/>
      <c r="P298" s="82" t="n"/>
      <c r="Q298" s="82" t="n"/>
      <c r="R298" s="80" t="n"/>
      <c r="S298" s="80" t="n"/>
      <c r="T298" s="80" t="n"/>
      <c r="U298" s="83" t="n"/>
      <c r="V298">
        <f>IF($A298="","",IF($A298=$A297,$V297,IF($V297="",0,1-$V297)))</f>
        <v/>
      </c>
      <c r="W298">
        <f>IF($B298&lt;&gt;"",$B298,$A298)</f>
        <v/>
      </c>
      <c r="X298">
        <f>IF(COUNTA($A298:$U298)=0,"",IF(OR($B298&lt;&gt;"",$O298&lt;&gt;""),"Dependent","Employee"))</f>
        <v/>
      </c>
      <c r="Y298">
        <f>IF(COUNTA($A298:$U298)=0,"",IF($A298="","Employee SSN is required; ","")&amp;IF($C298="","First Name is required; ","")&amp;IF(LEN($C298&amp;"")&gt;19,"First Name exceeds 19 characters; ","")&amp;IF(AND($C298&lt;&gt;"",SUMPRODUCT(--(ROW($1:$19)&lt;=LEN($C298&amp;"")),--ISERROR(FIND(MID($C298&amp;"",ROW($1:$19),1),"ABCDEFGHIJKLMNOPQRSTUVWXYZabcdefghijklmnopqrstuvwxyz .,")))&gt;0),"First Name contains unsupported or encoded characters; use plain A-Z letters only; ","")&amp;IF($D298="","Last Name is required; ","")&amp;IF(LEN($D298&amp;"")&gt;26,"Last Name exceeds 26 characters; ","")&amp;IF(AND($D298&lt;&gt;"",SUMPRODUCT(--(ROW($1:$26)&lt;=LEN($D298&amp;"")),--ISERROR(FIND(MID($D298&amp;"",ROW($1:$26),1),"ABCDEFGHIJKLMNOPQRSTUVWXYZabcdefghijklmnopqrstuvwxyz .,")))&gt;0),"Last Name contains unsupported or encoded characters; use plain A-Z letters only; ","")&amp;IF(LEN($E298&amp;"")&gt;1,"Middle Initial may contain only one character; ","")&amp;IF(AND($E298&lt;&gt;"",SUMPRODUCT(--(ROW($1:$1)&lt;=LEN($E298&amp;"")),--ISERROR(FIND(MID($E298&amp;"",ROW($1:$1),1),"ABCDEFGHIJKLMNOPQRSTUVWXYZabcdefghijklmnopqrstuvwxyz .,")))&gt;0),"Middle Initial must be a plain A-Z letter; ","")&amp;IF($F298="","Address is required; ","")&amp;IF(LEN($F298&amp;"")&gt;75,"Address exceeds 75 characters; ","")&amp;IF(LEN($G298&amp;"")&gt;75,"Address 2 exceeds 75 characters; ","")&amp;IF($H298="","City is required; ","")&amp;IF(LEN($H298&amp;"")&gt;30,"City exceeds 30 characters; ","")&amp;IF($K298="","Country is required; ","")&amp;IF(AND($K298&lt;&gt;"",$K298&lt;&gt;"US",$K298&lt;&gt;"CA"),"Country must be US or CA; ","")&amp;IF(AND($K298="US",OR($I298="",LEN($I298&amp;"")&lt;&gt;2)),"Use a 2-letter state code; ","")&amp;IF($J298="","ZIP or postal code is required; ","")&amp;IF(AND($K298="US",$J298&lt;&gt;"",NOT(IFERROR(OR(AND(LEN($J298&amp;"")=5,ISNUMBER(--($J298&amp;""))),AND(LEN($J298&amp;"")=9,ISNUMBER(--($J298&amp;""))),AND(LEN($J298&amp;"")=10,MID($J298&amp;"",6,1)="-",ISNUMBER(--SUBSTITUTE($J298&amp;"","-","")))),FALSE))),"US ZIP must be 5 or 9 digits, with an optional ZIP+4 hyphen; ","")&amp;IF(AND($N298&lt;&gt;"",NOT(IFERROR(AND(ISNUMBER(SEARCH("@",$N298)),ISNUMBER(SEARCH(".",$N298,SEARCH("@",$N298)+2))),FALSE))),"Email format appears invalid; ","")&amp;IF(AND($O298&lt;&gt;"",$B298=""),"Dependent SSN is required for every dependent; ","")&amp;IF(AND($B298&lt;&gt;"",$O298=""),"Dependent Relationship is required when Dependent SSN is entered; ","")&amp;IF(AND($O298&lt;&gt;"",$O298&lt;&gt;"Spouse or Common Law Spouse",$O298&lt;&gt;"Domestic Partner",$O298&lt;&gt;"Child",$O298&lt;&gt;"Other",$O298&lt;&gt;"Estate",$O298&lt;&gt;"Unknown"),"Dependent Relationship must use one of the approved options; ",""))</f>
        <v/>
      </c>
      <c r="Z298">
        <f>IF(COUNTA($A298:$U298)=0,"",IF(AND($A298&lt;&gt;"",NOT(IFERROR(AND(LEN($A298&amp;"")=9,ISNUMBER(--($A298&amp;""))),FALSE))),"Employee SSN must contain exactly 9 digits; ","")&amp;IF(AND($A298&lt;&gt;"",OR($A298="123456789",$A298="987654321",$A298="012345678",$A298=REPT(LEFT($A298&amp;"",1),9))),"Employee SSN appears to be a placeholder; ","")&amp;IF(AND($B298&lt;&gt;"",NOT(IFERROR(AND(LEN($B298&amp;"")=9,ISNUMBER(--($B298&amp;""))),FALSE))),"Dependent SSN must contain exactly 9 digits; ","")&amp;IF(AND($B298&lt;&gt;"",OR($B298="123456789",$B298="987654321",$B298="012345678",$B298=REPT(LEFT($B298&amp;"",1),9))),"Dependent SSN appears to be a placeholder; ","")&amp;IF(AND($A298&lt;&gt;"",$B298&lt;&gt;"",$A298&amp;""=$B298&amp;""),"Dependent SSN cannot match Employee SSN; ","")&amp;IF(AND($W298&lt;&gt;"",OR(COUNTIFS($W$2:$W$501,$W298,$C$2:$C$501,"&lt;&gt;"&amp;$C298)&gt;0,COUNTIFS($W$2:$W$501,$W298,$D$2:$D$501,"&lt;&gt;"&amp;$D298)&gt;0,COUNTIFS($W$2:$W$501,$W298,$L$2:$L$501,"&lt;&gt;"&amp;$L298)&gt;0)),"The same SSN is associated with a different name or birthdate; ",""))</f>
        <v/>
      </c>
      <c r="AA298">
        <f>IF(COUNTA($A298:$U298)=0,"",IF(AND($A298&lt;&gt;"",$S298&lt;&gt;"",COUNTIFS($A$2:$A$501,$A298,$S$2:$S$501,$S298,$B$2:$B$501,"",$O$2:$O$501,"")=0),"Add an employee row for this household and plan; ","")&amp;IF(AND($X298="Dependent",COUNTIFS($A$2:$A298,$A298,$S$2:$S298,$S298,$B$2:$B298,"",$O$2:$O298,"")=0),"Place the employee row before dependent rows for this plan; ","")&amp;IF(AND($X298="Dependent",COUNTIFS($A$2:$A$501,$A298,$S$2:$S$501,$S298,$B$2:$B$501,"",$O$2:$O$501,"")&gt;0,IFERROR(OR($P298&lt;&gt;LOOKUP(2,1/(($A$2:$A$501=$A298)*($S$2:$S$501=$S298)*($B$2:$B$501="")*($O$2:$O$501="")),$P$2:$P$501),$Q298&lt;&gt;LOOKUP(2,1/(($A$2:$A$501=$A298)*($S$2:$S$501=$S298)*($B$2:$B$501="")*($O$2:$O$501="")),$Q$2:$Q$501),$R298&lt;&gt;LOOKUP(2,1/(($A$2:$A$501=$A298)*($S$2:$S$501=$S298)*($B$2:$B$501="")*($O$2:$O$501="")),$R$2:$R$501),$T298&lt;&gt;LOOKUP(2,1/(($A$2:$A$501=$A298)*($S$2:$S$501=$S298)*($B$2:$B$501="")*($O$2:$O$501="")),$T$2:$T$501),$U298&lt;&gt;LOOKUP(2,1/(($A$2:$A$501=$A298)*($S$2:$S$501=$S298)*($B$2:$B$501="")*($O$2:$O$501="")),$U$2:$U$501)),FALSE)),"Dependent row does not match the employee row for eligibility, status, coverage level, or funding; ",""))</f>
        <v/>
      </c>
      <c r="AB298">
        <f>IF(COUNTA($A298:$U298)=0,"",IF($L298="","Birthdate is required; ","")&amp;IF(AND($L298&lt;&gt;"",OR(NOT(ISNUMBER($L298)),$L298&lt;=DATE(1900,1,1),$L298&gt;TODAY())),"Birthdate must be an exact valid past date; ","")&amp;IF($P298="","Eligibility Date is required; ","")&amp;IF(AND($P298&lt;&gt;"",OR(NOT(ISNUMBER($P298)),$P298&lt;=DATE(1900,1,1))),"Eligibility Date must be a valid date; ","")&amp;IF(AND($R298="Terminated",$Q298=""),"Termination Date is required when Status is Terminated; ","")&amp;IF(AND($Q298&lt;&gt;"",OR(NOT(ISNUMBER($Q298)),$Q298&lt;=DATE(1900,1,1))),"Termination Date must be a valid date; ","")&amp;IF(AND(ISNUMBER($P298),ISNUMBER($Q298),$Q298&lt;$P298),"Termination Date cannot be before Eligibility Date; ","")&amp;IF($R298="","Status is required; ","")&amp;IF(AND($R298&lt;&gt;"",$R298&lt;&gt;"Active",$R298&lt;&gt;"Terminated"),"Status must be Active or Terminated; ","")&amp;IF(AND('START HERE'!$C$8="Terminations Only",$R298&lt;&gt;"Terminated"),"Terminations Only files must contain terminated records; ",""))</f>
        <v/>
      </c>
      <c r="AC298">
        <f>IF(COUNTA($A298:$U298)=0,"",IF($S298="","Plan Name is required; ","")&amp;IF($T298="","Benefit Coverage Level is required; ","")&amp;IF(AND($U298&lt;&gt;"",OR(NOT(ISNUMBER($U298)),$U298&lt;0)),"Plan Funding Amount must be a nonnegative number; ","")&amp;IF(AND($A298&lt;&gt;"",$S298&lt;&gt;"",COUNTIFS($A$2:$A$501,$A298,$B$2:$B$501,$B298,$S$2:$S$501,$S298)&gt;1),"Duplicate participant and plan row; ",""))</f>
        <v/>
      </c>
      <c r="AD298">
        <f>IF(COUNTA($A298:$U298)=0,"",IF(AND($X298="Employee",$M298="",$N298=""),"No employee phone or email provided; ","")&amp;IF(AND($R298="Active",$Q298&lt;&gt;""),"Active record includes a Termination Date; confirm this is intentional; ","")&amp;IF(AND($B298&lt;&gt;"",$B298&amp;""&lt;&gt;$A298&amp;"",COUNTIF($A$2:$A$501,$B298)&gt;0),"Dependent SSN also appears as an Employee SSN elsewhere; confirm dual-employee coverage is intentional; ","")&amp;IF(AND($B298&lt;&gt;"",COUNTIF($B$2:$B$501,$B298)&gt;COUNTIFS($A$2:$A$501,$A298,$B$2:$B$501,$B298)),"Dependent SSN appears under more than one employee; confirm duplicate family coverage is intentional; ","")&amp;IF(AND(ROW()&gt;2,$A298&lt;&gt;"",$A298&lt;&gt;$A297,COUNTIF($A$2:$A297,$A298)&gt;0),"This household appears in more than one section of the census; keep the family together; ","")&amp;IF(OR(AND($C298&lt;&gt;"",LEN($C298&amp;"")&lt;&gt;LEN(TRIM($C298&amp;""))),AND($D298&lt;&gt;"",LEN($D298&amp;"")&lt;&gt;LEN(TRIM($D298&amp;""))),AND($E298&lt;&gt;"",LEN($E298&amp;"")&lt;&gt;LEN(TRIM($E298&amp;""))),AND($F298&lt;&gt;"",LEN($F298&amp;"")&lt;&gt;LEN(TRIM($F298&amp;""))),AND($G298&lt;&gt;"",LEN($G298&amp;"")&lt;&gt;LEN(TRIM($G298&amp;""))),AND($H298&lt;&gt;"",LEN($H298&amp;"")&lt;&gt;LEN(TRIM($H298&amp;""))),AND($I298&lt;&gt;"",LEN($I298&amp;"")&lt;&gt;LEN(TRIM($I298&amp;""))),AND($J298&lt;&gt;"",LEN($J298&amp;"")&lt;&gt;LEN(TRIM($J298&amp;""))),AND($K298&lt;&gt;"",LEN($K298&amp;"")&lt;&gt;LEN(TRIM($K298&amp;""))),AND($M298&lt;&gt;"",LEN($M298&amp;"")&lt;&gt;LEN(TRIM($M298&amp;""))),AND($N298&lt;&gt;"",LEN($N298&amp;"")&lt;&gt;LEN(TRIM($N298&amp;""))),AND($O298&lt;&gt;"",LEN($O298&amp;"")&lt;&gt;LEN(TRIM($O298&amp;""))),AND($R298&lt;&gt;"",LEN($R298&amp;"")&lt;&gt;LEN(TRIM($R298&amp;""))),AND($S298&lt;&gt;"",LEN($S298&amp;"")&lt;&gt;LEN(TRIM($S298&amp;""))),AND($T298&lt;&gt;"",LEN($T298&amp;"")&lt;&gt;LEN(TRIM($T298&amp;"")))),"Remove leading or trailing spaces from text fields; ","")&amp;IF(OR(AND(LEN($C298)&gt;1,OR(EXACT($C298,UPPER($C298)),EXACT($C298,LOWER($C298)))),AND(LEN($D298)&gt;1,OR(EXACT($D298,UPPER($D298)),EXACT($D298,LOWER($D298)))),AND(LEN($H298)&gt;1,OR(EXACT($H298,UPPER($H298)),EXACT($H298,LOWER($H298))))),"Review capitalization in First Name, Last Name, or City; ","")&amp;IF(AND($N298&lt;&gt;"",NOT(EXACT($N298,LOWER($N298)))),"Email will be standardized to lowercase in the clean output; ","")&amp;IF(AND(OR('START HERE'!$C$8="Initial Enrollment",'START HERE'!$C$8="Open Enrollment"),$R298="Terminated"),"A terminated row is included in an initial or open enrollment file; confirm this is intentional; ",""))</f>
        <v/>
      </c>
      <c r="AE298">
        <f>IF(COUNTA($A298:$U298)=0,"",IF(OR($A298="",AND($A298&lt;&gt;"",NOT(IFERROR(AND(LEN($A298&amp;"")=9,ISNUMBER(--($A298&amp;""))),FALSE))),AND($A298&lt;&gt;"",OR($A298="123456789",$A298="987654321",$A298="012345678",$A298=REPT(LEFT($A298&amp;"",1),9)))),"Employee SSN, ","")&amp;IF(OR(AND($O298&lt;&gt;"",$B298=""),AND($B298&lt;&gt;"",OR(NOT(IFERROR(AND(LEN($B298&amp;"")=9,ISNUMBER(--($B298&amp;""))),FALSE)),$B298=$A298,$B298="123456789",$B298="987654321",$B298="012345678",$B298=REPT(LEFT($B298&amp;"",1),9)))),"Dependent SSN, ","")&amp;IF(OR($C298="",LEN($C298)&gt;19,AND($C298&lt;&gt;"",SUMPRODUCT(--(ROW($1:$19)&lt;=LEN($C298&amp;"")),--ISERROR(FIND(MID($C298&amp;"",ROW($1:$19),1),"ABCDEFGHIJKLMNOPQRSTUVWXYZabcdefghijklmnopqrstuvwxyz .,")))&gt;0)),"First Name, ","")&amp;IF(OR($D298="",LEN($D298)&gt;26,AND($D298&lt;&gt;"",SUMPRODUCT(--(ROW($1:$26)&lt;=LEN($D298&amp;"")),--ISERROR(FIND(MID($D298&amp;"",ROW($1:$26),1),"ABCDEFGHIJKLMNOPQRSTUVWXYZabcdefghijklmnopqrstuvwxyz .,")))&gt;0)),"Last Name, ","")&amp;IF(OR(LEN($E298)&gt;1,AND($E298&lt;&gt;"",SUMPRODUCT(--(ROW($1:$1)&lt;=LEN($E298&amp;"")),--ISERROR(FIND(MID($E298&amp;"",ROW($1:$1),1),"ABCDEFGHIJKLMNOPQRSTUVWXYZabcdefghijklmnopqrstuvwxyz .,")))&gt;0)),"Middle Initial, ","")&amp;IF(OR($F298="",LEN($F298)&gt;75),"Address, ","")&amp;IF(OR($H298="",LEN($H298)&gt;30),"City, ","")&amp;IF(AND($K298="US",OR($I298="",LEN($I298)&lt;&gt;2)),"State, ","")&amp;IF($J298="","ZIP, ","")&amp;IF(OR($K298="",AND($K298&lt;&gt;"US",$K298&lt;&gt;"CA")),"Country, ","")&amp;IF(OR($L298="",AND($L298&lt;&gt;"",OR(NOT(ISNUMBER($L298)),$L298&lt;=DATE(1900,1,1),$L298&gt;TODAY()))),"Birthdate, ","")&amp;IF(AND($N298&lt;&gt;"",NOT(IFERROR(AND(ISNUMBER(SEARCH("@",$N298)),ISNUMBER(SEARCH(".",$N298,SEARCH("@",$N298)+2))),FALSE))),"Email, ","")&amp;IF(OR(AND($B298&lt;&gt;"",$O298=""),AND($O298&lt;&gt;"",$O298&lt;&gt;"Spouse or Common Law Spouse",$O298&lt;&gt;"Domestic Partner",$O298&lt;&gt;"Child",$O298&lt;&gt;"Other",$O298&lt;&gt;"Estate",$O298&lt;&gt;"Unknown")),"Dependent Relationship, ","")&amp;IF($AA298&lt;&gt;"","Household, ","")&amp;IF(OR($P298="",AND($P298&lt;&gt;"",OR(NOT(ISNUMBER($P298)),$P298&lt;=DATE(1900,1,1)))),"Eligibility Date, ","")&amp;IF(OR(AND($R298="Terminated",$Q298=""),AND($Q298&lt;&gt;"",OR(NOT(ISNUMBER($Q298)),$Q298&lt;=DATE(1900,1,1))),AND(ISNUMBER($P298),ISNUMBER($Q298),$Q298&lt;$P298)),"Termination Date, ","")&amp;IF(OR($R298="",AND($R298&lt;&gt;"Active",$R298&lt;&gt;"Terminated"),AND('START HERE'!$C$8="Terminations Only",$R298&lt;&gt;"Terminated")),"Status, ","")&amp;IF($S298="","Plan Name, ","")&amp;IF($T298="","Coverage Level, ","")&amp;IF(AND($U298&lt;&gt;"",OR(NOT(ISNUMBER($U298)),$U298&lt;0)),"Funding, ","")&amp;IF(AND($A298&lt;&gt;"",$S298&lt;&gt;"",COUNTIFS($A$2:$A$501,$A298,$B$2:$B$501,$B298,$S$2:$S$501,$S298)&gt;1),"Duplicate Row, ",""))</f>
        <v/>
      </c>
      <c r="AF298">
        <f>IF(COUNTA($A298:$U298)=0,"",$Y298&amp;$Z298&amp;$AA298&amp;$AB298&amp;$AC298)</f>
        <v/>
      </c>
      <c r="AG298">
        <f>IF($N298="","",LOWER(TRIM($N298)))</f>
        <v/>
      </c>
      <c r="AH298">
        <f>IF($A298="","",COUNTIFS($A$2:$A$501,$A298,$AI$2:$AI$501,1))</f>
        <v/>
      </c>
      <c r="AI298">
        <f>IF(COUNTA($A298:$U298)=0,"",--($AF298&lt;&gt;""))</f>
        <v/>
      </c>
      <c r="AJ298">
        <f>IF(COUNTA($A298:$U298)=0,"",--($AD298&lt;&gt;""))</f>
        <v/>
      </c>
    </row>
    <row r="299" ht="20" customHeight="1">
      <c r="A299" s="80" t="n"/>
      <c r="B299" s="80" t="n"/>
      <c r="C299" s="81" t="n"/>
      <c r="D299" s="81" t="n"/>
      <c r="E299" s="80" t="n"/>
      <c r="F299" s="81" t="n"/>
      <c r="G299" s="81" t="n"/>
      <c r="H299" s="81" t="n"/>
      <c r="I299" s="80" t="n"/>
      <c r="J299" s="80" t="n"/>
      <c r="K299" s="80" t="n"/>
      <c r="L299" s="82" t="n"/>
      <c r="M299" s="80" t="n"/>
      <c r="N299" s="80" t="n"/>
      <c r="O299" s="80" t="n"/>
      <c r="P299" s="82" t="n"/>
      <c r="Q299" s="82" t="n"/>
      <c r="R299" s="80" t="n"/>
      <c r="S299" s="80" t="n"/>
      <c r="T299" s="80" t="n"/>
      <c r="U299" s="83" t="n"/>
      <c r="V299">
        <f>IF($A299="","",IF($A299=$A298,$V298,IF($V298="",0,1-$V298)))</f>
        <v/>
      </c>
      <c r="W299">
        <f>IF($B299&lt;&gt;"",$B299,$A299)</f>
        <v/>
      </c>
      <c r="X299">
        <f>IF(COUNTA($A299:$U299)=0,"",IF(OR($B299&lt;&gt;"",$O299&lt;&gt;""),"Dependent","Employee"))</f>
        <v/>
      </c>
      <c r="Y299">
        <f>IF(COUNTA($A299:$U299)=0,"",IF($A299="","Employee SSN is required; ","")&amp;IF($C299="","First Name is required; ","")&amp;IF(LEN($C299&amp;"")&gt;19,"First Name exceeds 19 characters; ","")&amp;IF(AND($C299&lt;&gt;"",SUMPRODUCT(--(ROW($1:$19)&lt;=LEN($C299&amp;"")),--ISERROR(FIND(MID($C299&amp;"",ROW($1:$19),1),"ABCDEFGHIJKLMNOPQRSTUVWXYZabcdefghijklmnopqrstuvwxyz .,")))&gt;0),"First Name contains unsupported or encoded characters; use plain A-Z letters only; ","")&amp;IF($D299="","Last Name is required; ","")&amp;IF(LEN($D299&amp;"")&gt;26,"Last Name exceeds 26 characters; ","")&amp;IF(AND($D299&lt;&gt;"",SUMPRODUCT(--(ROW($1:$26)&lt;=LEN($D299&amp;"")),--ISERROR(FIND(MID($D299&amp;"",ROW($1:$26),1),"ABCDEFGHIJKLMNOPQRSTUVWXYZabcdefghijklmnopqrstuvwxyz .,")))&gt;0),"Last Name contains unsupported or encoded characters; use plain A-Z letters only; ","")&amp;IF(LEN($E299&amp;"")&gt;1,"Middle Initial may contain only one character; ","")&amp;IF(AND($E299&lt;&gt;"",SUMPRODUCT(--(ROW($1:$1)&lt;=LEN($E299&amp;"")),--ISERROR(FIND(MID($E299&amp;"",ROW($1:$1),1),"ABCDEFGHIJKLMNOPQRSTUVWXYZabcdefghijklmnopqrstuvwxyz .,")))&gt;0),"Middle Initial must be a plain A-Z letter; ","")&amp;IF($F299="","Address is required; ","")&amp;IF(LEN($F299&amp;"")&gt;75,"Address exceeds 75 characters; ","")&amp;IF(LEN($G299&amp;"")&gt;75,"Address 2 exceeds 75 characters; ","")&amp;IF($H299="","City is required; ","")&amp;IF(LEN($H299&amp;"")&gt;30,"City exceeds 30 characters; ","")&amp;IF($K299="","Country is required; ","")&amp;IF(AND($K299&lt;&gt;"",$K299&lt;&gt;"US",$K299&lt;&gt;"CA"),"Country must be US or CA; ","")&amp;IF(AND($K299="US",OR($I299="",LEN($I299&amp;"")&lt;&gt;2)),"Use a 2-letter state code; ","")&amp;IF($J299="","ZIP or postal code is required; ","")&amp;IF(AND($K299="US",$J299&lt;&gt;"",NOT(IFERROR(OR(AND(LEN($J299&amp;"")=5,ISNUMBER(--($J299&amp;""))),AND(LEN($J299&amp;"")=9,ISNUMBER(--($J299&amp;""))),AND(LEN($J299&amp;"")=10,MID($J299&amp;"",6,1)="-",ISNUMBER(--SUBSTITUTE($J299&amp;"","-","")))),FALSE))),"US ZIP must be 5 or 9 digits, with an optional ZIP+4 hyphen; ","")&amp;IF(AND($N299&lt;&gt;"",NOT(IFERROR(AND(ISNUMBER(SEARCH("@",$N299)),ISNUMBER(SEARCH(".",$N299,SEARCH("@",$N299)+2))),FALSE))),"Email format appears invalid; ","")&amp;IF(AND($O299&lt;&gt;"",$B299=""),"Dependent SSN is required for every dependent; ","")&amp;IF(AND($B299&lt;&gt;"",$O299=""),"Dependent Relationship is required when Dependent SSN is entered; ","")&amp;IF(AND($O299&lt;&gt;"",$O299&lt;&gt;"Spouse or Common Law Spouse",$O299&lt;&gt;"Domestic Partner",$O299&lt;&gt;"Child",$O299&lt;&gt;"Other",$O299&lt;&gt;"Estate",$O299&lt;&gt;"Unknown"),"Dependent Relationship must use one of the approved options; ",""))</f>
        <v/>
      </c>
      <c r="Z299">
        <f>IF(COUNTA($A299:$U299)=0,"",IF(AND($A299&lt;&gt;"",NOT(IFERROR(AND(LEN($A299&amp;"")=9,ISNUMBER(--($A299&amp;""))),FALSE))),"Employee SSN must contain exactly 9 digits; ","")&amp;IF(AND($A299&lt;&gt;"",OR($A299="123456789",$A299="987654321",$A299="012345678",$A299=REPT(LEFT($A299&amp;"",1),9))),"Employee SSN appears to be a placeholder; ","")&amp;IF(AND($B299&lt;&gt;"",NOT(IFERROR(AND(LEN($B299&amp;"")=9,ISNUMBER(--($B299&amp;""))),FALSE))),"Dependent SSN must contain exactly 9 digits; ","")&amp;IF(AND($B299&lt;&gt;"",OR($B299="123456789",$B299="987654321",$B299="012345678",$B299=REPT(LEFT($B299&amp;"",1),9))),"Dependent SSN appears to be a placeholder; ","")&amp;IF(AND($A299&lt;&gt;"",$B299&lt;&gt;"",$A299&amp;""=$B299&amp;""),"Dependent SSN cannot match Employee SSN; ","")&amp;IF(AND($W299&lt;&gt;"",OR(COUNTIFS($W$2:$W$501,$W299,$C$2:$C$501,"&lt;&gt;"&amp;$C299)&gt;0,COUNTIFS($W$2:$W$501,$W299,$D$2:$D$501,"&lt;&gt;"&amp;$D299)&gt;0,COUNTIFS($W$2:$W$501,$W299,$L$2:$L$501,"&lt;&gt;"&amp;$L299)&gt;0)),"The same SSN is associated with a different name or birthdate; ",""))</f>
        <v/>
      </c>
      <c r="AA299">
        <f>IF(COUNTA($A299:$U299)=0,"",IF(AND($A299&lt;&gt;"",$S299&lt;&gt;"",COUNTIFS($A$2:$A$501,$A299,$S$2:$S$501,$S299,$B$2:$B$501,"",$O$2:$O$501,"")=0),"Add an employee row for this household and plan; ","")&amp;IF(AND($X299="Dependent",COUNTIFS($A$2:$A299,$A299,$S$2:$S299,$S299,$B$2:$B299,"",$O$2:$O299,"")=0),"Place the employee row before dependent rows for this plan; ","")&amp;IF(AND($X299="Dependent",COUNTIFS($A$2:$A$501,$A299,$S$2:$S$501,$S299,$B$2:$B$501,"",$O$2:$O$501,"")&gt;0,IFERROR(OR($P299&lt;&gt;LOOKUP(2,1/(($A$2:$A$501=$A299)*($S$2:$S$501=$S299)*($B$2:$B$501="")*($O$2:$O$501="")),$P$2:$P$501),$Q299&lt;&gt;LOOKUP(2,1/(($A$2:$A$501=$A299)*($S$2:$S$501=$S299)*($B$2:$B$501="")*($O$2:$O$501="")),$Q$2:$Q$501),$R299&lt;&gt;LOOKUP(2,1/(($A$2:$A$501=$A299)*($S$2:$S$501=$S299)*($B$2:$B$501="")*($O$2:$O$501="")),$R$2:$R$501),$T299&lt;&gt;LOOKUP(2,1/(($A$2:$A$501=$A299)*($S$2:$S$501=$S299)*($B$2:$B$501="")*($O$2:$O$501="")),$T$2:$T$501),$U299&lt;&gt;LOOKUP(2,1/(($A$2:$A$501=$A299)*($S$2:$S$501=$S299)*($B$2:$B$501="")*($O$2:$O$501="")),$U$2:$U$501)),FALSE)),"Dependent row does not match the employee row for eligibility, status, coverage level, or funding; ",""))</f>
        <v/>
      </c>
      <c r="AB299">
        <f>IF(COUNTA($A299:$U299)=0,"",IF($L299="","Birthdate is required; ","")&amp;IF(AND($L299&lt;&gt;"",OR(NOT(ISNUMBER($L299)),$L299&lt;=DATE(1900,1,1),$L299&gt;TODAY())),"Birthdate must be an exact valid past date; ","")&amp;IF($P299="","Eligibility Date is required; ","")&amp;IF(AND($P299&lt;&gt;"",OR(NOT(ISNUMBER($P299)),$P299&lt;=DATE(1900,1,1))),"Eligibility Date must be a valid date; ","")&amp;IF(AND($R299="Terminated",$Q299=""),"Termination Date is required when Status is Terminated; ","")&amp;IF(AND($Q299&lt;&gt;"",OR(NOT(ISNUMBER($Q299)),$Q299&lt;=DATE(1900,1,1))),"Termination Date must be a valid date; ","")&amp;IF(AND(ISNUMBER($P299),ISNUMBER($Q299),$Q299&lt;$P299),"Termination Date cannot be before Eligibility Date; ","")&amp;IF($R299="","Status is required; ","")&amp;IF(AND($R299&lt;&gt;"",$R299&lt;&gt;"Active",$R299&lt;&gt;"Terminated"),"Status must be Active or Terminated; ","")&amp;IF(AND('START HERE'!$C$8="Terminations Only",$R299&lt;&gt;"Terminated"),"Terminations Only files must contain terminated records; ",""))</f>
        <v/>
      </c>
      <c r="AC299">
        <f>IF(COUNTA($A299:$U299)=0,"",IF($S299="","Plan Name is required; ","")&amp;IF($T299="","Benefit Coverage Level is required; ","")&amp;IF(AND($U299&lt;&gt;"",OR(NOT(ISNUMBER($U299)),$U299&lt;0)),"Plan Funding Amount must be a nonnegative number; ","")&amp;IF(AND($A299&lt;&gt;"",$S299&lt;&gt;"",COUNTIFS($A$2:$A$501,$A299,$B$2:$B$501,$B299,$S$2:$S$501,$S299)&gt;1),"Duplicate participant and plan row; ",""))</f>
        <v/>
      </c>
      <c r="AD299">
        <f>IF(COUNTA($A299:$U299)=0,"",IF(AND($X299="Employee",$M299="",$N299=""),"No employee phone or email provided; ","")&amp;IF(AND($R299="Active",$Q299&lt;&gt;""),"Active record includes a Termination Date; confirm this is intentional; ","")&amp;IF(AND($B299&lt;&gt;"",$B299&amp;""&lt;&gt;$A299&amp;"",COUNTIF($A$2:$A$501,$B299)&gt;0),"Dependent SSN also appears as an Employee SSN elsewhere; confirm dual-employee coverage is intentional; ","")&amp;IF(AND($B299&lt;&gt;"",COUNTIF($B$2:$B$501,$B299)&gt;COUNTIFS($A$2:$A$501,$A299,$B$2:$B$501,$B299)),"Dependent SSN appears under more than one employee; confirm duplicate family coverage is intentional; ","")&amp;IF(AND(ROW()&gt;2,$A299&lt;&gt;"",$A299&lt;&gt;$A298,COUNTIF($A$2:$A298,$A299)&gt;0),"This household appears in more than one section of the census; keep the family together; ","")&amp;IF(OR(AND($C299&lt;&gt;"",LEN($C299&amp;"")&lt;&gt;LEN(TRIM($C299&amp;""))),AND($D299&lt;&gt;"",LEN($D299&amp;"")&lt;&gt;LEN(TRIM($D299&amp;""))),AND($E299&lt;&gt;"",LEN($E299&amp;"")&lt;&gt;LEN(TRIM($E299&amp;""))),AND($F299&lt;&gt;"",LEN($F299&amp;"")&lt;&gt;LEN(TRIM($F299&amp;""))),AND($G299&lt;&gt;"",LEN($G299&amp;"")&lt;&gt;LEN(TRIM($G299&amp;""))),AND($H299&lt;&gt;"",LEN($H299&amp;"")&lt;&gt;LEN(TRIM($H299&amp;""))),AND($I299&lt;&gt;"",LEN($I299&amp;"")&lt;&gt;LEN(TRIM($I299&amp;""))),AND($J299&lt;&gt;"",LEN($J299&amp;"")&lt;&gt;LEN(TRIM($J299&amp;""))),AND($K299&lt;&gt;"",LEN($K299&amp;"")&lt;&gt;LEN(TRIM($K299&amp;""))),AND($M299&lt;&gt;"",LEN($M299&amp;"")&lt;&gt;LEN(TRIM($M299&amp;""))),AND($N299&lt;&gt;"",LEN($N299&amp;"")&lt;&gt;LEN(TRIM($N299&amp;""))),AND($O299&lt;&gt;"",LEN($O299&amp;"")&lt;&gt;LEN(TRIM($O299&amp;""))),AND($R299&lt;&gt;"",LEN($R299&amp;"")&lt;&gt;LEN(TRIM($R299&amp;""))),AND($S299&lt;&gt;"",LEN($S299&amp;"")&lt;&gt;LEN(TRIM($S299&amp;""))),AND($T299&lt;&gt;"",LEN($T299&amp;"")&lt;&gt;LEN(TRIM($T299&amp;"")))),"Remove leading or trailing spaces from text fields; ","")&amp;IF(OR(AND(LEN($C299)&gt;1,OR(EXACT($C299,UPPER($C299)),EXACT($C299,LOWER($C299)))),AND(LEN($D299)&gt;1,OR(EXACT($D299,UPPER($D299)),EXACT($D299,LOWER($D299)))),AND(LEN($H299)&gt;1,OR(EXACT($H299,UPPER($H299)),EXACT($H299,LOWER($H299))))),"Review capitalization in First Name, Last Name, or City; ","")&amp;IF(AND($N299&lt;&gt;"",NOT(EXACT($N299,LOWER($N299)))),"Email will be standardized to lowercase in the clean output; ","")&amp;IF(AND(OR('START HERE'!$C$8="Initial Enrollment",'START HERE'!$C$8="Open Enrollment"),$R299="Terminated"),"A terminated row is included in an initial or open enrollment file; confirm this is intentional; ",""))</f>
        <v/>
      </c>
      <c r="AE299">
        <f>IF(COUNTA($A299:$U299)=0,"",IF(OR($A299="",AND($A299&lt;&gt;"",NOT(IFERROR(AND(LEN($A299&amp;"")=9,ISNUMBER(--($A299&amp;""))),FALSE))),AND($A299&lt;&gt;"",OR($A299="123456789",$A299="987654321",$A299="012345678",$A299=REPT(LEFT($A299&amp;"",1),9)))),"Employee SSN, ","")&amp;IF(OR(AND($O299&lt;&gt;"",$B299=""),AND($B299&lt;&gt;"",OR(NOT(IFERROR(AND(LEN($B299&amp;"")=9,ISNUMBER(--($B299&amp;""))),FALSE)),$B299=$A299,$B299="123456789",$B299="987654321",$B299="012345678",$B299=REPT(LEFT($B299&amp;"",1),9)))),"Dependent SSN, ","")&amp;IF(OR($C299="",LEN($C299)&gt;19,AND($C299&lt;&gt;"",SUMPRODUCT(--(ROW($1:$19)&lt;=LEN($C299&amp;"")),--ISERROR(FIND(MID($C299&amp;"",ROW($1:$19),1),"ABCDEFGHIJKLMNOPQRSTUVWXYZabcdefghijklmnopqrstuvwxyz .,")))&gt;0)),"First Name, ","")&amp;IF(OR($D299="",LEN($D299)&gt;26,AND($D299&lt;&gt;"",SUMPRODUCT(--(ROW($1:$26)&lt;=LEN($D299&amp;"")),--ISERROR(FIND(MID($D299&amp;"",ROW($1:$26),1),"ABCDEFGHIJKLMNOPQRSTUVWXYZabcdefghijklmnopqrstuvwxyz .,")))&gt;0)),"Last Name, ","")&amp;IF(OR(LEN($E299)&gt;1,AND($E299&lt;&gt;"",SUMPRODUCT(--(ROW($1:$1)&lt;=LEN($E299&amp;"")),--ISERROR(FIND(MID($E299&amp;"",ROW($1:$1),1),"ABCDEFGHIJKLMNOPQRSTUVWXYZabcdefghijklmnopqrstuvwxyz .,")))&gt;0)),"Middle Initial, ","")&amp;IF(OR($F299="",LEN($F299)&gt;75),"Address, ","")&amp;IF(OR($H299="",LEN($H299)&gt;30),"City, ","")&amp;IF(AND($K299="US",OR($I299="",LEN($I299)&lt;&gt;2)),"State, ","")&amp;IF($J299="","ZIP, ","")&amp;IF(OR($K299="",AND($K299&lt;&gt;"US",$K299&lt;&gt;"CA")),"Country, ","")&amp;IF(OR($L299="",AND($L299&lt;&gt;"",OR(NOT(ISNUMBER($L299)),$L299&lt;=DATE(1900,1,1),$L299&gt;TODAY()))),"Birthdate, ","")&amp;IF(AND($N299&lt;&gt;"",NOT(IFERROR(AND(ISNUMBER(SEARCH("@",$N299)),ISNUMBER(SEARCH(".",$N299,SEARCH("@",$N299)+2))),FALSE))),"Email, ","")&amp;IF(OR(AND($B299&lt;&gt;"",$O299=""),AND($O299&lt;&gt;"",$O299&lt;&gt;"Spouse or Common Law Spouse",$O299&lt;&gt;"Domestic Partner",$O299&lt;&gt;"Child",$O299&lt;&gt;"Other",$O299&lt;&gt;"Estate",$O299&lt;&gt;"Unknown")),"Dependent Relationship, ","")&amp;IF($AA299&lt;&gt;"","Household, ","")&amp;IF(OR($P299="",AND($P299&lt;&gt;"",OR(NOT(ISNUMBER($P299)),$P299&lt;=DATE(1900,1,1)))),"Eligibility Date, ","")&amp;IF(OR(AND($R299="Terminated",$Q299=""),AND($Q299&lt;&gt;"",OR(NOT(ISNUMBER($Q299)),$Q299&lt;=DATE(1900,1,1))),AND(ISNUMBER($P299),ISNUMBER($Q299),$Q299&lt;$P299)),"Termination Date, ","")&amp;IF(OR($R299="",AND($R299&lt;&gt;"Active",$R299&lt;&gt;"Terminated"),AND('START HERE'!$C$8="Terminations Only",$R299&lt;&gt;"Terminated")),"Status, ","")&amp;IF($S299="","Plan Name, ","")&amp;IF($T299="","Coverage Level, ","")&amp;IF(AND($U299&lt;&gt;"",OR(NOT(ISNUMBER($U299)),$U299&lt;0)),"Funding, ","")&amp;IF(AND($A299&lt;&gt;"",$S299&lt;&gt;"",COUNTIFS($A$2:$A$501,$A299,$B$2:$B$501,$B299,$S$2:$S$501,$S299)&gt;1),"Duplicate Row, ",""))</f>
        <v/>
      </c>
      <c r="AF299">
        <f>IF(COUNTA($A299:$U299)=0,"",$Y299&amp;$Z299&amp;$AA299&amp;$AB299&amp;$AC299)</f>
        <v/>
      </c>
      <c r="AG299">
        <f>IF($N299="","",LOWER(TRIM($N299)))</f>
        <v/>
      </c>
      <c r="AH299">
        <f>IF($A299="","",COUNTIFS($A$2:$A$501,$A299,$AI$2:$AI$501,1))</f>
        <v/>
      </c>
      <c r="AI299">
        <f>IF(COUNTA($A299:$U299)=0,"",--($AF299&lt;&gt;""))</f>
        <v/>
      </c>
      <c r="AJ299">
        <f>IF(COUNTA($A299:$U299)=0,"",--($AD299&lt;&gt;""))</f>
        <v/>
      </c>
    </row>
    <row r="300" ht="20" customHeight="1">
      <c r="A300" s="80" t="n"/>
      <c r="B300" s="80" t="n"/>
      <c r="C300" s="81" t="n"/>
      <c r="D300" s="81" t="n"/>
      <c r="E300" s="80" t="n"/>
      <c r="F300" s="81" t="n"/>
      <c r="G300" s="81" t="n"/>
      <c r="H300" s="81" t="n"/>
      <c r="I300" s="80" t="n"/>
      <c r="J300" s="80" t="n"/>
      <c r="K300" s="80" t="n"/>
      <c r="L300" s="82" t="n"/>
      <c r="M300" s="80" t="n"/>
      <c r="N300" s="80" t="n"/>
      <c r="O300" s="80" t="n"/>
      <c r="P300" s="82" t="n"/>
      <c r="Q300" s="82" t="n"/>
      <c r="R300" s="80" t="n"/>
      <c r="S300" s="80" t="n"/>
      <c r="T300" s="80" t="n"/>
      <c r="U300" s="83" t="n"/>
      <c r="V300">
        <f>IF($A300="","",IF($A300=$A299,$V299,IF($V299="",0,1-$V299)))</f>
        <v/>
      </c>
      <c r="W300">
        <f>IF($B300&lt;&gt;"",$B300,$A300)</f>
        <v/>
      </c>
      <c r="X300">
        <f>IF(COUNTA($A300:$U300)=0,"",IF(OR($B300&lt;&gt;"",$O300&lt;&gt;""),"Dependent","Employee"))</f>
        <v/>
      </c>
      <c r="Y300">
        <f>IF(COUNTA($A300:$U300)=0,"",IF($A300="","Employee SSN is required; ","")&amp;IF($C300="","First Name is required; ","")&amp;IF(LEN($C300&amp;"")&gt;19,"First Name exceeds 19 characters; ","")&amp;IF(AND($C300&lt;&gt;"",SUMPRODUCT(--(ROW($1:$19)&lt;=LEN($C300&amp;"")),--ISERROR(FIND(MID($C300&amp;"",ROW($1:$19),1),"ABCDEFGHIJKLMNOPQRSTUVWXYZabcdefghijklmnopqrstuvwxyz .,")))&gt;0),"First Name contains unsupported or encoded characters; use plain A-Z letters only; ","")&amp;IF($D300="","Last Name is required; ","")&amp;IF(LEN($D300&amp;"")&gt;26,"Last Name exceeds 26 characters; ","")&amp;IF(AND($D300&lt;&gt;"",SUMPRODUCT(--(ROW($1:$26)&lt;=LEN($D300&amp;"")),--ISERROR(FIND(MID($D300&amp;"",ROW($1:$26),1),"ABCDEFGHIJKLMNOPQRSTUVWXYZabcdefghijklmnopqrstuvwxyz .,")))&gt;0),"Last Name contains unsupported or encoded characters; use plain A-Z letters only; ","")&amp;IF(LEN($E300&amp;"")&gt;1,"Middle Initial may contain only one character; ","")&amp;IF(AND($E300&lt;&gt;"",SUMPRODUCT(--(ROW($1:$1)&lt;=LEN($E300&amp;"")),--ISERROR(FIND(MID($E300&amp;"",ROW($1:$1),1),"ABCDEFGHIJKLMNOPQRSTUVWXYZabcdefghijklmnopqrstuvwxyz .,")))&gt;0),"Middle Initial must be a plain A-Z letter; ","")&amp;IF($F300="","Address is required; ","")&amp;IF(LEN($F300&amp;"")&gt;75,"Address exceeds 75 characters; ","")&amp;IF(LEN($G300&amp;"")&gt;75,"Address 2 exceeds 75 characters; ","")&amp;IF($H300="","City is required; ","")&amp;IF(LEN($H300&amp;"")&gt;30,"City exceeds 30 characters; ","")&amp;IF($K300="","Country is required; ","")&amp;IF(AND($K300&lt;&gt;"",$K300&lt;&gt;"US",$K300&lt;&gt;"CA"),"Country must be US or CA; ","")&amp;IF(AND($K300="US",OR($I300="",LEN($I300&amp;"")&lt;&gt;2)),"Use a 2-letter state code; ","")&amp;IF($J300="","ZIP or postal code is required; ","")&amp;IF(AND($K300="US",$J300&lt;&gt;"",NOT(IFERROR(OR(AND(LEN($J300&amp;"")=5,ISNUMBER(--($J300&amp;""))),AND(LEN($J300&amp;"")=9,ISNUMBER(--($J300&amp;""))),AND(LEN($J300&amp;"")=10,MID($J300&amp;"",6,1)="-",ISNUMBER(--SUBSTITUTE($J300&amp;"","-","")))),FALSE))),"US ZIP must be 5 or 9 digits, with an optional ZIP+4 hyphen; ","")&amp;IF(AND($N300&lt;&gt;"",NOT(IFERROR(AND(ISNUMBER(SEARCH("@",$N300)),ISNUMBER(SEARCH(".",$N300,SEARCH("@",$N300)+2))),FALSE))),"Email format appears invalid; ","")&amp;IF(AND($O300&lt;&gt;"",$B300=""),"Dependent SSN is required for every dependent; ","")&amp;IF(AND($B300&lt;&gt;"",$O300=""),"Dependent Relationship is required when Dependent SSN is entered; ","")&amp;IF(AND($O300&lt;&gt;"",$O300&lt;&gt;"Spouse or Common Law Spouse",$O300&lt;&gt;"Domestic Partner",$O300&lt;&gt;"Child",$O300&lt;&gt;"Other",$O300&lt;&gt;"Estate",$O300&lt;&gt;"Unknown"),"Dependent Relationship must use one of the approved options; ",""))</f>
        <v/>
      </c>
      <c r="Z300">
        <f>IF(COUNTA($A300:$U300)=0,"",IF(AND($A300&lt;&gt;"",NOT(IFERROR(AND(LEN($A300&amp;"")=9,ISNUMBER(--($A300&amp;""))),FALSE))),"Employee SSN must contain exactly 9 digits; ","")&amp;IF(AND($A300&lt;&gt;"",OR($A300="123456789",$A300="987654321",$A300="012345678",$A300=REPT(LEFT($A300&amp;"",1),9))),"Employee SSN appears to be a placeholder; ","")&amp;IF(AND($B300&lt;&gt;"",NOT(IFERROR(AND(LEN($B300&amp;"")=9,ISNUMBER(--($B300&amp;""))),FALSE))),"Dependent SSN must contain exactly 9 digits; ","")&amp;IF(AND($B300&lt;&gt;"",OR($B300="123456789",$B300="987654321",$B300="012345678",$B300=REPT(LEFT($B300&amp;"",1),9))),"Dependent SSN appears to be a placeholder; ","")&amp;IF(AND($A300&lt;&gt;"",$B300&lt;&gt;"",$A300&amp;""=$B300&amp;""),"Dependent SSN cannot match Employee SSN; ","")&amp;IF(AND($W300&lt;&gt;"",OR(COUNTIFS($W$2:$W$501,$W300,$C$2:$C$501,"&lt;&gt;"&amp;$C300)&gt;0,COUNTIFS($W$2:$W$501,$W300,$D$2:$D$501,"&lt;&gt;"&amp;$D300)&gt;0,COUNTIFS($W$2:$W$501,$W300,$L$2:$L$501,"&lt;&gt;"&amp;$L300)&gt;0)),"The same SSN is associated with a different name or birthdate; ",""))</f>
        <v/>
      </c>
      <c r="AA300">
        <f>IF(COUNTA($A300:$U300)=0,"",IF(AND($A300&lt;&gt;"",$S300&lt;&gt;"",COUNTIFS($A$2:$A$501,$A300,$S$2:$S$501,$S300,$B$2:$B$501,"",$O$2:$O$501,"")=0),"Add an employee row for this household and plan; ","")&amp;IF(AND($X300="Dependent",COUNTIFS($A$2:$A300,$A300,$S$2:$S300,$S300,$B$2:$B300,"",$O$2:$O300,"")=0),"Place the employee row before dependent rows for this plan; ","")&amp;IF(AND($X300="Dependent",COUNTIFS($A$2:$A$501,$A300,$S$2:$S$501,$S300,$B$2:$B$501,"",$O$2:$O$501,"")&gt;0,IFERROR(OR($P300&lt;&gt;LOOKUP(2,1/(($A$2:$A$501=$A300)*($S$2:$S$501=$S300)*($B$2:$B$501="")*($O$2:$O$501="")),$P$2:$P$501),$Q300&lt;&gt;LOOKUP(2,1/(($A$2:$A$501=$A300)*($S$2:$S$501=$S300)*($B$2:$B$501="")*($O$2:$O$501="")),$Q$2:$Q$501),$R300&lt;&gt;LOOKUP(2,1/(($A$2:$A$501=$A300)*($S$2:$S$501=$S300)*($B$2:$B$501="")*($O$2:$O$501="")),$R$2:$R$501),$T300&lt;&gt;LOOKUP(2,1/(($A$2:$A$501=$A300)*($S$2:$S$501=$S300)*($B$2:$B$501="")*($O$2:$O$501="")),$T$2:$T$501),$U300&lt;&gt;LOOKUP(2,1/(($A$2:$A$501=$A300)*($S$2:$S$501=$S300)*($B$2:$B$501="")*($O$2:$O$501="")),$U$2:$U$501)),FALSE)),"Dependent row does not match the employee row for eligibility, status, coverage level, or funding; ",""))</f>
        <v/>
      </c>
      <c r="AB300">
        <f>IF(COUNTA($A300:$U300)=0,"",IF($L300="","Birthdate is required; ","")&amp;IF(AND($L300&lt;&gt;"",OR(NOT(ISNUMBER($L300)),$L300&lt;=DATE(1900,1,1),$L300&gt;TODAY())),"Birthdate must be an exact valid past date; ","")&amp;IF($P300="","Eligibility Date is required; ","")&amp;IF(AND($P300&lt;&gt;"",OR(NOT(ISNUMBER($P300)),$P300&lt;=DATE(1900,1,1))),"Eligibility Date must be a valid date; ","")&amp;IF(AND($R300="Terminated",$Q300=""),"Termination Date is required when Status is Terminated; ","")&amp;IF(AND($Q300&lt;&gt;"",OR(NOT(ISNUMBER($Q300)),$Q300&lt;=DATE(1900,1,1))),"Termination Date must be a valid date; ","")&amp;IF(AND(ISNUMBER($P300),ISNUMBER($Q300),$Q300&lt;$P300),"Termination Date cannot be before Eligibility Date; ","")&amp;IF($R300="","Status is required; ","")&amp;IF(AND($R300&lt;&gt;"",$R300&lt;&gt;"Active",$R300&lt;&gt;"Terminated"),"Status must be Active or Terminated; ","")&amp;IF(AND('START HERE'!$C$8="Terminations Only",$R300&lt;&gt;"Terminated"),"Terminations Only files must contain terminated records; ",""))</f>
        <v/>
      </c>
      <c r="AC300">
        <f>IF(COUNTA($A300:$U300)=0,"",IF($S300="","Plan Name is required; ","")&amp;IF($T300="","Benefit Coverage Level is required; ","")&amp;IF(AND($U300&lt;&gt;"",OR(NOT(ISNUMBER($U300)),$U300&lt;0)),"Plan Funding Amount must be a nonnegative number; ","")&amp;IF(AND($A300&lt;&gt;"",$S300&lt;&gt;"",COUNTIFS($A$2:$A$501,$A300,$B$2:$B$501,$B300,$S$2:$S$501,$S300)&gt;1),"Duplicate participant and plan row; ",""))</f>
        <v/>
      </c>
      <c r="AD300">
        <f>IF(COUNTA($A300:$U300)=0,"",IF(AND($X300="Employee",$M300="",$N300=""),"No employee phone or email provided; ","")&amp;IF(AND($R300="Active",$Q300&lt;&gt;""),"Active record includes a Termination Date; confirm this is intentional; ","")&amp;IF(AND($B300&lt;&gt;"",$B300&amp;""&lt;&gt;$A300&amp;"",COUNTIF($A$2:$A$501,$B300)&gt;0),"Dependent SSN also appears as an Employee SSN elsewhere; confirm dual-employee coverage is intentional; ","")&amp;IF(AND($B300&lt;&gt;"",COUNTIF($B$2:$B$501,$B300)&gt;COUNTIFS($A$2:$A$501,$A300,$B$2:$B$501,$B300)),"Dependent SSN appears under more than one employee; confirm duplicate family coverage is intentional; ","")&amp;IF(AND(ROW()&gt;2,$A300&lt;&gt;"",$A300&lt;&gt;$A299,COUNTIF($A$2:$A299,$A300)&gt;0),"This household appears in more than one section of the census; keep the family together; ","")&amp;IF(OR(AND($C300&lt;&gt;"",LEN($C300&amp;"")&lt;&gt;LEN(TRIM($C300&amp;""))),AND($D300&lt;&gt;"",LEN($D300&amp;"")&lt;&gt;LEN(TRIM($D300&amp;""))),AND($E300&lt;&gt;"",LEN($E300&amp;"")&lt;&gt;LEN(TRIM($E300&amp;""))),AND($F300&lt;&gt;"",LEN($F300&amp;"")&lt;&gt;LEN(TRIM($F300&amp;""))),AND($G300&lt;&gt;"",LEN($G300&amp;"")&lt;&gt;LEN(TRIM($G300&amp;""))),AND($H300&lt;&gt;"",LEN($H300&amp;"")&lt;&gt;LEN(TRIM($H300&amp;""))),AND($I300&lt;&gt;"",LEN($I300&amp;"")&lt;&gt;LEN(TRIM($I300&amp;""))),AND($J300&lt;&gt;"",LEN($J300&amp;"")&lt;&gt;LEN(TRIM($J300&amp;""))),AND($K300&lt;&gt;"",LEN($K300&amp;"")&lt;&gt;LEN(TRIM($K300&amp;""))),AND($M300&lt;&gt;"",LEN($M300&amp;"")&lt;&gt;LEN(TRIM($M300&amp;""))),AND($N300&lt;&gt;"",LEN($N300&amp;"")&lt;&gt;LEN(TRIM($N300&amp;""))),AND($O300&lt;&gt;"",LEN($O300&amp;"")&lt;&gt;LEN(TRIM($O300&amp;""))),AND($R300&lt;&gt;"",LEN($R300&amp;"")&lt;&gt;LEN(TRIM($R300&amp;""))),AND($S300&lt;&gt;"",LEN($S300&amp;"")&lt;&gt;LEN(TRIM($S300&amp;""))),AND($T300&lt;&gt;"",LEN($T300&amp;"")&lt;&gt;LEN(TRIM($T300&amp;"")))),"Remove leading or trailing spaces from text fields; ","")&amp;IF(OR(AND(LEN($C300)&gt;1,OR(EXACT($C300,UPPER($C300)),EXACT($C300,LOWER($C300)))),AND(LEN($D300)&gt;1,OR(EXACT($D300,UPPER($D300)),EXACT($D300,LOWER($D300)))),AND(LEN($H300)&gt;1,OR(EXACT($H300,UPPER($H300)),EXACT($H300,LOWER($H300))))),"Review capitalization in First Name, Last Name, or City; ","")&amp;IF(AND($N300&lt;&gt;"",NOT(EXACT($N300,LOWER($N300)))),"Email will be standardized to lowercase in the clean output; ","")&amp;IF(AND(OR('START HERE'!$C$8="Initial Enrollment",'START HERE'!$C$8="Open Enrollment"),$R300="Terminated"),"A terminated row is included in an initial or open enrollment file; confirm this is intentional; ",""))</f>
        <v/>
      </c>
      <c r="AE300">
        <f>IF(COUNTA($A300:$U300)=0,"",IF(OR($A300="",AND($A300&lt;&gt;"",NOT(IFERROR(AND(LEN($A300&amp;"")=9,ISNUMBER(--($A300&amp;""))),FALSE))),AND($A300&lt;&gt;"",OR($A300="123456789",$A300="987654321",$A300="012345678",$A300=REPT(LEFT($A300&amp;"",1),9)))),"Employee SSN, ","")&amp;IF(OR(AND($O300&lt;&gt;"",$B300=""),AND($B300&lt;&gt;"",OR(NOT(IFERROR(AND(LEN($B300&amp;"")=9,ISNUMBER(--($B300&amp;""))),FALSE)),$B300=$A300,$B300="123456789",$B300="987654321",$B300="012345678",$B300=REPT(LEFT($B300&amp;"",1),9)))),"Dependent SSN, ","")&amp;IF(OR($C300="",LEN($C300)&gt;19,AND($C300&lt;&gt;"",SUMPRODUCT(--(ROW($1:$19)&lt;=LEN($C300&amp;"")),--ISERROR(FIND(MID($C300&amp;"",ROW($1:$19),1),"ABCDEFGHIJKLMNOPQRSTUVWXYZabcdefghijklmnopqrstuvwxyz .,")))&gt;0)),"First Name, ","")&amp;IF(OR($D300="",LEN($D300)&gt;26,AND($D300&lt;&gt;"",SUMPRODUCT(--(ROW($1:$26)&lt;=LEN($D300&amp;"")),--ISERROR(FIND(MID($D300&amp;"",ROW($1:$26),1),"ABCDEFGHIJKLMNOPQRSTUVWXYZabcdefghijklmnopqrstuvwxyz .,")))&gt;0)),"Last Name, ","")&amp;IF(OR(LEN($E300)&gt;1,AND($E300&lt;&gt;"",SUMPRODUCT(--(ROW($1:$1)&lt;=LEN($E300&amp;"")),--ISERROR(FIND(MID($E300&amp;"",ROW($1:$1),1),"ABCDEFGHIJKLMNOPQRSTUVWXYZabcdefghijklmnopqrstuvwxyz .,")))&gt;0)),"Middle Initial, ","")&amp;IF(OR($F300="",LEN($F300)&gt;75),"Address, ","")&amp;IF(OR($H300="",LEN($H300)&gt;30),"City, ","")&amp;IF(AND($K300="US",OR($I300="",LEN($I300)&lt;&gt;2)),"State, ","")&amp;IF($J300="","ZIP, ","")&amp;IF(OR($K300="",AND($K300&lt;&gt;"US",$K300&lt;&gt;"CA")),"Country, ","")&amp;IF(OR($L300="",AND($L300&lt;&gt;"",OR(NOT(ISNUMBER($L300)),$L300&lt;=DATE(1900,1,1),$L300&gt;TODAY()))),"Birthdate, ","")&amp;IF(AND($N300&lt;&gt;"",NOT(IFERROR(AND(ISNUMBER(SEARCH("@",$N300)),ISNUMBER(SEARCH(".",$N300,SEARCH("@",$N300)+2))),FALSE))),"Email, ","")&amp;IF(OR(AND($B300&lt;&gt;"",$O300=""),AND($O300&lt;&gt;"",$O300&lt;&gt;"Spouse or Common Law Spouse",$O300&lt;&gt;"Domestic Partner",$O300&lt;&gt;"Child",$O300&lt;&gt;"Other",$O300&lt;&gt;"Estate",$O300&lt;&gt;"Unknown")),"Dependent Relationship, ","")&amp;IF($AA300&lt;&gt;"","Household, ","")&amp;IF(OR($P300="",AND($P300&lt;&gt;"",OR(NOT(ISNUMBER($P300)),$P300&lt;=DATE(1900,1,1)))),"Eligibility Date, ","")&amp;IF(OR(AND($R300="Terminated",$Q300=""),AND($Q300&lt;&gt;"",OR(NOT(ISNUMBER($Q300)),$Q300&lt;=DATE(1900,1,1))),AND(ISNUMBER($P300),ISNUMBER($Q300),$Q300&lt;$P300)),"Termination Date, ","")&amp;IF(OR($R300="",AND($R300&lt;&gt;"Active",$R300&lt;&gt;"Terminated"),AND('START HERE'!$C$8="Terminations Only",$R300&lt;&gt;"Terminated")),"Status, ","")&amp;IF($S300="","Plan Name, ","")&amp;IF($T300="","Coverage Level, ","")&amp;IF(AND($U300&lt;&gt;"",OR(NOT(ISNUMBER($U300)),$U300&lt;0)),"Funding, ","")&amp;IF(AND($A300&lt;&gt;"",$S300&lt;&gt;"",COUNTIFS($A$2:$A$501,$A300,$B$2:$B$501,$B300,$S$2:$S$501,$S300)&gt;1),"Duplicate Row, ",""))</f>
        <v/>
      </c>
      <c r="AF300">
        <f>IF(COUNTA($A300:$U300)=0,"",$Y300&amp;$Z300&amp;$AA300&amp;$AB300&amp;$AC300)</f>
        <v/>
      </c>
      <c r="AG300">
        <f>IF($N300="","",LOWER(TRIM($N300)))</f>
        <v/>
      </c>
      <c r="AH300">
        <f>IF($A300="","",COUNTIFS($A$2:$A$501,$A300,$AI$2:$AI$501,1))</f>
        <v/>
      </c>
      <c r="AI300">
        <f>IF(COUNTA($A300:$U300)=0,"",--($AF300&lt;&gt;""))</f>
        <v/>
      </c>
      <c r="AJ300">
        <f>IF(COUNTA($A300:$U300)=0,"",--($AD300&lt;&gt;""))</f>
        <v/>
      </c>
    </row>
    <row r="301" ht="20" customHeight="1">
      <c r="A301" s="80" t="n"/>
      <c r="B301" s="80" t="n"/>
      <c r="C301" s="81" t="n"/>
      <c r="D301" s="81" t="n"/>
      <c r="E301" s="80" t="n"/>
      <c r="F301" s="81" t="n"/>
      <c r="G301" s="81" t="n"/>
      <c r="H301" s="81" t="n"/>
      <c r="I301" s="80" t="n"/>
      <c r="J301" s="80" t="n"/>
      <c r="K301" s="80" t="n"/>
      <c r="L301" s="82" t="n"/>
      <c r="M301" s="80" t="n"/>
      <c r="N301" s="80" t="n"/>
      <c r="O301" s="80" t="n"/>
      <c r="P301" s="82" t="n"/>
      <c r="Q301" s="82" t="n"/>
      <c r="R301" s="80" t="n"/>
      <c r="S301" s="80" t="n"/>
      <c r="T301" s="80" t="n"/>
      <c r="U301" s="83" t="n"/>
      <c r="V301">
        <f>IF($A301="","",IF($A301=$A300,$V300,IF($V300="",0,1-$V300)))</f>
        <v/>
      </c>
      <c r="W301">
        <f>IF($B301&lt;&gt;"",$B301,$A301)</f>
        <v/>
      </c>
      <c r="X301">
        <f>IF(COUNTA($A301:$U301)=0,"",IF(OR($B301&lt;&gt;"",$O301&lt;&gt;""),"Dependent","Employee"))</f>
        <v/>
      </c>
      <c r="Y301">
        <f>IF(COUNTA($A301:$U301)=0,"",IF($A301="","Employee SSN is required; ","")&amp;IF($C301="","First Name is required; ","")&amp;IF(LEN($C301&amp;"")&gt;19,"First Name exceeds 19 characters; ","")&amp;IF(AND($C301&lt;&gt;"",SUMPRODUCT(--(ROW($1:$19)&lt;=LEN($C301&amp;"")),--ISERROR(FIND(MID($C301&amp;"",ROW($1:$19),1),"ABCDEFGHIJKLMNOPQRSTUVWXYZabcdefghijklmnopqrstuvwxyz .,")))&gt;0),"First Name contains unsupported or encoded characters; use plain A-Z letters only; ","")&amp;IF($D301="","Last Name is required; ","")&amp;IF(LEN($D301&amp;"")&gt;26,"Last Name exceeds 26 characters; ","")&amp;IF(AND($D301&lt;&gt;"",SUMPRODUCT(--(ROW($1:$26)&lt;=LEN($D301&amp;"")),--ISERROR(FIND(MID($D301&amp;"",ROW($1:$26),1),"ABCDEFGHIJKLMNOPQRSTUVWXYZabcdefghijklmnopqrstuvwxyz .,")))&gt;0),"Last Name contains unsupported or encoded characters; use plain A-Z letters only; ","")&amp;IF(LEN($E301&amp;"")&gt;1,"Middle Initial may contain only one character; ","")&amp;IF(AND($E301&lt;&gt;"",SUMPRODUCT(--(ROW($1:$1)&lt;=LEN($E301&amp;"")),--ISERROR(FIND(MID($E301&amp;"",ROW($1:$1),1),"ABCDEFGHIJKLMNOPQRSTUVWXYZabcdefghijklmnopqrstuvwxyz .,")))&gt;0),"Middle Initial must be a plain A-Z letter; ","")&amp;IF($F301="","Address is required; ","")&amp;IF(LEN($F301&amp;"")&gt;75,"Address exceeds 75 characters; ","")&amp;IF(LEN($G301&amp;"")&gt;75,"Address 2 exceeds 75 characters; ","")&amp;IF($H301="","City is required; ","")&amp;IF(LEN($H301&amp;"")&gt;30,"City exceeds 30 characters; ","")&amp;IF($K301="","Country is required; ","")&amp;IF(AND($K301&lt;&gt;"",$K301&lt;&gt;"US",$K301&lt;&gt;"CA"),"Country must be US or CA; ","")&amp;IF(AND($K301="US",OR($I301="",LEN($I301&amp;"")&lt;&gt;2)),"Use a 2-letter state code; ","")&amp;IF($J301="","ZIP or postal code is required; ","")&amp;IF(AND($K301="US",$J301&lt;&gt;"",NOT(IFERROR(OR(AND(LEN($J301&amp;"")=5,ISNUMBER(--($J301&amp;""))),AND(LEN($J301&amp;"")=9,ISNUMBER(--($J301&amp;""))),AND(LEN($J301&amp;"")=10,MID($J301&amp;"",6,1)="-",ISNUMBER(--SUBSTITUTE($J301&amp;"","-","")))),FALSE))),"US ZIP must be 5 or 9 digits, with an optional ZIP+4 hyphen; ","")&amp;IF(AND($N301&lt;&gt;"",NOT(IFERROR(AND(ISNUMBER(SEARCH("@",$N301)),ISNUMBER(SEARCH(".",$N301,SEARCH("@",$N301)+2))),FALSE))),"Email format appears invalid; ","")&amp;IF(AND($O301&lt;&gt;"",$B301=""),"Dependent SSN is required for every dependent; ","")&amp;IF(AND($B301&lt;&gt;"",$O301=""),"Dependent Relationship is required when Dependent SSN is entered; ","")&amp;IF(AND($O301&lt;&gt;"",$O301&lt;&gt;"Spouse or Common Law Spouse",$O301&lt;&gt;"Domestic Partner",$O301&lt;&gt;"Child",$O301&lt;&gt;"Other",$O301&lt;&gt;"Estate",$O301&lt;&gt;"Unknown"),"Dependent Relationship must use one of the approved options; ",""))</f>
        <v/>
      </c>
      <c r="Z301">
        <f>IF(COUNTA($A301:$U301)=0,"",IF(AND($A301&lt;&gt;"",NOT(IFERROR(AND(LEN($A301&amp;"")=9,ISNUMBER(--($A301&amp;""))),FALSE))),"Employee SSN must contain exactly 9 digits; ","")&amp;IF(AND($A301&lt;&gt;"",OR($A301="123456789",$A301="987654321",$A301="012345678",$A301=REPT(LEFT($A301&amp;"",1),9))),"Employee SSN appears to be a placeholder; ","")&amp;IF(AND($B301&lt;&gt;"",NOT(IFERROR(AND(LEN($B301&amp;"")=9,ISNUMBER(--($B301&amp;""))),FALSE))),"Dependent SSN must contain exactly 9 digits; ","")&amp;IF(AND($B301&lt;&gt;"",OR($B301="123456789",$B301="987654321",$B301="012345678",$B301=REPT(LEFT($B301&amp;"",1),9))),"Dependent SSN appears to be a placeholder; ","")&amp;IF(AND($A301&lt;&gt;"",$B301&lt;&gt;"",$A301&amp;""=$B301&amp;""),"Dependent SSN cannot match Employee SSN; ","")&amp;IF(AND($W301&lt;&gt;"",OR(COUNTIFS($W$2:$W$501,$W301,$C$2:$C$501,"&lt;&gt;"&amp;$C301)&gt;0,COUNTIFS($W$2:$W$501,$W301,$D$2:$D$501,"&lt;&gt;"&amp;$D301)&gt;0,COUNTIFS($W$2:$W$501,$W301,$L$2:$L$501,"&lt;&gt;"&amp;$L301)&gt;0)),"The same SSN is associated with a different name or birthdate; ",""))</f>
        <v/>
      </c>
      <c r="AA301">
        <f>IF(COUNTA($A301:$U301)=0,"",IF(AND($A301&lt;&gt;"",$S301&lt;&gt;"",COUNTIFS($A$2:$A$501,$A301,$S$2:$S$501,$S301,$B$2:$B$501,"",$O$2:$O$501,"")=0),"Add an employee row for this household and plan; ","")&amp;IF(AND($X301="Dependent",COUNTIFS($A$2:$A301,$A301,$S$2:$S301,$S301,$B$2:$B301,"",$O$2:$O301,"")=0),"Place the employee row before dependent rows for this plan; ","")&amp;IF(AND($X301="Dependent",COUNTIFS($A$2:$A$501,$A301,$S$2:$S$501,$S301,$B$2:$B$501,"",$O$2:$O$501,"")&gt;0,IFERROR(OR($P301&lt;&gt;LOOKUP(2,1/(($A$2:$A$501=$A301)*($S$2:$S$501=$S301)*($B$2:$B$501="")*($O$2:$O$501="")),$P$2:$P$501),$Q301&lt;&gt;LOOKUP(2,1/(($A$2:$A$501=$A301)*($S$2:$S$501=$S301)*($B$2:$B$501="")*($O$2:$O$501="")),$Q$2:$Q$501),$R301&lt;&gt;LOOKUP(2,1/(($A$2:$A$501=$A301)*($S$2:$S$501=$S301)*($B$2:$B$501="")*($O$2:$O$501="")),$R$2:$R$501),$T301&lt;&gt;LOOKUP(2,1/(($A$2:$A$501=$A301)*($S$2:$S$501=$S301)*($B$2:$B$501="")*($O$2:$O$501="")),$T$2:$T$501),$U301&lt;&gt;LOOKUP(2,1/(($A$2:$A$501=$A301)*($S$2:$S$501=$S301)*($B$2:$B$501="")*($O$2:$O$501="")),$U$2:$U$501)),FALSE)),"Dependent row does not match the employee row for eligibility, status, coverage level, or funding; ",""))</f>
        <v/>
      </c>
      <c r="AB301">
        <f>IF(COUNTA($A301:$U301)=0,"",IF($L301="","Birthdate is required; ","")&amp;IF(AND($L301&lt;&gt;"",OR(NOT(ISNUMBER($L301)),$L301&lt;=DATE(1900,1,1),$L301&gt;TODAY())),"Birthdate must be an exact valid past date; ","")&amp;IF($P301="","Eligibility Date is required; ","")&amp;IF(AND($P301&lt;&gt;"",OR(NOT(ISNUMBER($P301)),$P301&lt;=DATE(1900,1,1))),"Eligibility Date must be a valid date; ","")&amp;IF(AND($R301="Terminated",$Q301=""),"Termination Date is required when Status is Terminated; ","")&amp;IF(AND($Q301&lt;&gt;"",OR(NOT(ISNUMBER($Q301)),$Q301&lt;=DATE(1900,1,1))),"Termination Date must be a valid date; ","")&amp;IF(AND(ISNUMBER($P301),ISNUMBER($Q301),$Q301&lt;$P301),"Termination Date cannot be before Eligibility Date; ","")&amp;IF($R301="","Status is required; ","")&amp;IF(AND($R301&lt;&gt;"",$R301&lt;&gt;"Active",$R301&lt;&gt;"Terminated"),"Status must be Active or Terminated; ","")&amp;IF(AND('START HERE'!$C$8="Terminations Only",$R301&lt;&gt;"Terminated"),"Terminations Only files must contain terminated records; ",""))</f>
        <v/>
      </c>
      <c r="AC301">
        <f>IF(COUNTA($A301:$U301)=0,"",IF($S301="","Plan Name is required; ","")&amp;IF($T301="","Benefit Coverage Level is required; ","")&amp;IF(AND($U301&lt;&gt;"",OR(NOT(ISNUMBER($U301)),$U301&lt;0)),"Plan Funding Amount must be a nonnegative number; ","")&amp;IF(AND($A301&lt;&gt;"",$S301&lt;&gt;"",COUNTIFS($A$2:$A$501,$A301,$B$2:$B$501,$B301,$S$2:$S$501,$S301)&gt;1),"Duplicate participant and plan row; ",""))</f>
        <v/>
      </c>
      <c r="AD301">
        <f>IF(COUNTA($A301:$U301)=0,"",IF(AND($X301="Employee",$M301="",$N301=""),"No employee phone or email provided; ","")&amp;IF(AND($R301="Active",$Q301&lt;&gt;""),"Active record includes a Termination Date; confirm this is intentional; ","")&amp;IF(AND($B301&lt;&gt;"",$B301&amp;""&lt;&gt;$A301&amp;"",COUNTIF($A$2:$A$501,$B301)&gt;0),"Dependent SSN also appears as an Employee SSN elsewhere; confirm dual-employee coverage is intentional; ","")&amp;IF(AND($B301&lt;&gt;"",COUNTIF($B$2:$B$501,$B301)&gt;COUNTIFS($A$2:$A$501,$A301,$B$2:$B$501,$B301)),"Dependent SSN appears under more than one employee; confirm duplicate family coverage is intentional; ","")&amp;IF(AND(ROW()&gt;2,$A301&lt;&gt;"",$A301&lt;&gt;$A300,COUNTIF($A$2:$A300,$A301)&gt;0),"This household appears in more than one section of the census; keep the family together; ","")&amp;IF(OR(AND($C301&lt;&gt;"",LEN($C301&amp;"")&lt;&gt;LEN(TRIM($C301&amp;""))),AND($D301&lt;&gt;"",LEN($D301&amp;"")&lt;&gt;LEN(TRIM($D301&amp;""))),AND($E301&lt;&gt;"",LEN($E301&amp;"")&lt;&gt;LEN(TRIM($E301&amp;""))),AND($F301&lt;&gt;"",LEN($F301&amp;"")&lt;&gt;LEN(TRIM($F301&amp;""))),AND($G301&lt;&gt;"",LEN($G301&amp;"")&lt;&gt;LEN(TRIM($G301&amp;""))),AND($H301&lt;&gt;"",LEN($H301&amp;"")&lt;&gt;LEN(TRIM($H301&amp;""))),AND($I301&lt;&gt;"",LEN($I301&amp;"")&lt;&gt;LEN(TRIM($I301&amp;""))),AND($J301&lt;&gt;"",LEN($J301&amp;"")&lt;&gt;LEN(TRIM($J301&amp;""))),AND($K301&lt;&gt;"",LEN($K301&amp;"")&lt;&gt;LEN(TRIM($K301&amp;""))),AND($M301&lt;&gt;"",LEN($M301&amp;"")&lt;&gt;LEN(TRIM($M301&amp;""))),AND($N301&lt;&gt;"",LEN($N301&amp;"")&lt;&gt;LEN(TRIM($N301&amp;""))),AND($O301&lt;&gt;"",LEN($O301&amp;"")&lt;&gt;LEN(TRIM($O301&amp;""))),AND($R301&lt;&gt;"",LEN($R301&amp;"")&lt;&gt;LEN(TRIM($R301&amp;""))),AND($S301&lt;&gt;"",LEN($S301&amp;"")&lt;&gt;LEN(TRIM($S301&amp;""))),AND($T301&lt;&gt;"",LEN($T301&amp;"")&lt;&gt;LEN(TRIM($T301&amp;"")))),"Remove leading or trailing spaces from text fields; ","")&amp;IF(OR(AND(LEN($C301)&gt;1,OR(EXACT($C301,UPPER($C301)),EXACT($C301,LOWER($C301)))),AND(LEN($D301)&gt;1,OR(EXACT($D301,UPPER($D301)),EXACT($D301,LOWER($D301)))),AND(LEN($H301)&gt;1,OR(EXACT($H301,UPPER($H301)),EXACT($H301,LOWER($H301))))),"Review capitalization in First Name, Last Name, or City; ","")&amp;IF(AND($N301&lt;&gt;"",NOT(EXACT($N301,LOWER($N301)))),"Email will be standardized to lowercase in the clean output; ","")&amp;IF(AND(OR('START HERE'!$C$8="Initial Enrollment",'START HERE'!$C$8="Open Enrollment"),$R301="Terminated"),"A terminated row is included in an initial or open enrollment file; confirm this is intentional; ",""))</f>
        <v/>
      </c>
      <c r="AE301">
        <f>IF(COUNTA($A301:$U301)=0,"",IF(OR($A301="",AND($A301&lt;&gt;"",NOT(IFERROR(AND(LEN($A301&amp;"")=9,ISNUMBER(--($A301&amp;""))),FALSE))),AND($A301&lt;&gt;"",OR($A301="123456789",$A301="987654321",$A301="012345678",$A301=REPT(LEFT($A301&amp;"",1),9)))),"Employee SSN, ","")&amp;IF(OR(AND($O301&lt;&gt;"",$B301=""),AND($B301&lt;&gt;"",OR(NOT(IFERROR(AND(LEN($B301&amp;"")=9,ISNUMBER(--($B301&amp;""))),FALSE)),$B301=$A301,$B301="123456789",$B301="987654321",$B301="012345678",$B301=REPT(LEFT($B301&amp;"",1),9)))),"Dependent SSN, ","")&amp;IF(OR($C301="",LEN($C301)&gt;19,AND($C301&lt;&gt;"",SUMPRODUCT(--(ROW($1:$19)&lt;=LEN($C301&amp;"")),--ISERROR(FIND(MID($C301&amp;"",ROW($1:$19),1),"ABCDEFGHIJKLMNOPQRSTUVWXYZabcdefghijklmnopqrstuvwxyz .,")))&gt;0)),"First Name, ","")&amp;IF(OR($D301="",LEN($D301)&gt;26,AND($D301&lt;&gt;"",SUMPRODUCT(--(ROW($1:$26)&lt;=LEN($D301&amp;"")),--ISERROR(FIND(MID($D301&amp;"",ROW($1:$26),1),"ABCDEFGHIJKLMNOPQRSTUVWXYZabcdefghijklmnopqrstuvwxyz .,")))&gt;0)),"Last Name, ","")&amp;IF(OR(LEN($E301)&gt;1,AND($E301&lt;&gt;"",SUMPRODUCT(--(ROW($1:$1)&lt;=LEN($E301&amp;"")),--ISERROR(FIND(MID($E301&amp;"",ROW($1:$1),1),"ABCDEFGHIJKLMNOPQRSTUVWXYZabcdefghijklmnopqrstuvwxyz .,")))&gt;0)),"Middle Initial, ","")&amp;IF(OR($F301="",LEN($F301)&gt;75),"Address, ","")&amp;IF(OR($H301="",LEN($H301)&gt;30),"City, ","")&amp;IF(AND($K301="US",OR($I301="",LEN($I301)&lt;&gt;2)),"State, ","")&amp;IF($J301="","ZIP, ","")&amp;IF(OR($K301="",AND($K301&lt;&gt;"US",$K301&lt;&gt;"CA")),"Country, ","")&amp;IF(OR($L301="",AND($L301&lt;&gt;"",OR(NOT(ISNUMBER($L301)),$L301&lt;=DATE(1900,1,1),$L301&gt;TODAY()))),"Birthdate, ","")&amp;IF(AND($N301&lt;&gt;"",NOT(IFERROR(AND(ISNUMBER(SEARCH("@",$N301)),ISNUMBER(SEARCH(".",$N301,SEARCH("@",$N301)+2))),FALSE))),"Email, ","")&amp;IF(OR(AND($B301&lt;&gt;"",$O301=""),AND($O301&lt;&gt;"",$O301&lt;&gt;"Spouse or Common Law Spouse",$O301&lt;&gt;"Domestic Partner",$O301&lt;&gt;"Child",$O301&lt;&gt;"Other",$O301&lt;&gt;"Estate",$O301&lt;&gt;"Unknown")),"Dependent Relationship, ","")&amp;IF($AA301&lt;&gt;"","Household, ","")&amp;IF(OR($P301="",AND($P301&lt;&gt;"",OR(NOT(ISNUMBER($P301)),$P301&lt;=DATE(1900,1,1)))),"Eligibility Date, ","")&amp;IF(OR(AND($R301="Terminated",$Q301=""),AND($Q301&lt;&gt;"",OR(NOT(ISNUMBER($Q301)),$Q301&lt;=DATE(1900,1,1))),AND(ISNUMBER($P301),ISNUMBER($Q301),$Q301&lt;$P301)),"Termination Date, ","")&amp;IF(OR($R301="",AND($R301&lt;&gt;"Active",$R301&lt;&gt;"Terminated"),AND('START HERE'!$C$8="Terminations Only",$R301&lt;&gt;"Terminated")),"Status, ","")&amp;IF($S301="","Plan Name, ","")&amp;IF($T301="","Coverage Level, ","")&amp;IF(AND($U301&lt;&gt;"",OR(NOT(ISNUMBER($U301)),$U301&lt;0)),"Funding, ","")&amp;IF(AND($A301&lt;&gt;"",$S301&lt;&gt;"",COUNTIFS($A$2:$A$501,$A301,$B$2:$B$501,$B301,$S$2:$S$501,$S301)&gt;1),"Duplicate Row, ",""))</f>
        <v/>
      </c>
      <c r="AF301">
        <f>IF(COUNTA($A301:$U301)=0,"",$Y301&amp;$Z301&amp;$AA301&amp;$AB301&amp;$AC301)</f>
        <v/>
      </c>
      <c r="AG301">
        <f>IF($N301="","",LOWER(TRIM($N301)))</f>
        <v/>
      </c>
      <c r="AH301">
        <f>IF($A301="","",COUNTIFS($A$2:$A$501,$A301,$AI$2:$AI$501,1))</f>
        <v/>
      </c>
      <c r="AI301">
        <f>IF(COUNTA($A301:$U301)=0,"",--($AF301&lt;&gt;""))</f>
        <v/>
      </c>
      <c r="AJ301">
        <f>IF(COUNTA($A301:$U301)=0,"",--($AD301&lt;&gt;""))</f>
        <v/>
      </c>
    </row>
    <row r="302" ht="20" customHeight="1">
      <c r="A302" s="80" t="n"/>
      <c r="B302" s="80" t="n"/>
      <c r="C302" s="81" t="n"/>
      <c r="D302" s="81" t="n"/>
      <c r="E302" s="80" t="n"/>
      <c r="F302" s="81" t="n"/>
      <c r="G302" s="81" t="n"/>
      <c r="H302" s="81" t="n"/>
      <c r="I302" s="80" t="n"/>
      <c r="J302" s="80" t="n"/>
      <c r="K302" s="80" t="n"/>
      <c r="L302" s="82" t="n"/>
      <c r="M302" s="80" t="n"/>
      <c r="N302" s="80" t="n"/>
      <c r="O302" s="80" t="n"/>
      <c r="P302" s="82" t="n"/>
      <c r="Q302" s="82" t="n"/>
      <c r="R302" s="80" t="n"/>
      <c r="S302" s="80" t="n"/>
      <c r="T302" s="80" t="n"/>
      <c r="U302" s="83" t="n"/>
      <c r="V302">
        <f>IF($A302="","",IF($A302=$A301,$V301,IF($V301="",0,1-$V301)))</f>
        <v/>
      </c>
      <c r="W302">
        <f>IF($B302&lt;&gt;"",$B302,$A302)</f>
        <v/>
      </c>
      <c r="X302">
        <f>IF(COUNTA($A302:$U302)=0,"",IF(OR($B302&lt;&gt;"",$O302&lt;&gt;""),"Dependent","Employee"))</f>
        <v/>
      </c>
      <c r="Y302">
        <f>IF(COUNTA($A302:$U302)=0,"",IF($A302="","Employee SSN is required; ","")&amp;IF($C302="","First Name is required; ","")&amp;IF(LEN($C302&amp;"")&gt;19,"First Name exceeds 19 characters; ","")&amp;IF(AND($C302&lt;&gt;"",SUMPRODUCT(--(ROW($1:$19)&lt;=LEN($C302&amp;"")),--ISERROR(FIND(MID($C302&amp;"",ROW($1:$19),1),"ABCDEFGHIJKLMNOPQRSTUVWXYZabcdefghijklmnopqrstuvwxyz .,")))&gt;0),"First Name contains unsupported or encoded characters; use plain A-Z letters only; ","")&amp;IF($D302="","Last Name is required; ","")&amp;IF(LEN($D302&amp;"")&gt;26,"Last Name exceeds 26 characters; ","")&amp;IF(AND($D302&lt;&gt;"",SUMPRODUCT(--(ROW($1:$26)&lt;=LEN($D302&amp;"")),--ISERROR(FIND(MID($D302&amp;"",ROW($1:$26),1),"ABCDEFGHIJKLMNOPQRSTUVWXYZabcdefghijklmnopqrstuvwxyz .,")))&gt;0),"Last Name contains unsupported or encoded characters; use plain A-Z letters only; ","")&amp;IF(LEN($E302&amp;"")&gt;1,"Middle Initial may contain only one character; ","")&amp;IF(AND($E302&lt;&gt;"",SUMPRODUCT(--(ROW($1:$1)&lt;=LEN($E302&amp;"")),--ISERROR(FIND(MID($E302&amp;"",ROW($1:$1),1),"ABCDEFGHIJKLMNOPQRSTUVWXYZabcdefghijklmnopqrstuvwxyz .,")))&gt;0),"Middle Initial must be a plain A-Z letter; ","")&amp;IF($F302="","Address is required; ","")&amp;IF(LEN($F302&amp;"")&gt;75,"Address exceeds 75 characters; ","")&amp;IF(LEN($G302&amp;"")&gt;75,"Address 2 exceeds 75 characters; ","")&amp;IF($H302="","City is required; ","")&amp;IF(LEN($H302&amp;"")&gt;30,"City exceeds 30 characters; ","")&amp;IF($K302="","Country is required; ","")&amp;IF(AND($K302&lt;&gt;"",$K302&lt;&gt;"US",$K302&lt;&gt;"CA"),"Country must be US or CA; ","")&amp;IF(AND($K302="US",OR($I302="",LEN($I302&amp;"")&lt;&gt;2)),"Use a 2-letter state code; ","")&amp;IF($J302="","ZIP or postal code is required; ","")&amp;IF(AND($K302="US",$J302&lt;&gt;"",NOT(IFERROR(OR(AND(LEN($J302&amp;"")=5,ISNUMBER(--($J302&amp;""))),AND(LEN($J302&amp;"")=9,ISNUMBER(--($J302&amp;""))),AND(LEN($J302&amp;"")=10,MID($J302&amp;"",6,1)="-",ISNUMBER(--SUBSTITUTE($J302&amp;"","-","")))),FALSE))),"US ZIP must be 5 or 9 digits, with an optional ZIP+4 hyphen; ","")&amp;IF(AND($N302&lt;&gt;"",NOT(IFERROR(AND(ISNUMBER(SEARCH("@",$N302)),ISNUMBER(SEARCH(".",$N302,SEARCH("@",$N302)+2))),FALSE))),"Email format appears invalid; ","")&amp;IF(AND($O302&lt;&gt;"",$B302=""),"Dependent SSN is required for every dependent; ","")&amp;IF(AND($B302&lt;&gt;"",$O302=""),"Dependent Relationship is required when Dependent SSN is entered; ","")&amp;IF(AND($O302&lt;&gt;"",$O302&lt;&gt;"Spouse or Common Law Spouse",$O302&lt;&gt;"Domestic Partner",$O302&lt;&gt;"Child",$O302&lt;&gt;"Other",$O302&lt;&gt;"Estate",$O302&lt;&gt;"Unknown"),"Dependent Relationship must use one of the approved options; ",""))</f>
        <v/>
      </c>
      <c r="Z302">
        <f>IF(COUNTA($A302:$U302)=0,"",IF(AND($A302&lt;&gt;"",NOT(IFERROR(AND(LEN($A302&amp;"")=9,ISNUMBER(--($A302&amp;""))),FALSE))),"Employee SSN must contain exactly 9 digits; ","")&amp;IF(AND($A302&lt;&gt;"",OR($A302="123456789",$A302="987654321",$A302="012345678",$A302=REPT(LEFT($A302&amp;"",1),9))),"Employee SSN appears to be a placeholder; ","")&amp;IF(AND($B302&lt;&gt;"",NOT(IFERROR(AND(LEN($B302&amp;"")=9,ISNUMBER(--($B302&amp;""))),FALSE))),"Dependent SSN must contain exactly 9 digits; ","")&amp;IF(AND($B302&lt;&gt;"",OR($B302="123456789",$B302="987654321",$B302="012345678",$B302=REPT(LEFT($B302&amp;"",1),9))),"Dependent SSN appears to be a placeholder; ","")&amp;IF(AND($A302&lt;&gt;"",$B302&lt;&gt;"",$A302&amp;""=$B302&amp;""),"Dependent SSN cannot match Employee SSN; ","")&amp;IF(AND($W302&lt;&gt;"",OR(COUNTIFS($W$2:$W$501,$W302,$C$2:$C$501,"&lt;&gt;"&amp;$C302)&gt;0,COUNTIFS($W$2:$W$501,$W302,$D$2:$D$501,"&lt;&gt;"&amp;$D302)&gt;0,COUNTIFS($W$2:$W$501,$W302,$L$2:$L$501,"&lt;&gt;"&amp;$L302)&gt;0)),"The same SSN is associated with a different name or birthdate; ",""))</f>
        <v/>
      </c>
      <c r="AA302">
        <f>IF(COUNTA($A302:$U302)=0,"",IF(AND($A302&lt;&gt;"",$S302&lt;&gt;"",COUNTIFS($A$2:$A$501,$A302,$S$2:$S$501,$S302,$B$2:$B$501,"",$O$2:$O$501,"")=0),"Add an employee row for this household and plan; ","")&amp;IF(AND($X302="Dependent",COUNTIFS($A$2:$A302,$A302,$S$2:$S302,$S302,$B$2:$B302,"",$O$2:$O302,"")=0),"Place the employee row before dependent rows for this plan; ","")&amp;IF(AND($X302="Dependent",COUNTIFS($A$2:$A$501,$A302,$S$2:$S$501,$S302,$B$2:$B$501,"",$O$2:$O$501,"")&gt;0,IFERROR(OR($P302&lt;&gt;LOOKUP(2,1/(($A$2:$A$501=$A302)*($S$2:$S$501=$S302)*($B$2:$B$501="")*($O$2:$O$501="")),$P$2:$P$501),$Q302&lt;&gt;LOOKUP(2,1/(($A$2:$A$501=$A302)*($S$2:$S$501=$S302)*($B$2:$B$501="")*($O$2:$O$501="")),$Q$2:$Q$501),$R302&lt;&gt;LOOKUP(2,1/(($A$2:$A$501=$A302)*($S$2:$S$501=$S302)*($B$2:$B$501="")*($O$2:$O$501="")),$R$2:$R$501),$T302&lt;&gt;LOOKUP(2,1/(($A$2:$A$501=$A302)*($S$2:$S$501=$S302)*($B$2:$B$501="")*($O$2:$O$501="")),$T$2:$T$501),$U302&lt;&gt;LOOKUP(2,1/(($A$2:$A$501=$A302)*($S$2:$S$501=$S302)*($B$2:$B$501="")*($O$2:$O$501="")),$U$2:$U$501)),FALSE)),"Dependent row does not match the employee row for eligibility, status, coverage level, or funding; ",""))</f>
        <v/>
      </c>
      <c r="AB302">
        <f>IF(COUNTA($A302:$U302)=0,"",IF($L302="","Birthdate is required; ","")&amp;IF(AND($L302&lt;&gt;"",OR(NOT(ISNUMBER($L302)),$L302&lt;=DATE(1900,1,1),$L302&gt;TODAY())),"Birthdate must be an exact valid past date; ","")&amp;IF($P302="","Eligibility Date is required; ","")&amp;IF(AND($P302&lt;&gt;"",OR(NOT(ISNUMBER($P302)),$P302&lt;=DATE(1900,1,1))),"Eligibility Date must be a valid date; ","")&amp;IF(AND($R302="Terminated",$Q302=""),"Termination Date is required when Status is Terminated; ","")&amp;IF(AND($Q302&lt;&gt;"",OR(NOT(ISNUMBER($Q302)),$Q302&lt;=DATE(1900,1,1))),"Termination Date must be a valid date; ","")&amp;IF(AND(ISNUMBER($P302),ISNUMBER($Q302),$Q302&lt;$P302),"Termination Date cannot be before Eligibility Date; ","")&amp;IF($R302="","Status is required; ","")&amp;IF(AND($R302&lt;&gt;"",$R302&lt;&gt;"Active",$R302&lt;&gt;"Terminated"),"Status must be Active or Terminated; ","")&amp;IF(AND('START HERE'!$C$8="Terminations Only",$R302&lt;&gt;"Terminated"),"Terminations Only files must contain terminated records; ",""))</f>
        <v/>
      </c>
      <c r="AC302">
        <f>IF(COUNTA($A302:$U302)=0,"",IF($S302="","Plan Name is required; ","")&amp;IF($T302="","Benefit Coverage Level is required; ","")&amp;IF(AND($U302&lt;&gt;"",OR(NOT(ISNUMBER($U302)),$U302&lt;0)),"Plan Funding Amount must be a nonnegative number; ","")&amp;IF(AND($A302&lt;&gt;"",$S302&lt;&gt;"",COUNTIFS($A$2:$A$501,$A302,$B$2:$B$501,$B302,$S$2:$S$501,$S302)&gt;1),"Duplicate participant and plan row; ",""))</f>
        <v/>
      </c>
      <c r="AD302">
        <f>IF(COUNTA($A302:$U302)=0,"",IF(AND($X302="Employee",$M302="",$N302=""),"No employee phone or email provided; ","")&amp;IF(AND($R302="Active",$Q302&lt;&gt;""),"Active record includes a Termination Date; confirm this is intentional; ","")&amp;IF(AND($B302&lt;&gt;"",$B302&amp;""&lt;&gt;$A302&amp;"",COUNTIF($A$2:$A$501,$B302)&gt;0),"Dependent SSN also appears as an Employee SSN elsewhere; confirm dual-employee coverage is intentional; ","")&amp;IF(AND($B302&lt;&gt;"",COUNTIF($B$2:$B$501,$B302)&gt;COUNTIFS($A$2:$A$501,$A302,$B$2:$B$501,$B302)),"Dependent SSN appears under more than one employee; confirm duplicate family coverage is intentional; ","")&amp;IF(AND(ROW()&gt;2,$A302&lt;&gt;"",$A302&lt;&gt;$A301,COUNTIF($A$2:$A301,$A302)&gt;0),"This household appears in more than one section of the census; keep the family together; ","")&amp;IF(OR(AND($C302&lt;&gt;"",LEN($C302&amp;"")&lt;&gt;LEN(TRIM($C302&amp;""))),AND($D302&lt;&gt;"",LEN($D302&amp;"")&lt;&gt;LEN(TRIM($D302&amp;""))),AND($E302&lt;&gt;"",LEN($E302&amp;"")&lt;&gt;LEN(TRIM($E302&amp;""))),AND($F302&lt;&gt;"",LEN($F302&amp;"")&lt;&gt;LEN(TRIM($F302&amp;""))),AND($G302&lt;&gt;"",LEN($G302&amp;"")&lt;&gt;LEN(TRIM($G302&amp;""))),AND($H302&lt;&gt;"",LEN($H302&amp;"")&lt;&gt;LEN(TRIM($H302&amp;""))),AND($I302&lt;&gt;"",LEN($I302&amp;"")&lt;&gt;LEN(TRIM($I302&amp;""))),AND($J302&lt;&gt;"",LEN($J302&amp;"")&lt;&gt;LEN(TRIM($J302&amp;""))),AND($K302&lt;&gt;"",LEN($K302&amp;"")&lt;&gt;LEN(TRIM($K302&amp;""))),AND($M302&lt;&gt;"",LEN($M302&amp;"")&lt;&gt;LEN(TRIM($M302&amp;""))),AND($N302&lt;&gt;"",LEN($N302&amp;"")&lt;&gt;LEN(TRIM($N302&amp;""))),AND($O302&lt;&gt;"",LEN($O302&amp;"")&lt;&gt;LEN(TRIM($O302&amp;""))),AND($R302&lt;&gt;"",LEN($R302&amp;"")&lt;&gt;LEN(TRIM($R302&amp;""))),AND($S302&lt;&gt;"",LEN($S302&amp;"")&lt;&gt;LEN(TRIM($S302&amp;""))),AND($T302&lt;&gt;"",LEN($T302&amp;"")&lt;&gt;LEN(TRIM($T302&amp;"")))),"Remove leading or trailing spaces from text fields; ","")&amp;IF(OR(AND(LEN($C302)&gt;1,OR(EXACT($C302,UPPER($C302)),EXACT($C302,LOWER($C302)))),AND(LEN($D302)&gt;1,OR(EXACT($D302,UPPER($D302)),EXACT($D302,LOWER($D302)))),AND(LEN($H302)&gt;1,OR(EXACT($H302,UPPER($H302)),EXACT($H302,LOWER($H302))))),"Review capitalization in First Name, Last Name, or City; ","")&amp;IF(AND($N302&lt;&gt;"",NOT(EXACT($N302,LOWER($N302)))),"Email will be standardized to lowercase in the clean output; ","")&amp;IF(AND(OR('START HERE'!$C$8="Initial Enrollment",'START HERE'!$C$8="Open Enrollment"),$R302="Terminated"),"A terminated row is included in an initial or open enrollment file; confirm this is intentional; ",""))</f>
        <v/>
      </c>
      <c r="AE302">
        <f>IF(COUNTA($A302:$U302)=0,"",IF(OR($A302="",AND($A302&lt;&gt;"",NOT(IFERROR(AND(LEN($A302&amp;"")=9,ISNUMBER(--($A302&amp;""))),FALSE))),AND($A302&lt;&gt;"",OR($A302="123456789",$A302="987654321",$A302="012345678",$A302=REPT(LEFT($A302&amp;"",1),9)))),"Employee SSN, ","")&amp;IF(OR(AND($O302&lt;&gt;"",$B302=""),AND($B302&lt;&gt;"",OR(NOT(IFERROR(AND(LEN($B302&amp;"")=9,ISNUMBER(--($B302&amp;""))),FALSE)),$B302=$A302,$B302="123456789",$B302="987654321",$B302="012345678",$B302=REPT(LEFT($B302&amp;"",1),9)))),"Dependent SSN, ","")&amp;IF(OR($C302="",LEN($C302)&gt;19,AND($C302&lt;&gt;"",SUMPRODUCT(--(ROW($1:$19)&lt;=LEN($C302&amp;"")),--ISERROR(FIND(MID($C302&amp;"",ROW($1:$19),1),"ABCDEFGHIJKLMNOPQRSTUVWXYZabcdefghijklmnopqrstuvwxyz .,")))&gt;0)),"First Name, ","")&amp;IF(OR($D302="",LEN($D302)&gt;26,AND($D302&lt;&gt;"",SUMPRODUCT(--(ROW($1:$26)&lt;=LEN($D302&amp;"")),--ISERROR(FIND(MID($D302&amp;"",ROW($1:$26),1),"ABCDEFGHIJKLMNOPQRSTUVWXYZabcdefghijklmnopqrstuvwxyz .,")))&gt;0)),"Last Name, ","")&amp;IF(OR(LEN($E302)&gt;1,AND($E302&lt;&gt;"",SUMPRODUCT(--(ROW($1:$1)&lt;=LEN($E302&amp;"")),--ISERROR(FIND(MID($E302&amp;"",ROW($1:$1),1),"ABCDEFGHIJKLMNOPQRSTUVWXYZabcdefghijklmnopqrstuvwxyz .,")))&gt;0)),"Middle Initial, ","")&amp;IF(OR($F302="",LEN($F302)&gt;75),"Address, ","")&amp;IF(OR($H302="",LEN($H302)&gt;30),"City, ","")&amp;IF(AND($K302="US",OR($I302="",LEN($I302)&lt;&gt;2)),"State, ","")&amp;IF($J302="","ZIP, ","")&amp;IF(OR($K302="",AND($K302&lt;&gt;"US",$K302&lt;&gt;"CA")),"Country, ","")&amp;IF(OR($L302="",AND($L302&lt;&gt;"",OR(NOT(ISNUMBER($L302)),$L302&lt;=DATE(1900,1,1),$L302&gt;TODAY()))),"Birthdate, ","")&amp;IF(AND($N302&lt;&gt;"",NOT(IFERROR(AND(ISNUMBER(SEARCH("@",$N302)),ISNUMBER(SEARCH(".",$N302,SEARCH("@",$N302)+2))),FALSE))),"Email, ","")&amp;IF(OR(AND($B302&lt;&gt;"",$O302=""),AND($O302&lt;&gt;"",$O302&lt;&gt;"Spouse or Common Law Spouse",$O302&lt;&gt;"Domestic Partner",$O302&lt;&gt;"Child",$O302&lt;&gt;"Other",$O302&lt;&gt;"Estate",$O302&lt;&gt;"Unknown")),"Dependent Relationship, ","")&amp;IF($AA302&lt;&gt;"","Household, ","")&amp;IF(OR($P302="",AND($P302&lt;&gt;"",OR(NOT(ISNUMBER($P302)),$P302&lt;=DATE(1900,1,1)))),"Eligibility Date, ","")&amp;IF(OR(AND($R302="Terminated",$Q302=""),AND($Q302&lt;&gt;"",OR(NOT(ISNUMBER($Q302)),$Q302&lt;=DATE(1900,1,1))),AND(ISNUMBER($P302),ISNUMBER($Q302),$Q302&lt;$P302)),"Termination Date, ","")&amp;IF(OR($R302="",AND($R302&lt;&gt;"Active",$R302&lt;&gt;"Terminated"),AND('START HERE'!$C$8="Terminations Only",$R302&lt;&gt;"Terminated")),"Status, ","")&amp;IF($S302="","Plan Name, ","")&amp;IF($T302="","Coverage Level, ","")&amp;IF(AND($U302&lt;&gt;"",OR(NOT(ISNUMBER($U302)),$U302&lt;0)),"Funding, ","")&amp;IF(AND($A302&lt;&gt;"",$S302&lt;&gt;"",COUNTIFS($A$2:$A$501,$A302,$B$2:$B$501,$B302,$S$2:$S$501,$S302)&gt;1),"Duplicate Row, ",""))</f>
        <v/>
      </c>
      <c r="AF302">
        <f>IF(COUNTA($A302:$U302)=0,"",$Y302&amp;$Z302&amp;$AA302&amp;$AB302&amp;$AC302)</f>
        <v/>
      </c>
      <c r="AG302">
        <f>IF($N302="","",LOWER(TRIM($N302)))</f>
        <v/>
      </c>
      <c r="AH302">
        <f>IF($A302="","",COUNTIFS($A$2:$A$501,$A302,$AI$2:$AI$501,1))</f>
        <v/>
      </c>
      <c r="AI302">
        <f>IF(COUNTA($A302:$U302)=0,"",--($AF302&lt;&gt;""))</f>
        <v/>
      </c>
      <c r="AJ302">
        <f>IF(COUNTA($A302:$U302)=0,"",--($AD302&lt;&gt;""))</f>
        <v/>
      </c>
    </row>
    <row r="303" ht="20" customHeight="1">
      <c r="A303" s="80" t="n"/>
      <c r="B303" s="80" t="n"/>
      <c r="C303" s="81" t="n"/>
      <c r="D303" s="81" t="n"/>
      <c r="E303" s="80" t="n"/>
      <c r="F303" s="81" t="n"/>
      <c r="G303" s="81" t="n"/>
      <c r="H303" s="81" t="n"/>
      <c r="I303" s="80" t="n"/>
      <c r="J303" s="80" t="n"/>
      <c r="K303" s="80" t="n"/>
      <c r="L303" s="82" t="n"/>
      <c r="M303" s="80" t="n"/>
      <c r="N303" s="80" t="n"/>
      <c r="O303" s="80" t="n"/>
      <c r="P303" s="82" t="n"/>
      <c r="Q303" s="82" t="n"/>
      <c r="R303" s="80" t="n"/>
      <c r="S303" s="80" t="n"/>
      <c r="T303" s="80" t="n"/>
      <c r="U303" s="83" t="n"/>
      <c r="V303">
        <f>IF($A303="","",IF($A303=$A302,$V302,IF($V302="",0,1-$V302)))</f>
        <v/>
      </c>
      <c r="W303">
        <f>IF($B303&lt;&gt;"",$B303,$A303)</f>
        <v/>
      </c>
      <c r="X303">
        <f>IF(COUNTA($A303:$U303)=0,"",IF(OR($B303&lt;&gt;"",$O303&lt;&gt;""),"Dependent","Employee"))</f>
        <v/>
      </c>
      <c r="Y303">
        <f>IF(COUNTA($A303:$U303)=0,"",IF($A303="","Employee SSN is required; ","")&amp;IF($C303="","First Name is required; ","")&amp;IF(LEN($C303&amp;"")&gt;19,"First Name exceeds 19 characters; ","")&amp;IF(AND($C303&lt;&gt;"",SUMPRODUCT(--(ROW($1:$19)&lt;=LEN($C303&amp;"")),--ISERROR(FIND(MID($C303&amp;"",ROW($1:$19),1),"ABCDEFGHIJKLMNOPQRSTUVWXYZabcdefghijklmnopqrstuvwxyz .,")))&gt;0),"First Name contains unsupported or encoded characters; use plain A-Z letters only; ","")&amp;IF($D303="","Last Name is required; ","")&amp;IF(LEN($D303&amp;"")&gt;26,"Last Name exceeds 26 characters; ","")&amp;IF(AND($D303&lt;&gt;"",SUMPRODUCT(--(ROW($1:$26)&lt;=LEN($D303&amp;"")),--ISERROR(FIND(MID($D303&amp;"",ROW($1:$26),1),"ABCDEFGHIJKLMNOPQRSTUVWXYZabcdefghijklmnopqrstuvwxyz .,")))&gt;0),"Last Name contains unsupported or encoded characters; use plain A-Z letters only; ","")&amp;IF(LEN($E303&amp;"")&gt;1,"Middle Initial may contain only one character; ","")&amp;IF(AND($E303&lt;&gt;"",SUMPRODUCT(--(ROW($1:$1)&lt;=LEN($E303&amp;"")),--ISERROR(FIND(MID($E303&amp;"",ROW($1:$1),1),"ABCDEFGHIJKLMNOPQRSTUVWXYZabcdefghijklmnopqrstuvwxyz .,")))&gt;0),"Middle Initial must be a plain A-Z letter; ","")&amp;IF($F303="","Address is required; ","")&amp;IF(LEN($F303&amp;"")&gt;75,"Address exceeds 75 characters; ","")&amp;IF(LEN($G303&amp;"")&gt;75,"Address 2 exceeds 75 characters; ","")&amp;IF($H303="","City is required; ","")&amp;IF(LEN($H303&amp;"")&gt;30,"City exceeds 30 characters; ","")&amp;IF($K303="","Country is required; ","")&amp;IF(AND($K303&lt;&gt;"",$K303&lt;&gt;"US",$K303&lt;&gt;"CA"),"Country must be US or CA; ","")&amp;IF(AND($K303="US",OR($I303="",LEN($I303&amp;"")&lt;&gt;2)),"Use a 2-letter state code; ","")&amp;IF($J303="","ZIP or postal code is required; ","")&amp;IF(AND($K303="US",$J303&lt;&gt;"",NOT(IFERROR(OR(AND(LEN($J303&amp;"")=5,ISNUMBER(--($J303&amp;""))),AND(LEN($J303&amp;"")=9,ISNUMBER(--($J303&amp;""))),AND(LEN($J303&amp;"")=10,MID($J303&amp;"",6,1)="-",ISNUMBER(--SUBSTITUTE($J303&amp;"","-","")))),FALSE))),"US ZIP must be 5 or 9 digits, with an optional ZIP+4 hyphen; ","")&amp;IF(AND($N303&lt;&gt;"",NOT(IFERROR(AND(ISNUMBER(SEARCH("@",$N303)),ISNUMBER(SEARCH(".",$N303,SEARCH("@",$N303)+2))),FALSE))),"Email format appears invalid; ","")&amp;IF(AND($O303&lt;&gt;"",$B303=""),"Dependent SSN is required for every dependent; ","")&amp;IF(AND($B303&lt;&gt;"",$O303=""),"Dependent Relationship is required when Dependent SSN is entered; ","")&amp;IF(AND($O303&lt;&gt;"",$O303&lt;&gt;"Spouse or Common Law Spouse",$O303&lt;&gt;"Domestic Partner",$O303&lt;&gt;"Child",$O303&lt;&gt;"Other",$O303&lt;&gt;"Estate",$O303&lt;&gt;"Unknown"),"Dependent Relationship must use one of the approved options; ",""))</f>
        <v/>
      </c>
      <c r="Z303">
        <f>IF(COUNTA($A303:$U303)=0,"",IF(AND($A303&lt;&gt;"",NOT(IFERROR(AND(LEN($A303&amp;"")=9,ISNUMBER(--($A303&amp;""))),FALSE))),"Employee SSN must contain exactly 9 digits; ","")&amp;IF(AND($A303&lt;&gt;"",OR($A303="123456789",$A303="987654321",$A303="012345678",$A303=REPT(LEFT($A303&amp;"",1),9))),"Employee SSN appears to be a placeholder; ","")&amp;IF(AND($B303&lt;&gt;"",NOT(IFERROR(AND(LEN($B303&amp;"")=9,ISNUMBER(--($B303&amp;""))),FALSE))),"Dependent SSN must contain exactly 9 digits; ","")&amp;IF(AND($B303&lt;&gt;"",OR($B303="123456789",$B303="987654321",$B303="012345678",$B303=REPT(LEFT($B303&amp;"",1),9))),"Dependent SSN appears to be a placeholder; ","")&amp;IF(AND($A303&lt;&gt;"",$B303&lt;&gt;"",$A303&amp;""=$B303&amp;""),"Dependent SSN cannot match Employee SSN; ","")&amp;IF(AND($W303&lt;&gt;"",OR(COUNTIFS($W$2:$W$501,$W303,$C$2:$C$501,"&lt;&gt;"&amp;$C303)&gt;0,COUNTIFS($W$2:$W$501,$W303,$D$2:$D$501,"&lt;&gt;"&amp;$D303)&gt;0,COUNTIFS($W$2:$W$501,$W303,$L$2:$L$501,"&lt;&gt;"&amp;$L303)&gt;0)),"The same SSN is associated with a different name or birthdate; ",""))</f>
        <v/>
      </c>
      <c r="AA303">
        <f>IF(COUNTA($A303:$U303)=0,"",IF(AND($A303&lt;&gt;"",$S303&lt;&gt;"",COUNTIFS($A$2:$A$501,$A303,$S$2:$S$501,$S303,$B$2:$B$501,"",$O$2:$O$501,"")=0),"Add an employee row for this household and plan; ","")&amp;IF(AND($X303="Dependent",COUNTIFS($A$2:$A303,$A303,$S$2:$S303,$S303,$B$2:$B303,"",$O$2:$O303,"")=0),"Place the employee row before dependent rows for this plan; ","")&amp;IF(AND($X303="Dependent",COUNTIFS($A$2:$A$501,$A303,$S$2:$S$501,$S303,$B$2:$B$501,"",$O$2:$O$501,"")&gt;0,IFERROR(OR($P303&lt;&gt;LOOKUP(2,1/(($A$2:$A$501=$A303)*($S$2:$S$501=$S303)*($B$2:$B$501="")*($O$2:$O$501="")),$P$2:$P$501),$Q303&lt;&gt;LOOKUP(2,1/(($A$2:$A$501=$A303)*($S$2:$S$501=$S303)*($B$2:$B$501="")*($O$2:$O$501="")),$Q$2:$Q$501),$R303&lt;&gt;LOOKUP(2,1/(($A$2:$A$501=$A303)*($S$2:$S$501=$S303)*($B$2:$B$501="")*($O$2:$O$501="")),$R$2:$R$501),$T303&lt;&gt;LOOKUP(2,1/(($A$2:$A$501=$A303)*($S$2:$S$501=$S303)*($B$2:$B$501="")*($O$2:$O$501="")),$T$2:$T$501),$U303&lt;&gt;LOOKUP(2,1/(($A$2:$A$501=$A303)*($S$2:$S$501=$S303)*($B$2:$B$501="")*($O$2:$O$501="")),$U$2:$U$501)),FALSE)),"Dependent row does not match the employee row for eligibility, status, coverage level, or funding; ",""))</f>
        <v/>
      </c>
      <c r="AB303">
        <f>IF(COUNTA($A303:$U303)=0,"",IF($L303="","Birthdate is required; ","")&amp;IF(AND($L303&lt;&gt;"",OR(NOT(ISNUMBER($L303)),$L303&lt;=DATE(1900,1,1),$L303&gt;TODAY())),"Birthdate must be an exact valid past date; ","")&amp;IF($P303="","Eligibility Date is required; ","")&amp;IF(AND($P303&lt;&gt;"",OR(NOT(ISNUMBER($P303)),$P303&lt;=DATE(1900,1,1))),"Eligibility Date must be a valid date; ","")&amp;IF(AND($R303="Terminated",$Q303=""),"Termination Date is required when Status is Terminated; ","")&amp;IF(AND($Q303&lt;&gt;"",OR(NOT(ISNUMBER($Q303)),$Q303&lt;=DATE(1900,1,1))),"Termination Date must be a valid date; ","")&amp;IF(AND(ISNUMBER($P303),ISNUMBER($Q303),$Q303&lt;$P303),"Termination Date cannot be before Eligibility Date; ","")&amp;IF($R303="","Status is required; ","")&amp;IF(AND($R303&lt;&gt;"",$R303&lt;&gt;"Active",$R303&lt;&gt;"Terminated"),"Status must be Active or Terminated; ","")&amp;IF(AND('START HERE'!$C$8="Terminations Only",$R303&lt;&gt;"Terminated"),"Terminations Only files must contain terminated records; ",""))</f>
        <v/>
      </c>
      <c r="AC303">
        <f>IF(COUNTA($A303:$U303)=0,"",IF($S303="","Plan Name is required; ","")&amp;IF($T303="","Benefit Coverage Level is required; ","")&amp;IF(AND($U303&lt;&gt;"",OR(NOT(ISNUMBER($U303)),$U303&lt;0)),"Plan Funding Amount must be a nonnegative number; ","")&amp;IF(AND($A303&lt;&gt;"",$S303&lt;&gt;"",COUNTIFS($A$2:$A$501,$A303,$B$2:$B$501,$B303,$S$2:$S$501,$S303)&gt;1),"Duplicate participant and plan row; ",""))</f>
        <v/>
      </c>
      <c r="AD303">
        <f>IF(COUNTA($A303:$U303)=0,"",IF(AND($X303="Employee",$M303="",$N303=""),"No employee phone or email provided; ","")&amp;IF(AND($R303="Active",$Q303&lt;&gt;""),"Active record includes a Termination Date; confirm this is intentional; ","")&amp;IF(AND($B303&lt;&gt;"",$B303&amp;""&lt;&gt;$A303&amp;"",COUNTIF($A$2:$A$501,$B303)&gt;0),"Dependent SSN also appears as an Employee SSN elsewhere; confirm dual-employee coverage is intentional; ","")&amp;IF(AND($B303&lt;&gt;"",COUNTIF($B$2:$B$501,$B303)&gt;COUNTIFS($A$2:$A$501,$A303,$B$2:$B$501,$B303)),"Dependent SSN appears under more than one employee; confirm duplicate family coverage is intentional; ","")&amp;IF(AND(ROW()&gt;2,$A303&lt;&gt;"",$A303&lt;&gt;$A302,COUNTIF($A$2:$A302,$A303)&gt;0),"This household appears in more than one section of the census; keep the family together; ","")&amp;IF(OR(AND($C303&lt;&gt;"",LEN($C303&amp;"")&lt;&gt;LEN(TRIM($C303&amp;""))),AND($D303&lt;&gt;"",LEN($D303&amp;"")&lt;&gt;LEN(TRIM($D303&amp;""))),AND($E303&lt;&gt;"",LEN($E303&amp;"")&lt;&gt;LEN(TRIM($E303&amp;""))),AND($F303&lt;&gt;"",LEN($F303&amp;"")&lt;&gt;LEN(TRIM($F303&amp;""))),AND($G303&lt;&gt;"",LEN($G303&amp;"")&lt;&gt;LEN(TRIM($G303&amp;""))),AND($H303&lt;&gt;"",LEN($H303&amp;"")&lt;&gt;LEN(TRIM($H303&amp;""))),AND($I303&lt;&gt;"",LEN($I303&amp;"")&lt;&gt;LEN(TRIM($I303&amp;""))),AND($J303&lt;&gt;"",LEN($J303&amp;"")&lt;&gt;LEN(TRIM($J303&amp;""))),AND($K303&lt;&gt;"",LEN($K303&amp;"")&lt;&gt;LEN(TRIM($K303&amp;""))),AND($M303&lt;&gt;"",LEN($M303&amp;"")&lt;&gt;LEN(TRIM($M303&amp;""))),AND($N303&lt;&gt;"",LEN($N303&amp;"")&lt;&gt;LEN(TRIM($N303&amp;""))),AND($O303&lt;&gt;"",LEN($O303&amp;"")&lt;&gt;LEN(TRIM($O303&amp;""))),AND($R303&lt;&gt;"",LEN($R303&amp;"")&lt;&gt;LEN(TRIM($R303&amp;""))),AND($S303&lt;&gt;"",LEN($S303&amp;"")&lt;&gt;LEN(TRIM($S303&amp;""))),AND($T303&lt;&gt;"",LEN($T303&amp;"")&lt;&gt;LEN(TRIM($T303&amp;"")))),"Remove leading or trailing spaces from text fields; ","")&amp;IF(OR(AND(LEN($C303)&gt;1,OR(EXACT($C303,UPPER($C303)),EXACT($C303,LOWER($C303)))),AND(LEN($D303)&gt;1,OR(EXACT($D303,UPPER($D303)),EXACT($D303,LOWER($D303)))),AND(LEN($H303)&gt;1,OR(EXACT($H303,UPPER($H303)),EXACT($H303,LOWER($H303))))),"Review capitalization in First Name, Last Name, or City; ","")&amp;IF(AND($N303&lt;&gt;"",NOT(EXACT($N303,LOWER($N303)))),"Email will be standardized to lowercase in the clean output; ","")&amp;IF(AND(OR('START HERE'!$C$8="Initial Enrollment",'START HERE'!$C$8="Open Enrollment"),$R303="Terminated"),"A terminated row is included in an initial or open enrollment file; confirm this is intentional; ",""))</f>
        <v/>
      </c>
      <c r="AE303">
        <f>IF(COUNTA($A303:$U303)=0,"",IF(OR($A303="",AND($A303&lt;&gt;"",NOT(IFERROR(AND(LEN($A303&amp;"")=9,ISNUMBER(--($A303&amp;""))),FALSE))),AND($A303&lt;&gt;"",OR($A303="123456789",$A303="987654321",$A303="012345678",$A303=REPT(LEFT($A303&amp;"",1),9)))),"Employee SSN, ","")&amp;IF(OR(AND($O303&lt;&gt;"",$B303=""),AND($B303&lt;&gt;"",OR(NOT(IFERROR(AND(LEN($B303&amp;"")=9,ISNUMBER(--($B303&amp;""))),FALSE)),$B303=$A303,$B303="123456789",$B303="987654321",$B303="012345678",$B303=REPT(LEFT($B303&amp;"",1),9)))),"Dependent SSN, ","")&amp;IF(OR($C303="",LEN($C303)&gt;19,AND($C303&lt;&gt;"",SUMPRODUCT(--(ROW($1:$19)&lt;=LEN($C303&amp;"")),--ISERROR(FIND(MID($C303&amp;"",ROW($1:$19),1),"ABCDEFGHIJKLMNOPQRSTUVWXYZabcdefghijklmnopqrstuvwxyz .,")))&gt;0)),"First Name, ","")&amp;IF(OR($D303="",LEN($D303)&gt;26,AND($D303&lt;&gt;"",SUMPRODUCT(--(ROW($1:$26)&lt;=LEN($D303&amp;"")),--ISERROR(FIND(MID($D303&amp;"",ROW($1:$26),1),"ABCDEFGHIJKLMNOPQRSTUVWXYZabcdefghijklmnopqrstuvwxyz .,")))&gt;0)),"Last Name, ","")&amp;IF(OR(LEN($E303)&gt;1,AND($E303&lt;&gt;"",SUMPRODUCT(--(ROW($1:$1)&lt;=LEN($E303&amp;"")),--ISERROR(FIND(MID($E303&amp;"",ROW($1:$1),1),"ABCDEFGHIJKLMNOPQRSTUVWXYZabcdefghijklmnopqrstuvwxyz .,")))&gt;0)),"Middle Initial, ","")&amp;IF(OR($F303="",LEN($F303)&gt;75),"Address, ","")&amp;IF(OR($H303="",LEN($H303)&gt;30),"City, ","")&amp;IF(AND($K303="US",OR($I303="",LEN($I303)&lt;&gt;2)),"State, ","")&amp;IF($J303="","ZIP, ","")&amp;IF(OR($K303="",AND($K303&lt;&gt;"US",$K303&lt;&gt;"CA")),"Country, ","")&amp;IF(OR($L303="",AND($L303&lt;&gt;"",OR(NOT(ISNUMBER($L303)),$L303&lt;=DATE(1900,1,1),$L303&gt;TODAY()))),"Birthdate, ","")&amp;IF(AND($N303&lt;&gt;"",NOT(IFERROR(AND(ISNUMBER(SEARCH("@",$N303)),ISNUMBER(SEARCH(".",$N303,SEARCH("@",$N303)+2))),FALSE))),"Email, ","")&amp;IF(OR(AND($B303&lt;&gt;"",$O303=""),AND($O303&lt;&gt;"",$O303&lt;&gt;"Spouse or Common Law Spouse",$O303&lt;&gt;"Domestic Partner",$O303&lt;&gt;"Child",$O303&lt;&gt;"Other",$O303&lt;&gt;"Estate",$O303&lt;&gt;"Unknown")),"Dependent Relationship, ","")&amp;IF($AA303&lt;&gt;"","Household, ","")&amp;IF(OR($P303="",AND($P303&lt;&gt;"",OR(NOT(ISNUMBER($P303)),$P303&lt;=DATE(1900,1,1)))),"Eligibility Date, ","")&amp;IF(OR(AND($R303="Terminated",$Q303=""),AND($Q303&lt;&gt;"",OR(NOT(ISNUMBER($Q303)),$Q303&lt;=DATE(1900,1,1))),AND(ISNUMBER($P303),ISNUMBER($Q303),$Q303&lt;$P303)),"Termination Date, ","")&amp;IF(OR($R303="",AND($R303&lt;&gt;"Active",$R303&lt;&gt;"Terminated"),AND('START HERE'!$C$8="Terminations Only",$R303&lt;&gt;"Terminated")),"Status, ","")&amp;IF($S303="","Plan Name, ","")&amp;IF($T303="","Coverage Level, ","")&amp;IF(AND($U303&lt;&gt;"",OR(NOT(ISNUMBER($U303)),$U303&lt;0)),"Funding, ","")&amp;IF(AND($A303&lt;&gt;"",$S303&lt;&gt;"",COUNTIFS($A$2:$A$501,$A303,$B$2:$B$501,$B303,$S$2:$S$501,$S303)&gt;1),"Duplicate Row, ",""))</f>
        <v/>
      </c>
      <c r="AF303">
        <f>IF(COUNTA($A303:$U303)=0,"",$Y303&amp;$Z303&amp;$AA303&amp;$AB303&amp;$AC303)</f>
        <v/>
      </c>
      <c r="AG303">
        <f>IF($N303="","",LOWER(TRIM($N303)))</f>
        <v/>
      </c>
      <c r="AH303">
        <f>IF($A303="","",COUNTIFS($A$2:$A$501,$A303,$AI$2:$AI$501,1))</f>
        <v/>
      </c>
      <c r="AI303">
        <f>IF(COUNTA($A303:$U303)=0,"",--($AF303&lt;&gt;""))</f>
        <v/>
      </c>
      <c r="AJ303">
        <f>IF(COUNTA($A303:$U303)=0,"",--($AD303&lt;&gt;""))</f>
        <v/>
      </c>
    </row>
    <row r="304" ht="20" customHeight="1">
      <c r="A304" s="80" t="n"/>
      <c r="B304" s="80" t="n"/>
      <c r="C304" s="81" t="n"/>
      <c r="D304" s="81" t="n"/>
      <c r="E304" s="80" t="n"/>
      <c r="F304" s="81" t="n"/>
      <c r="G304" s="81" t="n"/>
      <c r="H304" s="81" t="n"/>
      <c r="I304" s="80" t="n"/>
      <c r="J304" s="80" t="n"/>
      <c r="K304" s="80" t="n"/>
      <c r="L304" s="82" t="n"/>
      <c r="M304" s="80" t="n"/>
      <c r="N304" s="80" t="n"/>
      <c r="O304" s="80" t="n"/>
      <c r="P304" s="82" t="n"/>
      <c r="Q304" s="82" t="n"/>
      <c r="R304" s="80" t="n"/>
      <c r="S304" s="80" t="n"/>
      <c r="T304" s="80" t="n"/>
      <c r="U304" s="83" t="n"/>
      <c r="V304">
        <f>IF($A304="","",IF($A304=$A303,$V303,IF($V303="",0,1-$V303)))</f>
        <v/>
      </c>
      <c r="W304">
        <f>IF($B304&lt;&gt;"",$B304,$A304)</f>
        <v/>
      </c>
      <c r="X304">
        <f>IF(COUNTA($A304:$U304)=0,"",IF(OR($B304&lt;&gt;"",$O304&lt;&gt;""),"Dependent","Employee"))</f>
        <v/>
      </c>
      <c r="Y304">
        <f>IF(COUNTA($A304:$U304)=0,"",IF($A304="","Employee SSN is required; ","")&amp;IF($C304="","First Name is required; ","")&amp;IF(LEN($C304&amp;"")&gt;19,"First Name exceeds 19 characters; ","")&amp;IF(AND($C304&lt;&gt;"",SUMPRODUCT(--(ROW($1:$19)&lt;=LEN($C304&amp;"")),--ISERROR(FIND(MID($C304&amp;"",ROW($1:$19),1),"ABCDEFGHIJKLMNOPQRSTUVWXYZabcdefghijklmnopqrstuvwxyz .,")))&gt;0),"First Name contains unsupported or encoded characters; use plain A-Z letters only; ","")&amp;IF($D304="","Last Name is required; ","")&amp;IF(LEN($D304&amp;"")&gt;26,"Last Name exceeds 26 characters; ","")&amp;IF(AND($D304&lt;&gt;"",SUMPRODUCT(--(ROW($1:$26)&lt;=LEN($D304&amp;"")),--ISERROR(FIND(MID($D304&amp;"",ROW($1:$26),1),"ABCDEFGHIJKLMNOPQRSTUVWXYZabcdefghijklmnopqrstuvwxyz .,")))&gt;0),"Last Name contains unsupported or encoded characters; use plain A-Z letters only; ","")&amp;IF(LEN($E304&amp;"")&gt;1,"Middle Initial may contain only one character; ","")&amp;IF(AND($E304&lt;&gt;"",SUMPRODUCT(--(ROW($1:$1)&lt;=LEN($E304&amp;"")),--ISERROR(FIND(MID($E304&amp;"",ROW($1:$1),1),"ABCDEFGHIJKLMNOPQRSTUVWXYZabcdefghijklmnopqrstuvwxyz .,")))&gt;0),"Middle Initial must be a plain A-Z letter; ","")&amp;IF($F304="","Address is required; ","")&amp;IF(LEN($F304&amp;"")&gt;75,"Address exceeds 75 characters; ","")&amp;IF(LEN($G304&amp;"")&gt;75,"Address 2 exceeds 75 characters; ","")&amp;IF($H304="","City is required; ","")&amp;IF(LEN($H304&amp;"")&gt;30,"City exceeds 30 characters; ","")&amp;IF($K304="","Country is required; ","")&amp;IF(AND($K304&lt;&gt;"",$K304&lt;&gt;"US",$K304&lt;&gt;"CA"),"Country must be US or CA; ","")&amp;IF(AND($K304="US",OR($I304="",LEN($I304&amp;"")&lt;&gt;2)),"Use a 2-letter state code; ","")&amp;IF($J304="","ZIP or postal code is required; ","")&amp;IF(AND($K304="US",$J304&lt;&gt;"",NOT(IFERROR(OR(AND(LEN($J304&amp;"")=5,ISNUMBER(--($J304&amp;""))),AND(LEN($J304&amp;"")=9,ISNUMBER(--($J304&amp;""))),AND(LEN($J304&amp;"")=10,MID($J304&amp;"",6,1)="-",ISNUMBER(--SUBSTITUTE($J304&amp;"","-","")))),FALSE))),"US ZIP must be 5 or 9 digits, with an optional ZIP+4 hyphen; ","")&amp;IF(AND($N304&lt;&gt;"",NOT(IFERROR(AND(ISNUMBER(SEARCH("@",$N304)),ISNUMBER(SEARCH(".",$N304,SEARCH("@",$N304)+2))),FALSE))),"Email format appears invalid; ","")&amp;IF(AND($O304&lt;&gt;"",$B304=""),"Dependent SSN is required for every dependent; ","")&amp;IF(AND($B304&lt;&gt;"",$O304=""),"Dependent Relationship is required when Dependent SSN is entered; ","")&amp;IF(AND($O304&lt;&gt;"",$O304&lt;&gt;"Spouse or Common Law Spouse",$O304&lt;&gt;"Domestic Partner",$O304&lt;&gt;"Child",$O304&lt;&gt;"Other",$O304&lt;&gt;"Estate",$O304&lt;&gt;"Unknown"),"Dependent Relationship must use one of the approved options; ",""))</f>
        <v/>
      </c>
      <c r="Z304">
        <f>IF(COUNTA($A304:$U304)=0,"",IF(AND($A304&lt;&gt;"",NOT(IFERROR(AND(LEN($A304&amp;"")=9,ISNUMBER(--($A304&amp;""))),FALSE))),"Employee SSN must contain exactly 9 digits; ","")&amp;IF(AND($A304&lt;&gt;"",OR($A304="123456789",$A304="987654321",$A304="012345678",$A304=REPT(LEFT($A304&amp;"",1),9))),"Employee SSN appears to be a placeholder; ","")&amp;IF(AND($B304&lt;&gt;"",NOT(IFERROR(AND(LEN($B304&amp;"")=9,ISNUMBER(--($B304&amp;""))),FALSE))),"Dependent SSN must contain exactly 9 digits; ","")&amp;IF(AND($B304&lt;&gt;"",OR($B304="123456789",$B304="987654321",$B304="012345678",$B304=REPT(LEFT($B304&amp;"",1),9))),"Dependent SSN appears to be a placeholder; ","")&amp;IF(AND($A304&lt;&gt;"",$B304&lt;&gt;"",$A304&amp;""=$B304&amp;""),"Dependent SSN cannot match Employee SSN; ","")&amp;IF(AND($W304&lt;&gt;"",OR(COUNTIFS($W$2:$W$501,$W304,$C$2:$C$501,"&lt;&gt;"&amp;$C304)&gt;0,COUNTIFS($W$2:$W$501,$W304,$D$2:$D$501,"&lt;&gt;"&amp;$D304)&gt;0,COUNTIFS($W$2:$W$501,$W304,$L$2:$L$501,"&lt;&gt;"&amp;$L304)&gt;0)),"The same SSN is associated with a different name or birthdate; ",""))</f>
        <v/>
      </c>
      <c r="AA304">
        <f>IF(COUNTA($A304:$U304)=0,"",IF(AND($A304&lt;&gt;"",$S304&lt;&gt;"",COUNTIFS($A$2:$A$501,$A304,$S$2:$S$501,$S304,$B$2:$B$501,"",$O$2:$O$501,"")=0),"Add an employee row for this household and plan; ","")&amp;IF(AND($X304="Dependent",COUNTIFS($A$2:$A304,$A304,$S$2:$S304,$S304,$B$2:$B304,"",$O$2:$O304,"")=0),"Place the employee row before dependent rows for this plan; ","")&amp;IF(AND($X304="Dependent",COUNTIFS($A$2:$A$501,$A304,$S$2:$S$501,$S304,$B$2:$B$501,"",$O$2:$O$501,"")&gt;0,IFERROR(OR($P304&lt;&gt;LOOKUP(2,1/(($A$2:$A$501=$A304)*($S$2:$S$501=$S304)*($B$2:$B$501="")*($O$2:$O$501="")),$P$2:$P$501),$Q304&lt;&gt;LOOKUP(2,1/(($A$2:$A$501=$A304)*($S$2:$S$501=$S304)*($B$2:$B$501="")*($O$2:$O$501="")),$Q$2:$Q$501),$R304&lt;&gt;LOOKUP(2,1/(($A$2:$A$501=$A304)*($S$2:$S$501=$S304)*($B$2:$B$501="")*($O$2:$O$501="")),$R$2:$R$501),$T304&lt;&gt;LOOKUP(2,1/(($A$2:$A$501=$A304)*($S$2:$S$501=$S304)*($B$2:$B$501="")*($O$2:$O$501="")),$T$2:$T$501),$U304&lt;&gt;LOOKUP(2,1/(($A$2:$A$501=$A304)*($S$2:$S$501=$S304)*($B$2:$B$501="")*($O$2:$O$501="")),$U$2:$U$501)),FALSE)),"Dependent row does not match the employee row for eligibility, status, coverage level, or funding; ",""))</f>
        <v/>
      </c>
      <c r="AB304">
        <f>IF(COUNTA($A304:$U304)=0,"",IF($L304="","Birthdate is required; ","")&amp;IF(AND($L304&lt;&gt;"",OR(NOT(ISNUMBER($L304)),$L304&lt;=DATE(1900,1,1),$L304&gt;TODAY())),"Birthdate must be an exact valid past date; ","")&amp;IF($P304="","Eligibility Date is required; ","")&amp;IF(AND($P304&lt;&gt;"",OR(NOT(ISNUMBER($P304)),$P304&lt;=DATE(1900,1,1))),"Eligibility Date must be a valid date; ","")&amp;IF(AND($R304="Terminated",$Q304=""),"Termination Date is required when Status is Terminated; ","")&amp;IF(AND($Q304&lt;&gt;"",OR(NOT(ISNUMBER($Q304)),$Q304&lt;=DATE(1900,1,1))),"Termination Date must be a valid date; ","")&amp;IF(AND(ISNUMBER($P304),ISNUMBER($Q304),$Q304&lt;$P304),"Termination Date cannot be before Eligibility Date; ","")&amp;IF($R304="","Status is required; ","")&amp;IF(AND($R304&lt;&gt;"",$R304&lt;&gt;"Active",$R304&lt;&gt;"Terminated"),"Status must be Active or Terminated; ","")&amp;IF(AND('START HERE'!$C$8="Terminations Only",$R304&lt;&gt;"Terminated"),"Terminations Only files must contain terminated records; ",""))</f>
        <v/>
      </c>
      <c r="AC304">
        <f>IF(COUNTA($A304:$U304)=0,"",IF($S304="","Plan Name is required; ","")&amp;IF($T304="","Benefit Coverage Level is required; ","")&amp;IF(AND($U304&lt;&gt;"",OR(NOT(ISNUMBER($U304)),$U304&lt;0)),"Plan Funding Amount must be a nonnegative number; ","")&amp;IF(AND($A304&lt;&gt;"",$S304&lt;&gt;"",COUNTIFS($A$2:$A$501,$A304,$B$2:$B$501,$B304,$S$2:$S$501,$S304)&gt;1),"Duplicate participant and plan row; ",""))</f>
        <v/>
      </c>
      <c r="AD304">
        <f>IF(COUNTA($A304:$U304)=0,"",IF(AND($X304="Employee",$M304="",$N304=""),"No employee phone or email provided; ","")&amp;IF(AND($R304="Active",$Q304&lt;&gt;""),"Active record includes a Termination Date; confirm this is intentional; ","")&amp;IF(AND($B304&lt;&gt;"",$B304&amp;""&lt;&gt;$A304&amp;"",COUNTIF($A$2:$A$501,$B304)&gt;0),"Dependent SSN also appears as an Employee SSN elsewhere; confirm dual-employee coverage is intentional; ","")&amp;IF(AND($B304&lt;&gt;"",COUNTIF($B$2:$B$501,$B304)&gt;COUNTIFS($A$2:$A$501,$A304,$B$2:$B$501,$B304)),"Dependent SSN appears under more than one employee; confirm duplicate family coverage is intentional; ","")&amp;IF(AND(ROW()&gt;2,$A304&lt;&gt;"",$A304&lt;&gt;$A303,COUNTIF($A$2:$A303,$A304)&gt;0),"This household appears in more than one section of the census; keep the family together; ","")&amp;IF(OR(AND($C304&lt;&gt;"",LEN($C304&amp;"")&lt;&gt;LEN(TRIM($C304&amp;""))),AND($D304&lt;&gt;"",LEN($D304&amp;"")&lt;&gt;LEN(TRIM($D304&amp;""))),AND($E304&lt;&gt;"",LEN($E304&amp;"")&lt;&gt;LEN(TRIM($E304&amp;""))),AND($F304&lt;&gt;"",LEN($F304&amp;"")&lt;&gt;LEN(TRIM($F304&amp;""))),AND($G304&lt;&gt;"",LEN($G304&amp;"")&lt;&gt;LEN(TRIM($G304&amp;""))),AND($H304&lt;&gt;"",LEN($H304&amp;"")&lt;&gt;LEN(TRIM($H304&amp;""))),AND($I304&lt;&gt;"",LEN($I304&amp;"")&lt;&gt;LEN(TRIM($I304&amp;""))),AND($J304&lt;&gt;"",LEN($J304&amp;"")&lt;&gt;LEN(TRIM($J304&amp;""))),AND($K304&lt;&gt;"",LEN($K304&amp;"")&lt;&gt;LEN(TRIM($K304&amp;""))),AND($M304&lt;&gt;"",LEN($M304&amp;"")&lt;&gt;LEN(TRIM($M304&amp;""))),AND($N304&lt;&gt;"",LEN($N304&amp;"")&lt;&gt;LEN(TRIM($N304&amp;""))),AND($O304&lt;&gt;"",LEN($O304&amp;"")&lt;&gt;LEN(TRIM($O304&amp;""))),AND($R304&lt;&gt;"",LEN($R304&amp;"")&lt;&gt;LEN(TRIM($R304&amp;""))),AND($S304&lt;&gt;"",LEN($S304&amp;"")&lt;&gt;LEN(TRIM($S304&amp;""))),AND($T304&lt;&gt;"",LEN($T304&amp;"")&lt;&gt;LEN(TRIM($T304&amp;"")))),"Remove leading or trailing spaces from text fields; ","")&amp;IF(OR(AND(LEN($C304)&gt;1,OR(EXACT($C304,UPPER($C304)),EXACT($C304,LOWER($C304)))),AND(LEN($D304)&gt;1,OR(EXACT($D304,UPPER($D304)),EXACT($D304,LOWER($D304)))),AND(LEN($H304)&gt;1,OR(EXACT($H304,UPPER($H304)),EXACT($H304,LOWER($H304))))),"Review capitalization in First Name, Last Name, or City; ","")&amp;IF(AND($N304&lt;&gt;"",NOT(EXACT($N304,LOWER($N304)))),"Email will be standardized to lowercase in the clean output; ","")&amp;IF(AND(OR('START HERE'!$C$8="Initial Enrollment",'START HERE'!$C$8="Open Enrollment"),$R304="Terminated"),"A terminated row is included in an initial or open enrollment file; confirm this is intentional; ",""))</f>
        <v/>
      </c>
      <c r="AE304">
        <f>IF(COUNTA($A304:$U304)=0,"",IF(OR($A304="",AND($A304&lt;&gt;"",NOT(IFERROR(AND(LEN($A304&amp;"")=9,ISNUMBER(--($A304&amp;""))),FALSE))),AND($A304&lt;&gt;"",OR($A304="123456789",$A304="987654321",$A304="012345678",$A304=REPT(LEFT($A304&amp;"",1),9)))),"Employee SSN, ","")&amp;IF(OR(AND($O304&lt;&gt;"",$B304=""),AND($B304&lt;&gt;"",OR(NOT(IFERROR(AND(LEN($B304&amp;"")=9,ISNUMBER(--($B304&amp;""))),FALSE)),$B304=$A304,$B304="123456789",$B304="987654321",$B304="012345678",$B304=REPT(LEFT($B304&amp;"",1),9)))),"Dependent SSN, ","")&amp;IF(OR($C304="",LEN($C304)&gt;19,AND($C304&lt;&gt;"",SUMPRODUCT(--(ROW($1:$19)&lt;=LEN($C304&amp;"")),--ISERROR(FIND(MID($C304&amp;"",ROW($1:$19),1),"ABCDEFGHIJKLMNOPQRSTUVWXYZabcdefghijklmnopqrstuvwxyz .,")))&gt;0)),"First Name, ","")&amp;IF(OR($D304="",LEN($D304)&gt;26,AND($D304&lt;&gt;"",SUMPRODUCT(--(ROW($1:$26)&lt;=LEN($D304&amp;"")),--ISERROR(FIND(MID($D304&amp;"",ROW($1:$26),1),"ABCDEFGHIJKLMNOPQRSTUVWXYZabcdefghijklmnopqrstuvwxyz .,")))&gt;0)),"Last Name, ","")&amp;IF(OR(LEN($E304)&gt;1,AND($E304&lt;&gt;"",SUMPRODUCT(--(ROW($1:$1)&lt;=LEN($E304&amp;"")),--ISERROR(FIND(MID($E304&amp;"",ROW($1:$1),1),"ABCDEFGHIJKLMNOPQRSTUVWXYZabcdefghijklmnopqrstuvwxyz .,")))&gt;0)),"Middle Initial, ","")&amp;IF(OR($F304="",LEN($F304)&gt;75),"Address, ","")&amp;IF(OR($H304="",LEN($H304)&gt;30),"City, ","")&amp;IF(AND($K304="US",OR($I304="",LEN($I304)&lt;&gt;2)),"State, ","")&amp;IF($J304="","ZIP, ","")&amp;IF(OR($K304="",AND($K304&lt;&gt;"US",$K304&lt;&gt;"CA")),"Country, ","")&amp;IF(OR($L304="",AND($L304&lt;&gt;"",OR(NOT(ISNUMBER($L304)),$L304&lt;=DATE(1900,1,1),$L304&gt;TODAY()))),"Birthdate, ","")&amp;IF(AND($N304&lt;&gt;"",NOT(IFERROR(AND(ISNUMBER(SEARCH("@",$N304)),ISNUMBER(SEARCH(".",$N304,SEARCH("@",$N304)+2))),FALSE))),"Email, ","")&amp;IF(OR(AND($B304&lt;&gt;"",$O304=""),AND($O304&lt;&gt;"",$O304&lt;&gt;"Spouse or Common Law Spouse",$O304&lt;&gt;"Domestic Partner",$O304&lt;&gt;"Child",$O304&lt;&gt;"Other",$O304&lt;&gt;"Estate",$O304&lt;&gt;"Unknown")),"Dependent Relationship, ","")&amp;IF($AA304&lt;&gt;"","Household, ","")&amp;IF(OR($P304="",AND($P304&lt;&gt;"",OR(NOT(ISNUMBER($P304)),$P304&lt;=DATE(1900,1,1)))),"Eligibility Date, ","")&amp;IF(OR(AND($R304="Terminated",$Q304=""),AND($Q304&lt;&gt;"",OR(NOT(ISNUMBER($Q304)),$Q304&lt;=DATE(1900,1,1))),AND(ISNUMBER($P304),ISNUMBER($Q304),$Q304&lt;$P304)),"Termination Date, ","")&amp;IF(OR($R304="",AND($R304&lt;&gt;"Active",$R304&lt;&gt;"Terminated"),AND('START HERE'!$C$8="Terminations Only",$R304&lt;&gt;"Terminated")),"Status, ","")&amp;IF($S304="","Plan Name, ","")&amp;IF($T304="","Coverage Level, ","")&amp;IF(AND($U304&lt;&gt;"",OR(NOT(ISNUMBER($U304)),$U304&lt;0)),"Funding, ","")&amp;IF(AND($A304&lt;&gt;"",$S304&lt;&gt;"",COUNTIFS($A$2:$A$501,$A304,$B$2:$B$501,$B304,$S$2:$S$501,$S304)&gt;1),"Duplicate Row, ",""))</f>
        <v/>
      </c>
      <c r="AF304">
        <f>IF(COUNTA($A304:$U304)=0,"",$Y304&amp;$Z304&amp;$AA304&amp;$AB304&amp;$AC304)</f>
        <v/>
      </c>
      <c r="AG304">
        <f>IF($N304="","",LOWER(TRIM($N304)))</f>
        <v/>
      </c>
      <c r="AH304">
        <f>IF($A304="","",COUNTIFS($A$2:$A$501,$A304,$AI$2:$AI$501,1))</f>
        <v/>
      </c>
      <c r="AI304">
        <f>IF(COUNTA($A304:$U304)=0,"",--($AF304&lt;&gt;""))</f>
        <v/>
      </c>
      <c r="AJ304">
        <f>IF(COUNTA($A304:$U304)=0,"",--($AD304&lt;&gt;""))</f>
        <v/>
      </c>
    </row>
    <row r="305" ht="20" customHeight="1">
      <c r="A305" s="80" t="n"/>
      <c r="B305" s="80" t="n"/>
      <c r="C305" s="81" t="n"/>
      <c r="D305" s="81" t="n"/>
      <c r="E305" s="80" t="n"/>
      <c r="F305" s="81" t="n"/>
      <c r="G305" s="81" t="n"/>
      <c r="H305" s="81" t="n"/>
      <c r="I305" s="80" t="n"/>
      <c r="J305" s="80" t="n"/>
      <c r="K305" s="80" t="n"/>
      <c r="L305" s="82" t="n"/>
      <c r="M305" s="80" t="n"/>
      <c r="N305" s="80" t="n"/>
      <c r="O305" s="80" t="n"/>
      <c r="P305" s="82" t="n"/>
      <c r="Q305" s="82" t="n"/>
      <c r="R305" s="80" t="n"/>
      <c r="S305" s="80" t="n"/>
      <c r="T305" s="80" t="n"/>
      <c r="U305" s="83" t="n"/>
      <c r="V305">
        <f>IF($A305="","",IF($A305=$A304,$V304,IF($V304="",0,1-$V304)))</f>
        <v/>
      </c>
      <c r="W305">
        <f>IF($B305&lt;&gt;"",$B305,$A305)</f>
        <v/>
      </c>
      <c r="X305">
        <f>IF(COUNTA($A305:$U305)=0,"",IF(OR($B305&lt;&gt;"",$O305&lt;&gt;""),"Dependent","Employee"))</f>
        <v/>
      </c>
      <c r="Y305">
        <f>IF(COUNTA($A305:$U305)=0,"",IF($A305="","Employee SSN is required; ","")&amp;IF($C305="","First Name is required; ","")&amp;IF(LEN($C305&amp;"")&gt;19,"First Name exceeds 19 characters; ","")&amp;IF(AND($C305&lt;&gt;"",SUMPRODUCT(--(ROW($1:$19)&lt;=LEN($C305&amp;"")),--ISERROR(FIND(MID($C305&amp;"",ROW($1:$19),1),"ABCDEFGHIJKLMNOPQRSTUVWXYZabcdefghijklmnopqrstuvwxyz .,")))&gt;0),"First Name contains unsupported or encoded characters; use plain A-Z letters only; ","")&amp;IF($D305="","Last Name is required; ","")&amp;IF(LEN($D305&amp;"")&gt;26,"Last Name exceeds 26 characters; ","")&amp;IF(AND($D305&lt;&gt;"",SUMPRODUCT(--(ROW($1:$26)&lt;=LEN($D305&amp;"")),--ISERROR(FIND(MID($D305&amp;"",ROW($1:$26),1),"ABCDEFGHIJKLMNOPQRSTUVWXYZabcdefghijklmnopqrstuvwxyz .,")))&gt;0),"Last Name contains unsupported or encoded characters; use plain A-Z letters only; ","")&amp;IF(LEN($E305&amp;"")&gt;1,"Middle Initial may contain only one character; ","")&amp;IF(AND($E305&lt;&gt;"",SUMPRODUCT(--(ROW($1:$1)&lt;=LEN($E305&amp;"")),--ISERROR(FIND(MID($E305&amp;"",ROW($1:$1),1),"ABCDEFGHIJKLMNOPQRSTUVWXYZabcdefghijklmnopqrstuvwxyz .,")))&gt;0),"Middle Initial must be a plain A-Z letter; ","")&amp;IF($F305="","Address is required; ","")&amp;IF(LEN($F305&amp;"")&gt;75,"Address exceeds 75 characters; ","")&amp;IF(LEN($G305&amp;"")&gt;75,"Address 2 exceeds 75 characters; ","")&amp;IF($H305="","City is required; ","")&amp;IF(LEN($H305&amp;"")&gt;30,"City exceeds 30 characters; ","")&amp;IF($K305="","Country is required; ","")&amp;IF(AND($K305&lt;&gt;"",$K305&lt;&gt;"US",$K305&lt;&gt;"CA"),"Country must be US or CA; ","")&amp;IF(AND($K305="US",OR($I305="",LEN($I305&amp;"")&lt;&gt;2)),"Use a 2-letter state code; ","")&amp;IF($J305="","ZIP or postal code is required; ","")&amp;IF(AND($K305="US",$J305&lt;&gt;"",NOT(IFERROR(OR(AND(LEN($J305&amp;"")=5,ISNUMBER(--($J305&amp;""))),AND(LEN($J305&amp;"")=9,ISNUMBER(--($J305&amp;""))),AND(LEN($J305&amp;"")=10,MID($J305&amp;"",6,1)="-",ISNUMBER(--SUBSTITUTE($J305&amp;"","-","")))),FALSE))),"US ZIP must be 5 or 9 digits, with an optional ZIP+4 hyphen; ","")&amp;IF(AND($N305&lt;&gt;"",NOT(IFERROR(AND(ISNUMBER(SEARCH("@",$N305)),ISNUMBER(SEARCH(".",$N305,SEARCH("@",$N305)+2))),FALSE))),"Email format appears invalid; ","")&amp;IF(AND($O305&lt;&gt;"",$B305=""),"Dependent SSN is required for every dependent; ","")&amp;IF(AND($B305&lt;&gt;"",$O305=""),"Dependent Relationship is required when Dependent SSN is entered; ","")&amp;IF(AND($O305&lt;&gt;"",$O305&lt;&gt;"Spouse or Common Law Spouse",$O305&lt;&gt;"Domestic Partner",$O305&lt;&gt;"Child",$O305&lt;&gt;"Other",$O305&lt;&gt;"Estate",$O305&lt;&gt;"Unknown"),"Dependent Relationship must use one of the approved options; ",""))</f>
        <v/>
      </c>
      <c r="Z305">
        <f>IF(COUNTA($A305:$U305)=0,"",IF(AND($A305&lt;&gt;"",NOT(IFERROR(AND(LEN($A305&amp;"")=9,ISNUMBER(--($A305&amp;""))),FALSE))),"Employee SSN must contain exactly 9 digits; ","")&amp;IF(AND($A305&lt;&gt;"",OR($A305="123456789",$A305="987654321",$A305="012345678",$A305=REPT(LEFT($A305&amp;"",1),9))),"Employee SSN appears to be a placeholder; ","")&amp;IF(AND($B305&lt;&gt;"",NOT(IFERROR(AND(LEN($B305&amp;"")=9,ISNUMBER(--($B305&amp;""))),FALSE))),"Dependent SSN must contain exactly 9 digits; ","")&amp;IF(AND($B305&lt;&gt;"",OR($B305="123456789",$B305="987654321",$B305="012345678",$B305=REPT(LEFT($B305&amp;"",1),9))),"Dependent SSN appears to be a placeholder; ","")&amp;IF(AND($A305&lt;&gt;"",$B305&lt;&gt;"",$A305&amp;""=$B305&amp;""),"Dependent SSN cannot match Employee SSN; ","")&amp;IF(AND($W305&lt;&gt;"",OR(COUNTIFS($W$2:$W$501,$W305,$C$2:$C$501,"&lt;&gt;"&amp;$C305)&gt;0,COUNTIFS($W$2:$W$501,$W305,$D$2:$D$501,"&lt;&gt;"&amp;$D305)&gt;0,COUNTIFS($W$2:$W$501,$W305,$L$2:$L$501,"&lt;&gt;"&amp;$L305)&gt;0)),"The same SSN is associated with a different name or birthdate; ",""))</f>
        <v/>
      </c>
      <c r="AA305">
        <f>IF(COUNTA($A305:$U305)=0,"",IF(AND($A305&lt;&gt;"",$S305&lt;&gt;"",COUNTIFS($A$2:$A$501,$A305,$S$2:$S$501,$S305,$B$2:$B$501,"",$O$2:$O$501,"")=0),"Add an employee row for this household and plan; ","")&amp;IF(AND($X305="Dependent",COUNTIFS($A$2:$A305,$A305,$S$2:$S305,$S305,$B$2:$B305,"",$O$2:$O305,"")=0),"Place the employee row before dependent rows for this plan; ","")&amp;IF(AND($X305="Dependent",COUNTIFS($A$2:$A$501,$A305,$S$2:$S$501,$S305,$B$2:$B$501,"",$O$2:$O$501,"")&gt;0,IFERROR(OR($P305&lt;&gt;LOOKUP(2,1/(($A$2:$A$501=$A305)*($S$2:$S$501=$S305)*($B$2:$B$501="")*($O$2:$O$501="")),$P$2:$P$501),$Q305&lt;&gt;LOOKUP(2,1/(($A$2:$A$501=$A305)*($S$2:$S$501=$S305)*($B$2:$B$501="")*($O$2:$O$501="")),$Q$2:$Q$501),$R305&lt;&gt;LOOKUP(2,1/(($A$2:$A$501=$A305)*($S$2:$S$501=$S305)*($B$2:$B$501="")*($O$2:$O$501="")),$R$2:$R$501),$T305&lt;&gt;LOOKUP(2,1/(($A$2:$A$501=$A305)*($S$2:$S$501=$S305)*($B$2:$B$501="")*($O$2:$O$501="")),$T$2:$T$501),$U305&lt;&gt;LOOKUP(2,1/(($A$2:$A$501=$A305)*($S$2:$S$501=$S305)*($B$2:$B$501="")*($O$2:$O$501="")),$U$2:$U$501)),FALSE)),"Dependent row does not match the employee row for eligibility, status, coverage level, or funding; ",""))</f>
        <v/>
      </c>
      <c r="AB305">
        <f>IF(COUNTA($A305:$U305)=0,"",IF($L305="","Birthdate is required; ","")&amp;IF(AND($L305&lt;&gt;"",OR(NOT(ISNUMBER($L305)),$L305&lt;=DATE(1900,1,1),$L305&gt;TODAY())),"Birthdate must be an exact valid past date; ","")&amp;IF($P305="","Eligibility Date is required; ","")&amp;IF(AND($P305&lt;&gt;"",OR(NOT(ISNUMBER($P305)),$P305&lt;=DATE(1900,1,1))),"Eligibility Date must be a valid date; ","")&amp;IF(AND($R305="Terminated",$Q305=""),"Termination Date is required when Status is Terminated; ","")&amp;IF(AND($Q305&lt;&gt;"",OR(NOT(ISNUMBER($Q305)),$Q305&lt;=DATE(1900,1,1))),"Termination Date must be a valid date; ","")&amp;IF(AND(ISNUMBER($P305),ISNUMBER($Q305),$Q305&lt;$P305),"Termination Date cannot be before Eligibility Date; ","")&amp;IF($R305="","Status is required; ","")&amp;IF(AND($R305&lt;&gt;"",$R305&lt;&gt;"Active",$R305&lt;&gt;"Terminated"),"Status must be Active or Terminated; ","")&amp;IF(AND('START HERE'!$C$8="Terminations Only",$R305&lt;&gt;"Terminated"),"Terminations Only files must contain terminated records; ",""))</f>
        <v/>
      </c>
      <c r="AC305">
        <f>IF(COUNTA($A305:$U305)=0,"",IF($S305="","Plan Name is required; ","")&amp;IF($T305="","Benefit Coverage Level is required; ","")&amp;IF(AND($U305&lt;&gt;"",OR(NOT(ISNUMBER($U305)),$U305&lt;0)),"Plan Funding Amount must be a nonnegative number; ","")&amp;IF(AND($A305&lt;&gt;"",$S305&lt;&gt;"",COUNTIFS($A$2:$A$501,$A305,$B$2:$B$501,$B305,$S$2:$S$501,$S305)&gt;1),"Duplicate participant and plan row; ",""))</f>
        <v/>
      </c>
      <c r="AD305">
        <f>IF(COUNTA($A305:$U305)=0,"",IF(AND($X305="Employee",$M305="",$N305=""),"No employee phone or email provided; ","")&amp;IF(AND($R305="Active",$Q305&lt;&gt;""),"Active record includes a Termination Date; confirm this is intentional; ","")&amp;IF(AND($B305&lt;&gt;"",$B305&amp;""&lt;&gt;$A305&amp;"",COUNTIF($A$2:$A$501,$B305)&gt;0),"Dependent SSN also appears as an Employee SSN elsewhere; confirm dual-employee coverage is intentional; ","")&amp;IF(AND($B305&lt;&gt;"",COUNTIF($B$2:$B$501,$B305)&gt;COUNTIFS($A$2:$A$501,$A305,$B$2:$B$501,$B305)),"Dependent SSN appears under more than one employee; confirm duplicate family coverage is intentional; ","")&amp;IF(AND(ROW()&gt;2,$A305&lt;&gt;"",$A305&lt;&gt;$A304,COUNTIF($A$2:$A304,$A305)&gt;0),"This household appears in more than one section of the census; keep the family together; ","")&amp;IF(OR(AND($C305&lt;&gt;"",LEN($C305&amp;"")&lt;&gt;LEN(TRIM($C305&amp;""))),AND($D305&lt;&gt;"",LEN($D305&amp;"")&lt;&gt;LEN(TRIM($D305&amp;""))),AND($E305&lt;&gt;"",LEN($E305&amp;"")&lt;&gt;LEN(TRIM($E305&amp;""))),AND($F305&lt;&gt;"",LEN($F305&amp;"")&lt;&gt;LEN(TRIM($F305&amp;""))),AND($G305&lt;&gt;"",LEN($G305&amp;"")&lt;&gt;LEN(TRIM($G305&amp;""))),AND($H305&lt;&gt;"",LEN($H305&amp;"")&lt;&gt;LEN(TRIM($H305&amp;""))),AND($I305&lt;&gt;"",LEN($I305&amp;"")&lt;&gt;LEN(TRIM($I305&amp;""))),AND($J305&lt;&gt;"",LEN($J305&amp;"")&lt;&gt;LEN(TRIM($J305&amp;""))),AND($K305&lt;&gt;"",LEN($K305&amp;"")&lt;&gt;LEN(TRIM($K305&amp;""))),AND($M305&lt;&gt;"",LEN($M305&amp;"")&lt;&gt;LEN(TRIM($M305&amp;""))),AND($N305&lt;&gt;"",LEN($N305&amp;"")&lt;&gt;LEN(TRIM($N305&amp;""))),AND($O305&lt;&gt;"",LEN($O305&amp;"")&lt;&gt;LEN(TRIM($O305&amp;""))),AND($R305&lt;&gt;"",LEN($R305&amp;"")&lt;&gt;LEN(TRIM($R305&amp;""))),AND($S305&lt;&gt;"",LEN($S305&amp;"")&lt;&gt;LEN(TRIM($S305&amp;""))),AND($T305&lt;&gt;"",LEN($T305&amp;"")&lt;&gt;LEN(TRIM($T305&amp;"")))),"Remove leading or trailing spaces from text fields; ","")&amp;IF(OR(AND(LEN($C305)&gt;1,OR(EXACT($C305,UPPER($C305)),EXACT($C305,LOWER($C305)))),AND(LEN($D305)&gt;1,OR(EXACT($D305,UPPER($D305)),EXACT($D305,LOWER($D305)))),AND(LEN($H305)&gt;1,OR(EXACT($H305,UPPER($H305)),EXACT($H305,LOWER($H305))))),"Review capitalization in First Name, Last Name, or City; ","")&amp;IF(AND($N305&lt;&gt;"",NOT(EXACT($N305,LOWER($N305)))),"Email will be standardized to lowercase in the clean output; ","")&amp;IF(AND(OR('START HERE'!$C$8="Initial Enrollment",'START HERE'!$C$8="Open Enrollment"),$R305="Terminated"),"A terminated row is included in an initial or open enrollment file; confirm this is intentional; ",""))</f>
        <v/>
      </c>
      <c r="AE305">
        <f>IF(COUNTA($A305:$U305)=0,"",IF(OR($A305="",AND($A305&lt;&gt;"",NOT(IFERROR(AND(LEN($A305&amp;"")=9,ISNUMBER(--($A305&amp;""))),FALSE))),AND($A305&lt;&gt;"",OR($A305="123456789",$A305="987654321",$A305="012345678",$A305=REPT(LEFT($A305&amp;"",1),9)))),"Employee SSN, ","")&amp;IF(OR(AND($O305&lt;&gt;"",$B305=""),AND($B305&lt;&gt;"",OR(NOT(IFERROR(AND(LEN($B305&amp;"")=9,ISNUMBER(--($B305&amp;""))),FALSE)),$B305=$A305,$B305="123456789",$B305="987654321",$B305="012345678",$B305=REPT(LEFT($B305&amp;"",1),9)))),"Dependent SSN, ","")&amp;IF(OR($C305="",LEN($C305)&gt;19,AND($C305&lt;&gt;"",SUMPRODUCT(--(ROW($1:$19)&lt;=LEN($C305&amp;"")),--ISERROR(FIND(MID($C305&amp;"",ROW($1:$19),1),"ABCDEFGHIJKLMNOPQRSTUVWXYZabcdefghijklmnopqrstuvwxyz .,")))&gt;0)),"First Name, ","")&amp;IF(OR($D305="",LEN($D305)&gt;26,AND($D305&lt;&gt;"",SUMPRODUCT(--(ROW($1:$26)&lt;=LEN($D305&amp;"")),--ISERROR(FIND(MID($D305&amp;"",ROW($1:$26),1),"ABCDEFGHIJKLMNOPQRSTUVWXYZabcdefghijklmnopqrstuvwxyz .,")))&gt;0)),"Last Name, ","")&amp;IF(OR(LEN($E305)&gt;1,AND($E305&lt;&gt;"",SUMPRODUCT(--(ROW($1:$1)&lt;=LEN($E305&amp;"")),--ISERROR(FIND(MID($E305&amp;"",ROW($1:$1),1),"ABCDEFGHIJKLMNOPQRSTUVWXYZabcdefghijklmnopqrstuvwxyz .,")))&gt;0)),"Middle Initial, ","")&amp;IF(OR($F305="",LEN($F305)&gt;75),"Address, ","")&amp;IF(OR($H305="",LEN($H305)&gt;30),"City, ","")&amp;IF(AND($K305="US",OR($I305="",LEN($I305)&lt;&gt;2)),"State, ","")&amp;IF($J305="","ZIP, ","")&amp;IF(OR($K305="",AND($K305&lt;&gt;"US",$K305&lt;&gt;"CA")),"Country, ","")&amp;IF(OR($L305="",AND($L305&lt;&gt;"",OR(NOT(ISNUMBER($L305)),$L305&lt;=DATE(1900,1,1),$L305&gt;TODAY()))),"Birthdate, ","")&amp;IF(AND($N305&lt;&gt;"",NOT(IFERROR(AND(ISNUMBER(SEARCH("@",$N305)),ISNUMBER(SEARCH(".",$N305,SEARCH("@",$N305)+2))),FALSE))),"Email, ","")&amp;IF(OR(AND($B305&lt;&gt;"",$O305=""),AND($O305&lt;&gt;"",$O305&lt;&gt;"Spouse or Common Law Spouse",$O305&lt;&gt;"Domestic Partner",$O305&lt;&gt;"Child",$O305&lt;&gt;"Other",$O305&lt;&gt;"Estate",$O305&lt;&gt;"Unknown")),"Dependent Relationship, ","")&amp;IF($AA305&lt;&gt;"","Household, ","")&amp;IF(OR($P305="",AND($P305&lt;&gt;"",OR(NOT(ISNUMBER($P305)),$P305&lt;=DATE(1900,1,1)))),"Eligibility Date, ","")&amp;IF(OR(AND($R305="Terminated",$Q305=""),AND($Q305&lt;&gt;"",OR(NOT(ISNUMBER($Q305)),$Q305&lt;=DATE(1900,1,1))),AND(ISNUMBER($P305),ISNUMBER($Q305),$Q305&lt;$P305)),"Termination Date, ","")&amp;IF(OR($R305="",AND($R305&lt;&gt;"Active",$R305&lt;&gt;"Terminated"),AND('START HERE'!$C$8="Terminations Only",$R305&lt;&gt;"Terminated")),"Status, ","")&amp;IF($S305="","Plan Name, ","")&amp;IF($T305="","Coverage Level, ","")&amp;IF(AND($U305&lt;&gt;"",OR(NOT(ISNUMBER($U305)),$U305&lt;0)),"Funding, ","")&amp;IF(AND($A305&lt;&gt;"",$S305&lt;&gt;"",COUNTIFS($A$2:$A$501,$A305,$B$2:$B$501,$B305,$S$2:$S$501,$S305)&gt;1),"Duplicate Row, ",""))</f>
        <v/>
      </c>
      <c r="AF305">
        <f>IF(COUNTA($A305:$U305)=0,"",$Y305&amp;$Z305&amp;$AA305&amp;$AB305&amp;$AC305)</f>
        <v/>
      </c>
      <c r="AG305">
        <f>IF($N305="","",LOWER(TRIM($N305)))</f>
        <v/>
      </c>
      <c r="AH305">
        <f>IF($A305="","",COUNTIFS($A$2:$A$501,$A305,$AI$2:$AI$501,1))</f>
        <v/>
      </c>
      <c r="AI305">
        <f>IF(COUNTA($A305:$U305)=0,"",--($AF305&lt;&gt;""))</f>
        <v/>
      </c>
      <c r="AJ305">
        <f>IF(COUNTA($A305:$U305)=0,"",--($AD305&lt;&gt;""))</f>
        <v/>
      </c>
    </row>
    <row r="306" ht="20" customHeight="1">
      <c r="A306" s="80" t="n"/>
      <c r="B306" s="80" t="n"/>
      <c r="C306" s="81" t="n"/>
      <c r="D306" s="81" t="n"/>
      <c r="E306" s="80" t="n"/>
      <c r="F306" s="81" t="n"/>
      <c r="G306" s="81" t="n"/>
      <c r="H306" s="81" t="n"/>
      <c r="I306" s="80" t="n"/>
      <c r="J306" s="80" t="n"/>
      <c r="K306" s="80" t="n"/>
      <c r="L306" s="82" t="n"/>
      <c r="M306" s="80" t="n"/>
      <c r="N306" s="80" t="n"/>
      <c r="O306" s="80" t="n"/>
      <c r="P306" s="82" t="n"/>
      <c r="Q306" s="82" t="n"/>
      <c r="R306" s="80" t="n"/>
      <c r="S306" s="80" t="n"/>
      <c r="T306" s="80" t="n"/>
      <c r="U306" s="83" t="n"/>
      <c r="V306">
        <f>IF($A306="","",IF($A306=$A305,$V305,IF($V305="",0,1-$V305)))</f>
        <v/>
      </c>
      <c r="W306">
        <f>IF($B306&lt;&gt;"",$B306,$A306)</f>
        <v/>
      </c>
      <c r="X306">
        <f>IF(COUNTA($A306:$U306)=0,"",IF(OR($B306&lt;&gt;"",$O306&lt;&gt;""),"Dependent","Employee"))</f>
        <v/>
      </c>
      <c r="Y306">
        <f>IF(COUNTA($A306:$U306)=0,"",IF($A306="","Employee SSN is required; ","")&amp;IF($C306="","First Name is required; ","")&amp;IF(LEN($C306&amp;"")&gt;19,"First Name exceeds 19 characters; ","")&amp;IF(AND($C306&lt;&gt;"",SUMPRODUCT(--(ROW($1:$19)&lt;=LEN($C306&amp;"")),--ISERROR(FIND(MID($C306&amp;"",ROW($1:$19),1),"ABCDEFGHIJKLMNOPQRSTUVWXYZabcdefghijklmnopqrstuvwxyz .,")))&gt;0),"First Name contains unsupported or encoded characters; use plain A-Z letters only; ","")&amp;IF($D306="","Last Name is required; ","")&amp;IF(LEN($D306&amp;"")&gt;26,"Last Name exceeds 26 characters; ","")&amp;IF(AND($D306&lt;&gt;"",SUMPRODUCT(--(ROW($1:$26)&lt;=LEN($D306&amp;"")),--ISERROR(FIND(MID($D306&amp;"",ROW($1:$26),1),"ABCDEFGHIJKLMNOPQRSTUVWXYZabcdefghijklmnopqrstuvwxyz .,")))&gt;0),"Last Name contains unsupported or encoded characters; use plain A-Z letters only; ","")&amp;IF(LEN($E306&amp;"")&gt;1,"Middle Initial may contain only one character; ","")&amp;IF(AND($E306&lt;&gt;"",SUMPRODUCT(--(ROW($1:$1)&lt;=LEN($E306&amp;"")),--ISERROR(FIND(MID($E306&amp;"",ROW($1:$1),1),"ABCDEFGHIJKLMNOPQRSTUVWXYZabcdefghijklmnopqrstuvwxyz .,")))&gt;0),"Middle Initial must be a plain A-Z letter; ","")&amp;IF($F306="","Address is required; ","")&amp;IF(LEN($F306&amp;"")&gt;75,"Address exceeds 75 characters; ","")&amp;IF(LEN($G306&amp;"")&gt;75,"Address 2 exceeds 75 characters; ","")&amp;IF($H306="","City is required; ","")&amp;IF(LEN($H306&amp;"")&gt;30,"City exceeds 30 characters; ","")&amp;IF($K306="","Country is required; ","")&amp;IF(AND($K306&lt;&gt;"",$K306&lt;&gt;"US",$K306&lt;&gt;"CA"),"Country must be US or CA; ","")&amp;IF(AND($K306="US",OR($I306="",LEN($I306&amp;"")&lt;&gt;2)),"Use a 2-letter state code; ","")&amp;IF($J306="","ZIP or postal code is required; ","")&amp;IF(AND($K306="US",$J306&lt;&gt;"",NOT(IFERROR(OR(AND(LEN($J306&amp;"")=5,ISNUMBER(--($J306&amp;""))),AND(LEN($J306&amp;"")=9,ISNUMBER(--($J306&amp;""))),AND(LEN($J306&amp;"")=10,MID($J306&amp;"",6,1)="-",ISNUMBER(--SUBSTITUTE($J306&amp;"","-","")))),FALSE))),"US ZIP must be 5 or 9 digits, with an optional ZIP+4 hyphen; ","")&amp;IF(AND($N306&lt;&gt;"",NOT(IFERROR(AND(ISNUMBER(SEARCH("@",$N306)),ISNUMBER(SEARCH(".",$N306,SEARCH("@",$N306)+2))),FALSE))),"Email format appears invalid; ","")&amp;IF(AND($O306&lt;&gt;"",$B306=""),"Dependent SSN is required for every dependent; ","")&amp;IF(AND($B306&lt;&gt;"",$O306=""),"Dependent Relationship is required when Dependent SSN is entered; ","")&amp;IF(AND($O306&lt;&gt;"",$O306&lt;&gt;"Spouse or Common Law Spouse",$O306&lt;&gt;"Domestic Partner",$O306&lt;&gt;"Child",$O306&lt;&gt;"Other",$O306&lt;&gt;"Estate",$O306&lt;&gt;"Unknown"),"Dependent Relationship must use one of the approved options; ",""))</f>
        <v/>
      </c>
      <c r="Z306">
        <f>IF(COUNTA($A306:$U306)=0,"",IF(AND($A306&lt;&gt;"",NOT(IFERROR(AND(LEN($A306&amp;"")=9,ISNUMBER(--($A306&amp;""))),FALSE))),"Employee SSN must contain exactly 9 digits; ","")&amp;IF(AND($A306&lt;&gt;"",OR($A306="123456789",$A306="987654321",$A306="012345678",$A306=REPT(LEFT($A306&amp;"",1),9))),"Employee SSN appears to be a placeholder; ","")&amp;IF(AND($B306&lt;&gt;"",NOT(IFERROR(AND(LEN($B306&amp;"")=9,ISNUMBER(--($B306&amp;""))),FALSE))),"Dependent SSN must contain exactly 9 digits; ","")&amp;IF(AND($B306&lt;&gt;"",OR($B306="123456789",$B306="987654321",$B306="012345678",$B306=REPT(LEFT($B306&amp;"",1),9))),"Dependent SSN appears to be a placeholder; ","")&amp;IF(AND($A306&lt;&gt;"",$B306&lt;&gt;"",$A306&amp;""=$B306&amp;""),"Dependent SSN cannot match Employee SSN; ","")&amp;IF(AND($W306&lt;&gt;"",OR(COUNTIFS($W$2:$W$501,$W306,$C$2:$C$501,"&lt;&gt;"&amp;$C306)&gt;0,COUNTIFS($W$2:$W$501,$W306,$D$2:$D$501,"&lt;&gt;"&amp;$D306)&gt;0,COUNTIFS($W$2:$W$501,$W306,$L$2:$L$501,"&lt;&gt;"&amp;$L306)&gt;0)),"The same SSN is associated with a different name or birthdate; ",""))</f>
        <v/>
      </c>
      <c r="AA306">
        <f>IF(COUNTA($A306:$U306)=0,"",IF(AND($A306&lt;&gt;"",$S306&lt;&gt;"",COUNTIFS($A$2:$A$501,$A306,$S$2:$S$501,$S306,$B$2:$B$501,"",$O$2:$O$501,"")=0),"Add an employee row for this household and plan; ","")&amp;IF(AND($X306="Dependent",COUNTIFS($A$2:$A306,$A306,$S$2:$S306,$S306,$B$2:$B306,"",$O$2:$O306,"")=0),"Place the employee row before dependent rows for this plan; ","")&amp;IF(AND($X306="Dependent",COUNTIFS($A$2:$A$501,$A306,$S$2:$S$501,$S306,$B$2:$B$501,"",$O$2:$O$501,"")&gt;0,IFERROR(OR($P306&lt;&gt;LOOKUP(2,1/(($A$2:$A$501=$A306)*($S$2:$S$501=$S306)*($B$2:$B$501="")*($O$2:$O$501="")),$P$2:$P$501),$Q306&lt;&gt;LOOKUP(2,1/(($A$2:$A$501=$A306)*($S$2:$S$501=$S306)*($B$2:$B$501="")*($O$2:$O$501="")),$Q$2:$Q$501),$R306&lt;&gt;LOOKUP(2,1/(($A$2:$A$501=$A306)*($S$2:$S$501=$S306)*($B$2:$B$501="")*($O$2:$O$501="")),$R$2:$R$501),$T306&lt;&gt;LOOKUP(2,1/(($A$2:$A$501=$A306)*($S$2:$S$501=$S306)*($B$2:$B$501="")*($O$2:$O$501="")),$T$2:$T$501),$U306&lt;&gt;LOOKUP(2,1/(($A$2:$A$501=$A306)*($S$2:$S$501=$S306)*($B$2:$B$501="")*($O$2:$O$501="")),$U$2:$U$501)),FALSE)),"Dependent row does not match the employee row for eligibility, status, coverage level, or funding; ",""))</f>
        <v/>
      </c>
      <c r="AB306">
        <f>IF(COUNTA($A306:$U306)=0,"",IF($L306="","Birthdate is required; ","")&amp;IF(AND($L306&lt;&gt;"",OR(NOT(ISNUMBER($L306)),$L306&lt;=DATE(1900,1,1),$L306&gt;TODAY())),"Birthdate must be an exact valid past date; ","")&amp;IF($P306="","Eligibility Date is required; ","")&amp;IF(AND($P306&lt;&gt;"",OR(NOT(ISNUMBER($P306)),$P306&lt;=DATE(1900,1,1))),"Eligibility Date must be a valid date; ","")&amp;IF(AND($R306="Terminated",$Q306=""),"Termination Date is required when Status is Terminated; ","")&amp;IF(AND($Q306&lt;&gt;"",OR(NOT(ISNUMBER($Q306)),$Q306&lt;=DATE(1900,1,1))),"Termination Date must be a valid date; ","")&amp;IF(AND(ISNUMBER($P306),ISNUMBER($Q306),$Q306&lt;$P306),"Termination Date cannot be before Eligibility Date; ","")&amp;IF($R306="","Status is required; ","")&amp;IF(AND($R306&lt;&gt;"",$R306&lt;&gt;"Active",$R306&lt;&gt;"Terminated"),"Status must be Active or Terminated; ","")&amp;IF(AND('START HERE'!$C$8="Terminations Only",$R306&lt;&gt;"Terminated"),"Terminations Only files must contain terminated records; ",""))</f>
        <v/>
      </c>
      <c r="AC306">
        <f>IF(COUNTA($A306:$U306)=0,"",IF($S306="","Plan Name is required; ","")&amp;IF($T306="","Benefit Coverage Level is required; ","")&amp;IF(AND($U306&lt;&gt;"",OR(NOT(ISNUMBER($U306)),$U306&lt;0)),"Plan Funding Amount must be a nonnegative number; ","")&amp;IF(AND($A306&lt;&gt;"",$S306&lt;&gt;"",COUNTIFS($A$2:$A$501,$A306,$B$2:$B$501,$B306,$S$2:$S$501,$S306)&gt;1),"Duplicate participant and plan row; ",""))</f>
        <v/>
      </c>
      <c r="AD306">
        <f>IF(COUNTA($A306:$U306)=0,"",IF(AND($X306="Employee",$M306="",$N306=""),"No employee phone or email provided; ","")&amp;IF(AND($R306="Active",$Q306&lt;&gt;""),"Active record includes a Termination Date; confirm this is intentional; ","")&amp;IF(AND($B306&lt;&gt;"",$B306&amp;""&lt;&gt;$A306&amp;"",COUNTIF($A$2:$A$501,$B306)&gt;0),"Dependent SSN also appears as an Employee SSN elsewhere; confirm dual-employee coverage is intentional; ","")&amp;IF(AND($B306&lt;&gt;"",COUNTIF($B$2:$B$501,$B306)&gt;COUNTIFS($A$2:$A$501,$A306,$B$2:$B$501,$B306)),"Dependent SSN appears under more than one employee; confirm duplicate family coverage is intentional; ","")&amp;IF(AND(ROW()&gt;2,$A306&lt;&gt;"",$A306&lt;&gt;$A305,COUNTIF($A$2:$A305,$A306)&gt;0),"This household appears in more than one section of the census; keep the family together; ","")&amp;IF(OR(AND($C306&lt;&gt;"",LEN($C306&amp;"")&lt;&gt;LEN(TRIM($C306&amp;""))),AND($D306&lt;&gt;"",LEN($D306&amp;"")&lt;&gt;LEN(TRIM($D306&amp;""))),AND($E306&lt;&gt;"",LEN($E306&amp;"")&lt;&gt;LEN(TRIM($E306&amp;""))),AND($F306&lt;&gt;"",LEN($F306&amp;"")&lt;&gt;LEN(TRIM($F306&amp;""))),AND($G306&lt;&gt;"",LEN($G306&amp;"")&lt;&gt;LEN(TRIM($G306&amp;""))),AND($H306&lt;&gt;"",LEN($H306&amp;"")&lt;&gt;LEN(TRIM($H306&amp;""))),AND($I306&lt;&gt;"",LEN($I306&amp;"")&lt;&gt;LEN(TRIM($I306&amp;""))),AND($J306&lt;&gt;"",LEN($J306&amp;"")&lt;&gt;LEN(TRIM($J306&amp;""))),AND($K306&lt;&gt;"",LEN($K306&amp;"")&lt;&gt;LEN(TRIM($K306&amp;""))),AND($M306&lt;&gt;"",LEN($M306&amp;"")&lt;&gt;LEN(TRIM($M306&amp;""))),AND($N306&lt;&gt;"",LEN($N306&amp;"")&lt;&gt;LEN(TRIM($N306&amp;""))),AND($O306&lt;&gt;"",LEN($O306&amp;"")&lt;&gt;LEN(TRIM($O306&amp;""))),AND($R306&lt;&gt;"",LEN($R306&amp;"")&lt;&gt;LEN(TRIM($R306&amp;""))),AND($S306&lt;&gt;"",LEN($S306&amp;"")&lt;&gt;LEN(TRIM($S306&amp;""))),AND($T306&lt;&gt;"",LEN($T306&amp;"")&lt;&gt;LEN(TRIM($T306&amp;"")))),"Remove leading or trailing spaces from text fields; ","")&amp;IF(OR(AND(LEN($C306)&gt;1,OR(EXACT($C306,UPPER($C306)),EXACT($C306,LOWER($C306)))),AND(LEN($D306)&gt;1,OR(EXACT($D306,UPPER($D306)),EXACT($D306,LOWER($D306)))),AND(LEN($H306)&gt;1,OR(EXACT($H306,UPPER($H306)),EXACT($H306,LOWER($H306))))),"Review capitalization in First Name, Last Name, or City; ","")&amp;IF(AND($N306&lt;&gt;"",NOT(EXACT($N306,LOWER($N306)))),"Email will be standardized to lowercase in the clean output; ","")&amp;IF(AND(OR('START HERE'!$C$8="Initial Enrollment",'START HERE'!$C$8="Open Enrollment"),$R306="Terminated"),"A terminated row is included in an initial or open enrollment file; confirm this is intentional; ",""))</f>
        <v/>
      </c>
      <c r="AE306">
        <f>IF(COUNTA($A306:$U306)=0,"",IF(OR($A306="",AND($A306&lt;&gt;"",NOT(IFERROR(AND(LEN($A306&amp;"")=9,ISNUMBER(--($A306&amp;""))),FALSE))),AND($A306&lt;&gt;"",OR($A306="123456789",$A306="987654321",$A306="012345678",$A306=REPT(LEFT($A306&amp;"",1),9)))),"Employee SSN, ","")&amp;IF(OR(AND($O306&lt;&gt;"",$B306=""),AND($B306&lt;&gt;"",OR(NOT(IFERROR(AND(LEN($B306&amp;"")=9,ISNUMBER(--($B306&amp;""))),FALSE)),$B306=$A306,$B306="123456789",$B306="987654321",$B306="012345678",$B306=REPT(LEFT($B306&amp;"",1),9)))),"Dependent SSN, ","")&amp;IF(OR($C306="",LEN($C306)&gt;19,AND($C306&lt;&gt;"",SUMPRODUCT(--(ROW($1:$19)&lt;=LEN($C306&amp;"")),--ISERROR(FIND(MID($C306&amp;"",ROW($1:$19),1),"ABCDEFGHIJKLMNOPQRSTUVWXYZabcdefghijklmnopqrstuvwxyz .,")))&gt;0)),"First Name, ","")&amp;IF(OR($D306="",LEN($D306)&gt;26,AND($D306&lt;&gt;"",SUMPRODUCT(--(ROW($1:$26)&lt;=LEN($D306&amp;"")),--ISERROR(FIND(MID($D306&amp;"",ROW($1:$26),1),"ABCDEFGHIJKLMNOPQRSTUVWXYZabcdefghijklmnopqrstuvwxyz .,")))&gt;0)),"Last Name, ","")&amp;IF(OR(LEN($E306)&gt;1,AND($E306&lt;&gt;"",SUMPRODUCT(--(ROW($1:$1)&lt;=LEN($E306&amp;"")),--ISERROR(FIND(MID($E306&amp;"",ROW($1:$1),1),"ABCDEFGHIJKLMNOPQRSTUVWXYZabcdefghijklmnopqrstuvwxyz .,")))&gt;0)),"Middle Initial, ","")&amp;IF(OR($F306="",LEN($F306)&gt;75),"Address, ","")&amp;IF(OR($H306="",LEN($H306)&gt;30),"City, ","")&amp;IF(AND($K306="US",OR($I306="",LEN($I306)&lt;&gt;2)),"State, ","")&amp;IF($J306="","ZIP, ","")&amp;IF(OR($K306="",AND($K306&lt;&gt;"US",$K306&lt;&gt;"CA")),"Country, ","")&amp;IF(OR($L306="",AND($L306&lt;&gt;"",OR(NOT(ISNUMBER($L306)),$L306&lt;=DATE(1900,1,1),$L306&gt;TODAY()))),"Birthdate, ","")&amp;IF(AND($N306&lt;&gt;"",NOT(IFERROR(AND(ISNUMBER(SEARCH("@",$N306)),ISNUMBER(SEARCH(".",$N306,SEARCH("@",$N306)+2))),FALSE))),"Email, ","")&amp;IF(OR(AND($B306&lt;&gt;"",$O306=""),AND($O306&lt;&gt;"",$O306&lt;&gt;"Spouse or Common Law Spouse",$O306&lt;&gt;"Domestic Partner",$O306&lt;&gt;"Child",$O306&lt;&gt;"Other",$O306&lt;&gt;"Estate",$O306&lt;&gt;"Unknown")),"Dependent Relationship, ","")&amp;IF($AA306&lt;&gt;"","Household, ","")&amp;IF(OR($P306="",AND($P306&lt;&gt;"",OR(NOT(ISNUMBER($P306)),$P306&lt;=DATE(1900,1,1)))),"Eligibility Date, ","")&amp;IF(OR(AND($R306="Terminated",$Q306=""),AND($Q306&lt;&gt;"",OR(NOT(ISNUMBER($Q306)),$Q306&lt;=DATE(1900,1,1))),AND(ISNUMBER($P306),ISNUMBER($Q306),$Q306&lt;$P306)),"Termination Date, ","")&amp;IF(OR($R306="",AND($R306&lt;&gt;"Active",$R306&lt;&gt;"Terminated"),AND('START HERE'!$C$8="Terminations Only",$R306&lt;&gt;"Terminated")),"Status, ","")&amp;IF($S306="","Plan Name, ","")&amp;IF($T306="","Coverage Level, ","")&amp;IF(AND($U306&lt;&gt;"",OR(NOT(ISNUMBER($U306)),$U306&lt;0)),"Funding, ","")&amp;IF(AND($A306&lt;&gt;"",$S306&lt;&gt;"",COUNTIFS($A$2:$A$501,$A306,$B$2:$B$501,$B306,$S$2:$S$501,$S306)&gt;1),"Duplicate Row, ",""))</f>
        <v/>
      </c>
      <c r="AF306">
        <f>IF(COUNTA($A306:$U306)=0,"",$Y306&amp;$Z306&amp;$AA306&amp;$AB306&amp;$AC306)</f>
        <v/>
      </c>
      <c r="AG306">
        <f>IF($N306="","",LOWER(TRIM($N306)))</f>
        <v/>
      </c>
      <c r="AH306">
        <f>IF($A306="","",COUNTIFS($A$2:$A$501,$A306,$AI$2:$AI$501,1))</f>
        <v/>
      </c>
      <c r="AI306">
        <f>IF(COUNTA($A306:$U306)=0,"",--($AF306&lt;&gt;""))</f>
        <v/>
      </c>
      <c r="AJ306">
        <f>IF(COUNTA($A306:$U306)=0,"",--($AD306&lt;&gt;""))</f>
        <v/>
      </c>
    </row>
    <row r="307" ht="20" customHeight="1">
      <c r="A307" s="80" t="n"/>
      <c r="B307" s="80" t="n"/>
      <c r="C307" s="81" t="n"/>
      <c r="D307" s="81" t="n"/>
      <c r="E307" s="80" t="n"/>
      <c r="F307" s="81" t="n"/>
      <c r="G307" s="81" t="n"/>
      <c r="H307" s="81" t="n"/>
      <c r="I307" s="80" t="n"/>
      <c r="J307" s="80" t="n"/>
      <c r="K307" s="80" t="n"/>
      <c r="L307" s="82" t="n"/>
      <c r="M307" s="80" t="n"/>
      <c r="N307" s="80" t="n"/>
      <c r="O307" s="80" t="n"/>
      <c r="P307" s="82" t="n"/>
      <c r="Q307" s="82" t="n"/>
      <c r="R307" s="80" t="n"/>
      <c r="S307" s="80" t="n"/>
      <c r="T307" s="80" t="n"/>
      <c r="U307" s="83" t="n"/>
      <c r="V307">
        <f>IF($A307="","",IF($A307=$A306,$V306,IF($V306="",0,1-$V306)))</f>
        <v/>
      </c>
      <c r="W307">
        <f>IF($B307&lt;&gt;"",$B307,$A307)</f>
        <v/>
      </c>
      <c r="X307">
        <f>IF(COUNTA($A307:$U307)=0,"",IF(OR($B307&lt;&gt;"",$O307&lt;&gt;""),"Dependent","Employee"))</f>
        <v/>
      </c>
      <c r="Y307">
        <f>IF(COUNTA($A307:$U307)=0,"",IF($A307="","Employee SSN is required; ","")&amp;IF($C307="","First Name is required; ","")&amp;IF(LEN($C307&amp;"")&gt;19,"First Name exceeds 19 characters; ","")&amp;IF(AND($C307&lt;&gt;"",SUMPRODUCT(--(ROW($1:$19)&lt;=LEN($C307&amp;"")),--ISERROR(FIND(MID($C307&amp;"",ROW($1:$19),1),"ABCDEFGHIJKLMNOPQRSTUVWXYZabcdefghijklmnopqrstuvwxyz .,")))&gt;0),"First Name contains unsupported or encoded characters; use plain A-Z letters only; ","")&amp;IF($D307="","Last Name is required; ","")&amp;IF(LEN($D307&amp;"")&gt;26,"Last Name exceeds 26 characters; ","")&amp;IF(AND($D307&lt;&gt;"",SUMPRODUCT(--(ROW($1:$26)&lt;=LEN($D307&amp;"")),--ISERROR(FIND(MID($D307&amp;"",ROW($1:$26),1),"ABCDEFGHIJKLMNOPQRSTUVWXYZabcdefghijklmnopqrstuvwxyz .,")))&gt;0),"Last Name contains unsupported or encoded characters; use plain A-Z letters only; ","")&amp;IF(LEN($E307&amp;"")&gt;1,"Middle Initial may contain only one character; ","")&amp;IF(AND($E307&lt;&gt;"",SUMPRODUCT(--(ROW($1:$1)&lt;=LEN($E307&amp;"")),--ISERROR(FIND(MID($E307&amp;"",ROW($1:$1),1),"ABCDEFGHIJKLMNOPQRSTUVWXYZabcdefghijklmnopqrstuvwxyz .,")))&gt;0),"Middle Initial must be a plain A-Z letter; ","")&amp;IF($F307="","Address is required; ","")&amp;IF(LEN($F307&amp;"")&gt;75,"Address exceeds 75 characters; ","")&amp;IF(LEN($G307&amp;"")&gt;75,"Address 2 exceeds 75 characters; ","")&amp;IF($H307="","City is required; ","")&amp;IF(LEN($H307&amp;"")&gt;30,"City exceeds 30 characters; ","")&amp;IF($K307="","Country is required; ","")&amp;IF(AND($K307&lt;&gt;"",$K307&lt;&gt;"US",$K307&lt;&gt;"CA"),"Country must be US or CA; ","")&amp;IF(AND($K307="US",OR($I307="",LEN($I307&amp;"")&lt;&gt;2)),"Use a 2-letter state code; ","")&amp;IF($J307="","ZIP or postal code is required; ","")&amp;IF(AND($K307="US",$J307&lt;&gt;"",NOT(IFERROR(OR(AND(LEN($J307&amp;"")=5,ISNUMBER(--($J307&amp;""))),AND(LEN($J307&amp;"")=9,ISNUMBER(--($J307&amp;""))),AND(LEN($J307&amp;"")=10,MID($J307&amp;"",6,1)="-",ISNUMBER(--SUBSTITUTE($J307&amp;"","-","")))),FALSE))),"US ZIP must be 5 or 9 digits, with an optional ZIP+4 hyphen; ","")&amp;IF(AND($N307&lt;&gt;"",NOT(IFERROR(AND(ISNUMBER(SEARCH("@",$N307)),ISNUMBER(SEARCH(".",$N307,SEARCH("@",$N307)+2))),FALSE))),"Email format appears invalid; ","")&amp;IF(AND($O307&lt;&gt;"",$B307=""),"Dependent SSN is required for every dependent; ","")&amp;IF(AND($B307&lt;&gt;"",$O307=""),"Dependent Relationship is required when Dependent SSN is entered; ","")&amp;IF(AND($O307&lt;&gt;"",$O307&lt;&gt;"Spouse or Common Law Spouse",$O307&lt;&gt;"Domestic Partner",$O307&lt;&gt;"Child",$O307&lt;&gt;"Other",$O307&lt;&gt;"Estate",$O307&lt;&gt;"Unknown"),"Dependent Relationship must use one of the approved options; ",""))</f>
        <v/>
      </c>
      <c r="Z307">
        <f>IF(COUNTA($A307:$U307)=0,"",IF(AND($A307&lt;&gt;"",NOT(IFERROR(AND(LEN($A307&amp;"")=9,ISNUMBER(--($A307&amp;""))),FALSE))),"Employee SSN must contain exactly 9 digits; ","")&amp;IF(AND($A307&lt;&gt;"",OR($A307="123456789",$A307="987654321",$A307="012345678",$A307=REPT(LEFT($A307&amp;"",1),9))),"Employee SSN appears to be a placeholder; ","")&amp;IF(AND($B307&lt;&gt;"",NOT(IFERROR(AND(LEN($B307&amp;"")=9,ISNUMBER(--($B307&amp;""))),FALSE))),"Dependent SSN must contain exactly 9 digits; ","")&amp;IF(AND($B307&lt;&gt;"",OR($B307="123456789",$B307="987654321",$B307="012345678",$B307=REPT(LEFT($B307&amp;"",1),9))),"Dependent SSN appears to be a placeholder; ","")&amp;IF(AND($A307&lt;&gt;"",$B307&lt;&gt;"",$A307&amp;""=$B307&amp;""),"Dependent SSN cannot match Employee SSN; ","")&amp;IF(AND($W307&lt;&gt;"",OR(COUNTIFS($W$2:$W$501,$W307,$C$2:$C$501,"&lt;&gt;"&amp;$C307)&gt;0,COUNTIFS($W$2:$W$501,$W307,$D$2:$D$501,"&lt;&gt;"&amp;$D307)&gt;0,COUNTIFS($W$2:$W$501,$W307,$L$2:$L$501,"&lt;&gt;"&amp;$L307)&gt;0)),"The same SSN is associated with a different name or birthdate; ",""))</f>
        <v/>
      </c>
      <c r="AA307">
        <f>IF(COUNTA($A307:$U307)=0,"",IF(AND($A307&lt;&gt;"",$S307&lt;&gt;"",COUNTIFS($A$2:$A$501,$A307,$S$2:$S$501,$S307,$B$2:$B$501,"",$O$2:$O$501,"")=0),"Add an employee row for this household and plan; ","")&amp;IF(AND($X307="Dependent",COUNTIFS($A$2:$A307,$A307,$S$2:$S307,$S307,$B$2:$B307,"",$O$2:$O307,"")=0),"Place the employee row before dependent rows for this plan; ","")&amp;IF(AND($X307="Dependent",COUNTIFS($A$2:$A$501,$A307,$S$2:$S$501,$S307,$B$2:$B$501,"",$O$2:$O$501,"")&gt;0,IFERROR(OR($P307&lt;&gt;LOOKUP(2,1/(($A$2:$A$501=$A307)*($S$2:$S$501=$S307)*($B$2:$B$501="")*($O$2:$O$501="")),$P$2:$P$501),$Q307&lt;&gt;LOOKUP(2,1/(($A$2:$A$501=$A307)*($S$2:$S$501=$S307)*($B$2:$B$501="")*($O$2:$O$501="")),$Q$2:$Q$501),$R307&lt;&gt;LOOKUP(2,1/(($A$2:$A$501=$A307)*($S$2:$S$501=$S307)*($B$2:$B$501="")*($O$2:$O$501="")),$R$2:$R$501),$T307&lt;&gt;LOOKUP(2,1/(($A$2:$A$501=$A307)*($S$2:$S$501=$S307)*($B$2:$B$501="")*($O$2:$O$501="")),$T$2:$T$501),$U307&lt;&gt;LOOKUP(2,1/(($A$2:$A$501=$A307)*($S$2:$S$501=$S307)*($B$2:$B$501="")*($O$2:$O$501="")),$U$2:$U$501)),FALSE)),"Dependent row does not match the employee row for eligibility, status, coverage level, or funding; ",""))</f>
        <v/>
      </c>
      <c r="AB307">
        <f>IF(COUNTA($A307:$U307)=0,"",IF($L307="","Birthdate is required; ","")&amp;IF(AND($L307&lt;&gt;"",OR(NOT(ISNUMBER($L307)),$L307&lt;=DATE(1900,1,1),$L307&gt;TODAY())),"Birthdate must be an exact valid past date; ","")&amp;IF($P307="","Eligibility Date is required; ","")&amp;IF(AND($P307&lt;&gt;"",OR(NOT(ISNUMBER($P307)),$P307&lt;=DATE(1900,1,1))),"Eligibility Date must be a valid date; ","")&amp;IF(AND($R307="Terminated",$Q307=""),"Termination Date is required when Status is Terminated; ","")&amp;IF(AND($Q307&lt;&gt;"",OR(NOT(ISNUMBER($Q307)),$Q307&lt;=DATE(1900,1,1))),"Termination Date must be a valid date; ","")&amp;IF(AND(ISNUMBER($P307),ISNUMBER($Q307),$Q307&lt;$P307),"Termination Date cannot be before Eligibility Date; ","")&amp;IF($R307="","Status is required; ","")&amp;IF(AND($R307&lt;&gt;"",$R307&lt;&gt;"Active",$R307&lt;&gt;"Terminated"),"Status must be Active or Terminated; ","")&amp;IF(AND('START HERE'!$C$8="Terminations Only",$R307&lt;&gt;"Terminated"),"Terminations Only files must contain terminated records; ",""))</f>
        <v/>
      </c>
      <c r="AC307">
        <f>IF(COUNTA($A307:$U307)=0,"",IF($S307="","Plan Name is required; ","")&amp;IF($T307="","Benefit Coverage Level is required; ","")&amp;IF(AND($U307&lt;&gt;"",OR(NOT(ISNUMBER($U307)),$U307&lt;0)),"Plan Funding Amount must be a nonnegative number; ","")&amp;IF(AND($A307&lt;&gt;"",$S307&lt;&gt;"",COUNTIFS($A$2:$A$501,$A307,$B$2:$B$501,$B307,$S$2:$S$501,$S307)&gt;1),"Duplicate participant and plan row; ",""))</f>
        <v/>
      </c>
      <c r="AD307">
        <f>IF(COUNTA($A307:$U307)=0,"",IF(AND($X307="Employee",$M307="",$N307=""),"No employee phone or email provided; ","")&amp;IF(AND($R307="Active",$Q307&lt;&gt;""),"Active record includes a Termination Date; confirm this is intentional; ","")&amp;IF(AND($B307&lt;&gt;"",$B307&amp;""&lt;&gt;$A307&amp;"",COUNTIF($A$2:$A$501,$B307)&gt;0),"Dependent SSN also appears as an Employee SSN elsewhere; confirm dual-employee coverage is intentional; ","")&amp;IF(AND($B307&lt;&gt;"",COUNTIF($B$2:$B$501,$B307)&gt;COUNTIFS($A$2:$A$501,$A307,$B$2:$B$501,$B307)),"Dependent SSN appears under more than one employee; confirm duplicate family coverage is intentional; ","")&amp;IF(AND(ROW()&gt;2,$A307&lt;&gt;"",$A307&lt;&gt;$A306,COUNTIF($A$2:$A306,$A307)&gt;0),"This household appears in more than one section of the census; keep the family together; ","")&amp;IF(OR(AND($C307&lt;&gt;"",LEN($C307&amp;"")&lt;&gt;LEN(TRIM($C307&amp;""))),AND($D307&lt;&gt;"",LEN($D307&amp;"")&lt;&gt;LEN(TRIM($D307&amp;""))),AND($E307&lt;&gt;"",LEN($E307&amp;"")&lt;&gt;LEN(TRIM($E307&amp;""))),AND($F307&lt;&gt;"",LEN($F307&amp;"")&lt;&gt;LEN(TRIM($F307&amp;""))),AND($G307&lt;&gt;"",LEN($G307&amp;"")&lt;&gt;LEN(TRIM($G307&amp;""))),AND($H307&lt;&gt;"",LEN($H307&amp;"")&lt;&gt;LEN(TRIM($H307&amp;""))),AND($I307&lt;&gt;"",LEN($I307&amp;"")&lt;&gt;LEN(TRIM($I307&amp;""))),AND($J307&lt;&gt;"",LEN($J307&amp;"")&lt;&gt;LEN(TRIM($J307&amp;""))),AND($K307&lt;&gt;"",LEN($K307&amp;"")&lt;&gt;LEN(TRIM($K307&amp;""))),AND($M307&lt;&gt;"",LEN($M307&amp;"")&lt;&gt;LEN(TRIM($M307&amp;""))),AND($N307&lt;&gt;"",LEN($N307&amp;"")&lt;&gt;LEN(TRIM($N307&amp;""))),AND($O307&lt;&gt;"",LEN($O307&amp;"")&lt;&gt;LEN(TRIM($O307&amp;""))),AND($R307&lt;&gt;"",LEN($R307&amp;"")&lt;&gt;LEN(TRIM($R307&amp;""))),AND($S307&lt;&gt;"",LEN($S307&amp;"")&lt;&gt;LEN(TRIM($S307&amp;""))),AND($T307&lt;&gt;"",LEN($T307&amp;"")&lt;&gt;LEN(TRIM($T307&amp;"")))),"Remove leading or trailing spaces from text fields; ","")&amp;IF(OR(AND(LEN($C307)&gt;1,OR(EXACT($C307,UPPER($C307)),EXACT($C307,LOWER($C307)))),AND(LEN($D307)&gt;1,OR(EXACT($D307,UPPER($D307)),EXACT($D307,LOWER($D307)))),AND(LEN($H307)&gt;1,OR(EXACT($H307,UPPER($H307)),EXACT($H307,LOWER($H307))))),"Review capitalization in First Name, Last Name, or City; ","")&amp;IF(AND($N307&lt;&gt;"",NOT(EXACT($N307,LOWER($N307)))),"Email will be standardized to lowercase in the clean output; ","")&amp;IF(AND(OR('START HERE'!$C$8="Initial Enrollment",'START HERE'!$C$8="Open Enrollment"),$R307="Terminated"),"A terminated row is included in an initial or open enrollment file; confirm this is intentional; ",""))</f>
        <v/>
      </c>
      <c r="AE307">
        <f>IF(COUNTA($A307:$U307)=0,"",IF(OR($A307="",AND($A307&lt;&gt;"",NOT(IFERROR(AND(LEN($A307&amp;"")=9,ISNUMBER(--($A307&amp;""))),FALSE))),AND($A307&lt;&gt;"",OR($A307="123456789",$A307="987654321",$A307="012345678",$A307=REPT(LEFT($A307&amp;"",1),9)))),"Employee SSN, ","")&amp;IF(OR(AND($O307&lt;&gt;"",$B307=""),AND($B307&lt;&gt;"",OR(NOT(IFERROR(AND(LEN($B307&amp;"")=9,ISNUMBER(--($B307&amp;""))),FALSE)),$B307=$A307,$B307="123456789",$B307="987654321",$B307="012345678",$B307=REPT(LEFT($B307&amp;"",1),9)))),"Dependent SSN, ","")&amp;IF(OR($C307="",LEN($C307)&gt;19,AND($C307&lt;&gt;"",SUMPRODUCT(--(ROW($1:$19)&lt;=LEN($C307&amp;"")),--ISERROR(FIND(MID($C307&amp;"",ROW($1:$19),1),"ABCDEFGHIJKLMNOPQRSTUVWXYZabcdefghijklmnopqrstuvwxyz .,")))&gt;0)),"First Name, ","")&amp;IF(OR($D307="",LEN($D307)&gt;26,AND($D307&lt;&gt;"",SUMPRODUCT(--(ROW($1:$26)&lt;=LEN($D307&amp;"")),--ISERROR(FIND(MID($D307&amp;"",ROW($1:$26),1),"ABCDEFGHIJKLMNOPQRSTUVWXYZabcdefghijklmnopqrstuvwxyz .,")))&gt;0)),"Last Name, ","")&amp;IF(OR(LEN($E307)&gt;1,AND($E307&lt;&gt;"",SUMPRODUCT(--(ROW($1:$1)&lt;=LEN($E307&amp;"")),--ISERROR(FIND(MID($E307&amp;"",ROW($1:$1),1),"ABCDEFGHIJKLMNOPQRSTUVWXYZabcdefghijklmnopqrstuvwxyz .,")))&gt;0)),"Middle Initial, ","")&amp;IF(OR($F307="",LEN($F307)&gt;75),"Address, ","")&amp;IF(OR($H307="",LEN($H307)&gt;30),"City, ","")&amp;IF(AND($K307="US",OR($I307="",LEN($I307)&lt;&gt;2)),"State, ","")&amp;IF($J307="","ZIP, ","")&amp;IF(OR($K307="",AND($K307&lt;&gt;"US",$K307&lt;&gt;"CA")),"Country, ","")&amp;IF(OR($L307="",AND($L307&lt;&gt;"",OR(NOT(ISNUMBER($L307)),$L307&lt;=DATE(1900,1,1),$L307&gt;TODAY()))),"Birthdate, ","")&amp;IF(AND($N307&lt;&gt;"",NOT(IFERROR(AND(ISNUMBER(SEARCH("@",$N307)),ISNUMBER(SEARCH(".",$N307,SEARCH("@",$N307)+2))),FALSE))),"Email, ","")&amp;IF(OR(AND($B307&lt;&gt;"",$O307=""),AND($O307&lt;&gt;"",$O307&lt;&gt;"Spouse or Common Law Spouse",$O307&lt;&gt;"Domestic Partner",$O307&lt;&gt;"Child",$O307&lt;&gt;"Other",$O307&lt;&gt;"Estate",$O307&lt;&gt;"Unknown")),"Dependent Relationship, ","")&amp;IF($AA307&lt;&gt;"","Household, ","")&amp;IF(OR($P307="",AND($P307&lt;&gt;"",OR(NOT(ISNUMBER($P307)),$P307&lt;=DATE(1900,1,1)))),"Eligibility Date, ","")&amp;IF(OR(AND($R307="Terminated",$Q307=""),AND($Q307&lt;&gt;"",OR(NOT(ISNUMBER($Q307)),$Q307&lt;=DATE(1900,1,1))),AND(ISNUMBER($P307),ISNUMBER($Q307),$Q307&lt;$P307)),"Termination Date, ","")&amp;IF(OR($R307="",AND($R307&lt;&gt;"Active",$R307&lt;&gt;"Terminated"),AND('START HERE'!$C$8="Terminations Only",$R307&lt;&gt;"Terminated")),"Status, ","")&amp;IF($S307="","Plan Name, ","")&amp;IF($T307="","Coverage Level, ","")&amp;IF(AND($U307&lt;&gt;"",OR(NOT(ISNUMBER($U307)),$U307&lt;0)),"Funding, ","")&amp;IF(AND($A307&lt;&gt;"",$S307&lt;&gt;"",COUNTIFS($A$2:$A$501,$A307,$B$2:$B$501,$B307,$S$2:$S$501,$S307)&gt;1),"Duplicate Row, ",""))</f>
        <v/>
      </c>
      <c r="AF307">
        <f>IF(COUNTA($A307:$U307)=0,"",$Y307&amp;$Z307&amp;$AA307&amp;$AB307&amp;$AC307)</f>
        <v/>
      </c>
      <c r="AG307">
        <f>IF($N307="","",LOWER(TRIM($N307)))</f>
        <v/>
      </c>
      <c r="AH307">
        <f>IF($A307="","",COUNTIFS($A$2:$A$501,$A307,$AI$2:$AI$501,1))</f>
        <v/>
      </c>
      <c r="AI307">
        <f>IF(COUNTA($A307:$U307)=0,"",--($AF307&lt;&gt;""))</f>
        <v/>
      </c>
      <c r="AJ307">
        <f>IF(COUNTA($A307:$U307)=0,"",--($AD307&lt;&gt;""))</f>
        <v/>
      </c>
    </row>
    <row r="308" ht="20" customHeight="1">
      <c r="A308" s="80" t="n"/>
      <c r="B308" s="80" t="n"/>
      <c r="C308" s="81" t="n"/>
      <c r="D308" s="81" t="n"/>
      <c r="E308" s="80" t="n"/>
      <c r="F308" s="81" t="n"/>
      <c r="G308" s="81" t="n"/>
      <c r="H308" s="81" t="n"/>
      <c r="I308" s="80" t="n"/>
      <c r="J308" s="80" t="n"/>
      <c r="K308" s="80" t="n"/>
      <c r="L308" s="82" t="n"/>
      <c r="M308" s="80" t="n"/>
      <c r="N308" s="80" t="n"/>
      <c r="O308" s="80" t="n"/>
      <c r="P308" s="82" t="n"/>
      <c r="Q308" s="82" t="n"/>
      <c r="R308" s="80" t="n"/>
      <c r="S308" s="80" t="n"/>
      <c r="T308" s="80" t="n"/>
      <c r="U308" s="83" t="n"/>
      <c r="V308">
        <f>IF($A308="","",IF($A308=$A307,$V307,IF($V307="",0,1-$V307)))</f>
        <v/>
      </c>
      <c r="W308">
        <f>IF($B308&lt;&gt;"",$B308,$A308)</f>
        <v/>
      </c>
      <c r="X308">
        <f>IF(COUNTA($A308:$U308)=0,"",IF(OR($B308&lt;&gt;"",$O308&lt;&gt;""),"Dependent","Employee"))</f>
        <v/>
      </c>
      <c r="Y308">
        <f>IF(COUNTA($A308:$U308)=0,"",IF($A308="","Employee SSN is required; ","")&amp;IF($C308="","First Name is required; ","")&amp;IF(LEN($C308&amp;"")&gt;19,"First Name exceeds 19 characters; ","")&amp;IF(AND($C308&lt;&gt;"",SUMPRODUCT(--(ROW($1:$19)&lt;=LEN($C308&amp;"")),--ISERROR(FIND(MID($C308&amp;"",ROW($1:$19),1),"ABCDEFGHIJKLMNOPQRSTUVWXYZabcdefghijklmnopqrstuvwxyz .,")))&gt;0),"First Name contains unsupported or encoded characters; use plain A-Z letters only; ","")&amp;IF($D308="","Last Name is required; ","")&amp;IF(LEN($D308&amp;"")&gt;26,"Last Name exceeds 26 characters; ","")&amp;IF(AND($D308&lt;&gt;"",SUMPRODUCT(--(ROW($1:$26)&lt;=LEN($D308&amp;"")),--ISERROR(FIND(MID($D308&amp;"",ROW($1:$26),1),"ABCDEFGHIJKLMNOPQRSTUVWXYZabcdefghijklmnopqrstuvwxyz .,")))&gt;0),"Last Name contains unsupported or encoded characters; use plain A-Z letters only; ","")&amp;IF(LEN($E308&amp;"")&gt;1,"Middle Initial may contain only one character; ","")&amp;IF(AND($E308&lt;&gt;"",SUMPRODUCT(--(ROW($1:$1)&lt;=LEN($E308&amp;"")),--ISERROR(FIND(MID($E308&amp;"",ROW($1:$1),1),"ABCDEFGHIJKLMNOPQRSTUVWXYZabcdefghijklmnopqrstuvwxyz .,")))&gt;0),"Middle Initial must be a plain A-Z letter; ","")&amp;IF($F308="","Address is required; ","")&amp;IF(LEN($F308&amp;"")&gt;75,"Address exceeds 75 characters; ","")&amp;IF(LEN($G308&amp;"")&gt;75,"Address 2 exceeds 75 characters; ","")&amp;IF($H308="","City is required; ","")&amp;IF(LEN($H308&amp;"")&gt;30,"City exceeds 30 characters; ","")&amp;IF($K308="","Country is required; ","")&amp;IF(AND($K308&lt;&gt;"",$K308&lt;&gt;"US",$K308&lt;&gt;"CA"),"Country must be US or CA; ","")&amp;IF(AND($K308="US",OR($I308="",LEN($I308&amp;"")&lt;&gt;2)),"Use a 2-letter state code; ","")&amp;IF($J308="","ZIP or postal code is required; ","")&amp;IF(AND($K308="US",$J308&lt;&gt;"",NOT(IFERROR(OR(AND(LEN($J308&amp;"")=5,ISNUMBER(--($J308&amp;""))),AND(LEN($J308&amp;"")=9,ISNUMBER(--($J308&amp;""))),AND(LEN($J308&amp;"")=10,MID($J308&amp;"",6,1)="-",ISNUMBER(--SUBSTITUTE($J308&amp;"","-","")))),FALSE))),"US ZIP must be 5 or 9 digits, with an optional ZIP+4 hyphen; ","")&amp;IF(AND($N308&lt;&gt;"",NOT(IFERROR(AND(ISNUMBER(SEARCH("@",$N308)),ISNUMBER(SEARCH(".",$N308,SEARCH("@",$N308)+2))),FALSE))),"Email format appears invalid; ","")&amp;IF(AND($O308&lt;&gt;"",$B308=""),"Dependent SSN is required for every dependent; ","")&amp;IF(AND($B308&lt;&gt;"",$O308=""),"Dependent Relationship is required when Dependent SSN is entered; ","")&amp;IF(AND($O308&lt;&gt;"",$O308&lt;&gt;"Spouse or Common Law Spouse",$O308&lt;&gt;"Domestic Partner",$O308&lt;&gt;"Child",$O308&lt;&gt;"Other",$O308&lt;&gt;"Estate",$O308&lt;&gt;"Unknown"),"Dependent Relationship must use one of the approved options; ",""))</f>
        <v/>
      </c>
      <c r="Z308">
        <f>IF(COUNTA($A308:$U308)=0,"",IF(AND($A308&lt;&gt;"",NOT(IFERROR(AND(LEN($A308&amp;"")=9,ISNUMBER(--($A308&amp;""))),FALSE))),"Employee SSN must contain exactly 9 digits; ","")&amp;IF(AND($A308&lt;&gt;"",OR($A308="123456789",$A308="987654321",$A308="012345678",$A308=REPT(LEFT($A308&amp;"",1),9))),"Employee SSN appears to be a placeholder; ","")&amp;IF(AND($B308&lt;&gt;"",NOT(IFERROR(AND(LEN($B308&amp;"")=9,ISNUMBER(--($B308&amp;""))),FALSE))),"Dependent SSN must contain exactly 9 digits; ","")&amp;IF(AND($B308&lt;&gt;"",OR($B308="123456789",$B308="987654321",$B308="012345678",$B308=REPT(LEFT($B308&amp;"",1),9))),"Dependent SSN appears to be a placeholder; ","")&amp;IF(AND($A308&lt;&gt;"",$B308&lt;&gt;"",$A308&amp;""=$B308&amp;""),"Dependent SSN cannot match Employee SSN; ","")&amp;IF(AND($W308&lt;&gt;"",OR(COUNTIFS($W$2:$W$501,$W308,$C$2:$C$501,"&lt;&gt;"&amp;$C308)&gt;0,COUNTIFS($W$2:$W$501,$W308,$D$2:$D$501,"&lt;&gt;"&amp;$D308)&gt;0,COUNTIFS($W$2:$W$501,$W308,$L$2:$L$501,"&lt;&gt;"&amp;$L308)&gt;0)),"The same SSN is associated with a different name or birthdate; ",""))</f>
        <v/>
      </c>
      <c r="AA308">
        <f>IF(COUNTA($A308:$U308)=0,"",IF(AND($A308&lt;&gt;"",$S308&lt;&gt;"",COUNTIFS($A$2:$A$501,$A308,$S$2:$S$501,$S308,$B$2:$B$501,"",$O$2:$O$501,"")=0),"Add an employee row for this household and plan; ","")&amp;IF(AND($X308="Dependent",COUNTIFS($A$2:$A308,$A308,$S$2:$S308,$S308,$B$2:$B308,"",$O$2:$O308,"")=0),"Place the employee row before dependent rows for this plan; ","")&amp;IF(AND($X308="Dependent",COUNTIFS($A$2:$A$501,$A308,$S$2:$S$501,$S308,$B$2:$B$501,"",$O$2:$O$501,"")&gt;0,IFERROR(OR($P308&lt;&gt;LOOKUP(2,1/(($A$2:$A$501=$A308)*($S$2:$S$501=$S308)*($B$2:$B$501="")*($O$2:$O$501="")),$P$2:$P$501),$Q308&lt;&gt;LOOKUP(2,1/(($A$2:$A$501=$A308)*($S$2:$S$501=$S308)*($B$2:$B$501="")*($O$2:$O$501="")),$Q$2:$Q$501),$R308&lt;&gt;LOOKUP(2,1/(($A$2:$A$501=$A308)*($S$2:$S$501=$S308)*($B$2:$B$501="")*($O$2:$O$501="")),$R$2:$R$501),$T308&lt;&gt;LOOKUP(2,1/(($A$2:$A$501=$A308)*($S$2:$S$501=$S308)*($B$2:$B$501="")*($O$2:$O$501="")),$T$2:$T$501),$U308&lt;&gt;LOOKUP(2,1/(($A$2:$A$501=$A308)*($S$2:$S$501=$S308)*($B$2:$B$501="")*($O$2:$O$501="")),$U$2:$U$501)),FALSE)),"Dependent row does not match the employee row for eligibility, status, coverage level, or funding; ",""))</f>
        <v/>
      </c>
      <c r="AB308">
        <f>IF(COUNTA($A308:$U308)=0,"",IF($L308="","Birthdate is required; ","")&amp;IF(AND($L308&lt;&gt;"",OR(NOT(ISNUMBER($L308)),$L308&lt;=DATE(1900,1,1),$L308&gt;TODAY())),"Birthdate must be an exact valid past date; ","")&amp;IF($P308="","Eligibility Date is required; ","")&amp;IF(AND($P308&lt;&gt;"",OR(NOT(ISNUMBER($P308)),$P308&lt;=DATE(1900,1,1))),"Eligibility Date must be a valid date; ","")&amp;IF(AND($R308="Terminated",$Q308=""),"Termination Date is required when Status is Terminated; ","")&amp;IF(AND($Q308&lt;&gt;"",OR(NOT(ISNUMBER($Q308)),$Q308&lt;=DATE(1900,1,1))),"Termination Date must be a valid date; ","")&amp;IF(AND(ISNUMBER($P308),ISNUMBER($Q308),$Q308&lt;$P308),"Termination Date cannot be before Eligibility Date; ","")&amp;IF($R308="","Status is required; ","")&amp;IF(AND($R308&lt;&gt;"",$R308&lt;&gt;"Active",$R308&lt;&gt;"Terminated"),"Status must be Active or Terminated; ","")&amp;IF(AND('START HERE'!$C$8="Terminations Only",$R308&lt;&gt;"Terminated"),"Terminations Only files must contain terminated records; ",""))</f>
        <v/>
      </c>
      <c r="AC308">
        <f>IF(COUNTA($A308:$U308)=0,"",IF($S308="","Plan Name is required; ","")&amp;IF($T308="","Benefit Coverage Level is required; ","")&amp;IF(AND($U308&lt;&gt;"",OR(NOT(ISNUMBER($U308)),$U308&lt;0)),"Plan Funding Amount must be a nonnegative number; ","")&amp;IF(AND($A308&lt;&gt;"",$S308&lt;&gt;"",COUNTIFS($A$2:$A$501,$A308,$B$2:$B$501,$B308,$S$2:$S$501,$S308)&gt;1),"Duplicate participant and plan row; ",""))</f>
        <v/>
      </c>
      <c r="AD308">
        <f>IF(COUNTA($A308:$U308)=0,"",IF(AND($X308="Employee",$M308="",$N308=""),"No employee phone or email provided; ","")&amp;IF(AND($R308="Active",$Q308&lt;&gt;""),"Active record includes a Termination Date; confirm this is intentional; ","")&amp;IF(AND($B308&lt;&gt;"",$B308&amp;""&lt;&gt;$A308&amp;"",COUNTIF($A$2:$A$501,$B308)&gt;0),"Dependent SSN also appears as an Employee SSN elsewhere; confirm dual-employee coverage is intentional; ","")&amp;IF(AND($B308&lt;&gt;"",COUNTIF($B$2:$B$501,$B308)&gt;COUNTIFS($A$2:$A$501,$A308,$B$2:$B$501,$B308)),"Dependent SSN appears under more than one employee; confirm duplicate family coverage is intentional; ","")&amp;IF(AND(ROW()&gt;2,$A308&lt;&gt;"",$A308&lt;&gt;$A307,COUNTIF($A$2:$A307,$A308)&gt;0),"This household appears in more than one section of the census; keep the family together; ","")&amp;IF(OR(AND($C308&lt;&gt;"",LEN($C308&amp;"")&lt;&gt;LEN(TRIM($C308&amp;""))),AND($D308&lt;&gt;"",LEN($D308&amp;"")&lt;&gt;LEN(TRIM($D308&amp;""))),AND($E308&lt;&gt;"",LEN($E308&amp;"")&lt;&gt;LEN(TRIM($E308&amp;""))),AND($F308&lt;&gt;"",LEN($F308&amp;"")&lt;&gt;LEN(TRIM($F308&amp;""))),AND($G308&lt;&gt;"",LEN($G308&amp;"")&lt;&gt;LEN(TRIM($G308&amp;""))),AND($H308&lt;&gt;"",LEN($H308&amp;"")&lt;&gt;LEN(TRIM($H308&amp;""))),AND($I308&lt;&gt;"",LEN($I308&amp;"")&lt;&gt;LEN(TRIM($I308&amp;""))),AND($J308&lt;&gt;"",LEN($J308&amp;"")&lt;&gt;LEN(TRIM($J308&amp;""))),AND($K308&lt;&gt;"",LEN($K308&amp;"")&lt;&gt;LEN(TRIM($K308&amp;""))),AND($M308&lt;&gt;"",LEN($M308&amp;"")&lt;&gt;LEN(TRIM($M308&amp;""))),AND($N308&lt;&gt;"",LEN($N308&amp;"")&lt;&gt;LEN(TRIM($N308&amp;""))),AND($O308&lt;&gt;"",LEN($O308&amp;"")&lt;&gt;LEN(TRIM($O308&amp;""))),AND($R308&lt;&gt;"",LEN($R308&amp;"")&lt;&gt;LEN(TRIM($R308&amp;""))),AND($S308&lt;&gt;"",LEN($S308&amp;"")&lt;&gt;LEN(TRIM($S308&amp;""))),AND($T308&lt;&gt;"",LEN($T308&amp;"")&lt;&gt;LEN(TRIM($T308&amp;"")))),"Remove leading or trailing spaces from text fields; ","")&amp;IF(OR(AND(LEN($C308)&gt;1,OR(EXACT($C308,UPPER($C308)),EXACT($C308,LOWER($C308)))),AND(LEN($D308)&gt;1,OR(EXACT($D308,UPPER($D308)),EXACT($D308,LOWER($D308)))),AND(LEN($H308)&gt;1,OR(EXACT($H308,UPPER($H308)),EXACT($H308,LOWER($H308))))),"Review capitalization in First Name, Last Name, or City; ","")&amp;IF(AND($N308&lt;&gt;"",NOT(EXACT($N308,LOWER($N308)))),"Email will be standardized to lowercase in the clean output; ","")&amp;IF(AND(OR('START HERE'!$C$8="Initial Enrollment",'START HERE'!$C$8="Open Enrollment"),$R308="Terminated"),"A terminated row is included in an initial or open enrollment file; confirm this is intentional; ",""))</f>
        <v/>
      </c>
      <c r="AE308">
        <f>IF(COUNTA($A308:$U308)=0,"",IF(OR($A308="",AND($A308&lt;&gt;"",NOT(IFERROR(AND(LEN($A308&amp;"")=9,ISNUMBER(--($A308&amp;""))),FALSE))),AND($A308&lt;&gt;"",OR($A308="123456789",$A308="987654321",$A308="012345678",$A308=REPT(LEFT($A308&amp;"",1),9)))),"Employee SSN, ","")&amp;IF(OR(AND($O308&lt;&gt;"",$B308=""),AND($B308&lt;&gt;"",OR(NOT(IFERROR(AND(LEN($B308&amp;"")=9,ISNUMBER(--($B308&amp;""))),FALSE)),$B308=$A308,$B308="123456789",$B308="987654321",$B308="012345678",$B308=REPT(LEFT($B308&amp;"",1),9)))),"Dependent SSN, ","")&amp;IF(OR($C308="",LEN($C308)&gt;19,AND($C308&lt;&gt;"",SUMPRODUCT(--(ROW($1:$19)&lt;=LEN($C308&amp;"")),--ISERROR(FIND(MID($C308&amp;"",ROW($1:$19),1),"ABCDEFGHIJKLMNOPQRSTUVWXYZabcdefghijklmnopqrstuvwxyz .,")))&gt;0)),"First Name, ","")&amp;IF(OR($D308="",LEN($D308)&gt;26,AND($D308&lt;&gt;"",SUMPRODUCT(--(ROW($1:$26)&lt;=LEN($D308&amp;"")),--ISERROR(FIND(MID($D308&amp;"",ROW($1:$26),1),"ABCDEFGHIJKLMNOPQRSTUVWXYZabcdefghijklmnopqrstuvwxyz .,")))&gt;0)),"Last Name, ","")&amp;IF(OR(LEN($E308)&gt;1,AND($E308&lt;&gt;"",SUMPRODUCT(--(ROW($1:$1)&lt;=LEN($E308&amp;"")),--ISERROR(FIND(MID($E308&amp;"",ROW($1:$1),1),"ABCDEFGHIJKLMNOPQRSTUVWXYZabcdefghijklmnopqrstuvwxyz .,")))&gt;0)),"Middle Initial, ","")&amp;IF(OR($F308="",LEN($F308)&gt;75),"Address, ","")&amp;IF(OR($H308="",LEN($H308)&gt;30),"City, ","")&amp;IF(AND($K308="US",OR($I308="",LEN($I308)&lt;&gt;2)),"State, ","")&amp;IF($J308="","ZIP, ","")&amp;IF(OR($K308="",AND($K308&lt;&gt;"US",$K308&lt;&gt;"CA")),"Country, ","")&amp;IF(OR($L308="",AND($L308&lt;&gt;"",OR(NOT(ISNUMBER($L308)),$L308&lt;=DATE(1900,1,1),$L308&gt;TODAY()))),"Birthdate, ","")&amp;IF(AND($N308&lt;&gt;"",NOT(IFERROR(AND(ISNUMBER(SEARCH("@",$N308)),ISNUMBER(SEARCH(".",$N308,SEARCH("@",$N308)+2))),FALSE))),"Email, ","")&amp;IF(OR(AND($B308&lt;&gt;"",$O308=""),AND($O308&lt;&gt;"",$O308&lt;&gt;"Spouse or Common Law Spouse",$O308&lt;&gt;"Domestic Partner",$O308&lt;&gt;"Child",$O308&lt;&gt;"Other",$O308&lt;&gt;"Estate",$O308&lt;&gt;"Unknown")),"Dependent Relationship, ","")&amp;IF($AA308&lt;&gt;"","Household, ","")&amp;IF(OR($P308="",AND($P308&lt;&gt;"",OR(NOT(ISNUMBER($P308)),$P308&lt;=DATE(1900,1,1)))),"Eligibility Date, ","")&amp;IF(OR(AND($R308="Terminated",$Q308=""),AND($Q308&lt;&gt;"",OR(NOT(ISNUMBER($Q308)),$Q308&lt;=DATE(1900,1,1))),AND(ISNUMBER($P308),ISNUMBER($Q308),$Q308&lt;$P308)),"Termination Date, ","")&amp;IF(OR($R308="",AND($R308&lt;&gt;"Active",$R308&lt;&gt;"Terminated"),AND('START HERE'!$C$8="Terminations Only",$R308&lt;&gt;"Terminated")),"Status, ","")&amp;IF($S308="","Plan Name, ","")&amp;IF($T308="","Coverage Level, ","")&amp;IF(AND($U308&lt;&gt;"",OR(NOT(ISNUMBER($U308)),$U308&lt;0)),"Funding, ","")&amp;IF(AND($A308&lt;&gt;"",$S308&lt;&gt;"",COUNTIFS($A$2:$A$501,$A308,$B$2:$B$501,$B308,$S$2:$S$501,$S308)&gt;1),"Duplicate Row, ",""))</f>
        <v/>
      </c>
      <c r="AF308">
        <f>IF(COUNTA($A308:$U308)=0,"",$Y308&amp;$Z308&amp;$AA308&amp;$AB308&amp;$AC308)</f>
        <v/>
      </c>
      <c r="AG308">
        <f>IF($N308="","",LOWER(TRIM($N308)))</f>
        <v/>
      </c>
      <c r="AH308">
        <f>IF($A308="","",COUNTIFS($A$2:$A$501,$A308,$AI$2:$AI$501,1))</f>
        <v/>
      </c>
      <c r="AI308">
        <f>IF(COUNTA($A308:$U308)=0,"",--($AF308&lt;&gt;""))</f>
        <v/>
      </c>
      <c r="AJ308">
        <f>IF(COUNTA($A308:$U308)=0,"",--($AD308&lt;&gt;""))</f>
        <v/>
      </c>
    </row>
    <row r="309" ht="20" customHeight="1">
      <c r="A309" s="80" t="n"/>
      <c r="B309" s="80" t="n"/>
      <c r="C309" s="81" t="n"/>
      <c r="D309" s="81" t="n"/>
      <c r="E309" s="80" t="n"/>
      <c r="F309" s="81" t="n"/>
      <c r="G309" s="81" t="n"/>
      <c r="H309" s="81" t="n"/>
      <c r="I309" s="80" t="n"/>
      <c r="J309" s="80" t="n"/>
      <c r="K309" s="80" t="n"/>
      <c r="L309" s="82" t="n"/>
      <c r="M309" s="80" t="n"/>
      <c r="N309" s="80" t="n"/>
      <c r="O309" s="80" t="n"/>
      <c r="P309" s="82" t="n"/>
      <c r="Q309" s="82" t="n"/>
      <c r="R309" s="80" t="n"/>
      <c r="S309" s="80" t="n"/>
      <c r="T309" s="80" t="n"/>
      <c r="U309" s="83" t="n"/>
      <c r="V309">
        <f>IF($A309="","",IF($A309=$A308,$V308,IF($V308="",0,1-$V308)))</f>
        <v/>
      </c>
      <c r="W309">
        <f>IF($B309&lt;&gt;"",$B309,$A309)</f>
        <v/>
      </c>
      <c r="X309">
        <f>IF(COUNTA($A309:$U309)=0,"",IF(OR($B309&lt;&gt;"",$O309&lt;&gt;""),"Dependent","Employee"))</f>
        <v/>
      </c>
      <c r="Y309">
        <f>IF(COUNTA($A309:$U309)=0,"",IF($A309="","Employee SSN is required; ","")&amp;IF($C309="","First Name is required; ","")&amp;IF(LEN($C309&amp;"")&gt;19,"First Name exceeds 19 characters; ","")&amp;IF(AND($C309&lt;&gt;"",SUMPRODUCT(--(ROW($1:$19)&lt;=LEN($C309&amp;"")),--ISERROR(FIND(MID($C309&amp;"",ROW($1:$19),1),"ABCDEFGHIJKLMNOPQRSTUVWXYZabcdefghijklmnopqrstuvwxyz .,")))&gt;0),"First Name contains unsupported or encoded characters; use plain A-Z letters only; ","")&amp;IF($D309="","Last Name is required; ","")&amp;IF(LEN($D309&amp;"")&gt;26,"Last Name exceeds 26 characters; ","")&amp;IF(AND($D309&lt;&gt;"",SUMPRODUCT(--(ROW($1:$26)&lt;=LEN($D309&amp;"")),--ISERROR(FIND(MID($D309&amp;"",ROW($1:$26),1),"ABCDEFGHIJKLMNOPQRSTUVWXYZabcdefghijklmnopqrstuvwxyz .,")))&gt;0),"Last Name contains unsupported or encoded characters; use plain A-Z letters only; ","")&amp;IF(LEN($E309&amp;"")&gt;1,"Middle Initial may contain only one character; ","")&amp;IF(AND($E309&lt;&gt;"",SUMPRODUCT(--(ROW($1:$1)&lt;=LEN($E309&amp;"")),--ISERROR(FIND(MID($E309&amp;"",ROW($1:$1),1),"ABCDEFGHIJKLMNOPQRSTUVWXYZabcdefghijklmnopqrstuvwxyz .,")))&gt;0),"Middle Initial must be a plain A-Z letter; ","")&amp;IF($F309="","Address is required; ","")&amp;IF(LEN($F309&amp;"")&gt;75,"Address exceeds 75 characters; ","")&amp;IF(LEN($G309&amp;"")&gt;75,"Address 2 exceeds 75 characters; ","")&amp;IF($H309="","City is required; ","")&amp;IF(LEN($H309&amp;"")&gt;30,"City exceeds 30 characters; ","")&amp;IF($K309="","Country is required; ","")&amp;IF(AND($K309&lt;&gt;"",$K309&lt;&gt;"US",$K309&lt;&gt;"CA"),"Country must be US or CA; ","")&amp;IF(AND($K309="US",OR($I309="",LEN($I309&amp;"")&lt;&gt;2)),"Use a 2-letter state code; ","")&amp;IF($J309="","ZIP or postal code is required; ","")&amp;IF(AND($K309="US",$J309&lt;&gt;"",NOT(IFERROR(OR(AND(LEN($J309&amp;"")=5,ISNUMBER(--($J309&amp;""))),AND(LEN($J309&amp;"")=9,ISNUMBER(--($J309&amp;""))),AND(LEN($J309&amp;"")=10,MID($J309&amp;"",6,1)="-",ISNUMBER(--SUBSTITUTE($J309&amp;"","-","")))),FALSE))),"US ZIP must be 5 or 9 digits, with an optional ZIP+4 hyphen; ","")&amp;IF(AND($N309&lt;&gt;"",NOT(IFERROR(AND(ISNUMBER(SEARCH("@",$N309)),ISNUMBER(SEARCH(".",$N309,SEARCH("@",$N309)+2))),FALSE))),"Email format appears invalid; ","")&amp;IF(AND($O309&lt;&gt;"",$B309=""),"Dependent SSN is required for every dependent; ","")&amp;IF(AND($B309&lt;&gt;"",$O309=""),"Dependent Relationship is required when Dependent SSN is entered; ","")&amp;IF(AND($O309&lt;&gt;"",$O309&lt;&gt;"Spouse or Common Law Spouse",$O309&lt;&gt;"Domestic Partner",$O309&lt;&gt;"Child",$O309&lt;&gt;"Other",$O309&lt;&gt;"Estate",$O309&lt;&gt;"Unknown"),"Dependent Relationship must use one of the approved options; ",""))</f>
        <v/>
      </c>
      <c r="Z309">
        <f>IF(COUNTA($A309:$U309)=0,"",IF(AND($A309&lt;&gt;"",NOT(IFERROR(AND(LEN($A309&amp;"")=9,ISNUMBER(--($A309&amp;""))),FALSE))),"Employee SSN must contain exactly 9 digits; ","")&amp;IF(AND($A309&lt;&gt;"",OR($A309="123456789",$A309="987654321",$A309="012345678",$A309=REPT(LEFT($A309&amp;"",1),9))),"Employee SSN appears to be a placeholder; ","")&amp;IF(AND($B309&lt;&gt;"",NOT(IFERROR(AND(LEN($B309&amp;"")=9,ISNUMBER(--($B309&amp;""))),FALSE))),"Dependent SSN must contain exactly 9 digits; ","")&amp;IF(AND($B309&lt;&gt;"",OR($B309="123456789",$B309="987654321",$B309="012345678",$B309=REPT(LEFT($B309&amp;"",1),9))),"Dependent SSN appears to be a placeholder; ","")&amp;IF(AND($A309&lt;&gt;"",$B309&lt;&gt;"",$A309&amp;""=$B309&amp;""),"Dependent SSN cannot match Employee SSN; ","")&amp;IF(AND($W309&lt;&gt;"",OR(COUNTIFS($W$2:$W$501,$W309,$C$2:$C$501,"&lt;&gt;"&amp;$C309)&gt;0,COUNTIFS($W$2:$W$501,$W309,$D$2:$D$501,"&lt;&gt;"&amp;$D309)&gt;0,COUNTIFS($W$2:$W$501,$W309,$L$2:$L$501,"&lt;&gt;"&amp;$L309)&gt;0)),"The same SSN is associated with a different name or birthdate; ",""))</f>
        <v/>
      </c>
      <c r="AA309">
        <f>IF(COUNTA($A309:$U309)=0,"",IF(AND($A309&lt;&gt;"",$S309&lt;&gt;"",COUNTIFS($A$2:$A$501,$A309,$S$2:$S$501,$S309,$B$2:$B$501,"",$O$2:$O$501,"")=0),"Add an employee row for this household and plan; ","")&amp;IF(AND($X309="Dependent",COUNTIFS($A$2:$A309,$A309,$S$2:$S309,$S309,$B$2:$B309,"",$O$2:$O309,"")=0),"Place the employee row before dependent rows for this plan; ","")&amp;IF(AND($X309="Dependent",COUNTIFS($A$2:$A$501,$A309,$S$2:$S$501,$S309,$B$2:$B$501,"",$O$2:$O$501,"")&gt;0,IFERROR(OR($P309&lt;&gt;LOOKUP(2,1/(($A$2:$A$501=$A309)*($S$2:$S$501=$S309)*($B$2:$B$501="")*($O$2:$O$501="")),$P$2:$P$501),$Q309&lt;&gt;LOOKUP(2,1/(($A$2:$A$501=$A309)*($S$2:$S$501=$S309)*($B$2:$B$501="")*($O$2:$O$501="")),$Q$2:$Q$501),$R309&lt;&gt;LOOKUP(2,1/(($A$2:$A$501=$A309)*($S$2:$S$501=$S309)*($B$2:$B$501="")*($O$2:$O$501="")),$R$2:$R$501),$T309&lt;&gt;LOOKUP(2,1/(($A$2:$A$501=$A309)*($S$2:$S$501=$S309)*($B$2:$B$501="")*($O$2:$O$501="")),$T$2:$T$501),$U309&lt;&gt;LOOKUP(2,1/(($A$2:$A$501=$A309)*($S$2:$S$501=$S309)*($B$2:$B$501="")*($O$2:$O$501="")),$U$2:$U$501)),FALSE)),"Dependent row does not match the employee row for eligibility, status, coverage level, or funding; ",""))</f>
        <v/>
      </c>
      <c r="AB309">
        <f>IF(COUNTA($A309:$U309)=0,"",IF($L309="","Birthdate is required; ","")&amp;IF(AND($L309&lt;&gt;"",OR(NOT(ISNUMBER($L309)),$L309&lt;=DATE(1900,1,1),$L309&gt;TODAY())),"Birthdate must be an exact valid past date; ","")&amp;IF($P309="","Eligibility Date is required; ","")&amp;IF(AND($P309&lt;&gt;"",OR(NOT(ISNUMBER($P309)),$P309&lt;=DATE(1900,1,1))),"Eligibility Date must be a valid date; ","")&amp;IF(AND($R309="Terminated",$Q309=""),"Termination Date is required when Status is Terminated; ","")&amp;IF(AND($Q309&lt;&gt;"",OR(NOT(ISNUMBER($Q309)),$Q309&lt;=DATE(1900,1,1))),"Termination Date must be a valid date; ","")&amp;IF(AND(ISNUMBER($P309),ISNUMBER($Q309),$Q309&lt;$P309),"Termination Date cannot be before Eligibility Date; ","")&amp;IF($R309="","Status is required; ","")&amp;IF(AND($R309&lt;&gt;"",$R309&lt;&gt;"Active",$R309&lt;&gt;"Terminated"),"Status must be Active or Terminated; ","")&amp;IF(AND('START HERE'!$C$8="Terminations Only",$R309&lt;&gt;"Terminated"),"Terminations Only files must contain terminated records; ",""))</f>
        <v/>
      </c>
      <c r="AC309">
        <f>IF(COUNTA($A309:$U309)=0,"",IF($S309="","Plan Name is required; ","")&amp;IF($T309="","Benefit Coverage Level is required; ","")&amp;IF(AND($U309&lt;&gt;"",OR(NOT(ISNUMBER($U309)),$U309&lt;0)),"Plan Funding Amount must be a nonnegative number; ","")&amp;IF(AND($A309&lt;&gt;"",$S309&lt;&gt;"",COUNTIFS($A$2:$A$501,$A309,$B$2:$B$501,$B309,$S$2:$S$501,$S309)&gt;1),"Duplicate participant and plan row; ",""))</f>
        <v/>
      </c>
      <c r="AD309">
        <f>IF(COUNTA($A309:$U309)=0,"",IF(AND($X309="Employee",$M309="",$N309=""),"No employee phone or email provided; ","")&amp;IF(AND($R309="Active",$Q309&lt;&gt;""),"Active record includes a Termination Date; confirm this is intentional; ","")&amp;IF(AND($B309&lt;&gt;"",$B309&amp;""&lt;&gt;$A309&amp;"",COUNTIF($A$2:$A$501,$B309)&gt;0),"Dependent SSN also appears as an Employee SSN elsewhere; confirm dual-employee coverage is intentional; ","")&amp;IF(AND($B309&lt;&gt;"",COUNTIF($B$2:$B$501,$B309)&gt;COUNTIFS($A$2:$A$501,$A309,$B$2:$B$501,$B309)),"Dependent SSN appears under more than one employee; confirm duplicate family coverage is intentional; ","")&amp;IF(AND(ROW()&gt;2,$A309&lt;&gt;"",$A309&lt;&gt;$A308,COUNTIF($A$2:$A308,$A309)&gt;0),"This household appears in more than one section of the census; keep the family together; ","")&amp;IF(OR(AND($C309&lt;&gt;"",LEN($C309&amp;"")&lt;&gt;LEN(TRIM($C309&amp;""))),AND($D309&lt;&gt;"",LEN($D309&amp;"")&lt;&gt;LEN(TRIM($D309&amp;""))),AND($E309&lt;&gt;"",LEN($E309&amp;"")&lt;&gt;LEN(TRIM($E309&amp;""))),AND($F309&lt;&gt;"",LEN($F309&amp;"")&lt;&gt;LEN(TRIM($F309&amp;""))),AND($G309&lt;&gt;"",LEN($G309&amp;"")&lt;&gt;LEN(TRIM($G309&amp;""))),AND($H309&lt;&gt;"",LEN($H309&amp;"")&lt;&gt;LEN(TRIM($H309&amp;""))),AND($I309&lt;&gt;"",LEN($I309&amp;"")&lt;&gt;LEN(TRIM($I309&amp;""))),AND($J309&lt;&gt;"",LEN($J309&amp;"")&lt;&gt;LEN(TRIM($J309&amp;""))),AND($K309&lt;&gt;"",LEN($K309&amp;"")&lt;&gt;LEN(TRIM($K309&amp;""))),AND($M309&lt;&gt;"",LEN($M309&amp;"")&lt;&gt;LEN(TRIM($M309&amp;""))),AND($N309&lt;&gt;"",LEN($N309&amp;"")&lt;&gt;LEN(TRIM($N309&amp;""))),AND($O309&lt;&gt;"",LEN($O309&amp;"")&lt;&gt;LEN(TRIM($O309&amp;""))),AND($R309&lt;&gt;"",LEN($R309&amp;"")&lt;&gt;LEN(TRIM($R309&amp;""))),AND($S309&lt;&gt;"",LEN($S309&amp;"")&lt;&gt;LEN(TRIM($S309&amp;""))),AND($T309&lt;&gt;"",LEN($T309&amp;"")&lt;&gt;LEN(TRIM($T309&amp;"")))),"Remove leading or trailing spaces from text fields; ","")&amp;IF(OR(AND(LEN($C309)&gt;1,OR(EXACT($C309,UPPER($C309)),EXACT($C309,LOWER($C309)))),AND(LEN($D309)&gt;1,OR(EXACT($D309,UPPER($D309)),EXACT($D309,LOWER($D309)))),AND(LEN($H309)&gt;1,OR(EXACT($H309,UPPER($H309)),EXACT($H309,LOWER($H309))))),"Review capitalization in First Name, Last Name, or City; ","")&amp;IF(AND($N309&lt;&gt;"",NOT(EXACT($N309,LOWER($N309)))),"Email will be standardized to lowercase in the clean output; ","")&amp;IF(AND(OR('START HERE'!$C$8="Initial Enrollment",'START HERE'!$C$8="Open Enrollment"),$R309="Terminated"),"A terminated row is included in an initial or open enrollment file; confirm this is intentional; ",""))</f>
        <v/>
      </c>
      <c r="AE309">
        <f>IF(COUNTA($A309:$U309)=0,"",IF(OR($A309="",AND($A309&lt;&gt;"",NOT(IFERROR(AND(LEN($A309&amp;"")=9,ISNUMBER(--($A309&amp;""))),FALSE))),AND($A309&lt;&gt;"",OR($A309="123456789",$A309="987654321",$A309="012345678",$A309=REPT(LEFT($A309&amp;"",1),9)))),"Employee SSN, ","")&amp;IF(OR(AND($O309&lt;&gt;"",$B309=""),AND($B309&lt;&gt;"",OR(NOT(IFERROR(AND(LEN($B309&amp;"")=9,ISNUMBER(--($B309&amp;""))),FALSE)),$B309=$A309,$B309="123456789",$B309="987654321",$B309="012345678",$B309=REPT(LEFT($B309&amp;"",1),9)))),"Dependent SSN, ","")&amp;IF(OR($C309="",LEN($C309)&gt;19,AND($C309&lt;&gt;"",SUMPRODUCT(--(ROW($1:$19)&lt;=LEN($C309&amp;"")),--ISERROR(FIND(MID($C309&amp;"",ROW($1:$19),1),"ABCDEFGHIJKLMNOPQRSTUVWXYZabcdefghijklmnopqrstuvwxyz .,")))&gt;0)),"First Name, ","")&amp;IF(OR($D309="",LEN($D309)&gt;26,AND($D309&lt;&gt;"",SUMPRODUCT(--(ROW($1:$26)&lt;=LEN($D309&amp;"")),--ISERROR(FIND(MID($D309&amp;"",ROW($1:$26),1),"ABCDEFGHIJKLMNOPQRSTUVWXYZabcdefghijklmnopqrstuvwxyz .,")))&gt;0)),"Last Name, ","")&amp;IF(OR(LEN($E309)&gt;1,AND($E309&lt;&gt;"",SUMPRODUCT(--(ROW($1:$1)&lt;=LEN($E309&amp;"")),--ISERROR(FIND(MID($E309&amp;"",ROW($1:$1),1),"ABCDEFGHIJKLMNOPQRSTUVWXYZabcdefghijklmnopqrstuvwxyz .,")))&gt;0)),"Middle Initial, ","")&amp;IF(OR($F309="",LEN($F309)&gt;75),"Address, ","")&amp;IF(OR($H309="",LEN($H309)&gt;30),"City, ","")&amp;IF(AND($K309="US",OR($I309="",LEN($I309)&lt;&gt;2)),"State, ","")&amp;IF($J309="","ZIP, ","")&amp;IF(OR($K309="",AND($K309&lt;&gt;"US",$K309&lt;&gt;"CA")),"Country, ","")&amp;IF(OR($L309="",AND($L309&lt;&gt;"",OR(NOT(ISNUMBER($L309)),$L309&lt;=DATE(1900,1,1),$L309&gt;TODAY()))),"Birthdate, ","")&amp;IF(AND($N309&lt;&gt;"",NOT(IFERROR(AND(ISNUMBER(SEARCH("@",$N309)),ISNUMBER(SEARCH(".",$N309,SEARCH("@",$N309)+2))),FALSE))),"Email, ","")&amp;IF(OR(AND($B309&lt;&gt;"",$O309=""),AND($O309&lt;&gt;"",$O309&lt;&gt;"Spouse or Common Law Spouse",$O309&lt;&gt;"Domestic Partner",$O309&lt;&gt;"Child",$O309&lt;&gt;"Other",$O309&lt;&gt;"Estate",$O309&lt;&gt;"Unknown")),"Dependent Relationship, ","")&amp;IF($AA309&lt;&gt;"","Household, ","")&amp;IF(OR($P309="",AND($P309&lt;&gt;"",OR(NOT(ISNUMBER($P309)),$P309&lt;=DATE(1900,1,1)))),"Eligibility Date, ","")&amp;IF(OR(AND($R309="Terminated",$Q309=""),AND($Q309&lt;&gt;"",OR(NOT(ISNUMBER($Q309)),$Q309&lt;=DATE(1900,1,1))),AND(ISNUMBER($P309),ISNUMBER($Q309),$Q309&lt;$P309)),"Termination Date, ","")&amp;IF(OR($R309="",AND($R309&lt;&gt;"Active",$R309&lt;&gt;"Terminated"),AND('START HERE'!$C$8="Terminations Only",$R309&lt;&gt;"Terminated")),"Status, ","")&amp;IF($S309="","Plan Name, ","")&amp;IF($T309="","Coverage Level, ","")&amp;IF(AND($U309&lt;&gt;"",OR(NOT(ISNUMBER($U309)),$U309&lt;0)),"Funding, ","")&amp;IF(AND($A309&lt;&gt;"",$S309&lt;&gt;"",COUNTIFS($A$2:$A$501,$A309,$B$2:$B$501,$B309,$S$2:$S$501,$S309)&gt;1),"Duplicate Row, ",""))</f>
        <v/>
      </c>
      <c r="AF309">
        <f>IF(COUNTA($A309:$U309)=0,"",$Y309&amp;$Z309&amp;$AA309&amp;$AB309&amp;$AC309)</f>
        <v/>
      </c>
      <c r="AG309">
        <f>IF($N309="","",LOWER(TRIM($N309)))</f>
        <v/>
      </c>
      <c r="AH309">
        <f>IF($A309="","",COUNTIFS($A$2:$A$501,$A309,$AI$2:$AI$501,1))</f>
        <v/>
      </c>
      <c r="AI309">
        <f>IF(COUNTA($A309:$U309)=0,"",--($AF309&lt;&gt;""))</f>
        <v/>
      </c>
      <c r="AJ309">
        <f>IF(COUNTA($A309:$U309)=0,"",--($AD309&lt;&gt;""))</f>
        <v/>
      </c>
    </row>
    <row r="310" ht="20" customHeight="1">
      <c r="A310" s="80" t="n"/>
      <c r="B310" s="80" t="n"/>
      <c r="C310" s="81" t="n"/>
      <c r="D310" s="81" t="n"/>
      <c r="E310" s="80" t="n"/>
      <c r="F310" s="81" t="n"/>
      <c r="G310" s="81" t="n"/>
      <c r="H310" s="81" t="n"/>
      <c r="I310" s="80" t="n"/>
      <c r="J310" s="80" t="n"/>
      <c r="K310" s="80" t="n"/>
      <c r="L310" s="82" t="n"/>
      <c r="M310" s="80" t="n"/>
      <c r="N310" s="80" t="n"/>
      <c r="O310" s="80" t="n"/>
      <c r="P310" s="82" t="n"/>
      <c r="Q310" s="82" t="n"/>
      <c r="R310" s="80" t="n"/>
      <c r="S310" s="80" t="n"/>
      <c r="T310" s="80" t="n"/>
      <c r="U310" s="83" t="n"/>
      <c r="V310">
        <f>IF($A310="","",IF($A310=$A309,$V309,IF($V309="",0,1-$V309)))</f>
        <v/>
      </c>
      <c r="W310">
        <f>IF($B310&lt;&gt;"",$B310,$A310)</f>
        <v/>
      </c>
      <c r="X310">
        <f>IF(COUNTA($A310:$U310)=0,"",IF(OR($B310&lt;&gt;"",$O310&lt;&gt;""),"Dependent","Employee"))</f>
        <v/>
      </c>
      <c r="Y310">
        <f>IF(COUNTA($A310:$U310)=0,"",IF($A310="","Employee SSN is required; ","")&amp;IF($C310="","First Name is required; ","")&amp;IF(LEN($C310&amp;"")&gt;19,"First Name exceeds 19 characters; ","")&amp;IF(AND($C310&lt;&gt;"",SUMPRODUCT(--(ROW($1:$19)&lt;=LEN($C310&amp;"")),--ISERROR(FIND(MID($C310&amp;"",ROW($1:$19),1),"ABCDEFGHIJKLMNOPQRSTUVWXYZabcdefghijklmnopqrstuvwxyz .,")))&gt;0),"First Name contains unsupported or encoded characters; use plain A-Z letters only; ","")&amp;IF($D310="","Last Name is required; ","")&amp;IF(LEN($D310&amp;"")&gt;26,"Last Name exceeds 26 characters; ","")&amp;IF(AND($D310&lt;&gt;"",SUMPRODUCT(--(ROW($1:$26)&lt;=LEN($D310&amp;"")),--ISERROR(FIND(MID($D310&amp;"",ROW($1:$26),1),"ABCDEFGHIJKLMNOPQRSTUVWXYZabcdefghijklmnopqrstuvwxyz .,")))&gt;0),"Last Name contains unsupported or encoded characters; use plain A-Z letters only; ","")&amp;IF(LEN($E310&amp;"")&gt;1,"Middle Initial may contain only one character; ","")&amp;IF(AND($E310&lt;&gt;"",SUMPRODUCT(--(ROW($1:$1)&lt;=LEN($E310&amp;"")),--ISERROR(FIND(MID($E310&amp;"",ROW($1:$1),1),"ABCDEFGHIJKLMNOPQRSTUVWXYZabcdefghijklmnopqrstuvwxyz .,")))&gt;0),"Middle Initial must be a plain A-Z letter; ","")&amp;IF($F310="","Address is required; ","")&amp;IF(LEN($F310&amp;"")&gt;75,"Address exceeds 75 characters; ","")&amp;IF(LEN($G310&amp;"")&gt;75,"Address 2 exceeds 75 characters; ","")&amp;IF($H310="","City is required; ","")&amp;IF(LEN($H310&amp;"")&gt;30,"City exceeds 30 characters; ","")&amp;IF($K310="","Country is required; ","")&amp;IF(AND($K310&lt;&gt;"",$K310&lt;&gt;"US",$K310&lt;&gt;"CA"),"Country must be US or CA; ","")&amp;IF(AND($K310="US",OR($I310="",LEN($I310&amp;"")&lt;&gt;2)),"Use a 2-letter state code; ","")&amp;IF($J310="","ZIP or postal code is required; ","")&amp;IF(AND($K310="US",$J310&lt;&gt;"",NOT(IFERROR(OR(AND(LEN($J310&amp;"")=5,ISNUMBER(--($J310&amp;""))),AND(LEN($J310&amp;"")=9,ISNUMBER(--($J310&amp;""))),AND(LEN($J310&amp;"")=10,MID($J310&amp;"",6,1)="-",ISNUMBER(--SUBSTITUTE($J310&amp;"","-","")))),FALSE))),"US ZIP must be 5 or 9 digits, with an optional ZIP+4 hyphen; ","")&amp;IF(AND($N310&lt;&gt;"",NOT(IFERROR(AND(ISNUMBER(SEARCH("@",$N310)),ISNUMBER(SEARCH(".",$N310,SEARCH("@",$N310)+2))),FALSE))),"Email format appears invalid; ","")&amp;IF(AND($O310&lt;&gt;"",$B310=""),"Dependent SSN is required for every dependent; ","")&amp;IF(AND($B310&lt;&gt;"",$O310=""),"Dependent Relationship is required when Dependent SSN is entered; ","")&amp;IF(AND($O310&lt;&gt;"",$O310&lt;&gt;"Spouse or Common Law Spouse",$O310&lt;&gt;"Domestic Partner",$O310&lt;&gt;"Child",$O310&lt;&gt;"Other",$O310&lt;&gt;"Estate",$O310&lt;&gt;"Unknown"),"Dependent Relationship must use one of the approved options; ",""))</f>
        <v/>
      </c>
      <c r="Z310">
        <f>IF(COUNTA($A310:$U310)=0,"",IF(AND($A310&lt;&gt;"",NOT(IFERROR(AND(LEN($A310&amp;"")=9,ISNUMBER(--($A310&amp;""))),FALSE))),"Employee SSN must contain exactly 9 digits; ","")&amp;IF(AND($A310&lt;&gt;"",OR($A310="123456789",$A310="987654321",$A310="012345678",$A310=REPT(LEFT($A310&amp;"",1),9))),"Employee SSN appears to be a placeholder; ","")&amp;IF(AND($B310&lt;&gt;"",NOT(IFERROR(AND(LEN($B310&amp;"")=9,ISNUMBER(--($B310&amp;""))),FALSE))),"Dependent SSN must contain exactly 9 digits; ","")&amp;IF(AND($B310&lt;&gt;"",OR($B310="123456789",$B310="987654321",$B310="012345678",$B310=REPT(LEFT($B310&amp;"",1),9))),"Dependent SSN appears to be a placeholder; ","")&amp;IF(AND($A310&lt;&gt;"",$B310&lt;&gt;"",$A310&amp;""=$B310&amp;""),"Dependent SSN cannot match Employee SSN; ","")&amp;IF(AND($W310&lt;&gt;"",OR(COUNTIFS($W$2:$W$501,$W310,$C$2:$C$501,"&lt;&gt;"&amp;$C310)&gt;0,COUNTIFS($W$2:$W$501,$W310,$D$2:$D$501,"&lt;&gt;"&amp;$D310)&gt;0,COUNTIFS($W$2:$W$501,$W310,$L$2:$L$501,"&lt;&gt;"&amp;$L310)&gt;0)),"The same SSN is associated with a different name or birthdate; ",""))</f>
        <v/>
      </c>
      <c r="AA310">
        <f>IF(COUNTA($A310:$U310)=0,"",IF(AND($A310&lt;&gt;"",$S310&lt;&gt;"",COUNTIFS($A$2:$A$501,$A310,$S$2:$S$501,$S310,$B$2:$B$501,"",$O$2:$O$501,"")=0),"Add an employee row for this household and plan; ","")&amp;IF(AND($X310="Dependent",COUNTIFS($A$2:$A310,$A310,$S$2:$S310,$S310,$B$2:$B310,"",$O$2:$O310,"")=0),"Place the employee row before dependent rows for this plan; ","")&amp;IF(AND($X310="Dependent",COUNTIFS($A$2:$A$501,$A310,$S$2:$S$501,$S310,$B$2:$B$501,"",$O$2:$O$501,"")&gt;0,IFERROR(OR($P310&lt;&gt;LOOKUP(2,1/(($A$2:$A$501=$A310)*($S$2:$S$501=$S310)*($B$2:$B$501="")*($O$2:$O$501="")),$P$2:$P$501),$Q310&lt;&gt;LOOKUP(2,1/(($A$2:$A$501=$A310)*($S$2:$S$501=$S310)*($B$2:$B$501="")*($O$2:$O$501="")),$Q$2:$Q$501),$R310&lt;&gt;LOOKUP(2,1/(($A$2:$A$501=$A310)*($S$2:$S$501=$S310)*($B$2:$B$501="")*($O$2:$O$501="")),$R$2:$R$501),$T310&lt;&gt;LOOKUP(2,1/(($A$2:$A$501=$A310)*($S$2:$S$501=$S310)*($B$2:$B$501="")*($O$2:$O$501="")),$T$2:$T$501),$U310&lt;&gt;LOOKUP(2,1/(($A$2:$A$501=$A310)*($S$2:$S$501=$S310)*($B$2:$B$501="")*($O$2:$O$501="")),$U$2:$U$501)),FALSE)),"Dependent row does not match the employee row for eligibility, status, coverage level, or funding; ",""))</f>
        <v/>
      </c>
      <c r="AB310">
        <f>IF(COUNTA($A310:$U310)=0,"",IF($L310="","Birthdate is required; ","")&amp;IF(AND($L310&lt;&gt;"",OR(NOT(ISNUMBER($L310)),$L310&lt;=DATE(1900,1,1),$L310&gt;TODAY())),"Birthdate must be an exact valid past date; ","")&amp;IF($P310="","Eligibility Date is required; ","")&amp;IF(AND($P310&lt;&gt;"",OR(NOT(ISNUMBER($P310)),$P310&lt;=DATE(1900,1,1))),"Eligibility Date must be a valid date; ","")&amp;IF(AND($R310="Terminated",$Q310=""),"Termination Date is required when Status is Terminated; ","")&amp;IF(AND($Q310&lt;&gt;"",OR(NOT(ISNUMBER($Q310)),$Q310&lt;=DATE(1900,1,1))),"Termination Date must be a valid date; ","")&amp;IF(AND(ISNUMBER($P310),ISNUMBER($Q310),$Q310&lt;$P310),"Termination Date cannot be before Eligibility Date; ","")&amp;IF($R310="","Status is required; ","")&amp;IF(AND($R310&lt;&gt;"",$R310&lt;&gt;"Active",$R310&lt;&gt;"Terminated"),"Status must be Active or Terminated; ","")&amp;IF(AND('START HERE'!$C$8="Terminations Only",$R310&lt;&gt;"Terminated"),"Terminations Only files must contain terminated records; ",""))</f>
        <v/>
      </c>
      <c r="AC310">
        <f>IF(COUNTA($A310:$U310)=0,"",IF($S310="","Plan Name is required; ","")&amp;IF($T310="","Benefit Coverage Level is required; ","")&amp;IF(AND($U310&lt;&gt;"",OR(NOT(ISNUMBER($U310)),$U310&lt;0)),"Plan Funding Amount must be a nonnegative number; ","")&amp;IF(AND($A310&lt;&gt;"",$S310&lt;&gt;"",COUNTIFS($A$2:$A$501,$A310,$B$2:$B$501,$B310,$S$2:$S$501,$S310)&gt;1),"Duplicate participant and plan row; ",""))</f>
        <v/>
      </c>
      <c r="AD310">
        <f>IF(COUNTA($A310:$U310)=0,"",IF(AND($X310="Employee",$M310="",$N310=""),"No employee phone or email provided; ","")&amp;IF(AND($R310="Active",$Q310&lt;&gt;""),"Active record includes a Termination Date; confirm this is intentional; ","")&amp;IF(AND($B310&lt;&gt;"",$B310&amp;""&lt;&gt;$A310&amp;"",COUNTIF($A$2:$A$501,$B310)&gt;0),"Dependent SSN also appears as an Employee SSN elsewhere; confirm dual-employee coverage is intentional; ","")&amp;IF(AND($B310&lt;&gt;"",COUNTIF($B$2:$B$501,$B310)&gt;COUNTIFS($A$2:$A$501,$A310,$B$2:$B$501,$B310)),"Dependent SSN appears under more than one employee; confirm duplicate family coverage is intentional; ","")&amp;IF(AND(ROW()&gt;2,$A310&lt;&gt;"",$A310&lt;&gt;$A309,COUNTIF($A$2:$A309,$A310)&gt;0),"This household appears in more than one section of the census; keep the family together; ","")&amp;IF(OR(AND($C310&lt;&gt;"",LEN($C310&amp;"")&lt;&gt;LEN(TRIM($C310&amp;""))),AND($D310&lt;&gt;"",LEN($D310&amp;"")&lt;&gt;LEN(TRIM($D310&amp;""))),AND($E310&lt;&gt;"",LEN($E310&amp;"")&lt;&gt;LEN(TRIM($E310&amp;""))),AND($F310&lt;&gt;"",LEN($F310&amp;"")&lt;&gt;LEN(TRIM($F310&amp;""))),AND($G310&lt;&gt;"",LEN($G310&amp;"")&lt;&gt;LEN(TRIM($G310&amp;""))),AND($H310&lt;&gt;"",LEN($H310&amp;"")&lt;&gt;LEN(TRIM($H310&amp;""))),AND($I310&lt;&gt;"",LEN($I310&amp;"")&lt;&gt;LEN(TRIM($I310&amp;""))),AND($J310&lt;&gt;"",LEN($J310&amp;"")&lt;&gt;LEN(TRIM($J310&amp;""))),AND($K310&lt;&gt;"",LEN($K310&amp;"")&lt;&gt;LEN(TRIM($K310&amp;""))),AND($M310&lt;&gt;"",LEN($M310&amp;"")&lt;&gt;LEN(TRIM($M310&amp;""))),AND($N310&lt;&gt;"",LEN($N310&amp;"")&lt;&gt;LEN(TRIM($N310&amp;""))),AND($O310&lt;&gt;"",LEN($O310&amp;"")&lt;&gt;LEN(TRIM($O310&amp;""))),AND($R310&lt;&gt;"",LEN($R310&amp;"")&lt;&gt;LEN(TRIM($R310&amp;""))),AND($S310&lt;&gt;"",LEN($S310&amp;"")&lt;&gt;LEN(TRIM($S310&amp;""))),AND($T310&lt;&gt;"",LEN($T310&amp;"")&lt;&gt;LEN(TRIM($T310&amp;"")))),"Remove leading or trailing spaces from text fields; ","")&amp;IF(OR(AND(LEN($C310)&gt;1,OR(EXACT($C310,UPPER($C310)),EXACT($C310,LOWER($C310)))),AND(LEN($D310)&gt;1,OR(EXACT($D310,UPPER($D310)),EXACT($D310,LOWER($D310)))),AND(LEN($H310)&gt;1,OR(EXACT($H310,UPPER($H310)),EXACT($H310,LOWER($H310))))),"Review capitalization in First Name, Last Name, or City; ","")&amp;IF(AND($N310&lt;&gt;"",NOT(EXACT($N310,LOWER($N310)))),"Email will be standardized to lowercase in the clean output; ","")&amp;IF(AND(OR('START HERE'!$C$8="Initial Enrollment",'START HERE'!$C$8="Open Enrollment"),$R310="Terminated"),"A terminated row is included in an initial or open enrollment file; confirm this is intentional; ",""))</f>
        <v/>
      </c>
      <c r="AE310">
        <f>IF(COUNTA($A310:$U310)=0,"",IF(OR($A310="",AND($A310&lt;&gt;"",NOT(IFERROR(AND(LEN($A310&amp;"")=9,ISNUMBER(--($A310&amp;""))),FALSE))),AND($A310&lt;&gt;"",OR($A310="123456789",$A310="987654321",$A310="012345678",$A310=REPT(LEFT($A310&amp;"",1),9)))),"Employee SSN, ","")&amp;IF(OR(AND($O310&lt;&gt;"",$B310=""),AND($B310&lt;&gt;"",OR(NOT(IFERROR(AND(LEN($B310&amp;"")=9,ISNUMBER(--($B310&amp;""))),FALSE)),$B310=$A310,$B310="123456789",$B310="987654321",$B310="012345678",$B310=REPT(LEFT($B310&amp;"",1),9)))),"Dependent SSN, ","")&amp;IF(OR($C310="",LEN($C310)&gt;19,AND($C310&lt;&gt;"",SUMPRODUCT(--(ROW($1:$19)&lt;=LEN($C310&amp;"")),--ISERROR(FIND(MID($C310&amp;"",ROW($1:$19),1),"ABCDEFGHIJKLMNOPQRSTUVWXYZabcdefghijklmnopqrstuvwxyz .,")))&gt;0)),"First Name, ","")&amp;IF(OR($D310="",LEN($D310)&gt;26,AND($D310&lt;&gt;"",SUMPRODUCT(--(ROW($1:$26)&lt;=LEN($D310&amp;"")),--ISERROR(FIND(MID($D310&amp;"",ROW($1:$26),1),"ABCDEFGHIJKLMNOPQRSTUVWXYZabcdefghijklmnopqrstuvwxyz .,")))&gt;0)),"Last Name, ","")&amp;IF(OR(LEN($E310)&gt;1,AND($E310&lt;&gt;"",SUMPRODUCT(--(ROW($1:$1)&lt;=LEN($E310&amp;"")),--ISERROR(FIND(MID($E310&amp;"",ROW($1:$1),1),"ABCDEFGHIJKLMNOPQRSTUVWXYZabcdefghijklmnopqrstuvwxyz .,")))&gt;0)),"Middle Initial, ","")&amp;IF(OR($F310="",LEN($F310)&gt;75),"Address, ","")&amp;IF(OR($H310="",LEN($H310)&gt;30),"City, ","")&amp;IF(AND($K310="US",OR($I310="",LEN($I310)&lt;&gt;2)),"State, ","")&amp;IF($J310="","ZIP, ","")&amp;IF(OR($K310="",AND($K310&lt;&gt;"US",$K310&lt;&gt;"CA")),"Country, ","")&amp;IF(OR($L310="",AND($L310&lt;&gt;"",OR(NOT(ISNUMBER($L310)),$L310&lt;=DATE(1900,1,1),$L310&gt;TODAY()))),"Birthdate, ","")&amp;IF(AND($N310&lt;&gt;"",NOT(IFERROR(AND(ISNUMBER(SEARCH("@",$N310)),ISNUMBER(SEARCH(".",$N310,SEARCH("@",$N310)+2))),FALSE))),"Email, ","")&amp;IF(OR(AND($B310&lt;&gt;"",$O310=""),AND($O310&lt;&gt;"",$O310&lt;&gt;"Spouse or Common Law Spouse",$O310&lt;&gt;"Domestic Partner",$O310&lt;&gt;"Child",$O310&lt;&gt;"Other",$O310&lt;&gt;"Estate",$O310&lt;&gt;"Unknown")),"Dependent Relationship, ","")&amp;IF($AA310&lt;&gt;"","Household, ","")&amp;IF(OR($P310="",AND($P310&lt;&gt;"",OR(NOT(ISNUMBER($P310)),$P310&lt;=DATE(1900,1,1)))),"Eligibility Date, ","")&amp;IF(OR(AND($R310="Terminated",$Q310=""),AND($Q310&lt;&gt;"",OR(NOT(ISNUMBER($Q310)),$Q310&lt;=DATE(1900,1,1))),AND(ISNUMBER($P310),ISNUMBER($Q310),$Q310&lt;$P310)),"Termination Date, ","")&amp;IF(OR($R310="",AND($R310&lt;&gt;"Active",$R310&lt;&gt;"Terminated"),AND('START HERE'!$C$8="Terminations Only",$R310&lt;&gt;"Terminated")),"Status, ","")&amp;IF($S310="","Plan Name, ","")&amp;IF($T310="","Coverage Level, ","")&amp;IF(AND($U310&lt;&gt;"",OR(NOT(ISNUMBER($U310)),$U310&lt;0)),"Funding, ","")&amp;IF(AND($A310&lt;&gt;"",$S310&lt;&gt;"",COUNTIFS($A$2:$A$501,$A310,$B$2:$B$501,$B310,$S$2:$S$501,$S310)&gt;1),"Duplicate Row, ",""))</f>
        <v/>
      </c>
      <c r="AF310">
        <f>IF(COUNTA($A310:$U310)=0,"",$Y310&amp;$Z310&amp;$AA310&amp;$AB310&amp;$AC310)</f>
        <v/>
      </c>
      <c r="AG310">
        <f>IF($N310="","",LOWER(TRIM($N310)))</f>
        <v/>
      </c>
      <c r="AH310">
        <f>IF($A310="","",COUNTIFS($A$2:$A$501,$A310,$AI$2:$AI$501,1))</f>
        <v/>
      </c>
      <c r="AI310">
        <f>IF(COUNTA($A310:$U310)=0,"",--($AF310&lt;&gt;""))</f>
        <v/>
      </c>
      <c r="AJ310">
        <f>IF(COUNTA($A310:$U310)=0,"",--($AD310&lt;&gt;""))</f>
        <v/>
      </c>
    </row>
    <row r="311" ht="20" customHeight="1">
      <c r="A311" s="80" t="n"/>
      <c r="B311" s="80" t="n"/>
      <c r="C311" s="81" t="n"/>
      <c r="D311" s="81" t="n"/>
      <c r="E311" s="80" t="n"/>
      <c r="F311" s="81" t="n"/>
      <c r="G311" s="81" t="n"/>
      <c r="H311" s="81" t="n"/>
      <c r="I311" s="80" t="n"/>
      <c r="J311" s="80" t="n"/>
      <c r="K311" s="80" t="n"/>
      <c r="L311" s="82" t="n"/>
      <c r="M311" s="80" t="n"/>
      <c r="N311" s="80" t="n"/>
      <c r="O311" s="80" t="n"/>
      <c r="P311" s="82" t="n"/>
      <c r="Q311" s="82" t="n"/>
      <c r="R311" s="80" t="n"/>
      <c r="S311" s="80" t="n"/>
      <c r="T311" s="80" t="n"/>
      <c r="U311" s="83" t="n"/>
      <c r="V311">
        <f>IF($A311="","",IF($A311=$A310,$V310,IF($V310="",0,1-$V310)))</f>
        <v/>
      </c>
      <c r="W311">
        <f>IF($B311&lt;&gt;"",$B311,$A311)</f>
        <v/>
      </c>
      <c r="X311">
        <f>IF(COUNTA($A311:$U311)=0,"",IF(OR($B311&lt;&gt;"",$O311&lt;&gt;""),"Dependent","Employee"))</f>
        <v/>
      </c>
      <c r="Y311">
        <f>IF(COUNTA($A311:$U311)=0,"",IF($A311="","Employee SSN is required; ","")&amp;IF($C311="","First Name is required; ","")&amp;IF(LEN($C311&amp;"")&gt;19,"First Name exceeds 19 characters; ","")&amp;IF(AND($C311&lt;&gt;"",SUMPRODUCT(--(ROW($1:$19)&lt;=LEN($C311&amp;"")),--ISERROR(FIND(MID($C311&amp;"",ROW($1:$19),1),"ABCDEFGHIJKLMNOPQRSTUVWXYZabcdefghijklmnopqrstuvwxyz .,")))&gt;0),"First Name contains unsupported or encoded characters; use plain A-Z letters only; ","")&amp;IF($D311="","Last Name is required; ","")&amp;IF(LEN($D311&amp;"")&gt;26,"Last Name exceeds 26 characters; ","")&amp;IF(AND($D311&lt;&gt;"",SUMPRODUCT(--(ROW($1:$26)&lt;=LEN($D311&amp;"")),--ISERROR(FIND(MID($D311&amp;"",ROW($1:$26),1),"ABCDEFGHIJKLMNOPQRSTUVWXYZabcdefghijklmnopqrstuvwxyz .,")))&gt;0),"Last Name contains unsupported or encoded characters; use plain A-Z letters only; ","")&amp;IF(LEN($E311&amp;"")&gt;1,"Middle Initial may contain only one character; ","")&amp;IF(AND($E311&lt;&gt;"",SUMPRODUCT(--(ROW($1:$1)&lt;=LEN($E311&amp;"")),--ISERROR(FIND(MID($E311&amp;"",ROW($1:$1),1),"ABCDEFGHIJKLMNOPQRSTUVWXYZabcdefghijklmnopqrstuvwxyz .,")))&gt;0),"Middle Initial must be a plain A-Z letter; ","")&amp;IF($F311="","Address is required; ","")&amp;IF(LEN($F311&amp;"")&gt;75,"Address exceeds 75 characters; ","")&amp;IF(LEN($G311&amp;"")&gt;75,"Address 2 exceeds 75 characters; ","")&amp;IF($H311="","City is required; ","")&amp;IF(LEN($H311&amp;"")&gt;30,"City exceeds 30 characters; ","")&amp;IF($K311="","Country is required; ","")&amp;IF(AND($K311&lt;&gt;"",$K311&lt;&gt;"US",$K311&lt;&gt;"CA"),"Country must be US or CA; ","")&amp;IF(AND($K311="US",OR($I311="",LEN($I311&amp;"")&lt;&gt;2)),"Use a 2-letter state code; ","")&amp;IF($J311="","ZIP or postal code is required; ","")&amp;IF(AND($K311="US",$J311&lt;&gt;"",NOT(IFERROR(OR(AND(LEN($J311&amp;"")=5,ISNUMBER(--($J311&amp;""))),AND(LEN($J311&amp;"")=9,ISNUMBER(--($J311&amp;""))),AND(LEN($J311&amp;"")=10,MID($J311&amp;"",6,1)="-",ISNUMBER(--SUBSTITUTE($J311&amp;"","-","")))),FALSE))),"US ZIP must be 5 or 9 digits, with an optional ZIP+4 hyphen; ","")&amp;IF(AND($N311&lt;&gt;"",NOT(IFERROR(AND(ISNUMBER(SEARCH("@",$N311)),ISNUMBER(SEARCH(".",$N311,SEARCH("@",$N311)+2))),FALSE))),"Email format appears invalid; ","")&amp;IF(AND($O311&lt;&gt;"",$B311=""),"Dependent SSN is required for every dependent; ","")&amp;IF(AND($B311&lt;&gt;"",$O311=""),"Dependent Relationship is required when Dependent SSN is entered; ","")&amp;IF(AND($O311&lt;&gt;"",$O311&lt;&gt;"Spouse or Common Law Spouse",$O311&lt;&gt;"Domestic Partner",$O311&lt;&gt;"Child",$O311&lt;&gt;"Other",$O311&lt;&gt;"Estate",$O311&lt;&gt;"Unknown"),"Dependent Relationship must use one of the approved options; ",""))</f>
        <v/>
      </c>
      <c r="Z311">
        <f>IF(COUNTA($A311:$U311)=0,"",IF(AND($A311&lt;&gt;"",NOT(IFERROR(AND(LEN($A311&amp;"")=9,ISNUMBER(--($A311&amp;""))),FALSE))),"Employee SSN must contain exactly 9 digits; ","")&amp;IF(AND($A311&lt;&gt;"",OR($A311="123456789",$A311="987654321",$A311="012345678",$A311=REPT(LEFT($A311&amp;"",1),9))),"Employee SSN appears to be a placeholder; ","")&amp;IF(AND($B311&lt;&gt;"",NOT(IFERROR(AND(LEN($B311&amp;"")=9,ISNUMBER(--($B311&amp;""))),FALSE))),"Dependent SSN must contain exactly 9 digits; ","")&amp;IF(AND($B311&lt;&gt;"",OR($B311="123456789",$B311="987654321",$B311="012345678",$B311=REPT(LEFT($B311&amp;"",1),9))),"Dependent SSN appears to be a placeholder; ","")&amp;IF(AND($A311&lt;&gt;"",$B311&lt;&gt;"",$A311&amp;""=$B311&amp;""),"Dependent SSN cannot match Employee SSN; ","")&amp;IF(AND($W311&lt;&gt;"",OR(COUNTIFS($W$2:$W$501,$W311,$C$2:$C$501,"&lt;&gt;"&amp;$C311)&gt;0,COUNTIFS($W$2:$W$501,$W311,$D$2:$D$501,"&lt;&gt;"&amp;$D311)&gt;0,COUNTIFS($W$2:$W$501,$W311,$L$2:$L$501,"&lt;&gt;"&amp;$L311)&gt;0)),"The same SSN is associated with a different name or birthdate; ",""))</f>
        <v/>
      </c>
      <c r="AA311">
        <f>IF(COUNTA($A311:$U311)=0,"",IF(AND($A311&lt;&gt;"",$S311&lt;&gt;"",COUNTIFS($A$2:$A$501,$A311,$S$2:$S$501,$S311,$B$2:$B$501,"",$O$2:$O$501,"")=0),"Add an employee row for this household and plan; ","")&amp;IF(AND($X311="Dependent",COUNTIFS($A$2:$A311,$A311,$S$2:$S311,$S311,$B$2:$B311,"",$O$2:$O311,"")=0),"Place the employee row before dependent rows for this plan; ","")&amp;IF(AND($X311="Dependent",COUNTIFS($A$2:$A$501,$A311,$S$2:$S$501,$S311,$B$2:$B$501,"",$O$2:$O$501,"")&gt;0,IFERROR(OR($P311&lt;&gt;LOOKUP(2,1/(($A$2:$A$501=$A311)*($S$2:$S$501=$S311)*($B$2:$B$501="")*($O$2:$O$501="")),$P$2:$P$501),$Q311&lt;&gt;LOOKUP(2,1/(($A$2:$A$501=$A311)*($S$2:$S$501=$S311)*($B$2:$B$501="")*($O$2:$O$501="")),$Q$2:$Q$501),$R311&lt;&gt;LOOKUP(2,1/(($A$2:$A$501=$A311)*($S$2:$S$501=$S311)*($B$2:$B$501="")*($O$2:$O$501="")),$R$2:$R$501),$T311&lt;&gt;LOOKUP(2,1/(($A$2:$A$501=$A311)*($S$2:$S$501=$S311)*($B$2:$B$501="")*($O$2:$O$501="")),$T$2:$T$501),$U311&lt;&gt;LOOKUP(2,1/(($A$2:$A$501=$A311)*($S$2:$S$501=$S311)*($B$2:$B$501="")*($O$2:$O$501="")),$U$2:$U$501)),FALSE)),"Dependent row does not match the employee row for eligibility, status, coverage level, or funding; ",""))</f>
        <v/>
      </c>
      <c r="AB311">
        <f>IF(COUNTA($A311:$U311)=0,"",IF($L311="","Birthdate is required; ","")&amp;IF(AND($L311&lt;&gt;"",OR(NOT(ISNUMBER($L311)),$L311&lt;=DATE(1900,1,1),$L311&gt;TODAY())),"Birthdate must be an exact valid past date; ","")&amp;IF($P311="","Eligibility Date is required; ","")&amp;IF(AND($P311&lt;&gt;"",OR(NOT(ISNUMBER($P311)),$P311&lt;=DATE(1900,1,1))),"Eligibility Date must be a valid date; ","")&amp;IF(AND($R311="Terminated",$Q311=""),"Termination Date is required when Status is Terminated; ","")&amp;IF(AND($Q311&lt;&gt;"",OR(NOT(ISNUMBER($Q311)),$Q311&lt;=DATE(1900,1,1))),"Termination Date must be a valid date; ","")&amp;IF(AND(ISNUMBER($P311),ISNUMBER($Q311),$Q311&lt;$P311),"Termination Date cannot be before Eligibility Date; ","")&amp;IF($R311="","Status is required; ","")&amp;IF(AND($R311&lt;&gt;"",$R311&lt;&gt;"Active",$R311&lt;&gt;"Terminated"),"Status must be Active or Terminated; ","")&amp;IF(AND('START HERE'!$C$8="Terminations Only",$R311&lt;&gt;"Terminated"),"Terminations Only files must contain terminated records; ",""))</f>
        <v/>
      </c>
      <c r="AC311">
        <f>IF(COUNTA($A311:$U311)=0,"",IF($S311="","Plan Name is required; ","")&amp;IF($T311="","Benefit Coverage Level is required; ","")&amp;IF(AND($U311&lt;&gt;"",OR(NOT(ISNUMBER($U311)),$U311&lt;0)),"Plan Funding Amount must be a nonnegative number; ","")&amp;IF(AND($A311&lt;&gt;"",$S311&lt;&gt;"",COUNTIFS($A$2:$A$501,$A311,$B$2:$B$501,$B311,$S$2:$S$501,$S311)&gt;1),"Duplicate participant and plan row; ",""))</f>
        <v/>
      </c>
      <c r="AD311">
        <f>IF(COUNTA($A311:$U311)=0,"",IF(AND($X311="Employee",$M311="",$N311=""),"No employee phone or email provided; ","")&amp;IF(AND($R311="Active",$Q311&lt;&gt;""),"Active record includes a Termination Date; confirm this is intentional; ","")&amp;IF(AND($B311&lt;&gt;"",$B311&amp;""&lt;&gt;$A311&amp;"",COUNTIF($A$2:$A$501,$B311)&gt;0),"Dependent SSN also appears as an Employee SSN elsewhere; confirm dual-employee coverage is intentional; ","")&amp;IF(AND($B311&lt;&gt;"",COUNTIF($B$2:$B$501,$B311)&gt;COUNTIFS($A$2:$A$501,$A311,$B$2:$B$501,$B311)),"Dependent SSN appears under more than one employee; confirm duplicate family coverage is intentional; ","")&amp;IF(AND(ROW()&gt;2,$A311&lt;&gt;"",$A311&lt;&gt;$A310,COUNTIF($A$2:$A310,$A311)&gt;0),"This household appears in more than one section of the census; keep the family together; ","")&amp;IF(OR(AND($C311&lt;&gt;"",LEN($C311&amp;"")&lt;&gt;LEN(TRIM($C311&amp;""))),AND($D311&lt;&gt;"",LEN($D311&amp;"")&lt;&gt;LEN(TRIM($D311&amp;""))),AND($E311&lt;&gt;"",LEN($E311&amp;"")&lt;&gt;LEN(TRIM($E311&amp;""))),AND($F311&lt;&gt;"",LEN($F311&amp;"")&lt;&gt;LEN(TRIM($F311&amp;""))),AND($G311&lt;&gt;"",LEN($G311&amp;"")&lt;&gt;LEN(TRIM($G311&amp;""))),AND($H311&lt;&gt;"",LEN($H311&amp;"")&lt;&gt;LEN(TRIM($H311&amp;""))),AND($I311&lt;&gt;"",LEN($I311&amp;"")&lt;&gt;LEN(TRIM($I311&amp;""))),AND($J311&lt;&gt;"",LEN($J311&amp;"")&lt;&gt;LEN(TRIM($J311&amp;""))),AND($K311&lt;&gt;"",LEN($K311&amp;"")&lt;&gt;LEN(TRIM($K311&amp;""))),AND($M311&lt;&gt;"",LEN($M311&amp;"")&lt;&gt;LEN(TRIM($M311&amp;""))),AND($N311&lt;&gt;"",LEN($N311&amp;"")&lt;&gt;LEN(TRIM($N311&amp;""))),AND($O311&lt;&gt;"",LEN($O311&amp;"")&lt;&gt;LEN(TRIM($O311&amp;""))),AND($R311&lt;&gt;"",LEN($R311&amp;"")&lt;&gt;LEN(TRIM($R311&amp;""))),AND($S311&lt;&gt;"",LEN($S311&amp;"")&lt;&gt;LEN(TRIM($S311&amp;""))),AND($T311&lt;&gt;"",LEN($T311&amp;"")&lt;&gt;LEN(TRIM($T311&amp;"")))),"Remove leading or trailing spaces from text fields; ","")&amp;IF(OR(AND(LEN($C311)&gt;1,OR(EXACT($C311,UPPER($C311)),EXACT($C311,LOWER($C311)))),AND(LEN($D311)&gt;1,OR(EXACT($D311,UPPER($D311)),EXACT($D311,LOWER($D311)))),AND(LEN($H311)&gt;1,OR(EXACT($H311,UPPER($H311)),EXACT($H311,LOWER($H311))))),"Review capitalization in First Name, Last Name, or City; ","")&amp;IF(AND($N311&lt;&gt;"",NOT(EXACT($N311,LOWER($N311)))),"Email will be standardized to lowercase in the clean output; ","")&amp;IF(AND(OR('START HERE'!$C$8="Initial Enrollment",'START HERE'!$C$8="Open Enrollment"),$R311="Terminated"),"A terminated row is included in an initial or open enrollment file; confirm this is intentional; ",""))</f>
        <v/>
      </c>
      <c r="AE311">
        <f>IF(COUNTA($A311:$U311)=0,"",IF(OR($A311="",AND($A311&lt;&gt;"",NOT(IFERROR(AND(LEN($A311&amp;"")=9,ISNUMBER(--($A311&amp;""))),FALSE))),AND($A311&lt;&gt;"",OR($A311="123456789",$A311="987654321",$A311="012345678",$A311=REPT(LEFT($A311&amp;"",1),9)))),"Employee SSN, ","")&amp;IF(OR(AND($O311&lt;&gt;"",$B311=""),AND($B311&lt;&gt;"",OR(NOT(IFERROR(AND(LEN($B311&amp;"")=9,ISNUMBER(--($B311&amp;""))),FALSE)),$B311=$A311,$B311="123456789",$B311="987654321",$B311="012345678",$B311=REPT(LEFT($B311&amp;"",1),9)))),"Dependent SSN, ","")&amp;IF(OR($C311="",LEN($C311)&gt;19,AND($C311&lt;&gt;"",SUMPRODUCT(--(ROW($1:$19)&lt;=LEN($C311&amp;"")),--ISERROR(FIND(MID($C311&amp;"",ROW($1:$19),1),"ABCDEFGHIJKLMNOPQRSTUVWXYZabcdefghijklmnopqrstuvwxyz .,")))&gt;0)),"First Name, ","")&amp;IF(OR($D311="",LEN($D311)&gt;26,AND($D311&lt;&gt;"",SUMPRODUCT(--(ROW($1:$26)&lt;=LEN($D311&amp;"")),--ISERROR(FIND(MID($D311&amp;"",ROW($1:$26),1),"ABCDEFGHIJKLMNOPQRSTUVWXYZabcdefghijklmnopqrstuvwxyz .,")))&gt;0)),"Last Name, ","")&amp;IF(OR(LEN($E311)&gt;1,AND($E311&lt;&gt;"",SUMPRODUCT(--(ROW($1:$1)&lt;=LEN($E311&amp;"")),--ISERROR(FIND(MID($E311&amp;"",ROW($1:$1),1),"ABCDEFGHIJKLMNOPQRSTUVWXYZabcdefghijklmnopqrstuvwxyz .,")))&gt;0)),"Middle Initial, ","")&amp;IF(OR($F311="",LEN($F311)&gt;75),"Address, ","")&amp;IF(OR($H311="",LEN($H311)&gt;30),"City, ","")&amp;IF(AND($K311="US",OR($I311="",LEN($I311)&lt;&gt;2)),"State, ","")&amp;IF($J311="","ZIP, ","")&amp;IF(OR($K311="",AND($K311&lt;&gt;"US",$K311&lt;&gt;"CA")),"Country, ","")&amp;IF(OR($L311="",AND($L311&lt;&gt;"",OR(NOT(ISNUMBER($L311)),$L311&lt;=DATE(1900,1,1),$L311&gt;TODAY()))),"Birthdate, ","")&amp;IF(AND($N311&lt;&gt;"",NOT(IFERROR(AND(ISNUMBER(SEARCH("@",$N311)),ISNUMBER(SEARCH(".",$N311,SEARCH("@",$N311)+2))),FALSE))),"Email, ","")&amp;IF(OR(AND($B311&lt;&gt;"",$O311=""),AND($O311&lt;&gt;"",$O311&lt;&gt;"Spouse or Common Law Spouse",$O311&lt;&gt;"Domestic Partner",$O311&lt;&gt;"Child",$O311&lt;&gt;"Other",$O311&lt;&gt;"Estate",$O311&lt;&gt;"Unknown")),"Dependent Relationship, ","")&amp;IF($AA311&lt;&gt;"","Household, ","")&amp;IF(OR($P311="",AND($P311&lt;&gt;"",OR(NOT(ISNUMBER($P311)),$P311&lt;=DATE(1900,1,1)))),"Eligibility Date, ","")&amp;IF(OR(AND($R311="Terminated",$Q311=""),AND($Q311&lt;&gt;"",OR(NOT(ISNUMBER($Q311)),$Q311&lt;=DATE(1900,1,1))),AND(ISNUMBER($P311),ISNUMBER($Q311),$Q311&lt;$P311)),"Termination Date, ","")&amp;IF(OR($R311="",AND($R311&lt;&gt;"Active",$R311&lt;&gt;"Terminated"),AND('START HERE'!$C$8="Terminations Only",$R311&lt;&gt;"Terminated")),"Status, ","")&amp;IF($S311="","Plan Name, ","")&amp;IF($T311="","Coverage Level, ","")&amp;IF(AND($U311&lt;&gt;"",OR(NOT(ISNUMBER($U311)),$U311&lt;0)),"Funding, ","")&amp;IF(AND($A311&lt;&gt;"",$S311&lt;&gt;"",COUNTIFS($A$2:$A$501,$A311,$B$2:$B$501,$B311,$S$2:$S$501,$S311)&gt;1),"Duplicate Row, ",""))</f>
        <v/>
      </c>
      <c r="AF311">
        <f>IF(COUNTA($A311:$U311)=0,"",$Y311&amp;$Z311&amp;$AA311&amp;$AB311&amp;$AC311)</f>
        <v/>
      </c>
      <c r="AG311">
        <f>IF($N311="","",LOWER(TRIM($N311)))</f>
        <v/>
      </c>
      <c r="AH311">
        <f>IF($A311="","",COUNTIFS($A$2:$A$501,$A311,$AI$2:$AI$501,1))</f>
        <v/>
      </c>
      <c r="AI311">
        <f>IF(COUNTA($A311:$U311)=0,"",--($AF311&lt;&gt;""))</f>
        <v/>
      </c>
      <c r="AJ311">
        <f>IF(COUNTA($A311:$U311)=0,"",--($AD311&lt;&gt;""))</f>
        <v/>
      </c>
    </row>
    <row r="312" ht="20" customHeight="1">
      <c r="A312" s="80" t="n"/>
      <c r="B312" s="80" t="n"/>
      <c r="C312" s="81" t="n"/>
      <c r="D312" s="81" t="n"/>
      <c r="E312" s="80" t="n"/>
      <c r="F312" s="81" t="n"/>
      <c r="G312" s="81" t="n"/>
      <c r="H312" s="81" t="n"/>
      <c r="I312" s="80" t="n"/>
      <c r="J312" s="80" t="n"/>
      <c r="K312" s="80" t="n"/>
      <c r="L312" s="82" t="n"/>
      <c r="M312" s="80" t="n"/>
      <c r="N312" s="80" t="n"/>
      <c r="O312" s="80" t="n"/>
      <c r="P312" s="82" t="n"/>
      <c r="Q312" s="82" t="n"/>
      <c r="R312" s="80" t="n"/>
      <c r="S312" s="80" t="n"/>
      <c r="T312" s="80" t="n"/>
      <c r="U312" s="83" t="n"/>
      <c r="V312">
        <f>IF($A312="","",IF($A312=$A311,$V311,IF($V311="",0,1-$V311)))</f>
        <v/>
      </c>
      <c r="W312">
        <f>IF($B312&lt;&gt;"",$B312,$A312)</f>
        <v/>
      </c>
      <c r="X312">
        <f>IF(COUNTA($A312:$U312)=0,"",IF(OR($B312&lt;&gt;"",$O312&lt;&gt;""),"Dependent","Employee"))</f>
        <v/>
      </c>
      <c r="Y312">
        <f>IF(COUNTA($A312:$U312)=0,"",IF($A312="","Employee SSN is required; ","")&amp;IF($C312="","First Name is required; ","")&amp;IF(LEN($C312&amp;"")&gt;19,"First Name exceeds 19 characters; ","")&amp;IF(AND($C312&lt;&gt;"",SUMPRODUCT(--(ROW($1:$19)&lt;=LEN($C312&amp;"")),--ISERROR(FIND(MID($C312&amp;"",ROW($1:$19),1),"ABCDEFGHIJKLMNOPQRSTUVWXYZabcdefghijklmnopqrstuvwxyz .,")))&gt;0),"First Name contains unsupported or encoded characters; use plain A-Z letters only; ","")&amp;IF($D312="","Last Name is required; ","")&amp;IF(LEN($D312&amp;"")&gt;26,"Last Name exceeds 26 characters; ","")&amp;IF(AND($D312&lt;&gt;"",SUMPRODUCT(--(ROW($1:$26)&lt;=LEN($D312&amp;"")),--ISERROR(FIND(MID($D312&amp;"",ROW($1:$26),1),"ABCDEFGHIJKLMNOPQRSTUVWXYZabcdefghijklmnopqrstuvwxyz .,")))&gt;0),"Last Name contains unsupported or encoded characters; use plain A-Z letters only; ","")&amp;IF(LEN($E312&amp;"")&gt;1,"Middle Initial may contain only one character; ","")&amp;IF(AND($E312&lt;&gt;"",SUMPRODUCT(--(ROW($1:$1)&lt;=LEN($E312&amp;"")),--ISERROR(FIND(MID($E312&amp;"",ROW($1:$1),1),"ABCDEFGHIJKLMNOPQRSTUVWXYZabcdefghijklmnopqrstuvwxyz .,")))&gt;0),"Middle Initial must be a plain A-Z letter; ","")&amp;IF($F312="","Address is required; ","")&amp;IF(LEN($F312&amp;"")&gt;75,"Address exceeds 75 characters; ","")&amp;IF(LEN($G312&amp;"")&gt;75,"Address 2 exceeds 75 characters; ","")&amp;IF($H312="","City is required; ","")&amp;IF(LEN($H312&amp;"")&gt;30,"City exceeds 30 characters; ","")&amp;IF($K312="","Country is required; ","")&amp;IF(AND($K312&lt;&gt;"",$K312&lt;&gt;"US",$K312&lt;&gt;"CA"),"Country must be US or CA; ","")&amp;IF(AND($K312="US",OR($I312="",LEN($I312&amp;"")&lt;&gt;2)),"Use a 2-letter state code; ","")&amp;IF($J312="","ZIP or postal code is required; ","")&amp;IF(AND($K312="US",$J312&lt;&gt;"",NOT(IFERROR(OR(AND(LEN($J312&amp;"")=5,ISNUMBER(--($J312&amp;""))),AND(LEN($J312&amp;"")=9,ISNUMBER(--($J312&amp;""))),AND(LEN($J312&amp;"")=10,MID($J312&amp;"",6,1)="-",ISNUMBER(--SUBSTITUTE($J312&amp;"","-","")))),FALSE))),"US ZIP must be 5 or 9 digits, with an optional ZIP+4 hyphen; ","")&amp;IF(AND($N312&lt;&gt;"",NOT(IFERROR(AND(ISNUMBER(SEARCH("@",$N312)),ISNUMBER(SEARCH(".",$N312,SEARCH("@",$N312)+2))),FALSE))),"Email format appears invalid; ","")&amp;IF(AND($O312&lt;&gt;"",$B312=""),"Dependent SSN is required for every dependent; ","")&amp;IF(AND($B312&lt;&gt;"",$O312=""),"Dependent Relationship is required when Dependent SSN is entered; ","")&amp;IF(AND($O312&lt;&gt;"",$O312&lt;&gt;"Spouse or Common Law Spouse",$O312&lt;&gt;"Domestic Partner",$O312&lt;&gt;"Child",$O312&lt;&gt;"Other",$O312&lt;&gt;"Estate",$O312&lt;&gt;"Unknown"),"Dependent Relationship must use one of the approved options; ",""))</f>
        <v/>
      </c>
      <c r="Z312">
        <f>IF(COUNTA($A312:$U312)=0,"",IF(AND($A312&lt;&gt;"",NOT(IFERROR(AND(LEN($A312&amp;"")=9,ISNUMBER(--($A312&amp;""))),FALSE))),"Employee SSN must contain exactly 9 digits; ","")&amp;IF(AND($A312&lt;&gt;"",OR($A312="123456789",$A312="987654321",$A312="012345678",$A312=REPT(LEFT($A312&amp;"",1),9))),"Employee SSN appears to be a placeholder; ","")&amp;IF(AND($B312&lt;&gt;"",NOT(IFERROR(AND(LEN($B312&amp;"")=9,ISNUMBER(--($B312&amp;""))),FALSE))),"Dependent SSN must contain exactly 9 digits; ","")&amp;IF(AND($B312&lt;&gt;"",OR($B312="123456789",$B312="987654321",$B312="012345678",$B312=REPT(LEFT($B312&amp;"",1),9))),"Dependent SSN appears to be a placeholder; ","")&amp;IF(AND($A312&lt;&gt;"",$B312&lt;&gt;"",$A312&amp;""=$B312&amp;""),"Dependent SSN cannot match Employee SSN; ","")&amp;IF(AND($W312&lt;&gt;"",OR(COUNTIFS($W$2:$W$501,$W312,$C$2:$C$501,"&lt;&gt;"&amp;$C312)&gt;0,COUNTIFS($W$2:$W$501,$W312,$D$2:$D$501,"&lt;&gt;"&amp;$D312)&gt;0,COUNTIFS($W$2:$W$501,$W312,$L$2:$L$501,"&lt;&gt;"&amp;$L312)&gt;0)),"The same SSN is associated with a different name or birthdate; ",""))</f>
        <v/>
      </c>
      <c r="AA312">
        <f>IF(COUNTA($A312:$U312)=0,"",IF(AND($A312&lt;&gt;"",$S312&lt;&gt;"",COUNTIFS($A$2:$A$501,$A312,$S$2:$S$501,$S312,$B$2:$B$501,"",$O$2:$O$501,"")=0),"Add an employee row for this household and plan; ","")&amp;IF(AND($X312="Dependent",COUNTIFS($A$2:$A312,$A312,$S$2:$S312,$S312,$B$2:$B312,"",$O$2:$O312,"")=0),"Place the employee row before dependent rows for this plan; ","")&amp;IF(AND($X312="Dependent",COUNTIFS($A$2:$A$501,$A312,$S$2:$S$501,$S312,$B$2:$B$501,"",$O$2:$O$501,"")&gt;0,IFERROR(OR($P312&lt;&gt;LOOKUP(2,1/(($A$2:$A$501=$A312)*($S$2:$S$501=$S312)*($B$2:$B$501="")*($O$2:$O$501="")),$P$2:$P$501),$Q312&lt;&gt;LOOKUP(2,1/(($A$2:$A$501=$A312)*($S$2:$S$501=$S312)*($B$2:$B$501="")*($O$2:$O$501="")),$Q$2:$Q$501),$R312&lt;&gt;LOOKUP(2,1/(($A$2:$A$501=$A312)*($S$2:$S$501=$S312)*($B$2:$B$501="")*($O$2:$O$501="")),$R$2:$R$501),$T312&lt;&gt;LOOKUP(2,1/(($A$2:$A$501=$A312)*($S$2:$S$501=$S312)*($B$2:$B$501="")*($O$2:$O$501="")),$T$2:$T$501),$U312&lt;&gt;LOOKUP(2,1/(($A$2:$A$501=$A312)*($S$2:$S$501=$S312)*($B$2:$B$501="")*($O$2:$O$501="")),$U$2:$U$501)),FALSE)),"Dependent row does not match the employee row for eligibility, status, coverage level, or funding; ",""))</f>
        <v/>
      </c>
      <c r="AB312">
        <f>IF(COUNTA($A312:$U312)=0,"",IF($L312="","Birthdate is required; ","")&amp;IF(AND($L312&lt;&gt;"",OR(NOT(ISNUMBER($L312)),$L312&lt;=DATE(1900,1,1),$L312&gt;TODAY())),"Birthdate must be an exact valid past date; ","")&amp;IF($P312="","Eligibility Date is required; ","")&amp;IF(AND($P312&lt;&gt;"",OR(NOT(ISNUMBER($P312)),$P312&lt;=DATE(1900,1,1))),"Eligibility Date must be a valid date; ","")&amp;IF(AND($R312="Terminated",$Q312=""),"Termination Date is required when Status is Terminated; ","")&amp;IF(AND($Q312&lt;&gt;"",OR(NOT(ISNUMBER($Q312)),$Q312&lt;=DATE(1900,1,1))),"Termination Date must be a valid date; ","")&amp;IF(AND(ISNUMBER($P312),ISNUMBER($Q312),$Q312&lt;$P312),"Termination Date cannot be before Eligibility Date; ","")&amp;IF($R312="","Status is required; ","")&amp;IF(AND($R312&lt;&gt;"",$R312&lt;&gt;"Active",$R312&lt;&gt;"Terminated"),"Status must be Active or Terminated; ","")&amp;IF(AND('START HERE'!$C$8="Terminations Only",$R312&lt;&gt;"Terminated"),"Terminations Only files must contain terminated records; ",""))</f>
        <v/>
      </c>
      <c r="AC312">
        <f>IF(COUNTA($A312:$U312)=0,"",IF($S312="","Plan Name is required; ","")&amp;IF($T312="","Benefit Coverage Level is required; ","")&amp;IF(AND($U312&lt;&gt;"",OR(NOT(ISNUMBER($U312)),$U312&lt;0)),"Plan Funding Amount must be a nonnegative number; ","")&amp;IF(AND($A312&lt;&gt;"",$S312&lt;&gt;"",COUNTIFS($A$2:$A$501,$A312,$B$2:$B$501,$B312,$S$2:$S$501,$S312)&gt;1),"Duplicate participant and plan row; ",""))</f>
        <v/>
      </c>
      <c r="AD312">
        <f>IF(COUNTA($A312:$U312)=0,"",IF(AND($X312="Employee",$M312="",$N312=""),"No employee phone or email provided; ","")&amp;IF(AND($R312="Active",$Q312&lt;&gt;""),"Active record includes a Termination Date; confirm this is intentional; ","")&amp;IF(AND($B312&lt;&gt;"",$B312&amp;""&lt;&gt;$A312&amp;"",COUNTIF($A$2:$A$501,$B312)&gt;0),"Dependent SSN also appears as an Employee SSN elsewhere; confirm dual-employee coverage is intentional; ","")&amp;IF(AND($B312&lt;&gt;"",COUNTIF($B$2:$B$501,$B312)&gt;COUNTIFS($A$2:$A$501,$A312,$B$2:$B$501,$B312)),"Dependent SSN appears under more than one employee; confirm duplicate family coverage is intentional; ","")&amp;IF(AND(ROW()&gt;2,$A312&lt;&gt;"",$A312&lt;&gt;$A311,COUNTIF($A$2:$A311,$A312)&gt;0),"This household appears in more than one section of the census; keep the family together; ","")&amp;IF(OR(AND($C312&lt;&gt;"",LEN($C312&amp;"")&lt;&gt;LEN(TRIM($C312&amp;""))),AND($D312&lt;&gt;"",LEN($D312&amp;"")&lt;&gt;LEN(TRIM($D312&amp;""))),AND($E312&lt;&gt;"",LEN($E312&amp;"")&lt;&gt;LEN(TRIM($E312&amp;""))),AND($F312&lt;&gt;"",LEN($F312&amp;"")&lt;&gt;LEN(TRIM($F312&amp;""))),AND($G312&lt;&gt;"",LEN($G312&amp;"")&lt;&gt;LEN(TRIM($G312&amp;""))),AND($H312&lt;&gt;"",LEN($H312&amp;"")&lt;&gt;LEN(TRIM($H312&amp;""))),AND($I312&lt;&gt;"",LEN($I312&amp;"")&lt;&gt;LEN(TRIM($I312&amp;""))),AND($J312&lt;&gt;"",LEN($J312&amp;"")&lt;&gt;LEN(TRIM($J312&amp;""))),AND($K312&lt;&gt;"",LEN($K312&amp;"")&lt;&gt;LEN(TRIM($K312&amp;""))),AND($M312&lt;&gt;"",LEN($M312&amp;"")&lt;&gt;LEN(TRIM($M312&amp;""))),AND($N312&lt;&gt;"",LEN($N312&amp;"")&lt;&gt;LEN(TRIM($N312&amp;""))),AND($O312&lt;&gt;"",LEN($O312&amp;"")&lt;&gt;LEN(TRIM($O312&amp;""))),AND($R312&lt;&gt;"",LEN($R312&amp;"")&lt;&gt;LEN(TRIM($R312&amp;""))),AND($S312&lt;&gt;"",LEN($S312&amp;"")&lt;&gt;LEN(TRIM($S312&amp;""))),AND($T312&lt;&gt;"",LEN($T312&amp;"")&lt;&gt;LEN(TRIM($T312&amp;"")))),"Remove leading or trailing spaces from text fields; ","")&amp;IF(OR(AND(LEN($C312)&gt;1,OR(EXACT($C312,UPPER($C312)),EXACT($C312,LOWER($C312)))),AND(LEN($D312)&gt;1,OR(EXACT($D312,UPPER($D312)),EXACT($D312,LOWER($D312)))),AND(LEN($H312)&gt;1,OR(EXACT($H312,UPPER($H312)),EXACT($H312,LOWER($H312))))),"Review capitalization in First Name, Last Name, or City; ","")&amp;IF(AND($N312&lt;&gt;"",NOT(EXACT($N312,LOWER($N312)))),"Email will be standardized to lowercase in the clean output; ","")&amp;IF(AND(OR('START HERE'!$C$8="Initial Enrollment",'START HERE'!$C$8="Open Enrollment"),$R312="Terminated"),"A terminated row is included in an initial or open enrollment file; confirm this is intentional; ",""))</f>
        <v/>
      </c>
      <c r="AE312">
        <f>IF(COUNTA($A312:$U312)=0,"",IF(OR($A312="",AND($A312&lt;&gt;"",NOT(IFERROR(AND(LEN($A312&amp;"")=9,ISNUMBER(--($A312&amp;""))),FALSE))),AND($A312&lt;&gt;"",OR($A312="123456789",$A312="987654321",$A312="012345678",$A312=REPT(LEFT($A312&amp;"",1),9)))),"Employee SSN, ","")&amp;IF(OR(AND($O312&lt;&gt;"",$B312=""),AND($B312&lt;&gt;"",OR(NOT(IFERROR(AND(LEN($B312&amp;"")=9,ISNUMBER(--($B312&amp;""))),FALSE)),$B312=$A312,$B312="123456789",$B312="987654321",$B312="012345678",$B312=REPT(LEFT($B312&amp;"",1),9)))),"Dependent SSN, ","")&amp;IF(OR($C312="",LEN($C312)&gt;19,AND($C312&lt;&gt;"",SUMPRODUCT(--(ROW($1:$19)&lt;=LEN($C312&amp;"")),--ISERROR(FIND(MID($C312&amp;"",ROW($1:$19),1),"ABCDEFGHIJKLMNOPQRSTUVWXYZabcdefghijklmnopqrstuvwxyz .,")))&gt;0)),"First Name, ","")&amp;IF(OR($D312="",LEN($D312)&gt;26,AND($D312&lt;&gt;"",SUMPRODUCT(--(ROW($1:$26)&lt;=LEN($D312&amp;"")),--ISERROR(FIND(MID($D312&amp;"",ROW($1:$26),1),"ABCDEFGHIJKLMNOPQRSTUVWXYZabcdefghijklmnopqrstuvwxyz .,")))&gt;0)),"Last Name, ","")&amp;IF(OR(LEN($E312)&gt;1,AND($E312&lt;&gt;"",SUMPRODUCT(--(ROW($1:$1)&lt;=LEN($E312&amp;"")),--ISERROR(FIND(MID($E312&amp;"",ROW($1:$1),1),"ABCDEFGHIJKLMNOPQRSTUVWXYZabcdefghijklmnopqrstuvwxyz .,")))&gt;0)),"Middle Initial, ","")&amp;IF(OR($F312="",LEN($F312)&gt;75),"Address, ","")&amp;IF(OR($H312="",LEN($H312)&gt;30),"City, ","")&amp;IF(AND($K312="US",OR($I312="",LEN($I312)&lt;&gt;2)),"State, ","")&amp;IF($J312="","ZIP, ","")&amp;IF(OR($K312="",AND($K312&lt;&gt;"US",$K312&lt;&gt;"CA")),"Country, ","")&amp;IF(OR($L312="",AND($L312&lt;&gt;"",OR(NOT(ISNUMBER($L312)),$L312&lt;=DATE(1900,1,1),$L312&gt;TODAY()))),"Birthdate, ","")&amp;IF(AND($N312&lt;&gt;"",NOT(IFERROR(AND(ISNUMBER(SEARCH("@",$N312)),ISNUMBER(SEARCH(".",$N312,SEARCH("@",$N312)+2))),FALSE))),"Email, ","")&amp;IF(OR(AND($B312&lt;&gt;"",$O312=""),AND($O312&lt;&gt;"",$O312&lt;&gt;"Spouse or Common Law Spouse",$O312&lt;&gt;"Domestic Partner",$O312&lt;&gt;"Child",$O312&lt;&gt;"Other",$O312&lt;&gt;"Estate",$O312&lt;&gt;"Unknown")),"Dependent Relationship, ","")&amp;IF($AA312&lt;&gt;"","Household, ","")&amp;IF(OR($P312="",AND($P312&lt;&gt;"",OR(NOT(ISNUMBER($P312)),$P312&lt;=DATE(1900,1,1)))),"Eligibility Date, ","")&amp;IF(OR(AND($R312="Terminated",$Q312=""),AND($Q312&lt;&gt;"",OR(NOT(ISNUMBER($Q312)),$Q312&lt;=DATE(1900,1,1))),AND(ISNUMBER($P312),ISNUMBER($Q312),$Q312&lt;$P312)),"Termination Date, ","")&amp;IF(OR($R312="",AND($R312&lt;&gt;"Active",$R312&lt;&gt;"Terminated"),AND('START HERE'!$C$8="Terminations Only",$R312&lt;&gt;"Terminated")),"Status, ","")&amp;IF($S312="","Plan Name, ","")&amp;IF($T312="","Coverage Level, ","")&amp;IF(AND($U312&lt;&gt;"",OR(NOT(ISNUMBER($U312)),$U312&lt;0)),"Funding, ","")&amp;IF(AND($A312&lt;&gt;"",$S312&lt;&gt;"",COUNTIFS($A$2:$A$501,$A312,$B$2:$B$501,$B312,$S$2:$S$501,$S312)&gt;1),"Duplicate Row, ",""))</f>
        <v/>
      </c>
      <c r="AF312">
        <f>IF(COUNTA($A312:$U312)=0,"",$Y312&amp;$Z312&amp;$AA312&amp;$AB312&amp;$AC312)</f>
        <v/>
      </c>
      <c r="AG312">
        <f>IF($N312="","",LOWER(TRIM($N312)))</f>
        <v/>
      </c>
      <c r="AH312">
        <f>IF($A312="","",COUNTIFS($A$2:$A$501,$A312,$AI$2:$AI$501,1))</f>
        <v/>
      </c>
      <c r="AI312">
        <f>IF(COUNTA($A312:$U312)=0,"",--($AF312&lt;&gt;""))</f>
        <v/>
      </c>
      <c r="AJ312">
        <f>IF(COUNTA($A312:$U312)=0,"",--($AD312&lt;&gt;""))</f>
        <v/>
      </c>
    </row>
    <row r="313" ht="20" customHeight="1">
      <c r="A313" s="80" t="n"/>
      <c r="B313" s="80" t="n"/>
      <c r="C313" s="81" t="n"/>
      <c r="D313" s="81" t="n"/>
      <c r="E313" s="80" t="n"/>
      <c r="F313" s="81" t="n"/>
      <c r="G313" s="81" t="n"/>
      <c r="H313" s="81" t="n"/>
      <c r="I313" s="80" t="n"/>
      <c r="J313" s="80" t="n"/>
      <c r="K313" s="80" t="n"/>
      <c r="L313" s="82" t="n"/>
      <c r="M313" s="80" t="n"/>
      <c r="N313" s="80" t="n"/>
      <c r="O313" s="80" t="n"/>
      <c r="P313" s="82" t="n"/>
      <c r="Q313" s="82" t="n"/>
      <c r="R313" s="80" t="n"/>
      <c r="S313" s="80" t="n"/>
      <c r="T313" s="80" t="n"/>
      <c r="U313" s="83" t="n"/>
      <c r="V313">
        <f>IF($A313="","",IF($A313=$A312,$V312,IF($V312="",0,1-$V312)))</f>
        <v/>
      </c>
      <c r="W313">
        <f>IF($B313&lt;&gt;"",$B313,$A313)</f>
        <v/>
      </c>
      <c r="X313">
        <f>IF(COUNTA($A313:$U313)=0,"",IF(OR($B313&lt;&gt;"",$O313&lt;&gt;""),"Dependent","Employee"))</f>
        <v/>
      </c>
      <c r="Y313">
        <f>IF(COUNTA($A313:$U313)=0,"",IF($A313="","Employee SSN is required; ","")&amp;IF($C313="","First Name is required; ","")&amp;IF(LEN($C313&amp;"")&gt;19,"First Name exceeds 19 characters; ","")&amp;IF(AND($C313&lt;&gt;"",SUMPRODUCT(--(ROW($1:$19)&lt;=LEN($C313&amp;"")),--ISERROR(FIND(MID($C313&amp;"",ROW($1:$19),1),"ABCDEFGHIJKLMNOPQRSTUVWXYZabcdefghijklmnopqrstuvwxyz .,")))&gt;0),"First Name contains unsupported or encoded characters; use plain A-Z letters only; ","")&amp;IF($D313="","Last Name is required; ","")&amp;IF(LEN($D313&amp;"")&gt;26,"Last Name exceeds 26 characters; ","")&amp;IF(AND($D313&lt;&gt;"",SUMPRODUCT(--(ROW($1:$26)&lt;=LEN($D313&amp;"")),--ISERROR(FIND(MID($D313&amp;"",ROW($1:$26),1),"ABCDEFGHIJKLMNOPQRSTUVWXYZabcdefghijklmnopqrstuvwxyz .,")))&gt;0),"Last Name contains unsupported or encoded characters; use plain A-Z letters only; ","")&amp;IF(LEN($E313&amp;"")&gt;1,"Middle Initial may contain only one character; ","")&amp;IF(AND($E313&lt;&gt;"",SUMPRODUCT(--(ROW($1:$1)&lt;=LEN($E313&amp;"")),--ISERROR(FIND(MID($E313&amp;"",ROW($1:$1),1),"ABCDEFGHIJKLMNOPQRSTUVWXYZabcdefghijklmnopqrstuvwxyz .,")))&gt;0),"Middle Initial must be a plain A-Z letter; ","")&amp;IF($F313="","Address is required; ","")&amp;IF(LEN($F313&amp;"")&gt;75,"Address exceeds 75 characters; ","")&amp;IF(LEN($G313&amp;"")&gt;75,"Address 2 exceeds 75 characters; ","")&amp;IF($H313="","City is required; ","")&amp;IF(LEN($H313&amp;"")&gt;30,"City exceeds 30 characters; ","")&amp;IF($K313="","Country is required; ","")&amp;IF(AND($K313&lt;&gt;"",$K313&lt;&gt;"US",$K313&lt;&gt;"CA"),"Country must be US or CA; ","")&amp;IF(AND($K313="US",OR($I313="",LEN($I313&amp;"")&lt;&gt;2)),"Use a 2-letter state code; ","")&amp;IF($J313="","ZIP or postal code is required; ","")&amp;IF(AND($K313="US",$J313&lt;&gt;"",NOT(IFERROR(OR(AND(LEN($J313&amp;"")=5,ISNUMBER(--($J313&amp;""))),AND(LEN($J313&amp;"")=9,ISNUMBER(--($J313&amp;""))),AND(LEN($J313&amp;"")=10,MID($J313&amp;"",6,1)="-",ISNUMBER(--SUBSTITUTE($J313&amp;"","-","")))),FALSE))),"US ZIP must be 5 or 9 digits, with an optional ZIP+4 hyphen; ","")&amp;IF(AND($N313&lt;&gt;"",NOT(IFERROR(AND(ISNUMBER(SEARCH("@",$N313)),ISNUMBER(SEARCH(".",$N313,SEARCH("@",$N313)+2))),FALSE))),"Email format appears invalid; ","")&amp;IF(AND($O313&lt;&gt;"",$B313=""),"Dependent SSN is required for every dependent; ","")&amp;IF(AND($B313&lt;&gt;"",$O313=""),"Dependent Relationship is required when Dependent SSN is entered; ","")&amp;IF(AND($O313&lt;&gt;"",$O313&lt;&gt;"Spouse or Common Law Spouse",$O313&lt;&gt;"Domestic Partner",$O313&lt;&gt;"Child",$O313&lt;&gt;"Other",$O313&lt;&gt;"Estate",$O313&lt;&gt;"Unknown"),"Dependent Relationship must use one of the approved options; ",""))</f>
        <v/>
      </c>
      <c r="Z313">
        <f>IF(COUNTA($A313:$U313)=0,"",IF(AND($A313&lt;&gt;"",NOT(IFERROR(AND(LEN($A313&amp;"")=9,ISNUMBER(--($A313&amp;""))),FALSE))),"Employee SSN must contain exactly 9 digits; ","")&amp;IF(AND($A313&lt;&gt;"",OR($A313="123456789",$A313="987654321",$A313="012345678",$A313=REPT(LEFT($A313&amp;"",1),9))),"Employee SSN appears to be a placeholder; ","")&amp;IF(AND($B313&lt;&gt;"",NOT(IFERROR(AND(LEN($B313&amp;"")=9,ISNUMBER(--($B313&amp;""))),FALSE))),"Dependent SSN must contain exactly 9 digits; ","")&amp;IF(AND($B313&lt;&gt;"",OR($B313="123456789",$B313="987654321",$B313="012345678",$B313=REPT(LEFT($B313&amp;"",1),9))),"Dependent SSN appears to be a placeholder; ","")&amp;IF(AND($A313&lt;&gt;"",$B313&lt;&gt;"",$A313&amp;""=$B313&amp;""),"Dependent SSN cannot match Employee SSN; ","")&amp;IF(AND($W313&lt;&gt;"",OR(COUNTIFS($W$2:$W$501,$W313,$C$2:$C$501,"&lt;&gt;"&amp;$C313)&gt;0,COUNTIFS($W$2:$W$501,$W313,$D$2:$D$501,"&lt;&gt;"&amp;$D313)&gt;0,COUNTIFS($W$2:$W$501,$W313,$L$2:$L$501,"&lt;&gt;"&amp;$L313)&gt;0)),"The same SSN is associated with a different name or birthdate; ",""))</f>
        <v/>
      </c>
      <c r="AA313">
        <f>IF(COUNTA($A313:$U313)=0,"",IF(AND($A313&lt;&gt;"",$S313&lt;&gt;"",COUNTIFS($A$2:$A$501,$A313,$S$2:$S$501,$S313,$B$2:$B$501,"",$O$2:$O$501,"")=0),"Add an employee row for this household and plan; ","")&amp;IF(AND($X313="Dependent",COUNTIFS($A$2:$A313,$A313,$S$2:$S313,$S313,$B$2:$B313,"",$O$2:$O313,"")=0),"Place the employee row before dependent rows for this plan; ","")&amp;IF(AND($X313="Dependent",COUNTIFS($A$2:$A$501,$A313,$S$2:$S$501,$S313,$B$2:$B$501,"",$O$2:$O$501,"")&gt;0,IFERROR(OR($P313&lt;&gt;LOOKUP(2,1/(($A$2:$A$501=$A313)*($S$2:$S$501=$S313)*($B$2:$B$501="")*($O$2:$O$501="")),$P$2:$P$501),$Q313&lt;&gt;LOOKUP(2,1/(($A$2:$A$501=$A313)*($S$2:$S$501=$S313)*($B$2:$B$501="")*($O$2:$O$501="")),$Q$2:$Q$501),$R313&lt;&gt;LOOKUP(2,1/(($A$2:$A$501=$A313)*($S$2:$S$501=$S313)*($B$2:$B$501="")*($O$2:$O$501="")),$R$2:$R$501),$T313&lt;&gt;LOOKUP(2,1/(($A$2:$A$501=$A313)*($S$2:$S$501=$S313)*($B$2:$B$501="")*($O$2:$O$501="")),$T$2:$T$501),$U313&lt;&gt;LOOKUP(2,1/(($A$2:$A$501=$A313)*($S$2:$S$501=$S313)*($B$2:$B$501="")*($O$2:$O$501="")),$U$2:$U$501)),FALSE)),"Dependent row does not match the employee row for eligibility, status, coverage level, or funding; ",""))</f>
        <v/>
      </c>
      <c r="AB313">
        <f>IF(COUNTA($A313:$U313)=0,"",IF($L313="","Birthdate is required; ","")&amp;IF(AND($L313&lt;&gt;"",OR(NOT(ISNUMBER($L313)),$L313&lt;=DATE(1900,1,1),$L313&gt;TODAY())),"Birthdate must be an exact valid past date; ","")&amp;IF($P313="","Eligibility Date is required; ","")&amp;IF(AND($P313&lt;&gt;"",OR(NOT(ISNUMBER($P313)),$P313&lt;=DATE(1900,1,1))),"Eligibility Date must be a valid date; ","")&amp;IF(AND($R313="Terminated",$Q313=""),"Termination Date is required when Status is Terminated; ","")&amp;IF(AND($Q313&lt;&gt;"",OR(NOT(ISNUMBER($Q313)),$Q313&lt;=DATE(1900,1,1))),"Termination Date must be a valid date; ","")&amp;IF(AND(ISNUMBER($P313),ISNUMBER($Q313),$Q313&lt;$P313),"Termination Date cannot be before Eligibility Date; ","")&amp;IF($R313="","Status is required; ","")&amp;IF(AND($R313&lt;&gt;"",$R313&lt;&gt;"Active",$R313&lt;&gt;"Terminated"),"Status must be Active or Terminated; ","")&amp;IF(AND('START HERE'!$C$8="Terminations Only",$R313&lt;&gt;"Terminated"),"Terminations Only files must contain terminated records; ",""))</f>
        <v/>
      </c>
      <c r="AC313">
        <f>IF(COUNTA($A313:$U313)=0,"",IF($S313="","Plan Name is required; ","")&amp;IF($T313="","Benefit Coverage Level is required; ","")&amp;IF(AND($U313&lt;&gt;"",OR(NOT(ISNUMBER($U313)),$U313&lt;0)),"Plan Funding Amount must be a nonnegative number; ","")&amp;IF(AND($A313&lt;&gt;"",$S313&lt;&gt;"",COUNTIFS($A$2:$A$501,$A313,$B$2:$B$501,$B313,$S$2:$S$501,$S313)&gt;1),"Duplicate participant and plan row; ",""))</f>
        <v/>
      </c>
      <c r="AD313">
        <f>IF(COUNTA($A313:$U313)=0,"",IF(AND($X313="Employee",$M313="",$N313=""),"No employee phone or email provided; ","")&amp;IF(AND($R313="Active",$Q313&lt;&gt;""),"Active record includes a Termination Date; confirm this is intentional; ","")&amp;IF(AND($B313&lt;&gt;"",$B313&amp;""&lt;&gt;$A313&amp;"",COUNTIF($A$2:$A$501,$B313)&gt;0),"Dependent SSN also appears as an Employee SSN elsewhere; confirm dual-employee coverage is intentional; ","")&amp;IF(AND($B313&lt;&gt;"",COUNTIF($B$2:$B$501,$B313)&gt;COUNTIFS($A$2:$A$501,$A313,$B$2:$B$501,$B313)),"Dependent SSN appears under more than one employee; confirm duplicate family coverage is intentional; ","")&amp;IF(AND(ROW()&gt;2,$A313&lt;&gt;"",$A313&lt;&gt;$A312,COUNTIF($A$2:$A312,$A313)&gt;0),"This household appears in more than one section of the census; keep the family together; ","")&amp;IF(OR(AND($C313&lt;&gt;"",LEN($C313&amp;"")&lt;&gt;LEN(TRIM($C313&amp;""))),AND($D313&lt;&gt;"",LEN($D313&amp;"")&lt;&gt;LEN(TRIM($D313&amp;""))),AND($E313&lt;&gt;"",LEN($E313&amp;"")&lt;&gt;LEN(TRIM($E313&amp;""))),AND($F313&lt;&gt;"",LEN($F313&amp;"")&lt;&gt;LEN(TRIM($F313&amp;""))),AND($G313&lt;&gt;"",LEN($G313&amp;"")&lt;&gt;LEN(TRIM($G313&amp;""))),AND($H313&lt;&gt;"",LEN($H313&amp;"")&lt;&gt;LEN(TRIM($H313&amp;""))),AND($I313&lt;&gt;"",LEN($I313&amp;"")&lt;&gt;LEN(TRIM($I313&amp;""))),AND($J313&lt;&gt;"",LEN($J313&amp;"")&lt;&gt;LEN(TRIM($J313&amp;""))),AND($K313&lt;&gt;"",LEN($K313&amp;"")&lt;&gt;LEN(TRIM($K313&amp;""))),AND($M313&lt;&gt;"",LEN($M313&amp;"")&lt;&gt;LEN(TRIM($M313&amp;""))),AND($N313&lt;&gt;"",LEN($N313&amp;"")&lt;&gt;LEN(TRIM($N313&amp;""))),AND($O313&lt;&gt;"",LEN($O313&amp;"")&lt;&gt;LEN(TRIM($O313&amp;""))),AND($R313&lt;&gt;"",LEN($R313&amp;"")&lt;&gt;LEN(TRIM($R313&amp;""))),AND($S313&lt;&gt;"",LEN($S313&amp;"")&lt;&gt;LEN(TRIM($S313&amp;""))),AND($T313&lt;&gt;"",LEN($T313&amp;"")&lt;&gt;LEN(TRIM($T313&amp;"")))),"Remove leading or trailing spaces from text fields; ","")&amp;IF(OR(AND(LEN($C313)&gt;1,OR(EXACT($C313,UPPER($C313)),EXACT($C313,LOWER($C313)))),AND(LEN($D313)&gt;1,OR(EXACT($D313,UPPER($D313)),EXACT($D313,LOWER($D313)))),AND(LEN($H313)&gt;1,OR(EXACT($H313,UPPER($H313)),EXACT($H313,LOWER($H313))))),"Review capitalization in First Name, Last Name, or City; ","")&amp;IF(AND($N313&lt;&gt;"",NOT(EXACT($N313,LOWER($N313)))),"Email will be standardized to lowercase in the clean output; ","")&amp;IF(AND(OR('START HERE'!$C$8="Initial Enrollment",'START HERE'!$C$8="Open Enrollment"),$R313="Terminated"),"A terminated row is included in an initial or open enrollment file; confirm this is intentional; ",""))</f>
        <v/>
      </c>
      <c r="AE313">
        <f>IF(COUNTA($A313:$U313)=0,"",IF(OR($A313="",AND($A313&lt;&gt;"",NOT(IFERROR(AND(LEN($A313&amp;"")=9,ISNUMBER(--($A313&amp;""))),FALSE))),AND($A313&lt;&gt;"",OR($A313="123456789",$A313="987654321",$A313="012345678",$A313=REPT(LEFT($A313&amp;"",1),9)))),"Employee SSN, ","")&amp;IF(OR(AND($O313&lt;&gt;"",$B313=""),AND($B313&lt;&gt;"",OR(NOT(IFERROR(AND(LEN($B313&amp;"")=9,ISNUMBER(--($B313&amp;""))),FALSE)),$B313=$A313,$B313="123456789",$B313="987654321",$B313="012345678",$B313=REPT(LEFT($B313&amp;"",1),9)))),"Dependent SSN, ","")&amp;IF(OR($C313="",LEN($C313)&gt;19,AND($C313&lt;&gt;"",SUMPRODUCT(--(ROW($1:$19)&lt;=LEN($C313&amp;"")),--ISERROR(FIND(MID($C313&amp;"",ROW($1:$19),1),"ABCDEFGHIJKLMNOPQRSTUVWXYZabcdefghijklmnopqrstuvwxyz .,")))&gt;0)),"First Name, ","")&amp;IF(OR($D313="",LEN($D313)&gt;26,AND($D313&lt;&gt;"",SUMPRODUCT(--(ROW($1:$26)&lt;=LEN($D313&amp;"")),--ISERROR(FIND(MID($D313&amp;"",ROW($1:$26),1),"ABCDEFGHIJKLMNOPQRSTUVWXYZabcdefghijklmnopqrstuvwxyz .,")))&gt;0)),"Last Name, ","")&amp;IF(OR(LEN($E313)&gt;1,AND($E313&lt;&gt;"",SUMPRODUCT(--(ROW($1:$1)&lt;=LEN($E313&amp;"")),--ISERROR(FIND(MID($E313&amp;"",ROW($1:$1),1),"ABCDEFGHIJKLMNOPQRSTUVWXYZabcdefghijklmnopqrstuvwxyz .,")))&gt;0)),"Middle Initial, ","")&amp;IF(OR($F313="",LEN($F313)&gt;75),"Address, ","")&amp;IF(OR($H313="",LEN($H313)&gt;30),"City, ","")&amp;IF(AND($K313="US",OR($I313="",LEN($I313)&lt;&gt;2)),"State, ","")&amp;IF($J313="","ZIP, ","")&amp;IF(OR($K313="",AND($K313&lt;&gt;"US",$K313&lt;&gt;"CA")),"Country, ","")&amp;IF(OR($L313="",AND($L313&lt;&gt;"",OR(NOT(ISNUMBER($L313)),$L313&lt;=DATE(1900,1,1),$L313&gt;TODAY()))),"Birthdate, ","")&amp;IF(AND($N313&lt;&gt;"",NOT(IFERROR(AND(ISNUMBER(SEARCH("@",$N313)),ISNUMBER(SEARCH(".",$N313,SEARCH("@",$N313)+2))),FALSE))),"Email, ","")&amp;IF(OR(AND($B313&lt;&gt;"",$O313=""),AND($O313&lt;&gt;"",$O313&lt;&gt;"Spouse or Common Law Spouse",$O313&lt;&gt;"Domestic Partner",$O313&lt;&gt;"Child",$O313&lt;&gt;"Other",$O313&lt;&gt;"Estate",$O313&lt;&gt;"Unknown")),"Dependent Relationship, ","")&amp;IF($AA313&lt;&gt;"","Household, ","")&amp;IF(OR($P313="",AND($P313&lt;&gt;"",OR(NOT(ISNUMBER($P313)),$P313&lt;=DATE(1900,1,1)))),"Eligibility Date, ","")&amp;IF(OR(AND($R313="Terminated",$Q313=""),AND($Q313&lt;&gt;"",OR(NOT(ISNUMBER($Q313)),$Q313&lt;=DATE(1900,1,1))),AND(ISNUMBER($P313),ISNUMBER($Q313),$Q313&lt;$P313)),"Termination Date, ","")&amp;IF(OR($R313="",AND($R313&lt;&gt;"Active",$R313&lt;&gt;"Terminated"),AND('START HERE'!$C$8="Terminations Only",$R313&lt;&gt;"Terminated")),"Status, ","")&amp;IF($S313="","Plan Name, ","")&amp;IF($T313="","Coverage Level, ","")&amp;IF(AND($U313&lt;&gt;"",OR(NOT(ISNUMBER($U313)),$U313&lt;0)),"Funding, ","")&amp;IF(AND($A313&lt;&gt;"",$S313&lt;&gt;"",COUNTIFS($A$2:$A$501,$A313,$B$2:$B$501,$B313,$S$2:$S$501,$S313)&gt;1),"Duplicate Row, ",""))</f>
        <v/>
      </c>
      <c r="AF313">
        <f>IF(COUNTA($A313:$U313)=0,"",$Y313&amp;$Z313&amp;$AA313&amp;$AB313&amp;$AC313)</f>
        <v/>
      </c>
      <c r="AG313">
        <f>IF($N313="","",LOWER(TRIM($N313)))</f>
        <v/>
      </c>
      <c r="AH313">
        <f>IF($A313="","",COUNTIFS($A$2:$A$501,$A313,$AI$2:$AI$501,1))</f>
        <v/>
      </c>
      <c r="AI313">
        <f>IF(COUNTA($A313:$U313)=0,"",--($AF313&lt;&gt;""))</f>
        <v/>
      </c>
      <c r="AJ313">
        <f>IF(COUNTA($A313:$U313)=0,"",--($AD313&lt;&gt;""))</f>
        <v/>
      </c>
    </row>
    <row r="314" ht="20" customHeight="1">
      <c r="A314" s="80" t="n"/>
      <c r="B314" s="80" t="n"/>
      <c r="C314" s="81" t="n"/>
      <c r="D314" s="81" t="n"/>
      <c r="E314" s="80" t="n"/>
      <c r="F314" s="81" t="n"/>
      <c r="G314" s="81" t="n"/>
      <c r="H314" s="81" t="n"/>
      <c r="I314" s="80" t="n"/>
      <c r="J314" s="80" t="n"/>
      <c r="K314" s="80" t="n"/>
      <c r="L314" s="82" t="n"/>
      <c r="M314" s="80" t="n"/>
      <c r="N314" s="80" t="n"/>
      <c r="O314" s="80" t="n"/>
      <c r="P314" s="82" t="n"/>
      <c r="Q314" s="82" t="n"/>
      <c r="R314" s="80" t="n"/>
      <c r="S314" s="80" t="n"/>
      <c r="T314" s="80" t="n"/>
      <c r="U314" s="83" t="n"/>
      <c r="V314">
        <f>IF($A314="","",IF($A314=$A313,$V313,IF($V313="",0,1-$V313)))</f>
        <v/>
      </c>
      <c r="W314">
        <f>IF($B314&lt;&gt;"",$B314,$A314)</f>
        <v/>
      </c>
      <c r="X314">
        <f>IF(COUNTA($A314:$U314)=0,"",IF(OR($B314&lt;&gt;"",$O314&lt;&gt;""),"Dependent","Employee"))</f>
        <v/>
      </c>
      <c r="Y314">
        <f>IF(COUNTA($A314:$U314)=0,"",IF($A314="","Employee SSN is required; ","")&amp;IF($C314="","First Name is required; ","")&amp;IF(LEN($C314&amp;"")&gt;19,"First Name exceeds 19 characters; ","")&amp;IF(AND($C314&lt;&gt;"",SUMPRODUCT(--(ROW($1:$19)&lt;=LEN($C314&amp;"")),--ISERROR(FIND(MID($C314&amp;"",ROW($1:$19),1),"ABCDEFGHIJKLMNOPQRSTUVWXYZabcdefghijklmnopqrstuvwxyz .,")))&gt;0),"First Name contains unsupported or encoded characters; use plain A-Z letters only; ","")&amp;IF($D314="","Last Name is required; ","")&amp;IF(LEN($D314&amp;"")&gt;26,"Last Name exceeds 26 characters; ","")&amp;IF(AND($D314&lt;&gt;"",SUMPRODUCT(--(ROW($1:$26)&lt;=LEN($D314&amp;"")),--ISERROR(FIND(MID($D314&amp;"",ROW($1:$26),1),"ABCDEFGHIJKLMNOPQRSTUVWXYZabcdefghijklmnopqrstuvwxyz .,")))&gt;0),"Last Name contains unsupported or encoded characters; use plain A-Z letters only; ","")&amp;IF(LEN($E314&amp;"")&gt;1,"Middle Initial may contain only one character; ","")&amp;IF(AND($E314&lt;&gt;"",SUMPRODUCT(--(ROW($1:$1)&lt;=LEN($E314&amp;"")),--ISERROR(FIND(MID($E314&amp;"",ROW($1:$1),1),"ABCDEFGHIJKLMNOPQRSTUVWXYZabcdefghijklmnopqrstuvwxyz .,")))&gt;0),"Middle Initial must be a plain A-Z letter; ","")&amp;IF($F314="","Address is required; ","")&amp;IF(LEN($F314&amp;"")&gt;75,"Address exceeds 75 characters; ","")&amp;IF(LEN($G314&amp;"")&gt;75,"Address 2 exceeds 75 characters; ","")&amp;IF($H314="","City is required; ","")&amp;IF(LEN($H314&amp;"")&gt;30,"City exceeds 30 characters; ","")&amp;IF($K314="","Country is required; ","")&amp;IF(AND($K314&lt;&gt;"",$K314&lt;&gt;"US",$K314&lt;&gt;"CA"),"Country must be US or CA; ","")&amp;IF(AND($K314="US",OR($I314="",LEN($I314&amp;"")&lt;&gt;2)),"Use a 2-letter state code; ","")&amp;IF($J314="","ZIP or postal code is required; ","")&amp;IF(AND($K314="US",$J314&lt;&gt;"",NOT(IFERROR(OR(AND(LEN($J314&amp;"")=5,ISNUMBER(--($J314&amp;""))),AND(LEN($J314&amp;"")=9,ISNUMBER(--($J314&amp;""))),AND(LEN($J314&amp;"")=10,MID($J314&amp;"",6,1)="-",ISNUMBER(--SUBSTITUTE($J314&amp;"","-","")))),FALSE))),"US ZIP must be 5 or 9 digits, with an optional ZIP+4 hyphen; ","")&amp;IF(AND($N314&lt;&gt;"",NOT(IFERROR(AND(ISNUMBER(SEARCH("@",$N314)),ISNUMBER(SEARCH(".",$N314,SEARCH("@",$N314)+2))),FALSE))),"Email format appears invalid; ","")&amp;IF(AND($O314&lt;&gt;"",$B314=""),"Dependent SSN is required for every dependent; ","")&amp;IF(AND($B314&lt;&gt;"",$O314=""),"Dependent Relationship is required when Dependent SSN is entered; ","")&amp;IF(AND($O314&lt;&gt;"",$O314&lt;&gt;"Spouse or Common Law Spouse",$O314&lt;&gt;"Domestic Partner",$O314&lt;&gt;"Child",$O314&lt;&gt;"Other",$O314&lt;&gt;"Estate",$O314&lt;&gt;"Unknown"),"Dependent Relationship must use one of the approved options; ",""))</f>
        <v/>
      </c>
      <c r="Z314">
        <f>IF(COUNTA($A314:$U314)=0,"",IF(AND($A314&lt;&gt;"",NOT(IFERROR(AND(LEN($A314&amp;"")=9,ISNUMBER(--($A314&amp;""))),FALSE))),"Employee SSN must contain exactly 9 digits; ","")&amp;IF(AND($A314&lt;&gt;"",OR($A314="123456789",$A314="987654321",$A314="012345678",$A314=REPT(LEFT($A314&amp;"",1),9))),"Employee SSN appears to be a placeholder; ","")&amp;IF(AND($B314&lt;&gt;"",NOT(IFERROR(AND(LEN($B314&amp;"")=9,ISNUMBER(--($B314&amp;""))),FALSE))),"Dependent SSN must contain exactly 9 digits; ","")&amp;IF(AND($B314&lt;&gt;"",OR($B314="123456789",$B314="987654321",$B314="012345678",$B314=REPT(LEFT($B314&amp;"",1),9))),"Dependent SSN appears to be a placeholder; ","")&amp;IF(AND($A314&lt;&gt;"",$B314&lt;&gt;"",$A314&amp;""=$B314&amp;""),"Dependent SSN cannot match Employee SSN; ","")&amp;IF(AND($W314&lt;&gt;"",OR(COUNTIFS($W$2:$W$501,$W314,$C$2:$C$501,"&lt;&gt;"&amp;$C314)&gt;0,COUNTIFS($W$2:$W$501,$W314,$D$2:$D$501,"&lt;&gt;"&amp;$D314)&gt;0,COUNTIFS($W$2:$W$501,$W314,$L$2:$L$501,"&lt;&gt;"&amp;$L314)&gt;0)),"The same SSN is associated with a different name or birthdate; ",""))</f>
        <v/>
      </c>
      <c r="AA314">
        <f>IF(COUNTA($A314:$U314)=0,"",IF(AND($A314&lt;&gt;"",$S314&lt;&gt;"",COUNTIFS($A$2:$A$501,$A314,$S$2:$S$501,$S314,$B$2:$B$501,"",$O$2:$O$501,"")=0),"Add an employee row for this household and plan; ","")&amp;IF(AND($X314="Dependent",COUNTIFS($A$2:$A314,$A314,$S$2:$S314,$S314,$B$2:$B314,"",$O$2:$O314,"")=0),"Place the employee row before dependent rows for this plan; ","")&amp;IF(AND($X314="Dependent",COUNTIFS($A$2:$A$501,$A314,$S$2:$S$501,$S314,$B$2:$B$501,"",$O$2:$O$501,"")&gt;0,IFERROR(OR($P314&lt;&gt;LOOKUP(2,1/(($A$2:$A$501=$A314)*($S$2:$S$501=$S314)*($B$2:$B$501="")*($O$2:$O$501="")),$P$2:$P$501),$Q314&lt;&gt;LOOKUP(2,1/(($A$2:$A$501=$A314)*($S$2:$S$501=$S314)*($B$2:$B$501="")*($O$2:$O$501="")),$Q$2:$Q$501),$R314&lt;&gt;LOOKUP(2,1/(($A$2:$A$501=$A314)*($S$2:$S$501=$S314)*($B$2:$B$501="")*($O$2:$O$501="")),$R$2:$R$501),$T314&lt;&gt;LOOKUP(2,1/(($A$2:$A$501=$A314)*($S$2:$S$501=$S314)*($B$2:$B$501="")*($O$2:$O$501="")),$T$2:$T$501),$U314&lt;&gt;LOOKUP(2,1/(($A$2:$A$501=$A314)*($S$2:$S$501=$S314)*($B$2:$B$501="")*($O$2:$O$501="")),$U$2:$U$501)),FALSE)),"Dependent row does not match the employee row for eligibility, status, coverage level, or funding; ",""))</f>
        <v/>
      </c>
      <c r="AB314">
        <f>IF(COUNTA($A314:$U314)=0,"",IF($L314="","Birthdate is required; ","")&amp;IF(AND($L314&lt;&gt;"",OR(NOT(ISNUMBER($L314)),$L314&lt;=DATE(1900,1,1),$L314&gt;TODAY())),"Birthdate must be an exact valid past date; ","")&amp;IF($P314="","Eligibility Date is required; ","")&amp;IF(AND($P314&lt;&gt;"",OR(NOT(ISNUMBER($P314)),$P314&lt;=DATE(1900,1,1))),"Eligibility Date must be a valid date; ","")&amp;IF(AND($R314="Terminated",$Q314=""),"Termination Date is required when Status is Terminated; ","")&amp;IF(AND($Q314&lt;&gt;"",OR(NOT(ISNUMBER($Q314)),$Q314&lt;=DATE(1900,1,1))),"Termination Date must be a valid date; ","")&amp;IF(AND(ISNUMBER($P314),ISNUMBER($Q314),$Q314&lt;$P314),"Termination Date cannot be before Eligibility Date; ","")&amp;IF($R314="","Status is required; ","")&amp;IF(AND($R314&lt;&gt;"",$R314&lt;&gt;"Active",$R314&lt;&gt;"Terminated"),"Status must be Active or Terminated; ","")&amp;IF(AND('START HERE'!$C$8="Terminations Only",$R314&lt;&gt;"Terminated"),"Terminations Only files must contain terminated records; ",""))</f>
        <v/>
      </c>
      <c r="AC314">
        <f>IF(COUNTA($A314:$U314)=0,"",IF($S314="","Plan Name is required; ","")&amp;IF($T314="","Benefit Coverage Level is required; ","")&amp;IF(AND($U314&lt;&gt;"",OR(NOT(ISNUMBER($U314)),$U314&lt;0)),"Plan Funding Amount must be a nonnegative number; ","")&amp;IF(AND($A314&lt;&gt;"",$S314&lt;&gt;"",COUNTIFS($A$2:$A$501,$A314,$B$2:$B$501,$B314,$S$2:$S$501,$S314)&gt;1),"Duplicate participant and plan row; ",""))</f>
        <v/>
      </c>
      <c r="AD314">
        <f>IF(COUNTA($A314:$U314)=0,"",IF(AND($X314="Employee",$M314="",$N314=""),"No employee phone or email provided; ","")&amp;IF(AND($R314="Active",$Q314&lt;&gt;""),"Active record includes a Termination Date; confirm this is intentional; ","")&amp;IF(AND($B314&lt;&gt;"",$B314&amp;""&lt;&gt;$A314&amp;"",COUNTIF($A$2:$A$501,$B314)&gt;0),"Dependent SSN also appears as an Employee SSN elsewhere; confirm dual-employee coverage is intentional; ","")&amp;IF(AND($B314&lt;&gt;"",COUNTIF($B$2:$B$501,$B314)&gt;COUNTIFS($A$2:$A$501,$A314,$B$2:$B$501,$B314)),"Dependent SSN appears under more than one employee; confirm duplicate family coverage is intentional; ","")&amp;IF(AND(ROW()&gt;2,$A314&lt;&gt;"",$A314&lt;&gt;$A313,COUNTIF($A$2:$A313,$A314)&gt;0),"This household appears in more than one section of the census; keep the family together; ","")&amp;IF(OR(AND($C314&lt;&gt;"",LEN($C314&amp;"")&lt;&gt;LEN(TRIM($C314&amp;""))),AND($D314&lt;&gt;"",LEN($D314&amp;"")&lt;&gt;LEN(TRIM($D314&amp;""))),AND($E314&lt;&gt;"",LEN($E314&amp;"")&lt;&gt;LEN(TRIM($E314&amp;""))),AND($F314&lt;&gt;"",LEN($F314&amp;"")&lt;&gt;LEN(TRIM($F314&amp;""))),AND($G314&lt;&gt;"",LEN($G314&amp;"")&lt;&gt;LEN(TRIM($G314&amp;""))),AND($H314&lt;&gt;"",LEN($H314&amp;"")&lt;&gt;LEN(TRIM($H314&amp;""))),AND($I314&lt;&gt;"",LEN($I314&amp;"")&lt;&gt;LEN(TRIM($I314&amp;""))),AND($J314&lt;&gt;"",LEN($J314&amp;"")&lt;&gt;LEN(TRIM($J314&amp;""))),AND($K314&lt;&gt;"",LEN($K314&amp;"")&lt;&gt;LEN(TRIM($K314&amp;""))),AND($M314&lt;&gt;"",LEN($M314&amp;"")&lt;&gt;LEN(TRIM($M314&amp;""))),AND($N314&lt;&gt;"",LEN($N314&amp;"")&lt;&gt;LEN(TRIM($N314&amp;""))),AND($O314&lt;&gt;"",LEN($O314&amp;"")&lt;&gt;LEN(TRIM($O314&amp;""))),AND($R314&lt;&gt;"",LEN($R314&amp;"")&lt;&gt;LEN(TRIM($R314&amp;""))),AND($S314&lt;&gt;"",LEN($S314&amp;"")&lt;&gt;LEN(TRIM($S314&amp;""))),AND($T314&lt;&gt;"",LEN($T314&amp;"")&lt;&gt;LEN(TRIM($T314&amp;"")))),"Remove leading or trailing spaces from text fields; ","")&amp;IF(OR(AND(LEN($C314)&gt;1,OR(EXACT($C314,UPPER($C314)),EXACT($C314,LOWER($C314)))),AND(LEN($D314)&gt;1,OR(EXACT($D314,UPPER($D314)),EXACT($D314,LOWER($D314)))),AND(LEN($H314)&gt;1,OR(EXACT($H314,UPPER($H314)),EXACT($H314,LOWER($H314))))),"Review capitalization in First Name, Last Name, or City; ","")&amp;IF(AND($N314&lt;&gt;"",NOT(EXACT($N314,LOWER($N314)))),"Email will be standardized to lowercase in the clean output; ","")&amp;IF(AND(OR('START HERE'!$C$8="Initial Enrollment",'START HERE'!$C$8="Open Enrollment"),$R314="Terminated"),"A terminated row is included in an initial or open enrollment file; confirm this is intentional; ",""))</f>
        <v/>
      </c>
      <c r="AE314">
        <f>IF(COUNTA($A314:$U314)=0,"",IF(OR($A314="",AND($A314&lt;&gt;"",NOT(IFERROR(AND(LEN($A314&amp;"")=9,ISNUMBER(--($A314&amp;""))),FALSE))),AND($A314&lt;&gt;"",OR($A314="123456789",$A314="987654321",$A314="012345678",$A314=REPT(LEFT($A314&amp;"",1),9)))),"Employee SSN, ","")&amp;IF(OR(AND($O314&lt;&gt;"",$B314=""),AND($B314&lt;&gt;"",OR(NOT(IFERROR(AND(LEN($B314&amp;"")=9,ISNUMBER(--($B314&amp;""))),FALSE)),$B314=$A314,$B314="123456789",$B314="987654321",$B314="012345678",$B314=REPT(LEFT($B314&amp;"",1),9)))),"Dependent SSN, ","")&amp;IF(OR($C314="",LEN($C314)&gt;19,AND($C314&lt;&gt;"",SUMPRODUCT(--(ROW($1:$19)&lt;=LEN($C314&amp;"")),--ISERROR(FIND(MID($C314&amp;"",ROW($1:$19),1),"ABCDEFGHIJKLMNOPQRSTUVWXYZabcdefghijklmnopqrstuvwxyz .,")))&gt;0)),"First Name, ","")&amp;IF(OR($D314="",LEN($D314)&gt;26,AND($D314&lt;&gt;"",SUMPRODUCT(--(ROW($1:$26)&lt;=LEN($D314&amp;"")),--ISERROR(FIND(MID($D314&amp;"",ROW($1:$26),1),"ABCDEFGHIJKLMNOPQRSTUVWXYZabcdefghijklmnopqrstuvwxyz .,")))&gt;0)),"Last Name, ","")&amp;IF(OR(LEN($E314)&gt;1,AND($E314&lt;&gt;"",SUMPRODUCT(--(ROW($1:$1)&lt;=LEN($E314&amp;"")),--ISERROR(FIND(MID($E314&amp;"",ROW($1:$1),1),"ABCDEFGHIJKLMNOPQRSTUVWXYZabcdefghijklmnopqrstuvwxyz .,")))&gt;0)),"Middle Initial, ","")&amp;IF(OR($F314="",LEN($F314)&gt;75),"Address, ","")&amp;IF(OR($H314="",LEN($H314)&gt;30),"City, ","")&amp;IF(AND($K314="US",OR($I314="",LEN($I314)&lt;&gt;2)),"State, ","")&amp;IF($J314="","ZIP, ","")&amp;IF(OR($K314="",AND($K314&lt;&gt;"US",$K314&lt;&gt;"CA")),"Country, ","")&amp;IF(OR($L314="",AND($L314&lt;&gt;"",OR(NOT(ISNUMBER($L314)),$L314&lt;=DATE(1900,1,1),$L314&gt;TODAY()))),"Birthdate, ","")&amp;IF(AND($N314&lt;&gt;"",NOT(IFERROR(AND(ISNUMBER(SEARCH("@",$N314)),ISNUMBER(SEARCH(".",$N314,SEARCH("@",$N314)+2))),FALSE))),"Email, ","")&amp;IF(OR(AND($B314&lt;&gt;"",$O314=""),AND($O314&lt;&gt;"",$O314&lt;&gt;"Spouse or Common Law Spouse",$O314&lt;&gt;"Domestic Partner",$O314&lt;&gt;"Child",$O314&lt;&gt;"Other",$O314&lt;&gt;"Estate",$O314&lt;&gt;"Unknown")),"Dependent Relationship, ","")&amp;IF($AA314&lt;&gt;"","Household, ","")&amp;IF(OR($P314="",AND($P314&lt;&gt;"",OR(NOT(ISNUMBER($P314)),$P314&lt;=DATE(1900,1,1)))),"Eligibility Date, ","")&amp;IF(OR(AND($R314="Terminated",$Q314=""),AND($Q314&lt;&gt;"",OR(NOT(ISNUMBER($Q314)),$Q314&lt;=DATE(1900,1,1))),AND(ISNUMBER($P314),ISNUMBER($Q314),$Q314&lt;$P314)),"Termination Date, ","")&amp;IF(OR($R314="",AND($R314&lt;&gt;"Active",$R314&lt;&gt;"Terminated"),AND('START HERE'!$C$8="Terminations Only",$R314&lt;&gt;"Terminated")),"Status, ","")&amp;IF($S314="","Plan Name, ","")&amp;IF($T314="","Coverage Level, ","")&amp;IF(AND($U314&lt;&gt;"",OR(NOT(ISNUMBER($U314)),$U314&lt;0)),"Funding, ","")&amp;IF(AND($A314&lt;&gt;"",$S314&lt;&gt;"",COUNTIFS($A$2:$A$501,$A314,$B$2:$B$501,$B314,$S$2:$S$501,$S314)&gt;1),"Duplicate Row, ",""))</f>
        <v/>
      </c>
      <c r="AF314">
        <f>IF(COUNTA($A314:$U314)=0,"",$Y314&amp;$Z314&amp;$AA314&amp;$AB314&amp;$AC314)</f>
        <v/>
      </c>
      <c r="AG314">
        <f>IF($N314="","",LOWER(TRIM($N314)))</f>
        <v/>
      </c>
      <c r="AH314">
        <f>IF($A314="","",COUNTIFS($A$2:$A$501,$A314,$AI$2:$AI$501,1))</f>
        <v/>
      </c>
      <c r="AI314">
        <f>IF(COUNTA($A314:$U314)=0,"",--($AF314&lt;&gt;""))</f>
        <v/>
      </c>
      <c r="AJ314">
        <f>IF(COUNTA($A314:$U314)=0,"",--($AD314&lt;&gt;""))</f>
        <v/>
      </c>
    </row>
    <row r="315" ht="20" customHeight="1">
      <c r="A315" s="80" t="n"/>
      <c r="B315" s="80" t="n"/>
      <c r="C315" s="81" t="n"/>
      <c r="D315" s="81" t="n"/>
      <c r="E315" s="80" t="n"/>
      <c r="F315" s="81" t="n"/>
      <c r="G315" s="81" t="n"/>
      <c r="H315" s="81" t="n"/>
      <c r="I315" s="80" t="n"/>
      <c r="J315" s="80" t="n"/>
      <c r="K315" s="80" t="n"/>
      <c r="L315" s="82" t="n"/>
      <c r="M315" s="80" t="n"/>
      <c r="N315" s="80" t="n"/>
      <c r="O315" s="80" t="n"/>
      <c r="P315" s="82" t="n"/>
      <c r="Q315" s="82" t="n"/>
      <c r="R315" s="80" t="n"/>
      <c r="S315" s="80" t="n"/>
      <c r="T315" s="80" t="n"/>
      <c r="U315" s="83" t="n"/>
      <c r="V315">
        <f>IF($A315="","",IF($A315=$A314,$V314,IF($V314="",0,1-$V314)))</f>
        <v/>
      </c>
      <c r="W315">
        <f>IF($B315&lt;&gt;"",$B315,$A315)</f>
        <v/>
      </c>
      <c r="X315">
        <f>IF(COUNTA($A315:$U315)=0,"",IF(OR($B315&lt;&gt;"",$O315&lt;&gt;""),"Dependent","Employee"))</f>
        <v/>
      </c>
      <c r="Y315">
        <f>IF(COUNTA($A315:$U315)=0,"",IF($A315="","Employee SSN is required; ","")&amp;IF($C315="","First Name is required; ","")&amp;IF(LEN($C315&amp;"")&gt;19,"First Name exceeds 19 characters; ","")&amp;IF(AND($C315&lt;&gt;"",SUMPRODUCT(--(ROW($1:$19)&lt;=LEN($C315&amp;"")),--ISERROR(FIND(MID($C315&amp;"",ROW($1:$19),1),"ABCDEFGHIJKLMNOPQRSTUVWXYZabcdefghijklmnopqrstuvwxyz .,")))&gt;0),"First Name contains unsupported or encoded characters; use plain A-Z letters only; ","")&amp;IF($D315="","Last Name is required; ","")&amp;IF(LEN($D315&amp;"")&gt;26,"Last Name exceeds 26 characters; ","")&amp;IF(AND($D315&lt;&gt;"",SUMPRODUCT(--(ROW($1:$26)&lt;=LEN($D315&amp;"")),--ISERROR(FIND(MID($D315&amp;"",ROW($1:$26),1),"ABCDEFGHIJKLMNOPQRSTUVWXYZabcdefghijklmnopqrstuvwxyz .,")))&gt;0),"Last Name contains unsupported or encoded characters; use plain A-Z letters only; ","")&amp;IF(LEN($E315&amp;"")&gt;1,"Middle Initial may contain only one character; ","")&amp;IF(AND($E315&lt;&gt;"",SUMPRODUCT(--(ROW($1:$1)&lt;=LEN($E315&amp;"")),--ISERROR(FIND(MID($E315&amp;"",ROW($1:$1),1),"ABCDEFGHIJKLMNOPQRSTUVWXYZabcdefghijklmnopqrstuvwxyz .,")))&gt;0),"Middle Initial must be a plain A-Z letter; ","")&amp;IF($F315="","Address is required; ","")&amp;IF(LEN($F315&amp;"")&gt;75,"Address exceeds 75 characters; ","")&amp;IF(LEN($G315&amp;"")&gt;75,"Address 2 exceeds 75 characters; ","")&amp;IF($H315="","City is required; ","")&amp;IF(LEN($H315&amp;"")&gt;30,"City exceeds 30 characters; ","")&amp;IF($K315="","Country is required; ","")&amp;IF(AND($K315&lt;&gt;"",$K315&lt;&gt;"US",$K315&lt;&gt;"CA"),"Country must be US or CA; ","")&amp;IF(AND($K315="US",OR($I315="",LEN($I315&amp;"")&lt;&gt;2)),"Use a 2-letter state code; ","")&amp;IF($J315="","ZIP or postal code is required; ","")&amp;IF(AND($K315="US",$J315&lt;&gt;"",NOT(IFERROR(OR(AND(LEN($J315&amp;"")=5,ISNUMBER(--($J315&amp;""))),AND(LEN($J315&amp;"")=9,ISNUMBER(--($J315&amp;""))),AND(LEN($J315&amp;"")=10,MID($J315&amp;"",6,1)="-",ISNUMBER(--SUBSTITUTE($J315&amp;"","-","")))),FALSE))),"US ZIP must be 5 or 9 digits, with an optional ZIP+4 hyphen; ","")&amp;IF(AND($N315&lt;&gt;"",NOT(IFERROR(AND(ISNUMBER(SEARCH("@",$N315)),ISNUMBER(SEARCH(".",$N315,SEARCH("@",$N315)+2))),FALSE))),"Email format appears invalid; ","")&amp;IF(AND($O315&lt;&gt;"",$B315=""),"Dependent SSN is required for every dependent; ","")&amp;IF(AND($B315&lt;&gt;"",$O315=""),"Dependent Relationship is required when Dependent SSN is entered; ","")&amp;IF(AND($O315&lt;&gt;"",$O315&lt;&gt;"Spouse or Common Law Spouse",$O315&lt;&gt;"Domestic Partner",$O315&lt;&gt;"Child",$O315&lt;&gt;"Other",$O315&lt;&gt;"Estate",$O315&lt;&gt;"Unknown"),"Dependent Relationship must use one of the approved options; ",""))</f>
        <v/>
      </c>
      <c r="Z315">
        <f>IF(COUNTA($A315:$U315)=0,"",IF(AND($A315&lt;&gt;"",NOT(IFERROR(AND(LEN($A315&amp;"")=9,ISNUMBER(--($A315&amp;""))),FALSE))),"Employee SSN must contain exactly 9 digits; ","")&amp;IF(AND($A315&lt;&gt;"",OR($A315="123456789",$A315="987654321",$A315="012345678",$A315=REPT(LEFT($A315&amp;"",1),9))),"Employee SSN appears to be a placeholder; ","")&amp;IF(AND($B315&lt;&gt;"",NOT(IFERROR(AND(LEN($B315&amp;"")=9,ISNUMBER(--($B315&amp;""))),FALSE))),"Dependent SSN must contain exactly 9 digits; ","")&amp;IF(AND($B315&lt;&gt;"",OR($B315="123456789",$B315="987654321",$B315="012345678",$B315=REPT(LEFT($B315&amp;"",1),9))),"Dependent SSN appears to be a placeholder; ","")&amp;IF(AND($A315&lt;&gt;"",$B315&lt;&gt;"",$A315&amp;""=$B315&amp;""),"Dependent SSN cannot match Employee SSN; ","")&amp;IF(AND($W315&lt;&gt;"",OR(COUNTIFS($W$2:$W$501,$W315,$C$2:$C$501,"&lt;&gt;"&amp;$C315)&gt;0,COUNTIFS($W$2:$W$501,$W315,$D$2:$D$501,"&lt;&gt;"&amp;$D315)&gt;0,COUNTIFS($W$2:$W$501,$W315,$L$2:$L$501,"&lt;&gt;"&amp;$L315)&gt;0)),"The same SSN is associated with a different name or birthdate; ",""))</f>
        <v/>
      </c>
      <c r="AA315">
        <f>IF(COUNTA($A315:$U315)=0,"",IF(AND($A315&lt;&gt;"",$S315&lt;&gt;"",COUNTIFS($A$2:$A$501,$A315,$S$2:$S$501,$S315,$B$2:$B$501,"",$O$2:$O$501,"")=0),"Add an employee row for this household and plan; ","")&amp;IF(AND($X315="Dependent",COUNTIFS($A$2:$A315,$A315,$S$2:$S315,$S315,$B$2:$B315,"",$O$2:$O315,"")=0),"Place the employee row before dependent rows for this plan; ","")&amp;IF(AND($X315="Dependent",COUNTIFS($A$2:$A$501,$A315,$S$2:$S$501,$S315,$B$2:$B$501,"",$O$2:$O$501,"")&gt;0,IFERROR(OR($P315&lt;&gt;LOOKUP(2,1/(($A$2:$A$501=$A315)*($S$2:$S$501=$S315)*($B$2:$B$501="")*($O$2:$O$501="")),$P$2:$P$501),$Q315&lt;&gt;LOOKUP(2,1/(($A$2:$A$501=$A315)*($S$2:$S$501=$S315)*($B$2:$B$501="")*($O$2:$O$501="")),$Q$2:$Q$501),$R315&lt;&gt;LOOKUP(2,1/(($A$2:$A$501=$A315)*($S$2:$S$501=$S315)*($B$2:$B$501="")*($O$2:$O$501="")),$R$2:$R$501),$T315&lt;&gt;LOOKUP(2,1/(($A$2:$A$501=$A315)*($S$2:$S$501=$S315)*($B$2:$B$501="")*($O$2:$O$501="")),$T$2:$T$501),$U315&lt;&gt;LOOKUP(2,1/(($A$2:$A$501=$A315)*($S$2:$S$501=$S315)*($B$2:$B$501="")*($O$2:$O$501="")),$U$2:$U$501)),FALSE)),"Dependent row does not match the employee row for eligibility, status, coverage level, or funding; ",""))</f>
        <v/>
      </c>
      <c r="AB315">
        <f>IF(COUNTA($A315:$U315)=0,"",IF($L315="","Birthdate is required; ","")&amp;IF(AND($L315&lt;&gt;"",OR(NOT(ISNUMBER($L315)),$L315&lt;=DATE(1900,1,1),$L315&gt;TODAY())),"Birthdate must be an exact valid past date; ","")&amp;IF($P315="","Eligibility Date is required; ","")&amp;IF(AND($P315&lt;&gt;"",OR(NOT(ISNUMBER($P315)),$P315&lt;=DATE(1900,1,1))),"Eligibility Date must be a valid date; ","")&amp;IF(AND($R315="Terminated",$Q315=""),"Termination Date is required when Status is Terminated; ","")&amp;IF(AND($Q315&lt;&gt;"",OR(NOT(ISNUMBER($Q315)),$Q315&lt;=DATE(1900,1,1))),"Termination Date must be a valid date; ","")&amp;IF(AND(ISNUMBER($P315),ISNUMBER($Q315),$Q315&lt;$P315),"Termination Date cannot be before Eligibility Date; ","")&amp;IF($R315="","Status is required; ","")&amp;IF(AND($R315&lt;&gt;"",$R315&lt;&gt;"Active",$R315&lt;&gt;"Terminated"),"Status must be Active or Terminated; ","")&amp;IF(AND('START HERE'!$C$8="Terminations Only",$R315&lt;&gt;"Terminated"),"Terminations Only files must contain terminated records; ",""))</f>
        <v/>
      </c>
      <c r="AC315">
        <f>IF(COUNTA($A315:$U315)=0,"",IF($S315="","Plan Name is required; ","")&amp;IF($T315="","Benefit Coverage Level is required; ","")&amp;IF(AND($U315&lt;&gt;"",OR(NOT(ISNUMBER($U315)),$U315&lt;0)),"Plan Funding Amount must be a nonnegative number; ","")&amp;IF(AND($A315&lt;&gt;"",$S315&lt;&gt;"",COUNTIFS($A$2:$A$501,$A315,$B$2:$B$501,$B315,$S$2:$S$501,$S315)&gt;1),"Duplicate participant and plan row; ",""))</f>
        <v/>
      </c>
      <c r="AD315">
        <f>IF(COUNTA($A315:$U315)=0,"",IF(AND($X315="Employee",$M315="",$N315=""),"No employee phone or email provided; ","")&amp;IF(AND($R315="Active",$Q315&lt;&gt;""),"Active record includes a Termination Date; confirm this is intentional; ","")&amp;IF(AND($B315&lt;&gt;"",$B315&amp;""&lt;&gt;$A315&amp;"",COUNTIF($A$2:$A$501,$B315)&gt;0),"Dependent SSN also appears as an Employee SSN elsewhere; confirm dual-employee coverage is intentional; ","")&amp;IF(AND($B315&lt;&gt;"",COUNTIF($B$2:$B$501,$B315)&gt;COUNTIFS($A$2:$A$501,$A315,$B$2:$B$501,$B315)),"Dependent SSN appears under more than one employee; confirm duplicate family coverage is intentional; ","")&amp;IF(AND(ROW()&gt;2,$A315&lt;&gt;"",$A315&lt;&gt;$A314,COUNTIF($A$2:$A314,$A315)&gt;0),"This household appears in more than one section of the census; keep the family together; ","")&amp;IF(OR(AND($C315&lt;&gt;"",LEN($C315&amp;"")&lt;&gt;LEN(TRIM($C315&amp;""))),AND($D315&lt;&gt;"",LEN($D315&amp;"")&lt;&gt;LEN(TRIM($D315&amp;""))),AND($E315&lt;&gt;"",LEN($E315&amp;"")&lt;&gt;LEN(TRIM($E315&amp;""))),AND($F315&lt;&gt;"",LEN($F315&amp;"")&lt;&gt;LEN(TRIM($F315&amp;""))),AND($G315&lt;&gt;"",LEN($G315&amp;"")&lt;&gt;LEN(TRIM($G315&amp;""))),AND($H315&lt;&gt;"",LEN($H315&amp;"")&lt;&gt;LEN(TRIM($H315&amp;""))),AND($I315&lt;&gt;"",LEN($I315&amp;"")&lt;&gt;LEN(TRIM($I315&amp;""))),AND($J315&lt;&gt;"",LEN($J315&amp;"")&lt;&gt;LEN(TRIM($J315&amp;""))),AND($K315&lt;&gt;"",LEN($K315&amp;"")&lt;&gt;LEN(TRIM($K315&amp;""))),AND($M315&lt;&gt;"",LEN($M315&amp;"")&lt;&gt;LEN(TRIM($M315&amp;""))),AND($N315&lt;&gt;"",LEN($N315&amp;"")&lt;&gt;LEN(TRIM($N315&amp;""))),AND($O315&lt;&gt;"",LEN($O315&amp;"")&lt;&gt;LEN(TRIM($O315&amp;""))),AND($R315&lt;&gt;"",LEN($R315&amp;"")&lt;&gt;LEN(TRIM($R315&amp;""))),AND($S315&lt;&gt;"",LEN($S315&amp;"")&lt;&gt;LEN(TRIM($S315&amp;""))),AND($T315&lt;&gt;"",LEN($T315&amp;"")&lt;&gt;LEN(TRIM($T315&amp;"")))),"Remove leading or trailing spaces from text fields; ","")&amp;IF(OR(AND(LEN($C315)&gt;1,OR(EXACT($C315,UPPER($C315)),EXACT($C315,LOWER($C315)))),AND(LEN($D315)&gt;1,OR(EXACT($D315,UPPER($D315)),EXACT($D315,LOWER($D315)))),AND(LEN($H315)&gt;1,OR(EXACT($H315,UPPER($H315)),EXACT($H315,LOWER($H315))))),"Review capitalization in First Name, Last Name, or City; ","")&amp;IF(AND($N315&lt;&gt;"",NOT(EXACT($N315,LOWER($N315)))),"Email will be standardized to lowercase in the clean output; ","")&amp;IF(AND(OR('START HERE'!$C$8="Initial Enrollment",'START HERE'!$C$8="Open Enrollment"),$R315="Terminated"),"A terminated row is included in an initial or open enrollment file; confirm this is intentional; ",""))</f>
        <v/>
      </c>
      <c r="AE315">
        <f>IF(COUNTA($A315:$U315)=0,"",IF(OR($A315="",AND($A315&lt;&gt;"",NOT(IFERROR(AND(LEN($A315&amp;"")=9,ISNUMBER(--($A315&amp;""))),FALSE))),AND($A315&lt;&gt;"",OR($A315="123456789",$A315="987654321",$A315="012345678",$A315=REPT(LEFT($A315&amp;"",1),9)))),"Employee SSN, ","")&amp;IF(OR(AND($O315&lt;&gt;"",$B315=""),AND($B315&lt;&gt;"",OR(NOT(IFERROR(AND(LEN($B315&amp;"")=9,ISNUMBER(--($B315&amp;""))),FALSE)),$B315=$A315,$B315="123456789",$B315="987654321",$B315="012345678",$B315=REPT(LEFT($B315&amp;"",1),9)))),"Dependent SSN, ","")&amp;IF(OR($C315="",LEN($C315)&gt;19,AND($C315&lt;&gt;"",SUMPRODUCT(--(ROW($1:$19)&lt;=LEN($C315&amp;"")),--ISERROR(FIND(MID($C315&amp;"",ROW($1:$19),1),"ABCDEFGHIJKLMNOPQRSTUVWXYZabcdefghijklmnopqrstuvwxyz .,")))&gt;0)),"First Name, ","")&amp;IF(OR($D315="",LEN($D315)&gt;26,AND($D315&lt;&gt;"",SUMPRODUCT(--(ROW($1:$26)&lt;=LEN($D315&amp;"")),--ISERROR(FIND(MID($D315&amp;"",ROW($1:$26),1),"ABCDEFGHIJKLMNOPQRSTUVWXYZabcdefghijklmnopqrstuvwxyz .,")))&gt;0)),"Last Name, ","")&amp;IF(OR(LEN($E315)&gt;1,AND($E315&lt;&gt;"",SUMPRODUCT(--(ROW($1:$1)&lt;=LEN($E315&amp;"")),--ISERROR(FIND(MID($E315&amp;"",ROW($1:$1),1),"ABCDEFGHIJKLMNOPQRSTUVWXYZabcdefghijklmnopqrstuvwxyz .,")))&gt;0)),"Middle Initial, ","")&amp;IF(OR($F315="",LEN($F315)&gt;75),"Address, ","")&amp;IF(OR($H315="",LEN($H315)&gt;30),"City, ","")&amp;IF(AND($K315="US",OR($I315="",LEN($I315)&lt;&gt;2)),"State, ","")&amp;IF($J315="","ZIP, ","")&amp;IF(OR($K315="",AND($K315&lt;&gt;"US",$K315&lt;&gt;"CA")),"Country, ","")&amp;IF(OR($L315="",AND($L315&lt;&gt;"",OR(NOT(ISNUMBER($L315)),$L315&lt;=DATE(1900,1,1),$L315&gt;TODAY()))),"Birthdate, ","")&amp;IF(AND($N315&lt;&gt;"",NOT(IFERROR(AND(ISNUMBER(SEARCH("@",$N315)),ISNUMBER(SEARCH(".",$N315,SEARCH("@",$N315)+2))),FALSE))),"Email, ","")&amp;IF(OR(AND($B315&lt;&gt;"",$O315=""),AND($O315&lt;&gt;"",$O315&lt;&gt;"Spouse or Common Law Spouse",$O315&lt;&gt;"Domestic Partner",$O315&lt;&gt;"Child",$O315&lt;&gt;"Other",$O315&lt;&gt;"Estate",$O315&lt;&gt;"Unknown")),"Dependent Relationship, ","")&amp;IF($AA315&lt;&gt;"","Household, ","")&amp;IF(OR($P315="",AND($P315&lt;&gt;"",OR(NOT(ISNUMBER($P315)),$P315&lt;=DATE(1900,1,1)))),"Eligibility Date, ","")&amp;IF(OR(AND($R315="Terminated",$Q315=""),AND($Q315&lt;&gt;"",OR(NOT(ISNUMBER($Q315)),$Q315&lt;=DATE(1900,1,1))),AND(ISNUMBER($P315),ISNUMBER($Q315),$Q315&lt;$P315)),"Termination Date, ","")&amp;IF(OR($R315="",AND($R315&lt;&gt;"Active",$R315&lt;&gt;"Terminated"),AND('START HERE'!$C$8="Terminations Only",$R315&lt;&gt;"Terminated")),"Status, ","")&amp;IF($S315="","Plan Name, ","")&amp;IF($T315="","Coverage Level, ","")&amp;IF(AND($U315&lt;&gt;"",OR(NOT(ISNUMBER($U315)),$U315&lt;0)),"Funding, ","")&amp;IF(AND($A315&lt;&gt;"",$S315&lt;&gt;"",COUNTIFS($A$2:$A$501,$A315,$B$2:$B$501,$B315,$S$2:$S$501,$S315)&gt;1),"Duplicate Row, ",""))</f>
        <v/>
      </c>
      <c r="AF315">
        <f>IF(COUNTA($A315:$U315)=0,"",$Y315&amp;$Z315&amp;$AA315&amp;$AB315&amp;$AC315)</f>
        <v/>
      </c>
      <c r="AG315">
        <f>IF($N315="","",LOWER(TRIM($N315)))</f>
        <v/>
      </c>
      <c r="AH315">
        <f>IF($A315="","",COUNTIFS($A$2:$A$501,$A315,$AI$2:$AI$501,1))</f>
        <v/>
      </c>
      <c r="AI315">
        <f>IF(COUNTA($A315:$U315)=0,"",--($AF315&lt;&gt;""))</f>
        <v/>
      </c>
      <c r="AJ315">
        <f>IF(COUNTA($A315:$U315)=0,"",--($AD315&lt;&gt;""))</f>
        <v/>
      </c>
    </row>
    <row r="316" ht="20" customHeight="1">
      <c r="A316" s="80" t="n"/>
      <c r="B316" s="80" t="n"/>
      <c r="C316" s="81" t="n"/>
      <c r="D316" s="81" t="n"/>
      <c r="E316" s="80" t="n"/>
      <c r="F316" s="81" t="n"/>
      <c r="G316" s="81" t="n"/>
      <c r="H316" s="81" t="n"/>
      <c r="I316" s="80" t="n"/>
      <c r="J316" s="80" t="n"/>
      <c r="K316" s="80" t="n"/>
      <c r="L316" s="82" t="n"/>
      <c r="M316" s="80" t="n"/>
      <c r="N316" s="80" t="n"/>
      <c r="O316" s="80" t="n"/>
      <c r="P316" s="82" t="n"/>
      <c r="Q316" s="82" t="n"/>
      <c r="R316" s="80" t="n"/>
      <c r="S316" s="80" t="n"/>
      <c r="T316" s="80" t="n"/>
      <c r="U316" s="83" t="n"/>
      <c r="V316">
        <f>IF($A316="","",IF($A316=$A315,$V315,IF($V315="",0,1-$V315)))</f>
        <v/>
      </c>
      <c r="W316">
        <f>IF($B316&lt;&gt;"",$B316,$A316)</f>
        <v/>
      </c>
      <c r="X316">
        <f>IF(COUNTA($A316:$U316)=0,"",IF(OR($B316&lt;&gt;"",$O316&lt;&gt;""),"Dependent","Employee"))</f>
        <v/>
      </c>
      <c r="Y316">
        <f>IF(COUNTA($A316:$U316)=0,"",IF($A316="","Employee SSN is required; ","")&amp;IF($C316="","First Name is required; ","")&amp;IF(LEN($C316&amp;"")&gt;19,"First Name exceeds 19 characters; ","")&amp;IF(AND($C316&lt;&gt;"",SUMPRODUCT(--(ROW($1:$19)&lt;=LEN($C316&amp;"")),--ISERROR(FIND(MID($C316&amp;"",ROW($1:$19),1),"ABCDEFGHIJKLMNOPQRSTUVWXYZabcdefghijklmnopqrstuvwxyz .,")))&gt;0),"First Name contains unsupported or encoded characters; use plain A-Z letters only; ","")&amp;IF($D316="","Last Name is required; ","")&amp;IF(LEN($D316&amp;"")&gt;26,"Last Name exceeds 26 characters; ","")&amp;IF(AND($D316&lt;&gt;"",SUMPRODUCT(--(ROW($1:$26)&lt;=LEN($D316&amp;"")),--ISERROR(FIND(MID($D316&amp;"",ROW($1:$26),1),"ABCDEFGHIJKLMNOPQRSTUVWXYZabcdefghijklmnopqrstuvwxyz .,")))&gt;0),"Last Name contains unsupported or encoded characters; use plain A-Z letters only; ","")&amp;IF(LEN($E316&amp;"")&gt;1,"Middle Initial may contain only one character; ","")&amp;IF(AND($E316&lt;&gt;"",SUMPRODUCT(--(ROW($1:$1)&lt;=LEN($E316&amp;"")),--ISERROR(FIND(MID($E316&amp;"",ROW($1:$1),1),"ABCDEFGHIJKLMNOPQRSTUVWXYZabcdefghijklmnopqrstuvwxyz .,")))&gt;0),"Middle Initial must be a plain A-Z letter; ","")&amp;IF($F316="","Address is required; ","")&amp;IF(LEN($F316&amp;"")&gt;75,"Address exceeds 75 characters; ","")&amp;IF(LEN($G316&amp;"")&gt;75,"Address 2 exceeds 75 characters; ","")&amp;IF($H316="","City is required; ","")&amp;IF(LEN($H316&amp;"")&gt;30,"City exceeds 30 characters; ","")&amp;IF($K316="","Country is required; ","")&amp;IF(AND($K316&lt;&gt;"",$K316&lt;&gt;"US",$K316&lt;&gt;"CA"),"Country must be US or CA; ","")&amp;IF(AND($K316="US",OR($I316="",LEN($I316&amp;"")&lt;&gt;2)),"Use a 2-letter state code; ","")&amp;IF($J316="","ZIP or postal code is required; ","")&amp;IF(AND($K316="US",$J316&lt;&gt;"",NOT(IFERROR(OR(AND(LEN($J316&amp;"")=5,ISNUMBER(--($J316&amp;""))),AND(LEN($J316&amp;"")=9,ISNUMBER(--($J316&amp;""))),AND(LEN($J316&amp;"")=10,MID($J316&amp;"",6,1)="-",ISNUMBER(--SUBSTITUTE($J316&amp;"","-","")))),FALSE))),"US ZIP must be 5 or 9 digits, with an optional ZIP+4 hyphen; ","")&amp;IF(AND($N316&lt;&gt;"",NOT(IFERROR(AND(ISNUMBER(SEARCH("@",$N316)),ISNUMBER(SEARCH(".",$N316,SEARCH("@",$N316)+2))),FALSE))),"Email format appears invalid; ","")&amp;IF(AND($O316&lt;&gt;"",$B316=""),"Dependent SSN is required for every dependent; ","")&amp;IF(AND($B316&lt;&gt;"",$O316=""),"Dependent Relationship is required when Dependent SSN is entered; ","")&amp;IF(AND($O316&lt;&gt;"",$O316&lt;&gt;"Spouse or Common Law Spouse",$O316&lt;&gt;"Domestic Partner",$O316&lt;&gt;"Child",$O316&lt;&gt;"Other",$O316&lt;&gt;"Estate",$O316&lt;&gt;"Unknown"),"Dependent Relationship must use one of the approved options; ",""))</f>
        <v/>
      </c>
      <c r="Z316">
        <f>IF(COUNTA($A316:$U316)=0,"",IF(AND($A316&lt;&gt;"",NOT(IFERROR(AND(LEN($A316&amp;"")=9,ISNUMBER(--($A316&amp;""))),FALSE))),"Employee SSN must contain exactly 9 digits; ","")&amp;IF(AND($A316&lt;&gt;"",OR($A316="123456789",$A316="987654321",$A316="012345678",$A316=REPT(LEFT($A316&amp;"",1),9))),"Employee SSN appears to be a placeholder; ","")&amp;IF(AND($B316&lt;&gt;"",NOT(IFERROR(AND(LEN($B316&amp;"")=9,ISNUMBER(--($B316&amp;""))),FALSE))),"Dependent SSN must contain exactly 9 digits; ","")&amp;IF(AND($B316&lt;&gt;"",OR($B316="123456789",$B316="987654321",$B316="012345678",$B316=REPT(LEFT($B316&amp;"",1),9))),"Dependent SSN appears to be a placeholder; ","")&amp;IF(AND($A316&lt;&gt;"",$B316&lt;&gt;"",$A316&amp;""=$B316&amp;""),"Dependent SSN cannot match Employee SSN; ","")&amp;IF(AND($W316&lt;&gt;"",OR(COUNTIFS($W$2:$W$501,$W316,$C$2:$C$501,"&lt;&gt;"&amp;$C316)&gt;0,COUNTIFS($W$2:$W$501,$W316,$D$2:$D$501,"&lt;&gt;"&amp;$D316)&gt;0,COUNTIFS($W$2:$W$501,$W316,$L$2:$L$501,"&lt;&gt;"&amp;$L316)&gt;0)),"The same SSN is associated with a different name or birthdate; ",""))</f>
        <v/>
      </c>
      <c r="AA316">
        <f>IF(COUNTA($A316:$U316)=0,"",IF(AND($A316&lt;&gt;"",$S316&lt;&gt;"",COUNTIFS($A$2:$A$501,$A316,$S$2:$S$501,$S316,$B$2:$B$501,"",$O$2:$O$501,"")=0),"Add an employee row for this household and plan; ","")&amp;IF(AND($X316="Dependent",COUNTIFS($A$2:$A316,$A316,$S$2:$S316,$S316,$B$2:$B316,"",$O$2:$O316,"")=0),"Place the employee row before dependent rows for this plan; ","")&amp;IF(AND($X316="Dependent",COUNTIFS($A$2:$A$501,$A316,$S$2:$S$501,$S316,$B$2:$B$501,"",$O$2:$O$501,"")&gt;0,IFERROR(OR($P316&lt;&gt;LOOKUP(2,1/(($A$2:$A$501=$A316)*($S$2:$S$501=$S316)*($B$2:$B$501="")*($O$2:$O$501="")),$P$2:$P$501),$Q316&lt;&gt;LOOKUP(2,1/(($A$2:$A$501=$A316)*($S$2:$S$501=$S316)*($B$2:$B$501="")*($O$2:$O$501="")),$Q$2:$Q$501),$R316&lt;&gt;LOOKUP(2,1/(($A$2:$A$501=$A316)*($S$2:$S$501=$S316)*($B$2:$B$501="")*($O$2:$O$501="")),$R$2:$R$501),$T316&lt;&gt;LOOKUP(2,1/(($A$2:$A$501=$A316)*($S$2:$S$501=$S316)*($B$2:$B$501="")*($O$2:$O$501="")),$T$2:$T$501),$U316&lt;&gt;LOOKUP(2,1/(($A$2:$A$501=$A316)*($S$2:$S$501=$S316)*($B$2:$B$501="")*($O$2:$O$501="")),$U$2:$U$501)),FALSE)),"Dependent row does not match the employee row for eligibility, status, coverage level, or funding; ",""))</f>
        <v/>
      </c>
      <c r="AB316">
        <f>IF(COUNTA($A316:$U316)=0,"",IF($L316="","Birthdate is required; ","")&amp;IF(AND($L316&lt;&gt;"",OR(NOT(ISNUMBER($L316)),$L316&lt;=DATE(1900,1,1),$L316&gt;TODAY())),"Birthdate must be an exact valid past date; ","")&amp;IF($P316="","Eligibility Date is required; ","")&amp;IF(AND($P316&lt;&gt;"",OR(NOT(ISNUMBER($P316)),$P316&lt;=DATE(1900,1,1))),"Eligibility Date must be a valid date; ","")&amp;IF(AND($R316="Terminated",$Q316=""),"Termination Date is required when Status is Terminated; ","")&amp;IF(AND($Q316&lt;&gt;"",OR(NOT(ISNUMBER($Q316)),$Q316&lt;=DATE(1900,1,1))),"Termination Date must be a valid date; ","")&amp;IF(AND(ISNUMBER($P316),ISNUMBER($Q316),$Q316&lt;$P316),"Termination Date cannot be before Eligibility Date; ","")&amp;IF($R316="","Status is required; ","")&amp;IF(AND($R316&lt;&gt;"",$R316&lt;&gt;"Active",$R316&lt;&gt;"Terminated"),"Status must be Active or Terminated; ","")&amp;IF(AND('START HERE'!$C$8="Terminations Only",$R316&lt;&gt;"Terminated"),"Terminations Only files must contain terminated records; ",""))</f>
        <v/>
      </c>
      <c r="AC316">
        <f>IF(COUNTA($A316:$U316)=0,"",IF($S316="","Plan Name is required; ","")&amp;IF($T316="","Benefit Coverage Level is required; ","")&amp;IF(AND($U316&lt;&gt;"",OR(NOT(ISNUMBER($U316)),$U316&lt;0)),"Plan Funding Amount must be a nonnegative number; ","")&amp;IF(AND($A316&lt;&gt;"",$S316&lt;&gt;"",COUNTIFS($A$2:$A$501,$A316,$B$2:$B$501,$B316,$S$2:$S$501,$S316)&gt;1),"Duplicate participant and plan row; ",""))</f>
        <v/>
      </c>
      <c r="AD316">
        <f>IF(COUNTA($A316:$U316)=0,"",IF(AND($X316="Employee",$M316="",$N316=""),"No employee phone or email provided; ","")&amp;IF(AND($R316="Active",$Q316&lt;&gt;""),"Active record includes a Termination Date; confirm this is intentional; ","")&amp;IF(AND($B316&lt;&gt;"",$B316&amp;""&lt;&gt;$A316&amp;"",COUNTIF($A$2:$A$501,$B316)&gt;0),"Dependent SSN also appears as an Employee SSN elsewhere; confirm dual-employee coverage is intentional; ","")&amp;IF(AND($B316&lt;&gt;"",COUNTIF($B$2:$B$501,$B316)&gt;COUNTIFS($A$2:$A$501,$A316,$B$2:$B$501,$B316)),"Dependent SSN appears under more than one employee; confirm duplicate family coverage is intentional; ","")&amp;IF(AND(ROW()&gt;2,$A316&lt;&gt;"",$A316&lt;&gt;$A315,COUNTIF($A$2:$A315,$A316)&gt;0),"This household appears in more than one section of the census; keep the family together; ","")&amp;IF(OR(AND($C316&lt;&gt;"",LEN($C316&amp;"")&lt;&gt;LEN(TRIM($C316&amp;""))),AND($D316&lt;&gt;"",LEN($D316&amp;"")&lt;&gt;LEN(TRIM($D316&amp;""))),AND($E316&lt;&gt;"",LEN($E316&amp;"")&lt;&gt;LEN(TRIM($E316&amp;""))),AND($F316&lt;&gt;"",LEN($F316&amp;"")&lt;&gt;LEN(TRIM($F316&amp;""))),AND($G316&lt;&gt;"",LEN($G316&amp;"")&lt;&gt;LEN(TRIM($G316&amp;""))),AND($H316&lt;&gt;"",LEN($H316&amp;"")&lt;&gt;LEN(TRIM($H316&amp;""))),AND($I316&lt;&gt;"",LEN($I316&amp;"")&lt;&gt;LEN(TRIM($I316&amp;""))),AND($J316&lt;&gt;"",LEN($J316&amp;"")&lt;&gt;LEN(TRIM($J316&amp;""))),AND($K316&lt;&gt;"",LEN($K316&amp;"")&lt;&gt;LEN(TRIM($K316&amp;""))),AND($M316&lt;&gt;"",LEN($M316&amp;"")&lt;&gt;LEN(TRIM($M316&amp;""))),AND($N316&lt;&gt;"",LEN($N316&amp;"")&lt;&gt;LEN(TRIM($N316&amp;""))),AND($O316&lt;&gt;"",LEN($O316&amp;"")&lt;&gt;LEN(TRIM($O316&amp;""))),AND($R316&lt;&gt;"",LEN($R316&amp;"")&lt;&gt;LEN(TRIM($R316&amp;""))),AND($S316&lt;&gt;"",LEN($S316&amp;"")&lt;&gt;LEN(TRIM($S316&amp;""))),AND($T316&lt;&gt;"",LEN($T316&amp;"")&lt;&gt;LEN(TRIM($T316&amp;"")))),"Remove leading or trailing spaces from text fields; ","")&amp;IF(OR(AND(LEN($C316)&gt;1,OR(EXACT($C316,UPPER($C316)),EXACT($C316,LOWER($C316)))),AND(LEN($D316)&gt;1,OR(EXACT($D316,UPPER($D316)),EXACT($D316,LOWER($D316)))),AND(LEN($H316)&gt;1,OR(EXACT($H316,UPPER($H316)),EXACT($H316,LOWER($H316))))),"Review capitalization in First Name, Last Name, or City; ","")&amp;IF(AND($N316&lt;&gt;"",NOT(EXACT($N316,LOWER($N316)))),"Email will be standardized to lowercase in the clean output; ","")&amp;IF(AND(OR('START HERE'!$C$8="Initial Enrollment",'START HERE'!$C$8="Open Enrollment"),$R316="Terminated"),"A terminated row is included in an initial or open enrollment file; confirm this is intentional; ",""))</f>
        <v/>
      </c>
      <c r="AE316">
        <f>IF(COUNTA($A316:$U316)=0,"",IF(OR($A316="",AND($A316&lt;&gt;"",NOT(IFERROR(AND(LEN($A316&amp;"")=9,ISNUMBER(--($A316&amp;""))),FALSE))),AND($A316&lt;&gt;"",OR($A316="123456789",$A316="987654321",$A316="012345678",$A316=REPT(LEFT($A316&amp;"",1),9)))),"Employee SSN, ","")&amp;IF(OR(AND($O316&lt;&gt;"",$B316=""),AND($B316&lt;&gt;"",OR(NOT(IFERROR(AND(LEN($B316&amp;"")=9,ISNUMBER(--($B316&amp;""))),FALSE)),$B316=$A316,$B316="123456789",$B316="987654321",$B316="012345678",$B316=REPT(LEFT($B316&amp;"",1),9)))),"Dependent SSN, ","")&amp;IF(OR($C316="",LEN($C316)&gt;19,AND($C316&lt;&gt;"",SUMPRODUCT(--(ROW($1:$19)&lt;=LEN($C316&amp;"")),--ISERROR(FIND(MID($C316&amp;"",ROW($1:$19),1),"ABCDEFGHIJKLMNOPQRSTUVWXYZabcdefghijklmnopqrstuvwxyz .,")))&gt;0)),"First Name, ","")&amp;IF(OR($D316="",LEN($D316)&gt;26,AND($D316&lt;&gt;"",SUMPRODUCT(--(ROW($1:$26)&lt;=LEN($D316&amp;"")),--ISERROR(FIND(MID($D316&amp;"",ROW($1:$26),1),"ABCDEFGHIJKLMNOPQRSTUVWXYZabcdefghijklmnopqrstuvwxyz .,")))&gt;0)),"Last Name, ","")&amp;IF(OR(LEN($E316)&gt;1,AND($E316&lt;&gt;"",SUMPRODUCT(--(ROW($1:$1)&lt;=LEN($E316&amp;"")),--ISERROR(FIND(MID($E316&amp;"",ROW($1:$1),1),"ABCDEFGHIJKLMNOPQRSTUVWXYZabcdefghijklmnopqrstuvwxyz .,")))&gt;0)),"Middle Initial, ","")&amp;IF(OR($F316="",LEN($F316)&gt;75),"Address, ","")&amp;IF(OR($H316="",LEN($H316)&gt;30),"City, ","")&amp;IF(AND($K316="US",OR($I316="",LEN($I316)&lt;&gt;2)),"State, ","")&amp;IF($J316="","ZIP, ","")&amp;IF(OR($K316="",AND($K316&lt;&gt;"US",$K316&lt;&gt;"CA")),"Country, ","")&amp;IF(OR($L316="",AND($L316&lt;&gt;"",OR(NOT(ISNUMBER($L316)),$L316&lt;=DATE(1900,1,1),$L316&gt;TODAY()))),"Birthdate, ","")&amp;IF(AND($N316&lt;&gt;"",NOT(IFERROR(AND(ISNUMBER(SEARCH("@",$N316)),ISNUMBER(SEARCH(".",$N316,SEARCH("@",$N316)+2))),FALSE))),"Email, ","")&amp;IF(OR(AND($B316&lt;&gt;"",$O316=""),AND($O316&lt;&gt;"",$O316&lt;&gt;"Spouse or Common Law Spouse",$O316&lt;&gt;"Domestic Partner",$O316&lt;&gt;"Child",$O316&lt;&gt;"Other",$O316&lt;&gt;"Estate",$O316&lt;&gt;"Unknown")),"Dependent Relationship, ","")&amp;IF($AA316&lt;&gt;"","Household, ","")&amp;IF(OR($P316="",AND($P316&lt;&gt;"",OR(NOT(ISNUMBER($P316)),$P316&lt;=DATE(1900,1,1)))),"Eligibility Date, ","")&amp;IF(OR(AND($R316="Terminated",$Q316=""),AND($Q316&lt;&gt;"",OR(NOT(ISNUMBER($Q316)),$Q316&lt;=DATE(1900,1,1))),AND(ISNUMBER($P316),ISNUMBER($Q316),$Q316&lt;$P316)),"Termination Date, ","")&amp;IF(OR($R316="",AND($R316&lt;&gt;"Active",$R316&lt;&gt;"Terminated"),AND('START HERE'!$C$8="Terminations Only",$R316&lt;&gt;"Terminated")),"Status, ","")&amp;IF($S316="","Plan Name, ","")&amp;IF($T316="","Coverage Level, ","")&amp;IF(AND($U316&lt;&gt;"",OR(NOT(ISNUMBER($U316)),$U316&lt;0)),"Funding, ","")&amp;IF(AND($A316&lt;&gt;"",$S316&lt;&gt;"",COUNTIFS($A$2:$A$501,$A316,$B$2:$B$501,$B316,$S$2:$S$501,$S316)&gt;1),"Duplicate Row, ",""))</f>
        <v/>
      </c>
      <c r="AF316">
        <f>IF(COUNTA($A316:$U316)=0,"",$Y316&amp;$Z316&amp;$AA316&amp;$AB316&amp;$AC316)</f>
        <v/>
      </c>
      <c r="AG316">
        <f>IF($N316="","",LOWER(TRIM($N316)))</f>
        <v/>
      </c>
      <c r="AH316">
        <f>IF($A316="","",COUNTIFS($A$2:$A$501,$A316,$AI$2:$AI$501,1))</f>
        <v/>
      </c>
      <c r="AI316">
        <f>IF(COUNTA($A316:$U316)=0,"",--($AF316&lt;&gt;""))</f>
        <v/>
      </c>
      <c r="AJ316">
        <f>IF(COUNTA($A316:$U316)=0,"",--($AD316&lt;&gt;""))</f>
        <v/>
      </c>
    </row>
    <row r="317" ht="20" customHeight="1">
      <c r="A317" s="80" t="n"/>
      <c r="B317" s="80" t="n"/>
      <c r="C317" s="81" t="n"/>
      <c r="D317" s="81" t="n"/>
      <c r="E317" s="80" t="n"/>
      <c r="F317" s="81" t="n"/>
      <c r="G317" s="81" t="n"/>
      <c r="H317" s="81" t="n"/>
      <c r="I317" s="80" t="n"/>
      <c r="J317" s="80" t="n"/>
      <c r="K317" s="80" t="n"/>
      <c r="L317" s="82" t="n"/>
      <c r="M317" s="80" t="n"/>
      <c r="N317" s="80" t="n"/>
      <c r="O317" s="80" t="n"/>
      <c r="P317" s="82" t="n"/>
      <c r="Q317" s="82" t="n"/>
      <c r="R317" s="80" t="n"/>
      <c r="S317" s="80" t="n"/>
      <c r="T317" s="80" t="n"/>
      <c r="U317" s="83" t="n"/>
      <c r="V317">
        <f>IF($A317="","",IF($A317=$A316,$V316,IF($V316="",0,1-$V316)))</f>
        <v/>
      </c>
      <c r="W317">
        <f>IF($B317&lt;&gt;"",$B317,$A317)</f>
        <v/>
      </c>
      <c r="X317">
        <f>IF(COUNTA($A317:$U317)=0,"",IF(OR($B317&lt;&gt;"",$O317&lt;&gt;""),"Dependent","Employee"))</f>
        <v/>
      </c>
      <c r="Y317">
        <f>IF(COUNTA($A317:$U317)=0,"",IF($A317="","Employee SSN is required; ","")&amp;IF($C317="","First Name is required; ","")&amp;IF(LEN($C317&amp;"")&gt;19,"First Name exceeds 19 characters; ","")&amp;IF(AND($C317&lt;&gt;"",SUMPRODUCT(--(ROW($1:$19)&lt;=LEN($C317&amp;"")),--ISERROR(FIND(MID($C317&amp;"",ROW($1:$19),1),"ABCDEFGHIJKLMNOPQRSTUVWXYZabcdefghijklmnopqrstuvwxyz .,")))&gt;0),"First Name contains unsupported or encoded characters; use plain A-Z letters only; ","")&amp;IF($D317="","Last Name is required; ","")&amp;IF(LEN($D317&amp;"")&gt;26,"Last Name exceeds 26 characters; ","")&amp;IF(AND($D317&lt;&gt;"",SUMPRODUCT(--(ROW($1:$26)&lt;=LEN($D317&amp;"")),--ISERROR(FIND(MID($D317&amp;"",ROW($1:$26),1),"ABCDEFGHIJKLMNOPQRSTUVWXYZabcdefghijklmnopqrstuvwxyz .,")))&gt;0),"Last Name contains unsupported or encoded characters; use plain A-Z letters only; ","")&amp;IF(LEN($E317&amp;"")&gt;1,"Middle Initial may contain only one character; ","")&amp;IF(AND($E317&lt;&gt;"",SUMPRODUCT(--(ROW($1:$1)&lt;=LEN($E317&amp;"")),--ISERROR(FIND(MID($E317&amp;"",ROW($1:$1),1),"ABCDEFGHIJKLMNOPQRSTUVWXYZabcdefghijklmnopqrstuvwxyz .,")))&gt;0),"Middle Initial must be a plain A-Z letter; ","")&amp;IF($F317="","Address is required; ","")&amp;IF(LEN($F317&amp;"")&gt;75,"Address exceeds 75 characters; ","")&amp;IF(LEN($G317&amp;"")&gt;75,"Address 2 exceeds 75 characters; ","")&amp;IF($H317="","City is required; ","")&amp;IF(LEN($H317&amp;"")&gt;30,"City exceeds 30 characters; ","")&amp;IF($K317="","Country is required; ","")&amp;IF(AND($K317&lt;&gt;"",$K317&lt;&gt;"US",$K317&lt;&gt;"CA"),"Country must be US or CA; ","")&amp;IF(AND($K317="US",OR($I317="",LEN($I317&amp;"")&lt;&gt;2)),"Use a 2-letter state code; ","")&amp;IF($J317="","ZIP or postal code is required; ","")&amp;IF(AND($K317="US",$J317&lt;&gt;"",NOT(IFERROR(OR(AND(LEN($J317&amp;"")=5,ISNUMBER(--($J317&amp;""))),AND(LEN($J317&amp;"")=9,ISNUMBER(--($J317&amp;""))),AND(LEN($J317&amp;"")=10,MID($J317&amp;"",6,1)="-",ISNUMBER(--SUBSTITUTE($J317&amp;"","-","")))),FALSE))),"US ZIP must be 5 or 9 digits, with an optional ZIP+4 hyphen; ","")&amp;IF(AND($N317&lt;&gt;"",NOT(IFERROR(AND(ISNUMBER(SEARCH("@",$N317)),ISNUMBER(SEARCH(".",$N317,SEARCH("@",$N317)+2))),FALSE))),"Email format appears invalid; ","")&amp;IF(AND($O317&lt;&gt;"",$B317=""),"Dependent SSN is required for every dependent; ","")&amp;IF(AND($B317&lt;&gt;"",$O317=""),"Dependent Relationship is required when Dependent SSN is entered; ","")&amp;IF(AND($O317&lt;&gt;"",$O317&lt;&gt;"Spouse or Common Law Spouse",$O317&lt;&gt;"Domestic Partner",$O317&lt;&gt;"Child",$O317&lt;&gt;"Other",$O317&lt;&gt;"Estate",$O317&lt;&gt;"Unknown"),"Dependent Relationship must use one of the approved options; ",""))</f>
        <v/>
      </c>
      <c r="Z317">
        <f>IF(COUNTA($A317:$U317)=0,"",IF(AND($A317&lt;&gt;"",NOT(IFERROR(AND(LEN($A317&amp;"")=9,ISNUMBER(--($A317&amp;""))),FALSE))),"Employee SSN must contain exactly 9 digits; ","")&amp;IF(AND($A317&lt;&gt;"",OR($A317="123456789",$A317="987654321",$A317="012345678",$A317=REPT(LEFT($A317&amp;"",1),9))),"Employee SSN appears to be a placeholder; ","")&amp;IF(AND($B317&lt;&gt;"",NOT(IFERROR(AND(LEN($B317&amp;"")=9,ISNUMBER(--($B317&amp;""))),FALSE))),"Dependent SSN must contain exactly 9 digits; ","")&amp;IF(AND($B317&lt;&gt;"",OR($B317="123456789",$B317="987654321",$B317="012345678",$B317=REPT(LEFT($B317&amp;"",1),9))),"Dependent SSN appears to be a placeholder; ","")&amp;IF(AND($A317&lt;&gt;"",$B317&lt;&gt;"",$A317&amp;""=$B317&amp;""),"Dependent SSN cannot match Employee SSN; ","")&amp;IF(AND($W317&lt;&gt;"",OR(COUNTIFS($W$2:$W$501,$W317,$C$2:$C$501,"&lt;&gt;"&amp;$C317)&gt;0,COUNTIFS($W$2:$W$501,$W317,$D$2:$D$501,"&lt;&gt;"&amp;$D317)&gt;0,COUNTIFS($W$2:$W$501,$W317,$L$2:$L$501,"&lt;&gt;"&amp;$L317)&gt;0)),"The same SSN is associated with a different name or birthdate; ",""))</f>
        <v/>
      </c>
      <c r="AA317">
        <f>IF(COUNTA($A317:$U317)=0,"",IF(AND($A317&lt;&gt;"",$S317&lt;&gt;"",COUNTIFS($A$2:$A$501,$A317,$S$2:$S$501,$S317,$B$2:$B$501,"",$O$2:$O$501,"")=0),"Add an employee row for this household and plan; ","")&amp;IF(AND($X317="Dependent",COUNTIFS($A$2:$A317,$A317,$S$2:$S317,$S317,$B$2:$B317,"",$O$2:$O317,"")=0),"Place the employee row before dependent rows for this plan; ","")&amp;IF(AND($X317="Dependent",COUNTIFS($A$2:$A$501,$A317,$S$2:$S$501,$S317,$B$2:$B$501,"",$O$2:$O$501,"")&gt;0,IFERROR(OR($P317&lt;&gt;LOOKUP(2,1/(($A$2:$A$501=$A317)*($S$2:$S$501=$S317)*($B$2:$B$501="")*($O$2:$O$501="")),$P$2:$P$501),$Q317&lt;&gt;LOOKUP(2,1/(($A$2:$A$501=$A317)*($S$2:$S$501=$S317)*($B$2:$B$501="")*($O$2:$O$501="")),$Q$2:$Q$501),$R317&lt;&gt;LOOKUP(2,1/(($A$2:$A$501=$A317)*($S$2:$S$501=$S317)*($B$2:$B$501="")*($O$2:$O$501="")),$R$2:$R$501),$T317&lt;&gt;LOOKUP(2,1/(($A$2:$A$501=$A317)*($S$2:$S$501=$S317)*($B$2:$B$501="")*($O$2:$O$501="")),$T$2:$T$501),$U317&lt;&gt;LOOKUP(2,1/(($A$2:$A$501=$A317)*($S$2:$S$501=$S317)*($B$2:$B$501="")*($O$2:$O$501="")),$U$2:$U$501)),FALSE)),"Dependent row does not match the employee row for eligibility, status, coverage level, or funding; ",""))</f>
        <v/>
      </c>
      <c r="AB317">
        <f>IF(COUNTA($A317:$U317)=0,"",IF($L317="","Birthdate is required; ","")&amp;IF(AND($L317&lt;&gt;"",OR(NOT(ISNUMBER($L317)),$L317&lt;=DATE(1900,1,1),$L317&gt;TODAY())),"Birthdate must be an exact valid past date; ","")&amp;IF($P317="","Eligibility Date is required; ","")&amp;IF(AND($P317&lt;&gt;"",OR(NOT(ISNUMBER($P317)),$P317&lt;=DATE(1900,1,1))),"Eligibility Date must be a valid date; ","")&amp;IF(AND($R317="Terminated",$Q317=""),"Termination Date is required when Status is Terminated; ","")&amp;IF(AND($Q317&lt;&gt;"",OR(NOT(ISNUMBER($Q317)),$Q317&lt;=DATE(1900,1,1))),"Termination Date must be a valid date; ","")&amp;IF(AND(ISNUMBER($P317),ISNUMBER($Q317),$Q317&lt;$P317),"Termination Date cannot be before Eligibility Date; ","")&amp;IF($R317="","Status is required; ","")&amp;IF(AND($R317&lt;&gt;"",$R317&lt;&gt;"Active",$R317&lt;&gt;"Terminated"),"Status must be Active or Terminated; ","")&amp;IF(AND('START HERE'!$C$8="Terminations Only",$R317&lt;&gt;"Terminated"),"Terminations Only files must contain terminated records; ",""))</f>
        <v/>
      </c>
      <c r="AC317">
        <f>IF(COUNTA($A317:$U317)=0,"",IF($S317="","Plan Name is required; ","")&amp;IF($T317="","Benefit Coverage Level is required; ","")&amp;IF(AND($U317&lt;&gt;"",OR(NOT(ISNUMBER($U317)),$U317&lt;0)),"Plan Funding Amount must be a nonnegative number; ","")&amp;IF(AND($A317&lt;&gt;"",$S317&lt;&gt;"",COUNTIFS($A$2:$A$501,$A317,$B$2:$B$501,$B317,$S$2:$S$501,$S317)&gt;1),"Duplicate participant and plan row; ",""))</f>
        <v/>
      </c>
      <c r="AD317">
        <f>IF(COUNTA($A317:$U317)=0,"",IF(AND($X317="Employee",$M317="",$N317=""),"No employee phone or email provided; ","")&amp;IF(AND($R317="Active",$Q317&lt;&gt;""),"Active record includes a Termination Date; confirm this is intentional; ","")&amp;IF(AND($B317&lt;&gt;"",$B317&amp;""&lt;&gt;$A317&amp;"",COUNTIF($A$2:$A$501,$B317)&gt;0),"Dependent SSN also appears as an Employee SSN elsewhere; confirm dual-employee coverage is intentional; ","")&amp;IF(AND($B317&lt;&gt;"",COUNTIF($B$2:$B$501,$B317)&gt;COUNTIFS($A$2:$A$501,$A317,$B$2:$B$501,$B317)),"Dependent SSN appears under more than one employee; confirm duplicate family coverage is intentional; ","")&amp;IF(AND(ROW()&gt;2,$A317&lt;&gt;"",$A317&lt;&gt;$A316,COUNTIF($A$2:$A316,$A317)&gt;0),"This household appears in more than one section of the census; keep the family together; ","")&amp;IF(OR(AND($C317&lt;&gt;"",LEN($C317&amp;"")&lt;&gt;LEN(TRIM($C317&amp;""))),AND($D317&lt;&gt;"",LEN($D317&amp;"")&lt;&gt;LEN(TRIM($D317&amp;""))),AND($E317&lt;&gt;"",LEN($E317&amp;"")&lt;&gt;LEN(TRIM($E317&amp;""))),AND($F317&lt;&gt;"",LEN($F317&amp;"")&lt;&gt;LEN(TRIM($F317&amp;""))),AND($G317&lt;&gt;"",LEN($G317&amp;"")&lt;&gt;LEN(TRIM($G317&amp;""))),AND($H317&lt;&gt;"",LEN($H317&amp;"")&lt;&gt;LEN(TRIM($H317&amp;""))),AND($I317&lt;&gt;"",LEN($I317&amp;"")&lt;&gt;LEN(TRIM($I317&amp;""))),AND($J317&lt;&gt;"",LEN($J317&amp;"")&lt;&gt;LEN(TRIM($J317&amp;""))),AND($K317&lt;&gt;"",LEN($K317&amp;"")&lt;&gt;LEN(TRIM($K317&amp;""))),AND($M317&lt;&gt;"",LEN($M317&amp;"")&lt;&gt;LEN(TRIM($M317&amp;""))),AND($N317&lt;&gt;"",LEN($N317&amp;"")&lt;&gt;LEN(TRIM($N317&amp;""))),AND($O317&lt;&gt;"",LEN($O317&amp;"")&lt;&gt;LEN(TRIM($O317&amp;""))),AND($R317&lt;&gt;"",LEN($R317&amp;"")&lt;&gt;LEN(TRIM($R317&amp;""))),AND($S317&lt;&gt;"",LEN($S317&amp;"")&lt;&gt;LEN(TRIM($S317&amp;""))),AND($T317&lt;&gt;"",LEN($T317&amp;"")&lt;&gt;LEN(TRIM($T317&amp;"")))),"Remove leading or trailing spaces from text fields; ","")&amp;IF(OR(AND(LEN($C317)&gt;1,OR(EXACT($C317,UPPER($C317)),EXACT($C317,LOWER($C317)))),AND(LEN($D317)&gt;1,OR(EXACT($D317,UPPER($D317)),EXACT($D317,LOWER($D317)))),AND(LEN($H317)&gt;1,OR(EXACT($H317,UPPER($H317)),EXACT($H317,LOWER($H317))))),"Review capitalization in First Name, Last Name, or City; ","")&amp;IF(AND($N317&lt;&gt;"",NOT(EXACT($N317,LOWER($N317)))),"Email will be standardized to lowercase in the clean output; ","")&amp;IF(AND(OR('START HERE'!$C$8="Initial Enrollment",'START HERE'!$C$8="Open Enrollment"),$R317="Terminated"),"A terminated row is included in an initial or open enrollment file; confirm this is intentional; ",""))</f>
        <v/>
      </c>
      <c r="AE317">
        <f>IF(COUNTA($A317:$U317)=0,"",IF(OR($A317="",AND($A317&lt;&gt;"",NOT(IFERROR(AND(LEN($A317&amp;"")=9,ISNUMBER(--($A317&amp;""))),FALSE))),AND($A317&lt;&gt;"",OR($A317="123456789",$A317="987654321",$A317="012345678",$A317=REPT(LEFT($A317&amp;"",1),9)))),"Employee SSN, ","")&amp;IF(OR(AND($O317&lt;&gt;"",$B317=""),AND($B317&lt;&gt;"",OR(NOT(IFERROR(AND(LEN($B317&amp;"")=9,ISNUMBER(--($B317&amp;""))),FALSE)),$B317=$A317,$B317="123456789",$B317="987654321",$B317="012345678",$B317=REPT(LEFT($B317&amp;"",1),9)))),"Dependent SSN, ","")&amp;IF(OR($C317="",LEN($C317)&gt;19,AND($C317&lt;&gt;"",SUMPRODUCT(--(ROW($1:$19)&lt;=LEN($C317&amp;"")),--ISERROR(FIND(MID($C317&amp;"",ROW($1:$19),1),"ABCDEFGHIJKLMNOPQRSTUVWXYZabcdefghijklmnopqrstuvwxyz .,")))&gt;0)),"First Name, ","")&amp;IF(OR($D317="",LEN($D317)&gt;26,AND($D317&lt;&gt;"",SUMPRODUCT(--(ROW($1:$26)&lt;=LEN($D317&amp;"")),--ISERROR(FIND(MID($D317&amp;"",ROW($1:$26),1),"ABCDEFGHIJKLMNOPQRSTUVWXYZabcdefghijklmnopqrstuvwxyz .,")))&gt;0)),"Last Name, ","")&amp;IF(OR(LEN($E317)&gt;1,AND($E317&lt;&gt;"",SUMPRODUCT(--(ROW($1:$1)&lt;=LEN($E317&amp;"")),--ISERROR(FIND(MID($E317&amp;"",ROW($1:$1),1),"ABCDEFGHIJKLMNOPQRSTUVWXYZabcdefghijklmnopqrstuvwxyz .,")))&gt;0)),"Middle Initial, ","")&amp;IF(OR($F317="",LEN($F317)&gt;75),"Address, ","")&amp;IF(OR($H317="",LEN($H317)&gt;30),"City, ","")&amp;IF(AND($K317="US",OR($I317="",LEN($I317)&lt;&gt;2)),"State, ","")&amp;IF($J317="","ZIP, ","")&amp;IF(OR($K317="",AND($K317&lt;&gt;"US",$K317&lt;&gt;"CA")),"Country, ","")&amp;IF(OR($L317="",AND($L317&lt;&gt;"",OR(NOT(ISNUMBER($L317)),$L317&lt;=DATE(1900,1,1),$L317&gt;TODAY()))),"Birthdate, ","")&amp;IF(AND($N317&lt;&gt;"",NOT(IFERROR(AND(ISNUMBER(SEARCH("@",$N317)),ISNUMBER(SEARCH(".",$N317,SEARCH("@",$N317)+2))),FALSE))),"Email, ","")&amp;IF(OR(AND($B317&lt;&gt;"",$O317=""),AND($O317&lt;&gt;"",$O317&lt;&gt;"Spouse or Common Law Spouse",$O317&lt;&gt;"Domestic Partner",$O317&lt;&gt;"Child",$O317&lt;&gt;"Other",$O317&lt;&gt;"Estate",$O317&lt;&gt;"Unknown")),"Dependent Relationship, ","")&amp;IF($AA317&lt;&gt;"","Household, ","")&amp;IF(OR($P317="",AND($P317&lt;&gt;"",OR(NOT(ISNUMBER($P317)),$P317&lt;=DATE(1900,1,1)))),"Eligibility Date, ","")&amp;IF(OR(AND($R317="Terminated",$Q317=""),AND($Q317&lt;&gt;"",OR(NOT(ISNUMBER($Q317)),$Q317&lt;=DATE(1900,1,1))),AND(ISNUMBER($P317),ISNUMBER($Q317),$Q317&lt;$P317)),"Termination Date, ","")&amp;IF(OR($R317="",AND($R317&lt;&gt;"Active",$R317&lt;&gt;"Terminated"),AND('START HERE'!$C$8="Terminations Only",$R317&lt;&gt;"Terminated")),"Status, ","")&amp;IF($S317="","Plan Name, ","")&amp;IF($T317="","Coverage Level, ","")&amp;IF(AND($U317&lt;&gt;"",OR(NOT(ISNUMBER($U317)),$U317&lt;0)),"Funding, ","")&amp;IF(AND($A317&lt;&gt;"",$S317&lt;&gt;"",COUNTIFS($A$2:$A$501,$A317,$B$2:$B$501,$B317,$S$2:$S$501,$S317)&gt;1),"Duplicate Row, ",""))</f>
        <v/>
      </c>
      <c r="AF317">
        <f>IF(COUNTA($A317:$U317)=0,"",$Y317&amp;$Z317&amp;$AA317&amp;$AB317&amp;$AC317)</f>
        <v/>
      </c>
      <c r="AG317">
        <f>IF($N317="","",LOWER(TRIM($N317)))</f>
        <v/>
      </c>
      <c r="AH317">
        <f>IF($A317="","",COUNTIFS($A$2:$A$501,$A317,$AI$2:$AI$501,1))</f>
        <v/>
      </c>
      <c r="AI317">
        <f>IF(COUNTA($A317:$U317)=0,"",--($AF317&lt;&gt;""))</f>
        <v/>
      </c>
      <c r="AJ317">
        <f>IF(COUNTA($A317:$U317)=0,"",--($AD317&lt;&gt;""))</f>
        <v/>
      </c>
    </row>
    <row r="318" ht="20" customHeight="1">
      <c r="A318" s="80" t="n"/>
      <c r="B318" s="80" t="n"/>
      <c r="C318" s="81" t="n"/>
      <c r="D318" s="81" t="n"/>
      <c r="E318" s="80" t="n"/>
      <c r="F318" s="81" t="n"/>
      <c r="G318" s="81" t="n"/>
      <c r="H318" s="81" t="n"/>
      <c r="I318" s="80" t="n"/>
      <c r="J318" s="80" t="n"/>
      <c r="K318" s="80" t="n"/>
      <c r="L318" s="82" t="n"/>
      <c r="M318" s="80" t="n"/>
      <c r="N318" s="80" t="n"/>
      <c r="O318" s="80" t="n"/>
      <c r="P318" s="82" t="n"/>
      <c r="Q318" s="82" t="n"/>
      <c r="R318" s="80" t="n"/>
      <c r="S318" s="80" t="n"/>
      <c r="T318" s="80" t="n"/>
      <c r="U318" s="83" t="n"/>
      <c r="V318">
        <f>IF($A318="","",IF($A318=$A317,$V317,IF($V317="",0,1-$V317)))</f>
        <v/>
      </c>
      <c r="W318">
        <f>IF($B318&lt;&gt;"",$B318,$A318)</f>
        <v/>
      </c>
      <c r="X318">
        <f>IF(COUNTA($A318:$U318)=0,"",IF(OR($B318&lt;&gt;"",$O318&lt;&gt;""),"Dependent","Employee"))</f>
        <v/>
      </c>
      <c r="Y318">
        <f>IF(COUNTA($A318:$U318)=0,"",IF($A318="","Employee SSN is required; ","")&amp;IF($C318="","First Name is required; ","")&amp;IF(LEN($C318&amp;"")&gt;19,"First Name exceeds 19 characters; ","")&amp;IF(AND($C318&lt;&gt;"",SUMPRODUCT(--(ROW($1:$19)&lt;=LEN($C318&amp;"")),--ISERROR(FIND(MID($C318&amp;"",ROW($1:$19),1),"ABCDEFGHIJKLMNOPQRSTUVWXYZabcdefghijklmnopqrstuvwxyz .,")))&gt;0),"First Name contains unsupported or encoded characters; use plain A-Z letters only; ","")&amp;IF($D318="","Last Name is required; ","")&amp;IF(LEN($D318&amp;"")&gt;26,"Last Name exceeds 26 characters; ","")&amp;IF(AND($D318&lt;&gt;"",SUMPRODUCT(--(ROW($1:$26)&lt;=LEN($D318&amp;"")),--ISERROR(FIND(MID($D318&amp;"",ROW($1:$26),1),"ABCDEFGHIJKLMNOPQRSTUVWXYZabcdefghijklmnopqrstuvwxyz .,")))&gt;0),"Last Name contains unsupported or encoded characters; use plain A-Z letters only; ","")&amp;IF(LEN($E318&amp;"")&gt;1,"Middle Initial may contain only one character; ","")&amp;IF(AND($E318&lt;&gt;"",SUMPRODUCT(--(ROW($1:$1)&lt;=LEN($E318&amp;"")),--ISERROR(FIND(MID($E318&amp;"",ROW($1:$1),1),"ABCDEFGHIJKLMNOPQRSTUVWXYZabcdefghijklmnopqrstuvwxyz .,")))&gt;0),"Middle Initial must be a plain A-Z letter; ","")&amp;IF($F318="","Address is required; ","")&amp;IF(LEN($F318&amp;"")&gt;75,"Address exceeds 75 characters; ","")&amp;IF(LEN($G318&amp;"")&gt;75,"Address 2 exceeds 75 characters; ","")&amp;IF($H318="","City is required; ","")&amp;IF(LEN($H318&amp;"")&gt;30,"City exceeds 30 characters; ","")&amp;IF($K318="","Country is required; ","")&amp;IF(AND($K318&lt;&gt;"",$K318&lt;&gt;"US",$K318&lt;&gt;"CA"),"Country must be US or CA; ","")&amp;IF(AND($K318="US",OR($I318="",LEN($I318&amp;"")&lt;&gt;2)),"Use a 2-letter state code; ","")&amp;IF($J318="","ZIP or postal code is required; ","")&amp;IF(AND($K318="US",$J318&lt;&gt;"",NOT(IFERROR(OR(AND(LEN($J318&amp;"")=5,ISNUMBER(--($J318&amp;""))),AND(LEN($J318&amp;"")=9,ISNUMBER(--($J318&amp;""))),AND(LEN($J318&amp;"")=10,MID($J318&amp;"",6,1)="-",ISNUMBER(--SUBSTITUTE($J318&amp;"","-","")))),FALSE))),"US ZIP must be 5 or 9 digits, with an optional ZIP+4 hyphen; ","")&amp;IF(AND($N318&lt;&gt;"",NOT(IFERROR(AND(ISNUMBER(SEARCH("@",$N318)),ISNUMBER(SEARCH(".",$N318,SEARCH("@",$N318)+2))),FALSE))),"Email format appears invalid; ","")&amp;IF(AND($O318&lt;&gt;"",$B318=""),"Dependent SSN is required for every dependent; ","")&amp;IF(AND($B318&lt;&gt;"",$O318=""),"Dependent Relationship is required when Dependent SSN is entered; ","")&amp;IF(AND($O318&lt;&gt;"",$O318&lt;&gt;"Spouse or Common Law Spouse",$O318&lt;&gt;"Domestic Partner",$O318&lt;&gt;"Child",$O318&lt;&gt;"Other",$O318&lt;&gt;"Estate",$O318&lt;&gt;"Unknown"),"Dependent Relationship must use one of the approved options; ",""))</f>
        <v/>
      </c>
      <c r="Z318">
        <f>IF(COUNTA($A318:$U318)=0,"",IF(AND($A318&lt;&gt;"",NOT(IFERROR(AND(LEN($A318&amp;"")=9,ISNUMBER(--($A318&amp;""))),FALSE))),"Employee SSN must contain exactly 9 digits; ","")&amp;IF(AND($A318&lt;&gt;"",OR($A318="123456789",$A318="987654321",$A318="012345678",$A318=REPT(LEFT($A318&amp;"",1),9))),"Employee SSN appears to be a placeholder; ","")&amp;IF(AND($B318&lt;&gt;"",NOT(IFERROR(AND(LEN($B318&amp;"")=9,ISNUMBER(--($B318&amp;""))),FALSE))),"Dependent SSN must contain exactly 9 digits; ","")&amp;IF(AND($B318&lt;&gt;"",OR($B318="123456789",$B318="987654321",$B318="012345678",$B318=REPT(LEFT($B318&amp;"",1),9))),"Dependent SSN appears to be a placeholder; ","")&amp;IF(AND($A318&lt;&gt;"",$B318&lt;&gt;"",$A318&amp;""=$B318&amp;""),"Dependent SSN cannot match Employee SSN; ","")&amp;IF(AND($W318&lt;&gt;"",OR(COUNTIFS($W$2:$W$501,$W318,$C$2:$C$501,"&lt;&gt;"&amp;$C318)&gt;0,COUNTIFS($W$2:$W$501,$W318,$D$2:$D$501,"&lt;&gt;"&amp;$D318)&gt;0,COUNTIFS($W$2:$W$501,$W318,$L$2:$L$501,"&lt;&gt;"&amp;$L318)&gt;0)),"The same SSN is associated with a different name or birthdate; ",""))</f>
        <v/>
      </c>
      <c r="AA318">
        <f>IF(COUNTA($A318:$U318)=0,"",IF(AND($A318&lt;&gt;"",$S318&lt;&gt;"",COUNTIFS($A$2:$A$501,$A318,$S$2:$S$501,$S318,$B$2:$B$501,"",$O$2:$O$501,"")=0),"Add an employee row for this household and plan; ","")&amp;IF(AND($X318="Dependent",COUNTIFS($A$2:$A318,$A318,$S$2:$S318,$S318,$B$2:$B318,"",$O$2:$O318,"")=0),"Place the employee row before dependent rows for this plan; ","")&amp;IF(AND($X318="Dependent",COUNTIFS($A$2:$A$501,$A318,$S$2:$S$501,$S318,$B$2:$B$501,"",$O$2:$O$501,"")&gt;0,IFERROR(OR($P318&lt;&gt;LOOKUP(2,1/(($A$2:$A$501=$A318)*($S$2:$S$501=$S318)*($B$2:$B$501="")*($O$2:$O$501="")),$P$2:$P$501),$Q318&lt;&gt;LOOKUP(2,1/(($A$2:$A$501=$A318)*($S$2:$S$501=$S318)*($B$2:$B$501="")*($O$2:$O$501="")),$Q$2:$Q$501),$R318&lt;&gt;LOOKUP(2,1/(($A$2:$A$501=$A318)*($S$2:$S$501=$S318)*($B$2:$B$501="")*($O$2:$O$501="")),$R$2:$R$501),$T318&lt;&gt;LOOKUP(2,1/(($A$2:$A$501=$A318)*($S$2:$S$501=$S318)*($B$2:$B$501="")*($O$2:$O$501="")),$T$2:$T$501),$U318&lt;&gt;LOOKUP(2,1/(($A$2:$A$501=$A318)*($S$2:$S$501=$S318)*($B$2:$B$501="")*($O$2:$O$501="")),$U$2:$U$501)),FALSE)),"Dependent row does not match the employee row for eligibility, status, coverage level, or funding; ",""))</f>
        <v/>
      </c>
      <c r="AB318">
        <f>IF(COUNTA($A318:$U318)=0,"",IF($L318="","Birthdate is required; ","")&amp;IF(AND($L318&lt;&gt;"",OR(NOT(ISNUMBER($L318)),$L318&lt;=DATE(1900,1,1),$L318&gt;TODAY())),"Birthdate must be an exact valid past date; ","")&amp;IF($P318="","Eligibility Date is required; ","")&amp;IF(AND($P318&lt;&gt;"",OR(NOT(ISNUMBER($P318)),$P318&lt;=DATE(1900,1,1))),"Eligibility Date must be a valid date; ","")&amp;IF(AND($R318="Terminated",$Q318=""),"Termination Date is required when Status is Terminated; ","")&amp;IF(AND($Q318&lt;&gt;"",OR(NOT(ISNUMBER($Q318)),$Q318&lt;=DATE(1900,1,1))),"Termination Date must be a valid date; ","")&amp;IF(AND(ISNUMBER($P318),ISNUMBER($Q318),$Q318&lt;$P318),"Termination Date cannot be before Eligibility Date; ","")&amp;IF($R318="","Status is required; ","")&amp;IF(AND($R318&lt;&gt;"",$R318&lt;&gt;"Active",$R318&lt;&gt;"Terminated"),"Status must be Active or Terminated; ","")&amp;IF(AND('START HERE'!$C$8="Terminations Only",$R318&lt;&gt;"Terminated"),"Terminations Only files must contain terminated records; ",""))</f>
        <v/>
      </c>
      <c r="AC318">
        <f>IF(COUNTA($A318:$U318)=0,"",IF($S318="","Plan Name is required; ","")&amp;IF($T318="","Benefit Coverage Level is required; ","")&amp;IF(AND($U318&lt;&gt;"",OR(NOT(ISNUMBER($U318)),$U318&lt;0)),"Plan Funding Amount must be a nonnegative number; ","")&amp;IF(AND($A318&lt;&gt;"",$S318&lt;&gt;"",COUNTIFS($A$2:$A$501,$A318,$B$2:$B$501,$B318,$S$2:$S$501,$S318)&gt;1),"Duplicate participant and plan row; ",""))</f>
        <v/>
      </c>
      <c r="AD318">
        <f>IF(COUNTA($A318:$U318)=0,"",IF(AND($X318="Employee",$M318="",$N318=""),"No employee phone or email provided; ","")&amp;IF(AND($R318="Active",$Q318&lt;&gt;""),"Active record includes a Termination Date; confirm this is intentional; ","")&amp;IF(AND($B318&lt;&gt;"",$B318&amp;""&lt;&gt;$A318&amp;"",COUNTIF($A$2:$A$501,$B318)&gt;0),"Dependent SSN also appears as an Employee SSN elsewhere; confirm dual-employee coverage is intentional; ","")&amp;IF(AND($B318&lt;&gt;"",COUNTIF($B$2:$B$501,$B318)&gt;COUNTIFS($A$2:$A$501,$A318,$B$2:$B$501,$B318)),"Dependent SSN appears under more than one employee; confirm duplicate family coverage is intentional; ","")&amp;IF(AND(ROW()&gt;2,$A318&lt;&gt;"",$A318&lt;&gt;$A317,COUNTIF($A$2:$A317,$A318)&gt;0),"This household appears in more than one section of the census; keep the family together; ","")&amp;IF(OR(AND($C318&lt;&gt;"",LEN($C318&amp;"")&lt;&gt;LEN(TRIM($C318&amp;""))),AND($D318&lt;&gt;"",LEN($D318&amp;"")&lt;&gt;LEN(TRIM($D318&amp;""))),AND($E318&lt;&gt;"",LEN($E318&amp;"")&lt;&gt;LEN(TRIM($E318&amp;""))),AND($F318&lt;&gt;"",LEN($F318&amp;"")&lt;&gt;LEN(TRIM($F318&amp;""))),AND($G318&lt;&gt;"",LEN($G318&amp;"")&lt;&gt;LEN(TRIM($G318&amp;""))),AND($H318&lt;&gt;"",LEN($H318&amp;"")&lt;&gt;LEN(TRIM($H318&amp;""))),AND($I318&lt;&gt;"",LEN($I318&amp;"")&lt;&gt;LEN(TRIM($I318&amp;""))),AND($J318&lt;&gt;"",LEN($J318&amp;"")&lt;&gt;LEN(TRIM($J318&amp;""))),AND($K318&lt;&gt;"",LEN($K318&amp;"")&lt;&gt;LEN(TRIM($K318&amp;""))),AND($M318&lt;&gt;"",LEN($M318&amp;"")&lt;&gt;LEN(TRIM($M318&amp;""))),AND($N318&lt;&gt;"",LEN($N318&amp;"")&lt;&gt;LEN(TRIM($N318&amp;""))),AND($O318&lt;&gt;"",LEN($O318&amp;"")&lt;&gt;LEN(TRIM($O318&amp;""))),AND($R318&lt;&gt;"",LEN($R318&amp;"")&lt;&gt;LEN(TRIM($R318&amp;""))),AND($S318&lt;&gt;"",LEN($S318&amp;"")&lt;&gt;LEN(TRIM($S318&amp;""))),AND($T318&lt;&gt;"",LEN($T318&amp;"")&lt;&gt;LEN(TRIM($T318&amp;"")))),"Remove leading or trailing spaces from text fields; ","")&amp;IF(OR(AND(LEN($C318)&gt;1,OR(EXACT($C318,UPPER($C318)),EXACT($C318,LOWER($C318)))),AND(LEN($D318)&gt;1,OR(EXACT($D318,UPPER($D318)),EXACT($D318,LOWER($D318)))),AND(LEN($H318)&gt;1,OR(EXACT($H318,UPPER($H318)),EXACT($H318,LOWER($H318))))),"Review capitalization in First Name, Last Name, or City; ","")&amp;IF(AND($N318&lt;&gt;"",NOT(EXACT($N318,LOWER($N318)))),"Email will be standardized to lowercase in the clean output; ","")&amp;IF(AND(OR('START HERE'!$C$8="Initial Enrollment",'START HERE'!$C$8="Open Enrollment"),$R318="Terminated"),"A terminated row is included in an initial or open enrollment file; confirm this is intentional; ",""))</f>
        <v/>
      </c>
      <c r="AE318">
        <f>IF(COUNTA($A318:$U318)=0,"",IF(OR($A318="",AND($A318&lt;&gt;"",NOT(IFERROR(AND(LEN($A318&amp;"")=9,ISNUMBER(--($A318&amp;""))),FALSE))),AND($A318&lt;&gt;"",OR($A318="123456789",$A318="987654321",$A318="012345678",$A318=REPT(LEFT($A318&amp;"",1),9)))),"Employee SSN, ","")&amp;IF(OR(AND($O318&lt;&gt;"",$B318=""),AND($B318&lt;&gt;"",OR(NOT(IFERROR(AND(LEN($B318&amp;"")=9,ISNUMBER(--($B318&amp;""))),FALSE)),$B318=$A318,$B318="123456789",$B318="987654321",$B318="012345678",$B318=REPT(LEFT($B318&amp;"",1),9)))),"Dependent SSN, ","")&amp;IF(OR($C318="",LEN($C318)&gt;19,AND($C318&lt;&gt;"",SUMPRODUCT(--(ROW($1:$19)&lt;=LEN($C318&amp;"")),--ISERROR(FIND(MID($C318&amp;"",ROW($1:$19),1),"ABCDEFGHIJKLMNOPQRSTUVWXYZabcdefghijklmnopqrstuvwxyz .,")))&gt;0)),"First Name, ","")&amp;IF(OR($D318="",LEN($D318)&gt;26,AND($D318&lt;&gt;"",SUMPRODUCT(--(ROW($1:$26)&lt;=LEN($D318&amp;"")),--ISERROR(FIND(MID($D318&amp;"",ROW($1:$26),1),"ABCDEFGHIJKLMNOPQRSTUVWXYZabcdefghijklmnopqrstuvwxyz .,")))&gt;0)),"Last Name, ","")&amp;IF(OR(LEN($E318)&gt;1,AND($E318&lt;&gt;"",SUMPRODUCT(--(ROW($1:$1)&lt;=LEN($E318&amp;"")),--ISERROR(FIND(MID($E318&amp;"",ROW($1:$1),1),"ABCDEFGHIJKLMNOPQRSTUVWXYZabcdefghijklmnopqrstuvwxyz .,")))&gt;0)),"Middle Initial, ","")&amp;IF(OR($F318="",LEN($F318)&gt;75),"Address, ","")&amp;IF(OR($H318="",LEN($H318)&gt;30),"City, ","")&amp;IF(AND($K318="US",OR($I318="",LEN($I318)&lt;&gt;2)),"State, ","")&amp;IF($J318="","ZIP, ","")&amp;IF(OR($K318="",AND($K318&lt;&gt;"US",$K318&lt;&gt;"CA")),"Country, ","")&amp;IF(OR($L318="",AND($L318&lt;&gt;"",OR(NOT(ISNUMBER($L318)),$L318&lt;=DATE(1900,1,1),$L318&gt;TODAY()))),"Birthdate, ","")&amp;IF(AND($N318&lt;&gt;"",NOT(IFERROR(AND(ISNUMBER(SEARCH("@",$N318)),ISNUMBER(SEARCH(".",$N318,SEARCH("@",$N318)+2))),FALSE))),"Email, ","")&amp;IF(OR(AND($B318&lt;&gt;"",$O318=""),AND($O318&lt;&gt;"",$O318&lt;&gt;"Spouse or Common Law Spouse",$O318&lt;&gt;"Domestic Partner",$O318&lt;&gt;"Child",$O318&lt;&gt;"Other",$O318&lt;&gt;"Estate",$O318&lt;&gt;"Unknown")),"Dependent Relationship, ","")&amp;IF($AA318&lt;&gt;"","Household, ","")&amp;IF(OR($P318="",AND($P318&lt;&gt;"",OR(NOT(ISNUMBER($P318)),$P318&lt;=DATE(1900,1,1)))),"Eligibility Date, ","")&amp;IF(OR(AND($R318="Terminated",$Q318=""),AND($Q318&lt;&gt;"",OR(NOT(ISNUMBER($Q318)),$Q318&lt;=DATE(1900,1,1))),AND(ISNUMBER($P318),ISNUMBER($Q318),$Q318&lt;$P318)),"Termination Date, ","")&amp;IF(OR($R318="",AND($R318&lt;&gt;"Active",$R318&lt;&gt;"Terminated"),AND('START HERE'!$C$8="Terminations Only",$R318&lt;&gt;"Terminated")),"Status, ","")&amp;IF($S318="","Plan Name, ","")&amp;IF($T318="","Coverage Level, ","")&amp;IF(AND($U318&lt;&gt;"",OR(NOT(ISNUMBER($U318)),$U318&lt;0)),"Funding, ","")&amp;IF(AND($A318&lt;&gt;"",$S318&lt;&gt;"",COUNTIFS($A$2:$A$501,$A318,$B$2:$B$501,$B318,$S$2:$S$501,$S318)&gt;1),"Duplicate Row, ",""))</f>
        <v/>
      </c>
      <c r="AF318">
        <f>IF(COUNTA($A318:$U318)=0,"",$Y318&amp;$Z318&amp;$AA318&amp;$AB318&amp;$AC318)</f>
        <v/>
      </c>
      <c r="AG318">
        <f>IF($N318="","",LOWER(TRIM($N318)))</f>
        <v/>
      </c>
      <c r="AH318">
        <f>IF($A318="","",COUNTIFS($A$2:$A$501,$A318,$AI$2:$AI$501,1))</f>
        <v/>
      </c>
      <c r="AI318">
        <f>IF(COUNTA($A318:$U318)=0,"",--($AF318&lt;&gt;""))</f>
        <v/>
      </c>
      <c r="AJ318">
        <f>IF(COUNTA($A318:$U318)=0,"",--($AD318&lt;&gt;""))</f>
        <v/>
      </c>
    </row>
    <row r="319" ht="20" customHeight="1">
      <c r="A319" s="80" t="n"/>
      <c r="B319" s="80" t="n"/>
      <c r="C319" s="81" t="n"/>
      <c r="D319" s="81" t="n"/>
      <c r="E319" s="80" t="n"/>
      <c r="F319" s="81" t="n"/>
      <c r="G319" s="81" t="n"/>
      <c r="H319" s="81" t="n"/>
      <c r="I319" s="80" t="n"/>
      <c r="J319" s="80" t="n"/>
      <c r="K319" s="80" t="n"/>
      <c r="L319" s="82" t="n"/>
      <c r="M319" s="80" t="n"/>
      <c r="N319" s="80" t="n"/>
      <c r="O319" s="80" t="n"/>
      <c r="P319" s="82" t="n"/>
      <c r="Q319" s="82" t="n"/>
      <c r="R319" s="80" t="n"/>
      <c r="S319" s="80" t="n"/>
      <c r="T319" s="80" t="n"/>
      <c r="U319" s="83" t="n"/>
      <c r="V319">
        <f>IF($A319="","",IF($A319=$A318,$V318,IF($V318="",0,1-$V318)))</f>
        <v/>
      </c>
      <c r="W319">
        <f>IF($B319&lt;&gt;"",$B319,$A319)</f>
        <v/>
      </c>
      <c r="X319">
        <f>IF(COUNTA($A319:$U319)=0,"",IF(OR($B319&lt;&gt;"",$O319&lt;&gt;""),"Dependent","Employee"))</f>
        <v/>
      </c>
      <c r="Y319">
        <f>IF(COUNTA($A319:$U319)=0,"",IF($A319="","Employee SSN is required; ","")&amp;IF($C319="","First Name is required; ","")&amp;IF(LEN($C319&amp;"")&gt;19,"First Name exceeds 19 characters; ","")&amp;IF(AND($C319&lt;&gt;"",SUMPRODUCT(--(ROW($1:$19)&lt;=LEN($C319&amp;"")),--ISERROR(FIND(MID($C319&amp;"",ROW($1:$19),1),"ABCDEFGHIJKLMNOPQRSTUVWXYZabcdefghijklmnopqrstuvwxyz .,")))&gt;0),"First Name contains unsupported or encoded characters; use plain A-Z letters only; ","")&amp;IF($D319="","Last Name is required; ","")&amp;IF(LEN($D319&amp;"")&gt;26,"Last Name exceeds 26 characters; ","")&amp;IF(AND($D319&lt;&gt;"",SUMPRODUCT(--(ROW($1:$26)&lt;=LEN($D319&amp;"")),--ISERROR(FIND(MID($D319&amp;"",ROW($1:$26),1),"ABCDEFGHIJKLMNOPQRSTUVWXYZabcdefghijklmnopqrstuvwxyz .,")))&gt;0),"Last Name contains unsupported or encoded characters; use plain A-Z letters only; ","")&amp;IF(LEN($E319&amp;"")&gt;1,"Middle Initial may contain only one character; ","")&amp;IF(AND($E319&lt;&gt;"",SUMPRODUCT(--(ROW($1:$1)&lt;=LEN($E319&amp;"")),--ISERROR(FIND(MID($E319&amp;"",ROW($1:$1),1),"ABCDEFGHIJKLMNOPQRSTUVWXYZabcdefghijklmnopqrstuvwxyz .,")))&gt;0),"Middle Initial must be a plain A-Z letter; ","")&amp;IF($F319="","Address is required; ","")&amp;IF(LEN($F319&amp;"")&gt;75,"Address exceeds 75 characters; ","")&amp;IF(LEN($G319&amp;"")&gt;75,"Address 2 exceeds 75 characters; ","")&amp;IF($H319="","City is required; ","")&amp;IF(LEN($H319&amp;"")&gt;30,"City exceeds 30 characters; ","")&amp;IF($K319="","Country is required; ","")&amp;IF(AND($K319&lt;&gt;"",$K319&lt;&gt;"US",$K319&lt;&gt;"CA"),"Country must be US or CA; ","")&amp;IF(AND($K319="US",OR($I319="",LEN($I319&amp;"")&lt;&gt;2)),"Use a 2-letter state code; ","")&amp;IF($J319="","ZIP or postal code is required; ","")&amp;IF(AND($K319="US",$J319&lt;&gt;"",NOT(IFERROR(OR(AND(LEN($J319&amp;"")=5,ISNUMBER(--($J319&amp;""))),AND(LEN($J319&amp;"")=9,ISNUMBER(--($J319&amp;""))),AND(LEN($J319&amp;"")=10,MID($J319&amp;"",6,1)="-",ISNUMBER(--SUBSTITUTE($J319&amp;"","-","")))),FALSE))),"US ZIP must be 5 or 9 digits, with an optional ZIP+4 hyphen; ","")&amp;IF(AND($N319&lt;&gt;"",NOT(IFERROR(AND(ISNUMBER(SEARCH("@",$N319)),ISNUMBER(SEARCH(".",$N319,SEARCH("@",$N319)+2))),FALSE))),"Email format appears invalid; ","")&amp;IF(AND($O319&lt;&gt;"",$B319=""),"Dependent SSN is required for every dependent; ","")&amp;IF(AND($B319&lt;&gt;"",$O319=""),"Dependent Relationship is required when Dependent SSN is entered; ","")&amp;IF(AND($O319&lt;&gt;"",$O319&lt;&gt;"Spouse or Common Law Spouse",$O319&lt;&gt;"Domestic Partner",$O319&lt;&gt;"Child",$O319&lt;&gt;"Other",$O319&lt;&gt;"Estate",$O319&lt;&gt;"Unknown"),"Dependent Relationship must use one of the approved options; ",""))</f>
        <v/>
      </c>
      <c r="Z319">
        <f>IF(COUNTA($A319:$U319)=0,"",IF(AND($A319&lt;&gt;"",NOT(IFERROR(AND(LEN($A319&amp;"")=9,ISNUMBER(--($A319&amp;""))),FALSE))),"Employee SSN must contain exactly 9 digits; ","")&amp;IF(AND($A319&lt;&gt;"",OR($A319="123456789",$A319="987654321",$A319="012345678",$A319=REPT(LEFT($A319&amp;"",1),9))),"Employee SSN appears to be a placeholder; ","")&amp;IF(AND($B319&lt;&gt;"",NOT(IFERROR(AND(LEN($B319&amp;"")=9,ISNUMBER(--($B319&amp;""))),FALSE))),"Dependent SSN must contain exactly 9 digits; ","")&amp;IF(AND($B319&lt;&gt;"",OR($B319="123456789",$B319="987654321",$B319="012345678",$B319=REPT(LEFT($B319&amp;"",1),9))),"Dependent SSN appears to be a placeholder; ","")&amp;IF(AND($A319&lt;&gt;"",$B319&lt;&gt;"",$A319&amp;""=$B319&amp;""),"Dependent SSN cannot match Employee SSN; ","")&amp;IF(AND($W319&lt;&gt;"",OR(COUNTIFS($W$2:$W$501,$W319,$C$2:$C$501,"&lt;&gt;"&amp;$C319)&gt;0,COUNTIFS($W$2:$W$501,$W319,$D$2:$D$501,"&lt;&gt;"&amp;$D319)&gt;0,COUNTIFS($W$2:$W$501,$W319,$L$2:$L$501,"&lt;&gt;"&amp;$L319)&gt;0)),"The same SSN is associated with a different name or birthdate; ",""))</f>
        <v/>
      </c>
      <c r="AA319">
        <f>IF(COUNTA($A319:$U319)=0,"",IF(AND($A319&lt;&gt;"",$S319&lt;&gt;"",COUNTIFS($A$2:$A$501,$A319,$S$2:$S$501,$S319,$B$2:$B$501,"",$O$2:$O$501,"")=0),"Add an employee row for this household and plan; ","")&amp;IF(AND($X319="Dependent",COUNTIFS($A$2:$A319,$A319,$S$2:$S319,$S319,$B$2:$B319,"",$O$2:$O319,"")=0),"Place the employee row before dependent rows for this plan; ","")&amp;IF(AND($X319="Dependent",COUNTIFS($A$2:$A$501,$A319,$S$2:$S$501,$S319,$B$2:$B$501,"",$O$2:$O$501,"")&gt;0,IFERROR(OR($P319&lt;&gt;LOOKUP(2,1/(($A$2:$A$501=$A319)*($S$2:$S$501=$S319)*($B$2:$B$501="")*($O$2:$O$501="")),$P$2:$P$501),$Q319&lt;&gt;LOOKUP(2,1/(($A$2:$A$501=$A319)*($S$2:$S$501=$S319)*($B$2:$B$501="")*($O$2:$O$501="")),$Q$2:$Q$501),$R319&lt;&gt;LOOKUP(2,1/(($A$2:$A$501=$A319)*($S$2:$S$501=$S319)*($B$2:$B$501="")*($O$2:$O$501="")),$R$2:$R$501),$T319&lt;&gt;LOOKUP(2,1/(($A$2:$A$501=$A319)*($S$2:$S$501=$S319)*($B$2:$B$501="")*($O$2:$O$501="")),$T$2:$T$501),$U319&lt;&gt;LOOKUP(2,1/(($A$2:$A$501=$A319)*($S$2:$S$501=$S319)*($B$2:$B$501="")*($O$2:$O$501="")),$U$2:$U$501)),FALSE)),"Dependent row does not match the employee row for eligibility, status, coverage level, or funding; ",""))</f>
        <v/>
      </c>
      <c r="AB319">
        <f>IF(COUNTA($A319:$U319)=0,"",IF($L319="","Birthdate is required; ","")&amp;IF(AND($L319&lt;&gt;"",OR(NOT(ISNUMBER($L319)),$L319&lt;=DATE(1900,1,1),$L319&gt;TODAY())),"Birthdate must be an exact valid past date; ","")&amp;IF($P319="","Eligibility Date is required; ","")&amp;IF(AND($P319&lt;&gt;"",OR(NOT(ISNUMBER($P319)),$P319&lt;=DATE(1900,1,1))),"Eligibility Date must be a valid date; ","")&amp;IF(AND($R319="Terminated",$Q319=""),"Termination Date is required when Status is Terminated; ","")&amp;IF(AND($Q319&lt;&gt;"",OR(NOT(ISNUMBER($Q319)),$Q319&lt;=DATE(1900,1,1))),"Termination Date must be a valid date; ","")&amp;IF(AND(ISNUMBER($P319),ISNUMBER($Q319),$Q319&lt;$P319),"Termination Date cannot be before Eligibility Date; ","")&amp;IF($R319="","Status is required; ","")&amp;IF(AND($R319&lt;&gt;"",$R319&lt;&gt;"Active",$R319&lt;&gt;"Terminated"),"Status must be Active or Terminated; ","")&amp;IF(AND('START HERE'!$C$8="Terminations Only",$R319&lt;&gt;"Terminated"),"Terminations Only files must contain terminated records; ",""))</f>
        <v/>
      </c>
      <c r="AC319">
        <f>IF(COUNTA($A319:$U319)=0,"",IF($S319="","Plan Name is required; ","")&amp;IF($T319="","Benefit Coverage Level is required; ","")&amp;IF(AND($U319&lt;&gt;"",OR(NOT(ISNUMBER($U319)),$U319&lt;0)),"Plan Funding Amount must be a nonnegative number; ","")&amp;IF(AND($A319&lt;&gt;"",$S319&lt;&gt;"",COUNTIFS($A$2:$A$501,$A319,$B$2:$B$501,$B319,$S$2:$S$501,$S319)&gt;1),"Duplicate participant and plan row; ",""))</f>
        <v/>
      </c>
      <c r="AD319">
        <f>IF(COUNTA($A319:$U319)=0,"",IF(AND($X319="Employee",$M319="",$N319=""),"No employee phone or email provided; ","")&amp;IF(AND($R319="Active",$Q319&lt;&gt;""),"Active record includes a Termination Date; confirm this is intentional; ","")&amp;IF(AND($B319&lt;&gt;"",$B319&amp;""&lt;&gt;$A319&amp;"",COUNTIF($A$2:$A$501,$B319)&gt;0),"Dependent SSN also appears as an Employee SSN elsewhere; confirm dual-employee coverage is intentional; ","")&amp;IF(AND($B319&lt;&gt;"",COUNTIF($B$2:$B$501,$B319)&gt;COUNTIFS($A$2:$A$501,$A319,$B$2:$B$501,$B319)),"Dependent SSN appears under more than one employee; confirm duplicate family coverage is intentional; ","")&amp;IF(AND(ROW()&gt;2,$A319&lt;&gt;"",$A319&lt;&gt;$A318,COUNTIF($A$2:$A318,$A319)&gt;0),"This household appears in more than one section of the census; keep the family together; ","")&amp;IF(OR(AND($C319&lt;&gt;"",LEN($C319&amp;"")&lt;&gt;LEN(TRIM($C319&amp;""))),AND($D319&lt;&gt;"",LEN($D319&amp;"")&lt;&gt;LEN(TRIM($D319&amp;""))),AND($E319&lt;&gt;"",LEN($E319&amp;"")&lt;&gt;LEN(TRIM($E319&amp;""))),AND($F319&lt;&gt;"",LEN($F319&amp;"")&lt;&gt;LEN(TRIM($F319&amp;""))),AND($G319&lt;&gt;"",LEN($G319&amp;"")&lt;&gt;LEN(TRIM($G319&amp;""))),AND($H319&lt;&gt;"",LEN($H319&amp;"")&lt;&gt;LEN(TRIM($H319&amp;""))),AND($I319&lt;&gt;"",LEN($I319&amp;"")&lt;&gt;LEN(TRIM($I319&amp;""))),AND($J319&lt;&gt;"",LEN($J319&amp;"")&lt;&gt;LEN(TRIM($J319&amp;""))),AND($K319&lt;&gt;"",LEN($K319&amp;"")&lt;&gt;LEN(TRIM($K319&amp;""))),AND($M319&lt;&gt;"",LEN($M319&amp;"")&lt;&gt;LEN(TRIM($M319&amp;""))),AND($N319&lt;&gt;"",LEN($N319&amp;"")&lt;&gt;LEN(TRIM($N319&amp;""))),AND($O319&lt;&gt;"",LEN($O319&amp;"")&lt;&gt;LEN(TRIM($O319&amp;""))),AND($R319&lt;&gt;"",LEN($R319&amp;"")&lt;&gt;LEN(TRIM($R319&amp;""))),AND($S319&lt;&gt;"",LEN($S319&amp;"")&lt;&gt;LEN(TRIM($S319&amp;""))),AND($T319&lt;&gt;"",LEN($T319&amp;"")&lt;&gt;LEN(TRIM($T319&amp;"")))),"Remove leading or trailing spaces from text fields; ","")&amp;IF(OR(AND(LEN($C319)&gt;1,OR(EXACT($C319,UPPER($C319)),EXACT($C319,LOWER($C319)))),AND(LEN($D319)&gt;1,OR(EXACT($D319,UPPER($D319)),EXACT($D319,LOWER($D319)))),AND(LEN($H319)&gt;1,OR(EXACT($H319,UPPER($H319)),EXACT($H319,LOWER($H319))))),"Review capitalization in First Name, Last Name, or City; ","")&amp;IF(AND($N319&lt;&gt;"",NOT(EXACT($N319,LOWER($N319)))),"Email will be standardized to lowercase in the clean output; ","")&amp;IF(AND(OR('START HERE'!$C$8="Initial Enrollment",'START HERE'!$C$8="Open Enrollment"),$R319="Terminated"),"A terminated row is included in an initial or open enrollment file; confirm this is intentional; ",""))</f>
        <v/>
      </c>
      <c r="AE319">
        <f>IF(COUNTA($A319:$U319)=0,"",IF(OR($A319="",AND($A319&lt;&gt;"",NOT(IFERROR(AND(LEN($A319&amp;"")=9,ISNUMBER(--($A319&amp;""))),FALSE))),AND($A319&lt;&gt;"",OR($A319="123456789",$A319="987654321",$A319="012345678",$A319=REPT(LEFT($A319&amp;"",1),9)))),"Employee SSN, ","")&amp;IF(OR(AND($O319&lt;&gt;"",$B319=""),AND($B319&lt;&gt;"",OR(NOT(IFERROR(AND(LEN($B319&amp;"")=9,ISNUMBER(--($B319&amp;""))),FALSE)),$B319=$A319,$B319="123456789",$B319="987654321",$B319="012345678",$B319=REPT(LEFT($B319&amp;"",1),9)))),"Dependent SSN, ","")&amp;IF(OR($C319="",LEN($C319)&gt;19,AND($C319&lt;&gt;"",SUMPRODUCT(--(ROW($1:$19)&lt;=LEN($C319&amp;"")),--ISERROR(FIND(MID($C319&amp;"",ROW($1:$19),1),"ABCDEFGHIJKLMNOPQRSTUVWXYZabcdefghijklmnopqrstuvwxyz .,")))&gt;0)),"First Name, ","")&amp;IF(OR($D319="",LEN($D319)&gt;26,AND($D319&lt;&gt;"",SUMPRODUCT(--(ROW($1:$26)&lt;=LEN($D319&amp;"")),--ISERROR(FIND(MID($D319&amp;"",ROW($1:$26),1),"ABCDEFGHIJKLMNOPQRSTUVWXYZabcdefghijklmnopqrstuvwxyz .,")))&gt;0)),"Last Name, ","")&amp;IF(OR(LEN($E319)&gt;1,AND($E319&lt;&gt;"",SUMPRODUCT(--(ROW($1:$1)&lt;=LEN($E319&amp;"")),--ISERROR(FIND(MID($E319&amp;"",ROW($1:$1),1),"ABCDEFGHIJKLMNOPQRSTUVWXYZabcdefghijklmnopqrstuvwxyz .,")))&gt;0)),"Middle Initial, ","")&amp;IF(OR($F319="",LEN($F319)&gt;75),"Address, ","")&amp;IF(OR($H319="",LEN($H319)&gt;30),"City, ","")&amp;IF(AND($K319="US",OR($I319="",LEN($I319)&lt;&gt;2)),"State, ","")&amp;IF($J319="","ZIP, ","")&amp;IF(OR($K319="",AND($K319&lt;&gt;"US",$K319&lt;&gt;"CA")),"Country, ","")&amp;IF(OR($L319="",AND($L319&lt;&gt;"",OR(NOT(ISNUMBER($L319)),$L319&lt;=DATE(1900,1,1),$L319&gt;TODAY()))),"Birthdate, ","")&amp;IF(AND($N319&lt;&gt;"",NOT(IFERROR(AND(ISNUMBER(SEARCH("@",$N319)),ISNUMBER(SEARCH(".",$N319,SEARCH("@",$N319)+2))),FALSE))),"Email, ","")&amp;IF(OR(AND($B319&lt;&gt;"",$O319=""),AND($O319&lt;&gt;"",$O319&lt;&gt;"Spouse or Common Law Spouse",$O319&lt;&gt;"Domestic Partner",$O319&lt;&gt;"Child",$O319&lt;&gt;"Other",$O319&lt;&gt;"Estate",$O319&lt;&gt;"Unknown")),"Dependent Relationship, ","")&amp;IF($AA319&lt;&gt;"","Household, ","")&amp;IF(OR($P319="",AND($P319&lt;&gt;"",OR(NOT(ISNUMBER($P319)),$P319&lt;=DATE(1900,1,1)))),"Eligibility Date, ","")&amp;IF(OR(AND($R319="Terminated",$Q319=""),AND($Q319&lt;&gt;"",OR(NOT(ISNUMBER($Q319)),$Q319&lt;=DATE(1900,1,1))),AND(ISNUMBER($P319),ISNUMBER($Q319),$Q319&lt;$P319)),"Termination Date, ","")&amp;IF(OR($R319="",AND($R319&lt;&gt;"Active",$R319&lt;&gt;"Terminated"),AND('START HERE'!$C$8="Terminations Only",$R319&lt;&gt;"Terminated")),"Status, ","")&amp;IF($S319="","Plan Name, ","")&amp;IF($T319="","Coverage Level, ","")&amp;IF(AND($U319&lt;&gt;"",OR(NOT(ISNUMBER($U319)),$U319&lt;0)),"Funding, ","")&amp;IF(AND($A319&lt;&gt;"",$S319&lt;&gt;"",COUNTIFS($A$2:$A$501,$A319,$B$2:$B$501,$B319,$S$2:$S$501,$S319)&gt;1),"Duplicate Row, ",""))</f>
        <v/>
      </c>
      <c r="AF319">
        <f>IF(COUNTA($A319:$U319)=0,"",$Y319&amp;$Z319&amp;$AA319&amp;$AB319&amp;$AC319)</f>
        <v/>
      </c>
      <c r="AG319">
        <f>IF($N319="","",LOWER(TRIM($N319)))</f>
        <v/>
      </c>
      <c r="AH319">
        <f>IF($A319="","",COUNTIFS($A$2:$A$501,$A319,$AI$2:$AI$501,1))</f>
        <v/>
      </c>
      <c r="AI319">
        <f>IF(COUNTA($A319:$U319)=0,"",--($AF319&lt;&gt;""))</f>
        <v/>
      </c>
      <c r="AJ319">
        <f>IF(COUNTA($A319:$U319)=0,"",--($AD319&lt;&gt;""))</f>
        <v/>
      </c>
    </row>
    <row r="320" ht="20" customHeight="1">
      <c r="A320" s="80" t="n"/>
      <c r="B320" s="80" t="n"/>
      <c r="C320" s="81" t="n"/>
      <c r="D320" s="81" t="n"/>
      <c r="E320" s="80" t="n"/>
      <c r="F320" s="81" t="n"/>
      <c r="G320" s="81" t="n"/>
      <c r="H320" s="81" t="n"/>
      <c r="I320" s="80" t="n"/>
      <c r="J320" s="80" t="n"/>
      <c r="K320" s="80" t="n"/>
      <c r="L320" s="82" t="n"/>
      <c r="M320" s="80" t="n"/>
      <c r="N320" s="80" t="n"/>
      <c r="O320" s="80" t="n"/>
      <c r="P320" s="82" t="n"/>
      <c r="Q320" s="82" t="n"/>
      <c r="R320" s="80" t="n"/>
      <c r="S320" s="80" t="n"/>
      <c r="T320" s="80" t="n"/>
      <c r="U320" s="83" t="n"/>
      <c r="V320">
        <f>IF($A320="","",IF($A320=$A319,$V319,IF($V319="",0,1-$V319)))</f>
        <v/>
      </c>
      <c r="W320">
        <f>IF($B320&lt;&gt;"",$B320,$A320)</f>
        <v/>
      </c>
      <c r="X320">
        <f>IF(COUNTA($A320:$U320)=0,"",IF(OR($B320&lt;&gt;"",$O320&lt;&gt;""),"Dependent","Employee"))</f>
        <v/>
      </c>
      <c r="Y320">
        <f>IF(COUNTA($A320:$U320)=0,"",IF($A320="","Employee SSN is required; ","")&amp;IF($C320="","First Name is required; ","")&amp;IF(LEN($C320&amp;"")&gt;19,"First Name exceeds 19 characters; ","")&amp;IF(AND($C320&lt;&gt;"",SUMPRODUCT(--(ROW($1:$19)&lt;=LEN($C320&amp;"")),--ISERROR(FIND(MID($C320&amp;"",ROW($1:$19),1),"ABCDEFGHIJKLMNOPQRSTUVWXYZabcdefghijklmnopqrstuvwxyz .,")))&gt;0),"First Name contains unsupported or encoded characters; use plain A-Z letters only; ","")&amp;IF($D320="","Last Name is required; ","")&amp;IF(LEN($D320&amp;"")&gt;26,"Last Name exceeds 26 characters; ","")&amp;IF(AND($D320&lt;&gt;"",SUMPRODUCT(--(ROW($1:$26)&lt;=LEN($D320&amp;"")),--ISERROR(FIND(MID($D320&amp;"",ROW($1:$26),1),"ABCDEFGHIJKLMNOPQRSTUVWXYZabcdefghijklmnopqrstuvwxyz .,")))&gt;0),"Last Name contains unsupported or encoded characters; use plain A-Z letters only; ","")&amp;IF(LEN($E320&amp;"")&gt;1,"Middle Initial may contain only one character; ","")&amp;IF(AND($E320&lt;&gt;"",SUMPRODUCT(--(ROW($1:$1)&lt;=LEN($E320&amp;"")),--ISERROR(FIND(MID($E320&amp;"",ROW($1:$1),1),"ABCDEFGHIJKLMNOPQRSTUVWXYZabcdefghijklmnopqrstuvwxyz .,")))&gt;0),"Middle Initial must be a plain A-Z letter; ","")&amp;IF($F320="","Address is required; ","")&amp;IF(LEN($F320&amp;"")&gt;75,"Address exceeds 75 characters; ","")&amp;IF(LEN($G320&amp;"")&gt;75,"Address 2 exceeds 75 characters; ","")&amp;IF($H320="","City is required; ","")&amp;IF(LEN($H320&amp;"")&gt;30,"City exceeds 30 characters; ","")&amp;IF($K320="","Country is required; ","")&amp;IF(AND($K320&lt;&gt;"",$K320&lt;&gt;"US",$K320&lt;&gt;"CA"),"Country must be US or CA; ","")&amp;IF(AND($K320="US",OR($I320="",LEN($I320&amp;"")&lt;&gt;2)),"Use a 2-letter state code; ","")&amp;IF($J320="","ZIP or postal code is required; ","")&amp;IF(AND($K320="US",$J320&lt;&gt;"",NOT(IFERROR(OR(AND(LEN($J320&amp;"")=5,ISNUMBER(--($J320&amp;""))),AND(LEN($J320&amp;"")=9,ISNUMBER(--($J320&amp;""))),AND(LEN($J320&amp;"")=10,MID($J320&amp;"",6,1)="-",ISNUMBER(--SUBSTITUTE($J320&amp;"","-","")))),FALSE))),"US ZIP must be 5 or 9 digits, with an optional ZIP+4 hyphen; ","")&amp;IF(AND($N320&lt;&gt;"",NOT(IFERROR(AND(ISNUMBER(SEARCH("@",$N320)),ISNUMBER(SEARCH(".",$N320,SEARCH("@",$N320)+2))),FALSE))),"Email format appears invalid; ","")&amp;IF(AND($O320&lt;&gt;"",$B320=""),"Dependent SSN is required for every dependent; ","")&amp;IF(AND($B320&lt;&gt;"",$O320=""),"Dependent Relationship is required when Dependent SSN is entered; ","")&amp;IF(AND($O320&lt;&gt;"",$O320&lt;&gt;"Spouse or Common Law Spouse",$O320&lt;&gt;"Domestic Partner",$O320&lt;&gt;"Child",$O320&lt;&gt;"Other",$O320&lt;&gt;"Estate",$O320&lt;&gt;"Unknown"),"Dependent Relationship must use one of the approved options; ",""))</f>
        <v/>
      </c>
      <c r="Z320">
        <f>IF(COUNTA($A320:$U320)=0,"",IF(AND($A320&lt;&gt;"",NOT(IFERROR(AND(LEN($A320&amp;"")=9,ISNUMBER(--($A320&amp;""))),FALSE))),"Employee SSN must contain exactly 9 digits; ","")&amp;IF(AND($A320&lt;&gt;"",OR($A320="123456789",$A320="987654321",$A320="012345678",$A320=REPT(LEFT($A320&amp;"",1),9))),"Employee SSN appears to be a placeholder; ","")&amp;IF(AND($B320&lt;&gt;"",NOT(IFERROR(AND(LEN($B320&amp;"")=9,ISNUMBER(--($B320&amp;""))),FALSE))),"Dependent SSN must contain exactly 9 digits; ","")&amp;IF(AND($B320&lt;&gt;"",OR($B320="123456789",$B320="987654321",$B320="012345678",$B320=REPT(LEFT($B320&amp;"",1),9))),"Dependent SSN appears to be a placeholder; ","")&amp;IF(AND($A320&lt;&gt;"",$B320&lt;&gt;"",$A320&amp;""=$B320&amp;""),"Dependent SSN cannot match Employee SSN; ","")&amp;IF(AND($W320&lt;&gt;"",OR(COUNTIFS($W$2:$W$501,$W320,$C$2:$C$501,"&lt;&gt;"&amp;$C320)&gt;0,COUNTIFS($W$2:$W$501,$W320,$D$2:$D$501,"&lt;&gt;"&amp;$D320)&gt;0,COUNTIFS($W$2:$W$501,$W320,$L$2:$L$501,"&lt;&gt;"&amp;$L320)&gt;0)),"The same SSN is associated with a different name or birthdate; ",""))</f>
        <v/>
      </c>
      <c r="AA320">
        <f>IF(COUNTA($A320:$U320)=0,"",IF(AND($A320&lt;&gt;"",$S320&lt;&gt;"",COUNTIFS($A$2:$A$501,$A320,$S$2:$S$501,$S320,$B$2:$B$501,"",$O$2:$O$501,"")=0),"Add an employee row for this household and plan; ","")&amp;IF(AND($X320="Dependent",COUNTIFS($A$2:$A320,$A320,$S$2:$S320,$S320,$B$2:$B320,"",$O$2:$O320,"")=0),"Place the employee row before dependent rows for this plan; ","")&amp;IF(AND($X320="Dependent",COUNTIFS($A$2:$A$501,$A320,$S$2:$S$501,$S320,$B$2:$B$501,"",$O$2:$O$501,"")&gt;0,IFERROR(OR($P320&lt;&gt;LOOKUP(2,1/(($A$2:$A$501=$A320)*($S$2:$S$501=$S320)*($B$2:$B$501="")*($O$2:$O$501="")),$P$2:$P$501),$Q320&lt;&gt;LOOKUP(2,1/(($A$2:$A$501=$A320)*($S$2:$S$501=$S320)*($B$2:$B$501="")*($O$2:$O$501="")),$Q$2:$Q$501),$R320&lt;&gt;LOOKUP(2,1/(($A$2:$A$501=$A320)*($S$2:$S$501=$S320)*($B$2:$B$501="")*($O$2:$O$501="")),$R$2:$R$501),$T320&lt;&gt;LOOKUP(2,1/(($A$2:$A$501=$A320)*($S$2:$S$501=$S320)*($B$2:$B$501="")*($O$2:$O$501="")),$T$2:$T$501),$U320&lt;&gt;LOOKUP(2,1/(($A$2:$A$501=$A320)*($S$2:$S$501=$S320)*($B$2:$B$501="")*($O$2:$O$501="")),$U$2:$U$501)),FALSE)),"Dependent row does not match the employee row for eligibility, status, coverage level, or funding; ",""))</f>
        <v/>
      </c>
      <c r="AB320">
        <f>IF(COUNTA($A320:$U320)=0,"",IF($L320="","Birthdate is required; ","")&amp;IF(AND($L320&lt;&gt;"",OR(NOT(ISNUMBER($L320)),$L320&lt;=DATE(1900,1,1),$L320&gt;TODAY())),"Birthdate must be an exact valid past date; ","")&amp;IF($P320="","Eligibility Date is required; ","")&amp;IF(AND($P320&lt;&gt;"",OR(NOT(ISNUMBER($P320)),$P320&lt;=DATE(1900,1,1))),"Eligibility Date must be a valid date; ","")&amp;IF(AND($R320="Terminated",$Q320=""),"Termination Date is required when Status is Terminated; ","")&amp;IF(AND($Q320&lt;&gt;"",OR(NOT(ISNUMBER($Q320)),$Q320&lt;=DATE(1900,1,1))),"Termination Date must be a valid date; ","")&amp;IF(AND(ISNUMBER($P320),ISNUMBER($Q320),$Q320&lt;$P320),"Termination Date cannot be before Eligibility Date; ","")&amp;IF($R320="","Status is required; ","")&amp;IF(AND($R320&lt;&gt;"",$R320&lt;&gt;"Active",$R320&lt;&gt;"Terminated"),"Status must be Active or Terminated; ","")&amp;IF(AND('START HERE'!$C$8="Terminations Only",$R320&lt;&gt;"Terminated"),"Terminations Only files must contain terminated records; ",""))</f>
        <v/>
      </c>
      <c r="AC320">
        <f>IF(COUNTA($A320:$U320)=0,"",IF($S320="","Plan Name is required; ","")&amp;IF($T320="","Benefit Coverage Level is required; ","")&amp;IF(AND($U320&lt;&gt;"",OR(NOT(ISNUMBER($U320)),$U320&lt;0)),"Plan Funding Amount must be a nonnegative number; ","")&amp;IF(AND($A320&lt;&gt;"",$S320&lt;&gt;"",COUNTIFS($A$2:$A$501,$A320,$B$2:$B$501,$B320,$S$2:$S$501,$S320)&gt;1),"Duplicate participant and plan row; ",""))</f>
        <v/>
      </c>
      <c r="AD320">
        <f>IF(COUNTA($A320:$U320)=0,"",IF(AND($X320="Employee",$M320="",$N320=""),"No employee phone or email provided; ","")&amp;IF(AND($R320="Active",$Q320&lt;&gt;""),"Active record includes a Termination Date; confirm this is intentional; ","")&amp;IF(AND($B320&lt;&gt;"",$B320&amp;""&lt;&gt;$A320&amp;"",COUNTIF($A$2:$A$501,$B320)&gt;0),"Dependent SSN also appears as an Employee SSN elsewhere; confirm dual-employee coverage is intentional; ","")&amp;IF(AND($B320&lt;&gt;"",COUNTIF($B$2:$B$501,$B320)&gt;COUNTIFS($A$2:$A$501,$A320,$B$2:$B$501,$B320)),"Dependent SSN appears under more than one employee; confirm duplicate family coverage is intentional; ","")&amp;IF(AND(ROW()&gt;2,$A320&lt;&gt;"",$A320&lt;&gt;$A319,COUNTIF($A$2:$A319,$A320)&gt;0),"This household appears in more than one section of the census; keep the family together; ","")&amp;IF(OR(AND($C320&lt;&gt;"",LEN($C320&amp;"")&lt;&gt;LEN(TRIM($C320&amp;""))),AND($D320&lt;&gt;"",LEN($D320&amp;"")&lt;&gt;LEN(TRIM($D320&amp;""))),AND($E320&lt;&gt;"",LEN($E320&amp;"")&lt;&gt;LEN(TRIM($E320&amp;""))),AND($F320&lt;&gt;"",LEN($F320&amp;"")&lt;&gt;LEN(TRIM($F320&amp;""))),AND($G320&lt;&gt;"",LEN($G320&amp;"")&lt;&gt;LEN(TRIM($G320&amp;""))),AND($H320&lt;&gt;"",LEN($H320&amp;"")&lt;&gt;LEN(TRIM($H320&amp;""))),AND($I320&lt;&gt;"",LEN($I320&amp;"")&lt;&gt;LEN(TRIM($I320&amp;""))),AND($J320&lt;&gt;"",LEN($J320&amp;"")&lt;&gt;LEN(TRIM($J320&amp;""))),AND($K320&lt;&gt;"",LEN($K320&amp;"")&lt;&gt;LEN(TRIM($K320&amp;""))),AND($M320&lt;&gt;"",LEN($M320&amp;"")&lt;&gt;LEN(TRIM($M320&amp;""))),AND($N320&lt;&gt;"",LEN($N320&amp;"")&lt;&gt;LEN(TRIM($N320&amp;""))),AND($O320&lt;&gt;"",LEN($O320&amp;"")&lt;&gt;LEN(TRIM($O320&amp;""))),AND($R320&lt;&gt;"",LEN($R320&amp;"")&lt;&gt;LEN(TRIM($R320&amp;""))),AND($S320&lt;&gt;"",LEN($S320&amp;"")&lt;&gt;LEN(TRIM($S320&amp;""))),AND($T320&lt;&gt;"",LEN($T320&amp;"")&lt;&gt;LEN(TRIM($T320&amp;"")))),"Remove leading or trailing spaces from text fields; ","")&amp;IF(OR(AND(LEN($C320)&gt;1,OR(EXACT($C320,UPPER($C320)),EXACT($C320,LOWER($C320)))),AND(LEN($D320)&gt;1,OR(EXACT($D320,UPPER($D320)),EXACT($D320,LOWER($D320)))),AND(LEN($H320)&gt;1,OR(EXACT($H320,UPPER($H320)),EXACT($H320,LOWER($H320))))),"Review capitalization in First Name, Last Name, or City; ","")&amp;IF(AND($N320&lt;&gt;"",NOT(EXACT($N320,LOWER($N320)))),"Email will be standardized to lowercase in the clean output; ","")&amp;IF(AND(OR('START HERE'!$C$8="Initial Enrollment",'START HERE'!$C$8="Open Enrollment"),$R320="Terminated"),"A terminated row is included in an initial or open enrollment file; confirm this is intentional; ",""))</f>
        <v/>
      </c>
      <c r="AE320">
        <f>IF(COUNTA($A320:$U320)=0,"",IF(OR($A320="",AND($A320&lt;&gt;"",NOT(IFERROR(AND(LEN($A320&amp;"")=9,ISNUMBER(--($A320&amp;""))),FALSE))),AND($A320&lt;&gt;"",OR($A320="123456789",$A320="987654321",$A320="012345678",$A320=REPT(LEFT($A320&amp;"",1),9)))),"Employee SSN, ","")&amp;IF(OR(AND($O320&lt;&gt;"",$B320=""),AND($B320&lt;&gt;"",OR(NOT(IFERROR(AND(LEN($B320&amp;"")=9,ISNUMBER(--($B320&amp;""))),FALSE)),$B320=$A320,$B320="123456789",$B320="987654321",$B320="012345678",$B320=REPT(LEFT($B320&amp;"",1),9)))),"Dependent SSN, ","")&amp;IF(OR($C320="",LEN($C320)&gt;19,AND($C320&lt;&gt;"",SUMPRODUCT(--(ROW($1:$19)&lt;=LEN($C320&amp;"")),--ISERROR(FIND(MID($C320&amp;"",ROW($1:$19),1),"ABCDEFGHIJKLMNOPQRSTUVWXYZabcdefghijklmnopqrstuvwxyz .,")))&gt;0)),"First Name, ","")&amp;IF(OR($D320="",LEN($D320)&gt;26,AND($D320&lt;&gt;"",SUMPRODUCT(--(ROW($1:$26)&lt;=LEN($D320&amp;"")),--ISERROR(FIND(MID($D320&amp;"",ROW($1:$26),1),"ABCDEFGHIJKLMNOPQRSTUVWXYZabcdefghijklmnopqrstuvwxyz .,")))&gt;0)),"Last Name, ","")&amp;IF(OR(LEN($E320)&gt;1,AND($E320&lt;&gt;"",SUMPRODUCT(--(ROW($1:$1)&lt;=LEN($E320&amp;"")),--ISERROR(FIND(MID($E320&amp;"",ROW($1:$1),1),"ABCDEFGHIJKLMNOPQRSTUVWXYZabcdefghijklmnopqrstuvwxyz .,")))&gt;0)),"Middle Initial, ","")&amp;IF(OR($F320="",LEN($F320)&gt;75),"Address, ","")&amp;IF(OR($H320="",LEN($H320)&gt;30),"City, ","")&amp;IF(AND($K320="US",OR($I320="",LEN($I320)&lt;&gt;2)),"State, ","")&amp;IF($J320="","ZIP, ","")&amp;IF(OR($K320="",AND($K320&lt;&gt;"US",$K320&lt;&gt;"CA")),"Country, ","")&amp;IF(OR($L320="",AND($L320&lt;&gt;"",OR(NOT(ISNUMBER($L320)),$L320&lt;=DATE(1900,1,1),$L320&gt;TODAY()))),"Birthdate, ","")&amp;IF(AND($N320&lt;&gt;"",NOT(IFERROR(AND(ISNUMBER(SEARCH("@",$N320)),ISNUMBER(SEARCH(".",$N320,SEARCH("@",$N320)+2))),FALSE))),"Email, ","")&amp;IF(OR(AND($B320&lt;&gt;"",$O320=""),AND($O320&lt;&gt;"",$O320&lt;&gt;"Spouse or Common Law Spouse",$O320&lt;&gt;"Domestic Partner",$O320&lt;&gt;"Child",$O320&lt;&gt;"Other",$O320&lt;&gt;"Estate",$O320&lt;&gt;"Unknown")),"Dependent Relationship, ","")&amp;IF($AA320&lt;&gt;"","Household, ","")&amp;IF(OR($P320="",AND($P320&lt;&gt;"",OR(NOT(ISNUMBER($P320)),$P320&lt;=DATE(1900,1,1)))),"Eligibility Date, ","")&amp;IF(OR(AND($R320="Terminated",$Q320=""),AND($Q320&lt;&gt;"",OR(NOT(ISNUMBER($Q320)),$Q320&lt;=DATE(1900,1,1))),AND(ISNUMBER($P320),ISNUMBER($Q320),$Q320&lt;$P320)),"Termination Date, ","")&amp;IF(OR($R320="",AND($R320&lt;&gt;"Active",$R320&lt;&gt;"Terminated"),AND('START HERE'!$C$8="Terminations Only",$R320&lt;&gt;"Terminated")),"Status, ","")&amp;IF($S320="","Plan Name, ","")&amp;IF($T320="","Coverage Level, ","")&amp;IF(AND($U320&lt;&gt;"",OR(NOT(ISNUMBER($U320)),$U320&lt;0)),"Funding, ","")&amp;IF(AND($A320&lt;&gt;"",$S320&lt;&gt;"",COUNTIFS($A$2:$A$501,$A320,$B$2:$B$501,$B320,$S$2:$S$501,$S320)&gt;1),"Duplicate Row, ",""))</f>
        <v/>
      </c>
      <c r="AF320">
        <f>IF(COUNTA($A320:$U320)=0,"",$Y320&amp;$Z320&amp;$AA320&amp;$AB320&amp;$AC320)</f>
        <v/>
      </c>
      <c r="AG320">
        <f>IF($N320="","",LOWER(TRIM($N320)))</f>
        <v/>
      </c>
      <c r="AH320">
        <f>IF($A320="","",COUNTIFS($A$2:$A$501,$A320,$AI$2:$AI$501,1))</f>
        <v/>
      </c>
      <c r="AI320">
        <f>IF(COUNTA($A320:$U320)=0,"",--($AF320&lt;&gt;""))</f>
        <v/>
      </c>
      <c r="AJ320">
        <f>IF(COUNTA($A320:$U320)=0,"",--($AD320&lt;&gt;""))</f>
        <v/>
      </c>
    </row>
    <row r="321" ht="20" customHeight="1">
      <c r="A321" s="80" t="n"/>
      <c r="B321" s="80" t="n"/>
      <c r="C321" s="81" t="n"/>
      <c r="D321" s="81" t="n"/>
      <c r="E321" s="80" t="n"/>
      <c r="F321" s="81" t="n"/>
      <c r="G321" s="81" t="n"/>
      <c r="H321" s="81" t="n"/>
      <c r="I321" s="80" t="n"/>
      <c r="J321" s="80" t="n"/>
      <c r="K321" s="80" t="n"/>
      <c r="L321" s="82" t="n"/>
      <c r="M321" s="80" t="n"/>
      <c r="N321" s="80" t="n"/>
      <c r="O321" s="80" t="n"/>
      <c r="P321" s="82" t="n"/>
      <c r="Q321" s="82" t="n"/>
      <c r="R321" s="80" t="n"/>
      <c r="S321" s="80" t="n"/>
      <c r="T321" s="80" t="n"/>
      <c r="U321" s="83" t="n"/>
      <c r="V321">
        <f>IF($A321="","",IF($A321=$A320,$V320,IF($V320="",0,1-$V320)))</f>
        <v/>
      </c>
      <c r="W321">
        <f>IF($B321&lt;&gt;"",$B321,$A321)</f>
        <v/>
      </c>
      <c r="X321">
        <f>IF(COUNTA($A321:$U321)=0,"",IF(OR($B321&lt;&gt;"",$O321&lt;&gt;""),"Dependent","Employee"))</f>
        <v/>
      </c>
      <c r="Y321">
        <f>IF(COUNTA($A321:$U321)=0,"",IF($A321="","Employee SSN is required; ","")&amp;IF($C321="","First Name is required; ","")&amp;IF(LEN($C321&amp;"")&gt;19,"First Name exceeds 19 characters; ","")&amp;IF(AND($C321&lt;&gt;"",SUMPRODUCT(--(ROW($1:$19)&lt;=LEN($C321&amp;"")),--ISERROR(FIND(MID($C321&amp;"",ROW($1:$19),1),"ABCDEFGHIJKLMNOPQRSTUVWXYZabcdefghijklmnopqrstuvwxyz .,")))&gt;0),"First Name contains unsupported or encoded characters; use plain A-Z letters only; ","")&amp;IF($D321="","Last Name is required; ","")&amp;IF(LEN($D321&amp;"")&gt;26,"Last Name exceeds 26 characters; ","")&amp;IF(AND($D321&lt;&gt;"",SUMPRODUCT(--(ROW($1:$26)&lt;=LEN($D321&amp;"")),--ISERROR(FIND(MID($D321&amp;"",ROW($1:$26),1),"ABCDEFGHIJKLMNOPQRSTUVWXYZabcdefghijklmnopqrstuvwxyz .,")))&gt;0),"Last Name contains unsupported or encoded characters; use plain A-Z letters only; ","")&amp;IF(LEN($E321&amp;"")&gt;1,"Middle Initial may contain only one character; ","")&amp;IF(AND($E321&lt;&gt;"",SUMPRODUCT(--(ROW($1:$1)&lt;=LEN($E321&amp;"")),--ISERROR(FIND(MID($E321&amp;"",ROW($1:$1),1),"ABCDEFGHIJKLMNOPQRSTUVWXYZabcdefghijklmnopqrstuvwxyz .,")))&gt;0),"Middle Initial must be a plain A-Z letter; ","")&amp;IF($F321="","Address is required; ","")&amp;IF(LEN($F321&amp;"")&gt;75,"Address exceeds 75 characters; ","")&amp;IF(LEN($G321&amp;"")&gt;75,"Address 2 exceeds 75 characters; ","")&amp;IF($H321="","City is required; ","")&amp;IF(LEN($H321&amp;"")&gt;30,"City exceeds 30 characters; ","")&amp;IF($K321="","Country is required; ","")&amp;IF(AND($K321&lt;&gt;"",$K321&lt;&gt;"US",$K321&lt;&gt;"CA"),"Country must be US or CA; ","")&amp;IF(AND($K321="US",OR($I321="",LEN($I321&amp;"")&lt;&gt;2)),"Use a 2-letter state code; ","")&amp;IF($J321="","ZIP or postal code is required; ","")&amp;IF(AND($K321="US",$J321&lt;&gt;"",NOT(IFERROR(OR(AND(LEN($J321&amp;"")=5,ISNUMBER(--($J321&amp;""))),AND(LEN($J321&amp;"")=9,ISNUMBER(--($J321&amp;""))),AND(LEN($J321&amp;"")=10,MID($J321&amp;"",6,1)="-",ISNUMBER(--SUBSTITUTE($J321&amp;"","-","")))),FALSE))),"US ZIP must be 5 or 9 digits, with an optional ZIP+4 hyphen; ","")&amp;IF(AND($N321&lt;&gt;"",NOT(IFERROR(AND(ISNUMBER(SEARCH("@",$N321)),ISNUMBER(SEARCH(".",$N321,SEARCH("@",$N321)+2))),FALSE))),"Email format appears invalid; ","")&amp;IF(AND($O321&lt;&gt;"",$B321=""),"Dependent SSN is required for every dependent; ","")&amp;IF(AND($B321&lt;&gt;"",$O321=""),"Dependent Relationship is required when Dependent SSN is entered; ","")&amp;IF(AND($O321&lt;&gt;"",$O321&lt;&gt;"Spouse or Common Law Spouse",$O321&lt;&gt;"Domestic Partner",$O321&lt;&gt;"Child",$O321&lt;&gt;"Other",$O321&lt;&gt;"Estate",$O321&lt;&gt;"Unknown"),"Dependent Relationship must use one of the approved options; ",""))</f>
        <v/>
      </c>
      <c r="Z321">
        <f>IF(COUNTA($A321:$U321)=0,"",IF(AND($A321&lt;&gt;"",NOT(IFERROR(AND(LEN($A321&amp;"")=9,ISNUMBER(--($A321&amp;""))),FALSE))),"Employee SSN must contain exactly 9 digits; ","")&amp;IF(AND($A321&lt;&gt;"",OR($A321="123456789",$A321="987654321",$A321="012345678",$A321=REPT(LEFT($A321&amp;"",1),9))),"Employee SSN appears to be a placeholder; ","")&amp;IF(AND($B321&lt;&gt;"",NOT(IFERROR(AND(LEN($B321&amp;"")=9,ISNUMBER(--($B321&amp;""))),FALSE))),"Dependent SSN must contain exactly 9 digits; ","")&amp;IF(AND($B321&lt;&gt;"",OR($B321="123456789",$B321="987654321",$B321="012345678",$B321=REPT(LEFT($B321&amp;"",1),9))),"Dependent SSN appears to be a placeholder; ","")&amp;IF(AND($A321&lt;&gt;"",$B321&lt;&gt;"",$A321&amp;""=$B321&amp;""),"Dependent SSN cannot match Employee SSN; ","")&amp;IF(AND($W321&lt;&gt;"",OR(COUNTIFS($W$2:$W$501,$W321,$C$2:$C$501,"&lt;&gt;"&amp;$C321)&gt;0,COUNTIFS($W$2:$W$501,$W321,$D$2:$D$501,"&lt;&gt;"&amp;$D321)&gt;0,COUNTIFS($W$2:$W$501,$W321,$L$2:$L$501,"&lt;&gt;"&amp;$L321)&gt;0)),"The same SSN is associated with a different name or birthdate; ",""))</f>
        <v/>
      </c>
      <c r="AA321">
        <f>IF(COUNTA($A321:$U321)=0,"",IF(AND($A321&lt;&gt;"",$S321&lt;&gt;"",COUNTIFS($A$2:$A$501,$A321,$S$2:$S$501,$S321,$B$2:$B$501,"",$O$2:$O$501,"")=0),"Add an employee row for this household and plan; ","")&amp;IF(AND($X321="Dependent",COUNTIFS($A$2:$A321,$A321,$S$2:$S321,$S321,$B$2:$B321,"",$O$2:$O321,"")=0),"Place the employee row before dependent rows for this plan; ","")&amp;IF(AND($X321="Dependent",COUNTIFS($A$2:$A$501,$A321,$S$2:$S$501,$S321,$B$2:$B$501,"",$O$2:$O$501,"")&gt;0,IFERROR(OR($P321&lt;&gt;LOOKUP(2,1/(($A$2:$A$501=$A321)*($S$2:$S$501=$S321)*($B$2:$B$501="")*($O$2:$O$501="")),$P$2:$P$501),$Q321&lt;&gt;LOOKUP(2,1/(($A$2:$A$501=$A321)*($S$2:$S$501=$S321)*($B$2:$B$501="")*($O$2:$O$501="")),$Q$2:$Q$501),$R321&lt;&gt;LOOKUP(2,1/(($A$2:$A$501=$A321)*($S$2:$S$501=$S321)*($B$2:$B$501="")*($O$2:$O$501="")),$R$2:$R$501),$T321&lt;&gt;LOOKUP(2,1/(($A$2:$A$501=$A321)*($S$2:$S$501=$S321)*($B$2:$B$501="")*($O$2:$O$501="")),$T$2:$T$501),$U321&lt;&gt;LOOKUP(2,1/(($A$2:$A$501=$A321)*($S$2:$S$501=$S321)*($B$2:$B$501="")*($O$2:$O$501="")),$U$2:$U$501)),FALSE)),"Dependent row does not match the employee row for eligibility, status, coverage level, or funding; ",""))</f>
        <v/>
      </c>
      <c r="AB321">
        <f>IF(COUNTA($A321:$U321)=0,"",IF($L321="","Birthdate is required; ","")&amp;IF(AND($L321&lt;&gt;"",OR(NOT(ISNUMBER($L321)),$L321&lt;=DATE(1900,1,1),$L321&gt;TODAY())),"Birthdate must be an exact valid past date; ","")&amp;IF($P321="","Eligibility Date is required; ","")&amp;IF(AND($P321&lt;&gt;"",OR(NOT(ISNUMBER($P321)),$P321&lt;=DATE(1900,1,1))),"Eligibility Date must be a valid date; ","")&amp;IF(AND($R321="Terminated",$Q321=""),"Termination Date is required when Status is Terminated; ","")&amp;IF(AND($Q321&lt;&gt;"",OR(NOT(ISNUMBER($Q321)),$Q321&lt;=DATE(1900,1,1))),"Termination Date must be a valid date; ","")&amp;IF(AND(ISNUMBER($P321),ISNUMBER($Q321),$Q321&lt;$P321),"Termination Date cannot be before Eligibility Date; ","")&amp;IF($R321="","Status is required; ","")&amp;IF(AND($R321&lt;&gt;"",$R321&lt;&gt;"Active",$R321&lt;&gt;"Terminated"),"Status must be Active or Terminated; ","")&amp;IF(AND('START HERE'!$C$8="Terminations Only",$R321&lt;&gt;"Terminated"),"Terminations Only files must contain terminated records; ",""))</f>
        <v/>
      </c>
      <c r="AC321">
        <f>IF(COUNTA($A321:$U321)=0,"",IF($S321="","Plan Name is required; ","")&amp;IF($T321="","Benefit Coverage Level is required; ","")&amp;IF(AND($U321&lt;&gt;"",OR(NOT(ISNUMBER($U321)),$U321&lt;0)),"Plan Funding Amount must be a nonnegative number; ","")&amp;IF(AND($A321&lt;&gt;"",$S321&lt;&gt;"",COUNTIFS($A$2:$A$501,$A321,$B$2:$B$501,$B321,$S$2:$S$501,$S321)&gt;1),"Duplicate participant and plan row; ",""))</f>
        <v/>
      </c>
      <c r="AD321">
        <f>IF(COUNTA($A321:$U321)=0,"",IF(AND($X321="Employee",$M321="",$N321=""),"No employee phone or email provided; ","")&amp;IF(AND($R321="Active",$Q321&lt;&gt;""),"Active record includes a Termination Date; confirm this is intentional; ","")&amp;IF(AND($B321&lt;&gt;"",$B321&amp;""&lt;&gt;$A321&amp;"",COUNTIF($A$2:$A$501,$B321)&gt;0),"Dependent SSN also appears as an Employee SSN elsewhere; confirm dual-employee coverage is intentional; ","")&amp;IF(AND($B321&lt;&gt;"",COUNTIF($B$2:$B$501,$B321)&gt;COUNTIFS($A$2:$A$501,$A321,$B$2:$B$501,$B321)),"Dependent SSN appears under more than one employee; confirm duplicate family coverage is intentional; ","")&amp;IF(AND(ROW()&gt;2,$A321&lt;&gt;"",$A321&lt;&gt;$A320,COUNTIF($A$2:$A320,$A321)&gt;0),"This household appears in more than one section of the census; keep the family together; ","")&amp;IF(OR(AND($C321&lt;&gt;"",LEN($C321&amp;"")&lt;&gt;LEN(TRIM($C321&amp;""))),AND($D321&lt;&gt;"",LEN($D321&amp;"")&lt;&gt;LEN(TRIM($D321&amp;""))),AND($E321&lt;&gt;"",LEN($E321&amp;"")&lt;&gt;LEN(TRIM($E321&amp;""))),AND($F321&lt;&gt;"",LEN($F321&amp;"")&lt;&gt;LEN(TRIM($F321&amp;""))),AND($G321&lt;&gt;"",LEN($G321&amp;"")&lt;&gt;LEN(TRIM($G321&amp;""))),AND($H321&lt;&gt;"",LEN($H321&amp;"")&lt;&gt;LEN(TRIM($H321&amp;""))),AND($I321&lt;&gt;"",LEN($I321&amp;"")&lt;&gt;LEN(TRIM($I321&amp;""))),AND($J321&lt;&gt;"",LEN($J321&amp;"")&lt;&gt;LEN(TRIM($J321&amp;""))),AND($K321&lt;&gt;"",LEN($K321&amp;"")&lt;&gt;LEN(TRIM($K321&amp;""))),AND($M321&lt;&gt;"",LEN($M321&amp;"")&lt;&gt;LEN(TRIM($M321&amp;""))),AND($N321&lt;&gt;"",LEN($N321&amp;"")&lt;&gt;LEN(TRIM($N321&amp;""))),AND($O321&lt;&gt;"",LEN($O321&amp;"")&lt;&gt;LEN(TRIM($O321&amp;""))),AND($R321&lt;&gt;"",LEN($R321&amp;"")&lt;&gt;LEN(TRIM($R321&amp;""))),AND($S321&lt;&gt;"",LEN($S321&amp;"")&lt;&gt;LEN(TRIM($S321&amp;""))),AND($T321&lt;&gt;"",LEN($T321&amp;"")&lt;&gt;LEN(TRIM($T321&amp;"")))),"Remove leading or trailing spaces from text fields; ","")&amp;IF(OR(AND(LEN($C321)&gt;1,OR(EXACT($C321,UPPER($C321)),EXACT($C321,LOWER($C321)))),AND(LEN($D321)&gt;1,OR(EXACT($D321,UPPER($D321)),EXACT($D321,LOWER($D321)))),AND(LEN($H321)&gt;1,OR(EXACT($H321,UPPER($H321)),EXACT($H321,LOWER($H321))))),"Review capitalization in First Name, Last Name, or City; ","")&amp;IF(AND($N321&lt;&gt;"",NOT(EXACT($N321,LOWER($N321)))),"Email will be standardized to lowercase in the clean output; ","")&amp;IF(AND(OR('START HERE'!$C$8="Initial Enrollment",'START HERE'!$C$8="Open Enrollment"),$R321="Terminated"),"A terminated row is included in an initial or open enrollment file; confirm this is intentional; ",""))</f>
        <v/>
      </c>
      <c r="AE321">
        <f>IF(COUNTA($A321:$U321)=0,"",IF(OR($A321="",AND($A321&lt;&gt;"",NOT(IFERROR(AND(LEN($A321&amp;"")=9,ISNUMBER(--($A321&amp;""))),FALSE))),AND($A321&lt;&gt;"",OR($A321="123456789",$A321="987654321",$A321="012345678",$A321=REPT(LEFT($A321&amp;"",1),9)))),"Employee SSN, ","")&amp;IF(OR(AND($O321&lt;&gt;"",$B321=""),AND($B321&lt;&gt;"",OR(NOT(IFERROR(AND(LEN($B321&amp;"")=9,ISNUMBER(--($B321&amp;""))),FALSE)),$B321=$A321,$B321="123456789",$B321="987654321",$B321="012345678",$B321=REPT(LEFT($B321&amp;"",1),9)))),"Dependent SSN, ","")&amp;IF(OR($C321="",LEN($C321)&gt;19,AND($C321&lt;&gt;"",SUMPRODUCT(--(ROW($1:$19)&lt;=LEN($C321&amp;"")),--ISERROR(FIND(MID($C321&amp;"",ROW($1:$19),1),"ABCDEFGHIJKLMNOPQRSTUVWXYZabcdefghijklmnopqrstuvwxyz .,")))&gt;0)),"First Name, ","")&amp;IF(OR($D321="",LEN($D321)&gt;26,AND($D321&lt;&gt;"",SUMPRODUCT(--(ROW($1:$26)&lt;=LEN($D321&amp;"")),--ISERROR(FIND(MID($D321&amp;"",ROW($1:$26),1),"ABCDEFGHIJKLMNOPQRSTUVWXYZabcdefghijklmnopqrstuvwxyz .,")))&gt;0)),"Last Name, ","")&amp;IF(OR(LEN($E321)&gt;1,AND($E321&lt;&gt;"",SUMPRODUCT(--(ROW($1:$1)&lt;=LEN($E321&amp;"")),--ISERROR(FIND(MID($E321&amp;"",ROW($1:$1),1),"ABCDEFGHIJKLMNOPQRSTUVWXYZabcdefghijklmnopqrstuvwxyz .,")))&gt;0)),"Middle Initial, ","")&amp;IF(OR($F321="",LEN($F321)&gt;75),"Address, ","")&amp;IF(OR($H321="",LEN($H321)&gt;30),"City, ","")&amp;IF(AND($K321="US",OR($I321="",LEN($I321)&lt;&gt;2)),"State, ","")&amp;IF($J321="","ZIP, ","")&amp;IF(OR($K321="",AND($K321&lt;&gt;"US",$K321&lt;&gt;"CA")),"Country, ","")&amp;IF(OR($L321="",AND($L321&lt;&gt;"",OR(NOT(ISNUMBER($L321)),$L321&lt;=DATE(1900,1,1),$L321&gt;TODAY()))),"Birthdate, ","")&amp;IF(AND($N321&lt;&gt;"",NOT(IFERROR(AND(ISNUMBER(SEARCH("@",$N321)),ISNUMBER(SEARCH(".",$N321,SEARCH("@",$N321)+2))),FALSE))),"Email, ","")&amp;IF(OR(AND($B321&lt;&gt;"",$O321=""),AND($O321&lt;&gt;"",$O321&lt;&gt;"Spouse or Common Law Spouse",$O321&lt;&gt;"Domestic Partner",$O321&lt;&gt;"Child",$O321&lt;&gt;"Other",$O321&lt;&gt;"Estate",$O321&lt;&gt;"Unknown")),"Dependent Relationship, ","")&amp;IF($AA321&lt;&gt;"","Household, ","")&amp;IF(OR($P321="",AND($P321&lt;&gt;"",OR(NOT(ISNUMBER($P321)),$P321&lt;=DATE(1900,1,1)))),"Eligibility Date, ","")&amp;IF(OR(AND($R321="Terminated",$Q321=""),AND($Q321&lt;&gt;"",OR(NOT(ISNUMBER($Q321)),$Q321&lt;=DATE(1900,1,1))),AND(ISNUMBER($P321),ISNUMBER($Q321),$Q321&lt;$P321)),"Termination Date, ","")&amp;IF(OR($R321="",AND($R321&lt;&gt;"Active",$R321&lt;&gt;"Terminated"),AND('START HERE'!$C$8="Terminations Only",$R321&lt;&gt;"Terminated")),"Status, ","")&amp;IF($S321="","Plan Name, ","")&amp;IF($T321="","Coverage Level, ","")&amp;IF(AND($U321&lt;&gt;"",OR(NOT(ISNUMBER($U321)),$U321&lt;0)),"Funding, ","")&amp;IF(AND($A321&lt;&gt;"",$S321&lt;&gt;"",COUNTIFS($A$2:$A$501,$A321,$B$2:$B$501,$B321,$S$2:$S$501,$S321)&gt;1),"Duplicate Row, ",""))</f>
        <v/>
      </c>
      <c r="AF321">
        <f>IF(COUNTA($A321:$U321)=0,"",$Y321&amp;$Z321&amp;$AA321&amp;$AB321&amp;$AC321)</f>
        <v/>
      </c>
      <c r="AG321">
        <f>IF($N321="","",LOWER(TRIM($N321)))</f>
        <v/>
      </c>
      <c r="AH321">
        <f>IF($A321="","",COUNTIFS($A$2:$A$501,$A321,$AI$2:$AI$501,1))</f>
        <v/>
      </c>
      <c r="AI321">
        <f>IF(COUNTA($A321:$U321)=0,"",--($AF321&lt;&gt;""))</f>
        <v/>
      </c>
      <c r="AJ321">
        <f>IF(COUNTA($A321:$U321)=0,"",--($AD321&lt;&gt;""))</f>
        <v/>
      </c>
    </row>
    <row r="322" ht="20" customHeight="1">
      <c r="A322" s="80" t="n"/>
      <c r="B322" s="80" t="n"/>
      <c r="C322" s="81" t="n"/>
      <c r="D322" s="81" t="n"/>
      <c r="E322" s="80" t="n"/>
      <c r="F322" s="81" t="n"/>
      <c r="G322" s="81" t="n"/>
      <c r="H322" s="81" t="n"/>
      <c r="I322" s="80" t="n"/>
      <c r="J322" s="80" t="n"/>
      <c r="K322" s="80" t="n"/>
      <c r="L322" s="82" t="n"/>
      <c r="M322" s="80" t="n"/>
      <c r="N322" s="80" t="n"/>
      <c r="O322" s="80" t="n"/>
      <c r="P322" s="82" t="n"/>
      <c r="Q322" s="82" t="n"/>
      <c r="R322" s="80" t="n"/>
      <c r="S322" s="80" t="n"/>
      <c r="T322" s="80" t="n"/>
      <c r="U322" s="83" t="n"/>
      <c r="V322">
        <f>IF($A322="","",IF($A322=$A321,$V321,IF($V321="",0,1-$V321)))</f>
        <v/>
      </c>
      <c r="W322">
        <f>IF($B322&lt;&gt;"",$B322,$A322)</f>
        <v/>
      </c>
      <c r="X322">
        <f>IF(COUNTA($A322:$U322)=0,"",IF(OR($B322&lt;&gt;"",$O322&lt;&gt;""),"Dependent","Employee"))</f>
        <v/>
      </c>
      <c r="Y322">
        <f>IF(COUNTA($A322:$U322)=0,"",IF($A322="","Employee SSN is required; ","")&amp;IF($C322="","First Name is required; ","")&amp;IF(LEN($C322&amp;"")&gt;19,"First Name exceeds 19 characters; ","")&amp;IF(AND($C322&lt;&gt;"",SUMPRODUCT(--(ROW($1:$19)&lt;=LEN($C322&amp;"")),--ISERROR(FIND(MID($C322&amp;"",ROW($1:$19),1),"ABCDEFGHIJKLMNOPQRSTUVWXYZabcdefghijklmnopqrstuvwxyz .,")))&gt;0),"First Name contains unsupported or encoded characters; use plain A-Z letters only; ","")&amp;IF($D322="","Last Name is required; ","")&amp;IF(LEN($D322&amp;"")&gt;26,"Last Name exceeds 26 characters; ","")&amp;IF(AND($D322&lt;&gt;"",SUMPRODUCT(--(ROW($1:$26)&lt;=LEN($D322&amp;"")),--ISERROR(FIND(MID($D322&amp;"",ROW($1:$26),1),"ABCDEFGHIJKLMNOPQRSTUVWXYZabcdefghijklmnopqrstuvwxyz .,")))&gt;0),"Last Name contains unsupported or encoded characters; use plain A-Z letters only; ","")&amp;IF(LEN($E322&amp;"")&gt;1,"Middle Initial may contain only one character; ","")&amp;IF(AND($E322&lt;&gt;"",SUMPRODUCT(--(ROW($1:$1)&lt;=LEN($E322&amp;"")),--ISERROR(FIND(MID($E322&amp;"",ROW($1:$1),1),"ABCDEFGHIJKLMNOPQRSTUVWXYZabcdefghijklmnopqrstuvwxyz .,")))&gt;0),"Middle Initial must be a plain A-Z letter; ","")&amp;IF($F322="","Address is required; ","")&amp;IF(LEN($F322&amp;"")&gt;75,"Address exceeds 75 characters; ","")&amp;IF(LEN($G322&amp;"")&gt;75,"Address 2 exceeds 75 characters; ","")&amp;IF($H322="","City is required; ","")&amp;IF(LEN($H322&amp;"")&gt;30,"City exceeds 30 characters; ","")&amp;IF($K322="","Country is required; ","")&amp;IF(AND($K322&lt;&gt;"",$K322&lt;&gt;"US",$K322&lt;&gt;"CA"),"Country must be US or CA; ","")&amp;IF(AND($K322="US",OR($I322="",LEN($I322&amp;"")&lt;&gt;2)),"Use a 2-letter state code; ","")&amp;IF($J322="","ZIP or postal code is required; ","")&amp;IF(AND($K322="US",$J322&lt;&gt;"",NOT(IFERROR(OR(AND(LEN($J322&amp;"")=5,ISNUMBER(--($J322&amp;""))),AND(LEN($J322&amp;"")=9,ISNUMBER(--($J322&amp;""))),AND(LEN($J322&amp;"")=10,MID($J322&amp;"",6,1)="-",ISNUMBER(--SUBSTITUTE($J322&amp;"","-","")))),FALSE))),"US ZIP must be 5 or 9 digits, with an optional ZIP+4 hyphen; ","")&amp;IF(AND($N322&lt;&gt;"",NOT(IFERROR(AND(ISNUMBER(SEARCH("@",$N322)),ISNUMBER(SEARCH(".",$N322,SEARCH("@",$N322)+2))),FALSE))),"Email format appears invalid; ","")&amp;IF(AND($O322&lt;&gt;"",$B322=""),"Dependent SSN is required for every dependent; ","")&amp;IF(AND($B322&lt;&gt;"",$O322=""),"Dependent Relationship is required when Dependent SSN is entered; ","")&amp;IF(AND($O322&lt;&gt;"",$O322&lt;&gt;"Spouse or Common Law Spouse",$O322&lt;&gt;"Domestic Partner",$O322&lt;&gt;"Child",$O322&lt;&gt;"Other",$O322&lt;&gt;"Estate",$O322&lt;&gt;"Unknown"),"Dependent Relationship must use one of the approved options; ",""))</f>
        <v/>
      </c>
      <c r="Z322">
        <f>IF(COUNTA($A322:$U322)=0,"",IF(AND($A322&lt;&gt;"",NOT(IFERROR(AND(LEN($A322&amp;"")=9,ISNUMBER(--($A322&amp;""))),FALSE))),"Employee SSN must contain exactly 9 digits; ","")&amp;IF(AND($A322&lt;&gt;"",OR($A322="123456789",$A322="987654321",$A322="012345678",$A322=REPT(LEFT($A322&amp;"",1),9))),"Employee SSN appears to be a placeholder; ","")&amp;IF(AND($B322&lt;&gt;"",NOT(IFERROR(AND(LEN($B322&amp;"")=9,ISNUMBER(--($B322&amp;""))),FALSE))),"Dependent SSN must contain exactly 9 digits; ","")&amp;IF(AND($B322&lt;&gt;"",OR($B322="123456789",$B322="987654321",$B322="012345678",$B322=REPT(LEFT($B322&amp;"",1),9))),"Dependent SSN appears to be a placeholder; ","")&amp;IF(AND($A322&lt;&gt;"",$B322&lt;&gt;"",$A322&amp;""=$B322&amp;""),"Dependent SSN cannot match Employee SSN; ","")&amp;IF(AND($W322&lt;&gt;"",OR(COUNTIFS($W$2:$W$501,$W322,$C$2:$C$501,"&lt;&gt;"&amp;$C322)&gt;0,COUNTIFS($W$2:$W$501,$W322,$D$2:$D$501,"&lt;&gt;"&amp;$D322)&gt;0,COUNTIFS($W$2:$W$501,$W322,$L$2:$L$501,"&lt;&gt;"&amp;$L322)&gt;0)),"The same SSN is associated with a different name or birthdate; ",""))</f>
        <v/>
      </c>
      <c r="AA322">
        <f>IF(COUNTA($A322:$U322)=0,"",IF(AND($A322&lt;&gt;"",$S322&lt;&gt;"",COUNTIFS($A$2:$A$501,$A322,$S$2:$S$501,$S322,$B$2:$B$501,"",$O$2:$O$501,"")=0),"Add an employee row for this household and plan; ","")&amp;IF(AND($X322="Dependent",COUNTIFS($A$2:$A322,$A322,$S$2:$S322,$S322,$B$2:$B322,"",$O$2:$O322,"")=0),"Place the employee row before dependent rows for this plan; ","")&amp;IF(AND($X322="Dependent",COUNTIFS($A$2:$A$501,$A322,$S$2:$S$501,$S322,$B$2:$B$501,"",$O$2:$O$501,"")&gt;0,IFERROR(OR($P322&lt;&gt;LOOKUP(2,1/(($A$2:$A$501=$A322)*($S$2:$S$501=$S322)*($B$2:$B$501="")*($O$2:$O$501="")),$P$2:$P$501),$Q322&lt;&gt;LOOKUP(2,1/(($A$2:$A$501=$A322)*($S$2:$S$501=$S322)*($B$2:$B$501="")*($O$2:$O$501="")),$Q$2:$Q$501),$R322&lt;&gt;LOOKUP(2,1/(($A$2:$A$501=$A322)*($S$2:$S$501=$S322)*($B$2:$B$501="")*($O$2:$O$501="")),$R$2:$R$501),$T322&lt;&gt;LOOKUP(2,1/(($A$2:$A$501=$A322)*($S$2:$S$501=$S322)*($B$2:$B$501="")*($O$2:$O$501="")),$T$2:$T$501),$U322&lt;&gt;LOOKUP(2,1/(($A$2:$A$501=$A322)*($S$2:$S$501=$S322)*($B$2:$B$501="")*($O$2:$O$501="")),$U$2:$U$501)),FALSE)),"Dependent row does not match the employee row for eligibility, status, coverage level, or funding; ",""))</f>
        <v/>
      </c>
      <c r="AB322">
        <f>IF(COUNTA($A322:$U322)=0,"",IF($L322="","Birthdate is required; ","")&amp;IF(AND($L322&lt;&gt;"",OR(NOT(ISNUMBER($L322)),$L322&lt;=DATE(1900,1,1),$L322&gt;TODAY())),"Birthdate must be an exact valid past date; ","")&amp;IF($P322="","Eligibility Date is required; ","")&amp;IF(AND($P322&lt;&gt;"",OR(NOT(ISNUMBER($P322)),$P322&lt;=DATE(1900,1,1))),"Eligibility Date must be a valid date; ","")&amp;IF(AND($R322="Terminated",$Q322=""),"Termination Date is required when Status is Terminated; ","")&amp;IF(AND($Q322&lt;&gt;"",OR(NOT(ISNUMBER($Q322)),$Q322&lt;=DATE(1900,1,1))),"Termination Date must be a valid date; ","")&amp;IF(AND(ISNUMBER($P322),ISNUMBER($Q322),$Q322&lt;$P322),"Termination Date cannot be before Eligibility Date; ","")&amp;IF($R322="","Status is required; ","")&amp;IF(AND($R322&lt;&gt;"",$R322&lt;&gt;"Active",$R322&lt;&gt;"Terminated"),"Status must be Active or Terminated; ","")&amp;IF(AND('START HERE'!$C$8="Terminations Only",$R322&lt;&gt;"Terminated"),"Terminations Only files must contain terminated records; ",""))</f>
        <v/>
      </c>
      <c r="AC322">
        <f>IF(COUNTA($A322:$U322)=0,"",IF($S322="","Plan Name is required; ","")&amp;IF($T322="","Benefit Coverage Level is required; ","")&amp;IF(AND($U322&lt;&gt;"",OR(NOT(ISNUMBER($U322)),$U322&lt;0)),"Plan Funding Amount must be a nonnegative number; ","")&amp;IF(AND($A322&lt;&gt;"",$S322&lt;&gt;"",COUNTIFS($A$2:$A$501,$A322,$B$2:$B$501,$B322,$S$2:$S$501,$S322)&gt;1),"Duplicate participant and plan row; ",""))</f>
        <v/>
      </c>
      <c r="AD322">
        <f>IF(COUNTA($A322:$U322)=0,"",IF(AND($X322="Employee",$M322="",$N322=""),"No employee phone or email provided; ","")&amp;IF(AND($R322="Active",$Q322&lt;&gt;""),"Active record includes a Termination Date; confirm this is intentional; ","")&amp;IF(AND($B322&lt;&gt;"",$B322&amp;""&lt;&gt;$A322&amp;"",COUNTIF($A$2:$A$501,$B322)&gt;0),"Dependent SSN also appears as an Employee SSN elsewhere; confirm dual-employee coverage is intentional; ","")&amp;IF(AND($B322&lt;&gt;"",COUNTIF($B$2:$B$501,$B322)&gt;COUNTIFS($A$2:$A$501,$A322,$B$2:$B$501,$B322)),"Dependent SSN appears under more than one employee; confirm duplicate family coverage is intentional; ","")&amp;IF(AND(ROW()&gt;2,$A322&lt;&gt;"",$A322&lt;&gt;$A321,COUNTIF($A$2:$A321,$A322)&gt;0),"This household appears in more than one section of the census; keep the family together; ","")&amp;IF(OR(AND($C322&lt;&gt;"",LEN($C322&amp;"")&lt;&gt;LEN(TRIM($C322&amp;""))),AND($D322&lt;&gt;"",LEN($D322&amp;"")&lt;&gt;LEN(TRIM($D322&amp;""))),AND($E322&lt;&gt;"",LEN($E322&amp;"")&lt;&gt;LEN(TRIM($E322&amp;""))),AND($F322&lt;&gt;"",LEN($F322&amp;"")&lt;&gt;LEN(TRIM($F322&amp;""))),AND($G322&lt;&gt;"",LEN($G322&amp;"")&lt;&gt;LEN(TRIM($G322&amp;""))),AND($H322&lt;&gt;"",LEN($H322&amp;"")&lt;&gt;LEN(TRIM($H322&amp;""))),AND($I322&lt;&gt;"",LEN($I322&amp;"")&lt;&gt;LEN(TRIM($I322&amp;""))),AND($J322&lt;&gt;"",LEN($J322&amp;"")&lt;&gt;LEN(TRIM($J322&amp;""))),AND($K322&lt;&gt;"",LEN($K322&amp;"")&lt;&gt;LEN(TRIM($K322&amp;""))),AND($M322&lt;&gt;"",LEN($M322&amp;"")&lt;&gt;LEN(TRIM($M322&amp;""))),AND($N322&lt;&gt;"",LEN($N322&amp;"")&lt;&gt;LEN(TRIM($N322&amp;""))),AND($O322&lt;&gt;"",LEN($O322&amp;"")&lt;&gt;LEN(TRIM($O322&amp;""))),AND($R322&lt;&gt;"",LEN($R322&amp;"")&lt;&gt;LEN(TRIM($R322&amp;""))),AND($S322&lt;&gt;"",LEN($S322&amp;"")&lt;&gt;LEN(TRIM($S322&amp;""))),AND($T322&lt;&gt;"",LEN($T322&amp;"")&lt;&gt;LEN(TRIM($T322&amp;"")))),"Remove leading or trailing spaces from text fields; ","")&amp;IF(OR(AND(LEN($C322)&gt;1,OR(EXACT($C322,UPPER($C322)),EXACT($C322,LOWER($C322)))),AND(LEN($D322)&gt;1,OR(EXACT($D322,UPPER($D322)),EXACT($D322,LOWER($D322)))),AND(LEN($H322)&gt;1,OR(EXACT($H322,UPPER($H322)),EXACT($H322,LOWER($H322))))),"Review capitalization in First Name, Last Name, or City; ","")&amp;IF(AND($N322&lt;&gt;"",NOT(EXACT($N322,LOWER($N322)))),"Email will be standardized to lowercase in the clean output; ","")&amp;IF(AND(OR('START HERE'!$C$8="Initial Enrollment",'START HERE'!$C$8="Open Enrollment"),$R322="Terminated"),"A terminated row is included in an initial or open enrollment file; confirm this is intentional; ",""))</f>
        <v/>
      </c>
      <c r="AE322">
        <f>IF(COUNTA($A322:$U322)=0,"",IF(OR($A322="",AND($A322&lt;&gt;"",NOT(IFERROR(AND(LEN($A322&amp;"")=9,ISNUMBER(--($A322&amp;""))),FALSE))),AND($A322&lt;&gt;"",OR($A322="123456789",$A322="987654321",$A322="012345678",$A322=REPT(LEFT($A322&amp;"",1),9)))),"Employee SSN, ","")&amp;IF(OR(AND($O322&lt;&gt;"",$B322=""),AND($B322&lt;&gt;"",OR(NOT(IFERROR(AND(LEN($B322&amp;"")=9,ISNUMBER(--($B322&amp;""))),FALSE)),$B322=$A322,$B322="123456789",$B322="987654321",$B322="012345678",$B322=REPT(LEFT($B322&amp;"",1),9)))),"Dependent SSN, ","")&amp;IF(OR($C322="",LEN($C322)&gt;19,AND($C322&lt;&gt;"",SUMPRODUCT(--(ROW($1:$19)&lt;=LEN($C322&amp;"")),--ISERROR(FIND(MID($C322&amp;"",ROW($1:$19),1),"ABCDEFGHIJKLMNOPQRSTUVWXYZabcdefghijklmnopqrstuvwxyz .,")))&gt;0)),"First Name, ","")&amp;IF(OR($D322="",LEN($D322)&gt;26,AND($D322&lt;&gt;"",SUMPRODUCT(--(ROW($1:$26)&lt;=LEN($D322&amp;"")),--ISERROR(FIND(MID($D322&amp;"",ROW($1:$26),1),"ABCDEFGHIJKLMNOPQRSTUVWXYZabcdefghijklmnopqrstuvwxyz .,")))&gt;0)),"Last Name, ","")&amp;IF(OR(LEN($E322)&gt;1,AND($E322&lt;&gt;"",SUMPRODUCT(--(ROW($1:$1)&lt;=LEN($E322&amp;"")),--ISERROR(FIND(MID($E322&amp;"",ROW($1:$1),1),"ABCDEFGHIJKLMNOPQRSTUVWXYZabcdefghijklmnopqrstuvwxyz .,")))&gt;0)),"Middle Initial, ","")&amp;IF(OR($F322="",LEN($F322)&gt;75),"Address, ","")&amp;IF(OR($H322="",LEN($H322)&gt;30),"City, ","")&amp;IF(AND($K322="US",OR($I322="",LEN($I322)&lt;&gt;2)),"State, ","")&amp;IF($J322="","ZIP, ","")&amp;IF(OR($K322="",AND($K322&lt;&gt;"US",$K322&lt;&gt;"CA")),"Country, ","")&amp;IF(OR($L322="",AND($L322&lt;&gt;"",OR(NOT(ISNUMBER($L322)),$L322&lt;=DATE(1900,1,1),$L322&gt;TODAY()))),"Birthdate, ","")&amp;IF(AND($N322&lt;&gt;"",NOT(IFERROR(AND(ISNUMBER(SEARCH("@",$N322)),ISNUMBER(SEARCH(".",$N322,SEARCH("@",$N322)+2))),FALSE))),"Email, ","")&amp;IF(OR(AND($B322&lt;&gt;"",$O322=""),AND($O322&lt;&gt;"",$O322&lt;&gt;"Spouse or Common Law Spouse",$O322&lt;&gt;"Domestic Partner",$O322&lt;&gt;"Child",$O322&lt;&gt;"Other",$O322&lt;&gt;"Estate",$O322&lt;&gt;"Unknown")),"Dependent Relationship, ","")&amp;IF($AA322&lt;&gt;"","Household, ","")&amp;IF(OR($P322="",AND($P322&lt;&gt;"",OR(NOT(ISNUMBER($P322)),$P322&lt;=DATE(1900,1,1)))),"Eligibility Date, ","")&amp;IF(OR(AND($R322="Terminated",$Q322=""),AND($Q322&lt;&gt;"",OR(NOT(ISNUMBER($Q322)),$Q322&lt;=DATE(1900,1,1))),AND(ISNUMBER($P322),ISNUMBER($Q322),$Q322&lt;$P322)),"Termination Date, ","")&amp;IF(OR($R322="",AND($R322&lt;&gt;"Active",$R322&lt;&gt;"Terminated"),AND('START HERE'!$C$8="Terminations Only",$R322&lt;&gt;"Terminated")),"Status, ","")&amp;IF($S322="","Plan Name, ","")&amp;IF($T322="","Coverage Level, ","")&amp;IF(AND($U322&lt;&gt;"",OR(NOT(ISNUMBER($U322)),$U322&lt;0)),"Funding, ","")&amp;IF(AND($A322&lt;&gt;"",$S322&lt;&gt;"",COUNTIFS($A$2:$A$501,$A322,$B$2:$B$501,$B322,$S$2:$S$501,$S322)&gt;1),"Duplicate Row, ",""))</f>
        <v/>
      </c>
      <c r="AF322">
        <f>IF(COUNTA($A322:$U322)=0,"",$Y322&amp;$Z322&amp;$AA322&amp;$AB322&amp;$AC322)</f>
        <v/>
      </c>
      <c r="AG322">
        <f>IF($N322="","",LOWER(TRIM($N322)))</f>
        <v/>
      </c>
      <c r="AH322">
        <f>IF($A322="","",COUNTIFS($A$2:$A$501,$A322,$AI$2:$AI$501,1))</f>
        <v/>
      </c>
      <c r="AI322">
        <f>IF(COUNTA($A322:$U322)=0,"",--($AF322&lt;&gt;""))</f>
        <v/>
      </c>
      <c r="AJ322">
        <f>IF(COUNTA($A322:$U322)=0,"",--($AD322&lt;&gt;""))</f>
        <v/>
      </c>
    </row>
    <row r="323" ht="20" customHeight="1">
      <c r="A323" s="80" t="n"/>
      <c r="B323" s="80" t="n"/>
      <c r="C323" s="81" t="n"/>
      <c r="D323" s="81" t="n"/>
      <c r="E323" s="80" t="n"/>
      <c r="F323" s="81" t="n"/>
      <c r="G323" s="81" t="n"/>
      <c r="H323" s="81" t="n"/>
      <c r="I323" s="80" t="n"/>
      <c r="J323" s="80" t="n"/>
      <c r="K323" s="80" t="n"/>
      <c r="L323" s="82" t="n"/>
      <c r="M323" s="80" t="n"/>
      <c r="N323" s="80" t="n"/>
      <c r="O323" s="80" t="n"/>
      <c r="P323" s="82" t="n"/>
      <c r="Q323" s="82" t="n"/>
      <c r="R323" s="80" t="n"/>
      <c r="S323" s="80" t="n"/>
      <c r="T323" s="80" t="n"/>
      <c r="U323" s="83" t="n"/>
      <c r="V323">
        <f>IF($A323="","",IF($A323=$A322,$V322,IF($V322="",0,1-$V322)))</f>
        <v/>
      </c>
      <c r="W323">
        <f>IF($B323&lt;&gt;"",$B323,$A323)</f>
        <v/>
      </c>
      <c r="X323">
        <f>IF(COUNTA($A323:$U323)=0,"",IF(OR($B323&lt;&gt;"",$O323&lt;&gt;""),"Dependent","Employee"))</f>
        <v/>
      </c>
      <c r="Y323">
        <f>IF(COUNTA($A323:$U323)=0,"",IF($A323="","Employee SSN is required; ","")&amp;IF($C323="","First Name is required; ","")&amp;IF(LEN($C323&amp;"")&gt;19,"First Name exceeds 19 characters; ","")&amp;IF(AND($C323&lt;&gt;"",SUMPRODUCT(--(ROW($1:$19)&lt;=LEN($C323&amp;"")),--ISERROR(FIND(MID($C323&amp;"",ROW($1:$19),1),"ABCDEFGHIJKLMNOPQRSTUVWXYZabcdefghijklmnopqrstuvwxyz .,")))&gt;0),"First Name contains unsupported or encoded characters; use plain A-Z letters only; ","")&amp;IF($D323="","Last Name is required; ","")&amp;IF(LEN($D323&amp;"")&gt;26,"Last Name exceeds 26 characters; ","")&amp;IF(AND($D323&lt;&gt;"",SUMPRODUCT(--(ROW($1:$26)&lt;=LEN($D323&amp;"")),--ISERROR(FIND(MID($D323&amp;"",ROW($1:$26),1),"ABCDEFGHIJKLMNOPQRSTUVWXYZabcdefghijklmnopqrstuvwxyz .,")))&gt;0),"Last Name contains unsupported or encoded characters; use plain A-Z letters only; ","")&amp;IF(LEN($E323&amp;"")&gt;1,"Middle Initial may contain only one character; ","")&amp;IF(AND($E323&lt;&gt;"",SUMPRODUCT(--(ROW($1:$1)&lt;=LEN($E323&amp;"")),--ISERROR(FIND(MID($E323&amp;"",ROW($1:$1),1),"ABCDEFGHIJKLMNOPQRSTUVWXYZabcdefghijklmnopqrstuvwxyz .,")))&gt;0),"Middle Initial must be a plain A-Z letter; ","")&amp;IF($F323="","Address is required; ","")&amp;IF(LEN($F323&amp;"")&gt;75,"Address exceeds 75 characters; ","")&amp;IF(LEN($G323&amp;"")&gt;75,"Address 2 exceeds 75 characters; ","")&amp;IF($H323="","City is required; ","")&amp;IF(LEN($H323&amp;"")&gt;30,"City exceeds 30 characters; ","")&amp;IF($K323="","Country is required; ","")&amp;IF(AND($K323&lt;&gt;"",$K323&lt;&gt;"US",$K323&lt;&gt;"CA"),"Country must be US or CA; ","")&amp;IF(AND($K323="US",OR($I323="",LEN($I323&amp;"")&lt;&gt;2)),"Use a 2-letter state code; ","")&amp;IF($J323="","ZIP or postal code is required; ","")&amp;IF(AND($K323="US",$J323&lt;&gt;"",NOT(IFERROR(OR(AND(LEN($J323&amp;"")=5,ISNUMBER(--($J323&amp;""))),AND(LEN($J323&amp;"")=9,ISNUMBER(--($J323&amp;""))),AND(LEN($J323&amp;"")=10,MID($J323&amp;"",6,1)="-",ISNUMBER(--SUBSTITUTE($J323&amp;"","-","")))),FALSE))),"US ZIP must be 5 or 9 digits, with an optional ZIP+4 hyphen; ","")&amp;IF(AND($N323&lt;&gt;"",NOT(IFERROR(AND(ISNUMBER(SEARCH("@",$N323)),ISNUMBER(SEARCH(".",$N323,SEARCH("@",$N323)+2))),FALSE))),"Email format appears invalid; ","")&amp;IF(AND($O323&lt;&gt;"",$B323=""),"Dependent SSN is required for every dependent; ","")&amp;IF(AND($B323&lt;&gt;"",$O323=""),"Dependent Relationship is required when Dependent SSN is entered; ","")&amp;IF(AND($O323&lt;&gt;"",$O323&lt;&gt;"Spouse or Common Law Spouse",$O323&lt;&gt;"Domestic Partner",$O323&lt;&gt;"Child",$O323&lt;&gt;"Other",$O323&lt;&gt;"Estate",$O323&lt;&gt;"Unknown"),"Dependent Relationship must use one of the approved options; ",""))</f>
        <v/>
      </c>
      <c r="Z323">
        <f>IF(COUNTA($A323:$U323)=0,"",IF(AND($A323&lt;&gt;"",NOT(IFERROR(AND(LEN($A323&amp;"")=9,ISNUMBER(--($A323&amp;""))),FALSE))),"Employee SSN must contain exactly 9 digits; ","")&amp;IF(AND($A323&lt;&gt;"",OR($A323="123456789",$A323="987654321",$A323="012345678",$A323=REPT(LEFT($A323&amp;"",1),9))),"Employee SSN appears to be a placeholder; ","")&amp;IF(AND($B323&lt;&gt;"",NOT(IFERROR(AND(LEN($B323&amp;"")=9,ISNUMBER(--($B323&amp;""))),FALSE))),"Dependent SSN must contain exactly 9 digits; ","")&amp;IF(AND($B323&lt;&gt;"",OR($B323="123456789",$B323="987654321",$B323="012345678",$B323=REPT(LEFT($B323&amp;"",1),9))),"Dependent SSN appears to be a placeholder; ","")&amp;IF(AND($A323&lt;&gt;"",$B323&lt;&gt;"",$A323&amp;""=$B323&amp;""),"Dependent SSN cannot match Employee SSN; ","")&amp;IF(AND($W323&lt;&gt;"",OR(COUNTIFS($W$2:$W$501,$W323,$C$2:$C$501,"&lt;&gt;"&amp;$C323)&gt;0,COUNTIFS($W$2:$W$501,$W323,$D$2:$D$501,"&lt;&gt;"&amp;$D323)&gt;0,COUNTIFS($W$2:$W$501,$W323,$L$2:$L$501,"&lt;&gt;"&amp;$L323)&gt;0)),"The same SSN is associated with a different name or birthdate; ",""))</f>
        <v/>
      </c>
      <c r="AA323">
        <f>IF(COUNTA($A323:$U323)=0,"",IF(AND($A323&lt;&gt;"",$S323&lt;&gt;"",COUNTIFS($A$2:$A$501,$A323,$S$2:$S$501,$S323,$B$2:$B$501,"",$O$2:$O$501,"")=0),"Add an employee row for this household and plan; ","")&amp;IF(AND($X323="Dependent",COUNTIFS($A$2:$A323,$A323,$S$2:$S323,$S323,$B$2:$B323,"",$O$2:$O323,"")=0),"Place the employee row before dependent rows for this plan; ","")&amp;IF(AND($X323="Dependent",COUNTIFS($A$2:$A$501,$A323,$S$2:$S$501,$S323,$B$2:$B$501,"",$O$2:$O$501,"")&gt;0,IFERROR(OR($P323&lt;&gt;LOOKUP(2,1/(($A$2:$A$501=$A323)*($S$2:$S$501=$S323)*($B$2:$B$501="")*($O$2:$O$501="")),$P$2:$P$501),$Q323&lt;&gt;LOOKUP(2,1/(($A$2:$A$501=$A323)*($S$2:$S$501=$S323)*($B$2:$B$501="")*($O$2:$O$501="")),$Q$2:$Q$501),$R323&lt;&gt;LOOKUP(2,1/(($A$2:$A$501=$A323)*($S$2:$S$501=$S323)*($B$2:$B$501="")*($O$2:$O$501="")),$R$2:$R$501),$T323&lt;&gt;LOOKUP(2,1/(($A$2:$A$501=$A323)*($S$2:$S$501=$S323)*($B$2:$B$501="")*($O$2:$O$501="")),$T$2:$T$501),$U323&lt;&gt;LOOKUP(2,1/(($A$2:$A$501=$A323)*($S$2:$S$501=$S323)*($B$2:$B$501="")*($O$2:$O$501="")),$U$2:$U$501)),FALSE)),"Dependent row does not match the employee row for eligibility, status, coverage level, or funding; ",""))</f>
        <v/>
      </c>
      <c r="AB323">
        <f>IF(COUNTA($A323:$U323)=0,"",IF($L323="","Birthdate is required; ","")&amp;IF(AND($L323&lt;&gt;"",OR(NOT(ISNUMBER($L323)),$L323&lt;=DATE(1900,1,1),$L323&gt;TODAY())),"Birthdate must be an exact valid past date; ","")&amp;IF($P323="","Eligibility Date is required; ","")&amp;IF(AND($P323&lt;&gt;"",OR(NOT(ISNUMBER($P323)),$P323&lt;=DATE(1900,1,1))),"Eligibility Date must be a valid date; ","")&amp;IF(AND($R323="Terminated",$Q323=""),"Termination Date is required when Status is Terminated; ","")&amp;IF(AND($Q323&lt;&gt;"",OR(NOT(ISNUMBER($Q323)),$Q323&lt;=DATE(1900,1,1))),"Termination Date must be a valid date; ","")&amp;IF(AND(ISNUMBER($P323),ISNUMBER($Q323),$Q323&lt;$P323),"Termination Date cannot be before Eligibility Date; ","")&amp;IF($R323="","Status is required; ","")&amp;IF(AND($R323&lt;&gt;"",$R323&lt;&gt;"Active",$R323&lt;&gt;"Terminated"),"Status must be Active or Terminated; ","")&amp;IF(AND('START HERE'!$C$8="Terminations Only",$R323&lt;&gt;"Terminated"),"Terminations Only files must contain terminated records; ",""))</f>
        <v/>
      </c>
      <c r="AC323">
        <f>IF(COUNTA($A323:$U323)=0,"",IF($S323="","Plan Name is required; ","")&amp;IF($T323="","Benefit Coverage Level is required; ","")&amp;IF(AND($U323&lt;&gt;"",OR(NOT(ISNUMBER($U323)),$U323&lt;0)),"Plan Funding Amount must be a nonnegative number; ","")&amp;IF(AND($A323&lt;&gt;"",$S323&lt;&gt;"",COUNTIFS($A$2:$A$501,$A323,$B$2:$B$501,$B323,$S$2:$S$501,$S323)&gt;1),"Duplicate participant and plan row; ",""))</f>
        <v/>
      </c>
      <c r="AD323">
        <f>IF(COUNTA($A323:$U323)=0,"",IF(AND($X323="Employee",$M323="",$N323=""),"No employee phone or email provided; ","")&amp;IF(AND($R323="Active",$Q323&lt;&gt;""),"Active record includes a Termination Date; confirm this is intentional; ","")&amp;IF(AND($B323&lt;&gt;"",$B323&amp;""&lt;&gt;$A323&amp;"",COUNTIF($A$2:$A$501,$B323)&gt;0),"Dependent SSN also appears as an Employee SSN elsewhere; confirm dual-employee coverage is intentional; ","")&amp;IF(AND($B323&lt;&gt;"",COUNTIF($B$2:$B$501,$B323)&gt;COUNTIFS($A$2:$A$501,$A323,$B$2:$B$501,$B323)),"Dependent SSN appears under more than one employee; confirm duplicate family coverage is intentional; ","")&amp;IF(AND(ROW()&gt;2,$A323&lt;&gt;"",$A323&lt;&gt;$A322,COUNTIF($A$2:$A322,$A323)&gt;0),"This household appears in more than one section of the census; keep the family together; ","")&amp;IF(OR(AND($C323&lt;&gt;"",LEN($C323&amp;"")&lt;&gt;LEN(TRIM($C323&amp;""))),AND($D323&lt;&gt;"",LEN($D323&amp;"")&lt;&gt;LEN(TRIM($D323&amp;""))),AND($E323&lt;&gt;"",LEN($E323&amp;"")&lt;&gt;LEN(TRIM($E323&amp;""))),AND($F323&lt;&gt;"",LEN($F323&amp;"")&lt;&gt;LEN(TRIM($F323&amp;""))),AND($G323&lt;&gt;"",LEN($G323&amp;"")&lt;&gt;LEN(TRIM($G323&amp;""))),AND($H323&lt;&gt;"",LEN($H323&amp;"")&lt;&gt;LEN(TRIM($H323&amp;""))),AND($I323&lt;&gt;"",LEN($I323&amp;"")&lt;&gt;LEN(TRIM($I323&amp;""))),AND($J323&lt;&gt;"",LEN($J323&amp;"")&lt;&gt;LEN(TRIM($J323&amp;""))),AND($K323&lt;&gt;"",LEN($K323&amp;"")&lt;&gt;LEN(TRIM($K323&amp;""))),AND($M323&lt;&gt;"",LEN($M323&amp;"")&lt;&gt;LEN(TRIM($M323&amp;""))),AND($N323&lt;&gt;"",LEN($N323&amp;"")&lt;&gt;LEN(TRIM($N323&amp;""))),AND($O323&lt;&gt;"",LEN($O323&amp;"")&lt;&gt;LEN(TRIM($O323&amp;""))),AND($R323&lt;&gt;"",LEN($R323&amp;"")&lt;&gt;LEN(TRIM($R323&amp;""))),AND($S323&lt;&gt;"",LEN($S323&amp;"")&lt;&gt;LEN(TRIM($S323&amp;""))),AND($T323&lt;&gt;"",LEN($T323&amp;"")&lt;&gt;LEN(TRIM($T323&amp;"")))),"Remove leading or trailing spaces from text fields; ","")&amp;IF(OR(AND(LEN($C323)&gt;1,OR(EXACT($C323,UPPER($C323)),EXACT($C323,LOWER($C323)))),AND(LEN($D323)&gt;1,OR(EXACT($D323,UPPER($D323)),EXACT($D323,LOWER($D323)))),AND(LEN($H323)&gt;1,OR(EXACT($H323,UPPER($H323)),EXACT($H323,LOWER($H323))))),"Review capitalization in First Name, Last Name, or City; ","")&amp;IF(AND($N323&lt;&gt;"",NOT(EXACT($N323,LOWER($N323)))),"Email will be standardized to lowercase in the clean output; ","")&amp;IF(AND(OR('START HERE'!$C$8="Initial Enrollment",'START HERE'!$C$8="Open Enrollment"),$R323="Terminated"),"A terminated row is included in an initial or open enrollment file; confirm this is intentional; ",""))</f>
        <v/>
      </c>
      <c r="AE323">
        <f>IF(COUNTA($A323:$U323)=0,"",IF(OR($A323="",AND($A323&lt;&gt;"",NOT(IFERROR(AND(LEN($A323&amp;"")=9,ISNUMBER(--($A323&amp;""))),FALSE))),AND($A323&lt;&gt;"",OR($A323="123456789",$A323="987654321",$A323="012345678",$A323=REPT(LEFT($A323&amp;"",1),9)))),"Employee SSN, ","")&amp;IF(OR(AND($O323&lt;&gt;"",$B323=""),AND($B323&lt;&gt;"",OR(NOT(IFERROR(AND(LEN($B323&amp;"")=9,ISNUMBER(--($B323&amp;""))),FALSE)),$B323=$A323,$B323="123456789",$B323="987654321",$B323="012345678",$B323=REPT(LEFT($B323&amp;"",1),9)))),"Dependent SSN, ","")&amp;IF(OR($C323="",LEN($C323)&gt;19,AND($C323&lt;&gt;"",SUMPRODUCT(--(ROW($1:$19)&lt;=LEN($C323&amp;"")),--ISERROR(FIND(MID($C323&amp;"",ROW($1:$19),1),"ABCDEFGHIJKLMNOPQRSTUVWXYZabcdefghijklmnopqrstuvwxyz .,")))&gt;0)),"First Name, ","")&amp;IF(OR($D323="",LEN($D323)&gt;26,AND($D323&lt;&gt;"",SUMPRODUCT(--(ROW($1:$26)&lt;=LEN($D323&amp;"")),--ISERROR(FIND(MID($D323&amp;"",ROW($1:$26),1),"ABCDEFGHIJKLMNOPQRSTUVWXYZabcdefghijklmnopqrstuvwxyz .,")))&gt;0)),"Last Name, ","")&amp;IF(OR(LEN($E323)&gt;1,AND($E323&lt;&gt;"",SUMPRODUCT(--(ROW($1:$1)&lt;=LEN($E323&amp;"")),--ISERROR(FIND(MID($E323&amp;"",ROW($1:$1),1),"ABCDEFGHIJKLMNOPQRSTUVWXYZabcdefghijklmnopqrstuvwxyz .,")))&gt;0)),"Middle Initial, ","")&amp;IF(OR($F323="",LEN($F323)&gt;75),"Address, ","")&amp;IF(OR($H323="",LEN($H323)&gt;30),"City, ","")&amp;IF(AND($K323="US",OR($I323="",LEN($I323)&lt;&gt;2)),"State, ","")&amp;IF($J323="","ZIP, ","")&amp;IF(OR($K323="",AND($K323&lt;&gt;"US",$K323&lt;&gt;"CA")),"Country, ","")&amp;IF(OR($L323="",AND($L323&lt;&gt;"",OR(NOT(ISNUMBER($L323)),$L323&lt;=DATE(1900,1,1),$L323&gt;TODAY()))),"Birthdate, ","")&amp;IF(AND($N323&lt;&gt;"",NOT(IFERROR(AND(ISNUMBER(SEARCH("@",$N323)),ISNUMBER(SEARCH(".",$N323,SEARCH("@",$N323)+2))),FALSE))),"Email, ","")&amp;IF(OR(AND($B323&lt;&gt;"",$O323=""),AND($O323&lt;&gt;"",$O323&lt;&gt;"Spouse or Common Law Spouse",$O323&lt;&gt;"Domestic Partner",$O323&lt;&gt;"Child",$O323&lt;&gt;"Other",$O323&lt;&gt;"Estate",$O323&lt;&gt;"Unknown")),"Dependent Relationship, ","")&amp;IF($AA323&lt;&gt;"","Household, ","")&amp;IF(OR($P323="",AND($P323&lt;&gt;"",OR(NOT(ISNUMBER($P323)),$P323&lt;=DATE(1900,1,1)))),"Eligibility Date, ","")&amp;IF(OR(AND($R323="Terminated",$Q323=""),AND($Q323&lt;&gt;"",OR(NOT(ISNUMBER($Q323)),$Q323&lt;=DATE(1900,1,1))),AND(ISNUMBER($P323),ISNUMBER($Q323),$Q323&lt;$P323)),"Termination Date, ","")&amp;IF(OR($R323="",AND($R323&lt;&gt;"Active",$R323&lt;&gt;"Terminated"),AND('START HERE'!$C$8="Terminations Only",$R323&lt;&gt;"Terminated")),"Status, ","")&amp;IF($S323="","Plan Name, ","")&amp;IF($T323="","Coverage Level, ","")&amp;IF(AND($U323&lt;&gt;"",OR(NOT(ISNUMBER($U323)),$U323&lt;0)),"Funding, ","")&amp;IF(AND($A323&lt;&gt;"",$S323&lt;&gt;"",COUNTIFS($A$2:$A$501,$A323,$B$2:$B$501,$B323,$S$2:$S$501,$S323)&gt;1),"Duplicate Row, ",""))</f>
        <v/>
      </c>
      <c r="AF323">
        <f>IF(COUNTA($A323:$U323)=0,"",$Y323&amp;$Z323&amp;$AA323&amp;$AB323&amp;$AC323)</f>
        <v/>
      </c>
      <c r="AG323">
        <f>IF($N323="","",LOWER(TRIM($N323)))</f>
        <v/>
      </c>
      <c r="AH323">
        <f>IF($A323="","",COUNTIFS($A$2:$A$501,$A323,$AI$2:$AI$501,1))</f>
        <v/>
      </c>
      <c r="AI323">
        <f>IF(COUNTA($A323:$U323)=0,"",--($AF323&lt;&gt;""))</f>
        <v/>
      </c>
      <c r="AJ323">
        <f>IF(COUNTA($A323:$U323)=0,"",--($AD323&lt;&gt;""))</f>
        <v/>
      </c>
    </row>
    <row r="324" ht="20" customHeight="1">
      <c r="A324" s="80" t="n"/>
      <c r="B324" s="80" t="n"/>
      <c r="C324" s="81" t="n"/>
      <c r="D324" s="81" t="n"/>
      <c r="E324" s="80" t="n"/>
      <c r="F324" s="81" t="n"/>
      <c r="G324" s="81" t="n"/>
      <c r="H324" s="81" t="n"/>
      <c r="I324" s="80" t="n"/>
      <c r="J324" s="80" t="n"/>
      <c r="K324" s="80" t="n"/>
      <c r="L324" s="82" t="n"/>
      <c r="M324" s="80" t="n"/>
      <c r="N324" s="80" t="n"/>
      <c r="O324" s="80" t="n"/>
      <c r="P324" s="82" t="n"/>
      <c r="Q324" s="82" t="n"/>
      <c r="R324" s="80" t="n"/>
      <c r="S324" s="80" t="n"/>
      <c r="T324" s="80" t="n"/>
      <c r="U324" s="83" t="n"/>
      <c r="V324">
        <f>IF($A324="","",IF($A324=$A323,$V323,IF($V323="",0,1-$V323)))</f>
        <v/>
      </c>
      <c r="W324">
        <f>IF($B324&lt;&gt;"",$B324,$A324)</f>
        <v/>
      </c>
      <c r="X324">
        <f>IF(COUNTA($A324:$U324)=0,"",IF(OR($B324&lt;&gt;"",$O324&lt;&gt;""),"Dependent","Employee"))</f>
        <v/>
      </c>
      <c r="Y324">
        <f>IF(COUNTA($A324:$U324)=0,"",IF($A324="","Employee SSN is required; ","")&amp;IF($C324="","First Name is required; ","")&amp;IF(LEN($C324&amp;"")&gt;19,"First Name exceeds 19 characters; ","")&amp;IF(AND($C324&lt;&gt;"",SUMPRODUCT(--(ROW($1:$19)&lt;=LEN($C324&amp;"")),--ISERROR(FIND(MID($C324&amp;"",ROW($1:$19),1),"ABCDEFGHIJKLMNOPQRSTUVWXYZabcdefghijklmnopqrstuvwxyz .,")))&gt;0),"First Name contains unsupported or encoded characters; use plain A-Z letters only; ","")&amp;IF($D324="","Last Name is required; ","")&amp;IF(LEN($D324&amp;"")&gt;26,"Last Name exceeds 26 characters; ","")&amp;IF(AND($D324&lt;&gt;"",SUMPRODUCT(--(ROW($1:$26)&lt;=LEN($D324&amp;"")),--ISERROR(FIND(MID($D324&amp;"",ROW($1:$26),1),"ABCDEFGHIJKLMNOPQRSTUVWXYZabcdefghijklmnopqrstuvwxyz .,")))&gt;0),"Last Name contains unsupported or encoded characters; use plain A-Z letters only; ","")&amp;IF(LEN($E324&amp;"")&gt;1,"Middle Initial may contain only one character; ","")&amp;IF(AND($E324&lt;&gt;"",SUMPRODUCT(--(ROW($1:$1)&lt;=LEN($E324&amp;"")),--ISERROR(FIND(MID($E324&amp;"",ROW($1:$1),1),"ABCDEFGHIJKLMNOPQRSTUVWXYZabcdefghijklmnopqrstuvwxyz .,")))&gt;0),"Middle Initial must be a plain A-Z letter; ","")&amp;IF($F324="","Address is required; ","")&amp;IF(LEN($F324&amp;"")&gt;75,"Address exceeds 75 characters; ","")&amp;IF(LEN($G324&amp;"")&gt;75,"Address 2 exceeds 75 characters; ","")&amp;IF($H324="","City is required; ","")&amp;IF(LEN($H324&amp;"")&gt;30,"City exceeds 30 characters; ","")&amp;IF($K324="","Country is required; ","")&amp;IF(AND($K324&lt;&gt;"",$K324&lt;&gt;"US",$K324&lt;&gt;"CA"),"Country must be US or CA; ","")&amp;IF(AND($K324="US",OR($I324="",LEN($I324&amp;"")&lt;&gt;2)),"Use a 2-letter state code; ","")&amp;IF($J324="","ZIP or postal code is required; ","")&amp;IF(AND($K324="US",$J324&lt;&gt;"",NOT(IFERROR(OR(AND(LEN($J324&amp;"")=5,ISNUMBER(--($J324&amp;""))),AND(LEN($J324&amp;"")=9,ISNUMBER(--($J324&amp;""))),AND(LEN($J324&amp;"")=10,MID($J324&amp;"",6,1)="-",ISNUMBER(--SUBSTITUTE($J324&amp;"","-","")))),FALSE))),"US ZIP must be 5 or 9 digits, with an optional ZIP+4 hyphen; ","")&amp;IF(AND($N324&lt;&gt;"",NOT(IFERROR(AND(ISNUMBER(SEARCH("@",$N324)),ISNUMBER(SEARCH(".",$N324,SEARCH("@",$N324)+2))),FALSE))),"Email format appears invalid; ","")&amp;IF(AND($O324&lt;&gt;"",$B324=""),"Dependent SSN is required for every dependent; ","")&amp;IF(AND($B324&lt;&gt;"",$O324=""),"Dependent Relationship is required when Dependent SSN is entered; ","")&amp;IF(AND($O324&lt;&gt;"",$O324&lt;&gt;"Spouse or Common Law Spouse",$O324&lt;&gt;"Domestic Partner",$O324&lt;&gt;"Child",$O324&lt;&gt;"Other",$O324&lt;&gt;"Estate",$O324&lt;&gt;"Unknown"),"Dependent Relationship must use one of the approved options; ",""))</f>
        <v/>
      </c>
      <c r="Z324">
        <f>IF(COUNTA($A324:$U324)=0,"",IF(AND($A324&lt;&gt;"",NOT(IFERROR(AND(LEN($A324&amp;"")=9,ISNUMBER(--($A324&amp;""))),FALSE))),"Employee SSN must contain exactly 9 digits; ","")&amp;IF(AND($A324&lt;&gt;"",OR($A324="123456789",$A324="987654321",$A324="012345678",$A324=REPT(LEFT($A324&amp;"",1),9))),"Employee SSN appears to be a placeholder; ","")&amp;IF(AND($B324&lt;&gt;"",NOT(IFERROR(AND(LEN($B324&amp;"")=9,ISNUMBER(--($B324&amp;""))),FALSE))),"Dependent SSN must contain exactly 9 digits; ","")&amp;IF(AND($B324&lt;&gt;"",OR($B324="123456789",$B324="987654321",$B324="012345678",$B324=REPT(LEFT($B324&amp;"",1),9))),"Dependent SSN appears to be a placeholder; ","")&amp;IF(AND($A324&lt;&gt;"",$B324&lt;&gt;"",$A324&amp;""=$B324&amp;""),"Dependent SSN cannot match Employee SSN; ","")&amp;IF(AND($W324&lt;&gt;"",OR(COUNTIFS($W$2:$W$501,$W324,$C$2:$C$501,"&lt;&gt;"&amp;$C324)&gt;0,COUNTIFS($W$2:$W$501,$W324,$D$2:$D$501,"&lt;&gt;"&amp;$D324)&gt;0,COUNTIFS($W$2:$W$501,$W324,$L$2:$L$501,"&lt;&gt;"&amp;$L324)&gt;0)),"The same SSN is associated with a different name or birthdate; ",""))</f>
        <v/>
      </c>
      <c r="AA324">
        <f>IF(COUNTA($A324:$U324)=0,"",IF(AND($A324&lt;&gt;"",$S324&lt;&gt;"",COUNTIFS($A$2:$A$501,$A324,$S$2:$S$501,$S324,$B$2:$B$501,"",$O$2:$O$501,"")=0),"Add an employee row for this household and plan; ","")&amp;IF(AND($X324="Dependent",COUNTIFS($A$2:$A324,$A324,$S$2:$S324,$S324,$B$2:$B324,"",$O$2:$O324,"")=0),"Place the employee row before dependent rows for this plan; ","")&amp;IF(AND($X324="Dependent",COUNTIFS($A$2:$A$501,$A324,$S$2:$S$501,$S324,$B$2:$B$501,"",$O$2:$O$501,"")&gt;0,IFERROR(OR($P324&lt;&gt;LOOKUP(2,1/(($A$2:$A$501=$A324)*($S$2:$S$501=$S324)*($B$2:$B$501="")*($O$2:$O$501="")),$P$2:$P$501),$Q324&lt;&gt;LOOKUP(2,1/(($A$2:$A$501=$A324)*($S$2:$S$501=$S324)*($B$2:$B$501="")*($O$2:$O$501="")),$Q$2:$Q$501),$R324&lt;&gt;LOOKUP(2,1/(($A$2:$A$501=$A324)*($S$2:$S$501=$S324)*($B$2:$B$501="")*($O$2:$O$501="")),$R$2:$R$501),$T324&lt;&gt;LOOKUP(2,1/(($A$2:$A$501=$A324)*($S$2:$S$501=$S324)*($B$2:$B$501="")*($O$2:$O$501="")),$T$2:$T$501),$U324&lt;&gt;LOOKUP(2,1/(($A$2:$A$501=$A324)*($S$2:$S$501=$S324)*($B$2:$B$501="")*($O$2:$O$501="")),$U$2:$U$501)),FALSE)),"Dependent row does not match the employee row for eligibility, status, coverage level, or funding; ",""))</f>
        <v/>
      </c>
      <c r="AB324">
        <f>IF(COUNTA($A324:$U324)=0,"",IF($L324="","Birthdate is required; ","")&amp;IF(AND($L324&lt;&gt;"",OR(NOT(ISNUMBER($L324)),$L324&lt;=DATE(1900,1,1),$L324&gt;TODAY())),"Birthdate must be an exact valid past date; ","")&amp;IF($P324="","Eligibility Date is required; ","")&amp;IF(AND($P324&lt;&gt;"",OR(NOT(ISNUMBER($P324)),$P324&lt;=DATE(1900,1,1))),"Eligibility Date must be a valid date; ","")&amp;IF(AND($R324="Terminated",$Q324=""),"Termination Date is required when Status is Terminated; ","")&amp;IF(AND($Q324&lt;&gt;"",OR(NOT(ISNUMBER($Q324)),$Q324&lt;=DATE(1900,1,1))),"Termination Date must be a valid date; ","")&amp;IF(AND(ISNUMBER($P324),ISNUMBER($Q324),$Q324&lt;$P324),"Termination Date cannot be before Eligibility Date; ","")&amp;IF($R324="","Status is required; ","")&amp;IF(AND($R324&lt;&gt;"",$R324&lt;&gt;"Active",$R324&lt;&gt;"Terminated"),"Status must be Active or Terminated; ","")&amp;IF(AND('START HERE'!$C$8="Terminations Only",$R324&lt;&gt;"Terminated"),"Terminations Only files must contain terminated records; ",""))</f>
        <v/>
      </c>
      <c r="AC324">
        <f>IF(COUNTA($A324:$U324)=0,"",IF($S324="","Plan Name is required; ","")&amp;IF($T324="","Benefit Coverage Level is required; ","")&amp;IF(AND($U324&lt;&gt;"",OR(NOT(ISNUMBER($U324)),$U324&lt;0)),"Plan Funding Amount must be a nonnegative number; ","")&amp;IF(AND($A324&lt;&gt;"",$S324&lt;&gt;"",COUNTIFS($A$2:$A$501,$A324,$B$2:$B$501,$B324,$S$2:$S$501,$S324)&gt;1),"Duplicate participant and plan row; ",""))</f>
        <v/>
      </c>
      <c r="AD324">
        <f>IF(COUNTA($A324:$U324)=0,"",IF(AND($X324="Employee",$M324="",$N324=""),"No employee phone or email provided; ","")&amp;IF(AND($R324="Active",$Q324&lt;&gt;""),"Active record includes a Termination Date; confirm this is intentional; ","")&amp;IF(AND($B324&lt;&gt;"",$B324&amp;""&lt;&gt;$A324&amp;"",COUNTIF($A$2:$A$501,$B324)&gt;0),"Dependent SSN also appears as an Employee SSN elsewhere; confirm dual-employee coverage is intentional; ","")&amp;IF(AND($B324&lt;&gt;"",COUNTIF($B$2:$B$501,$B324)&gt;COUNTIFS($A$2:$A$501,$A324,$B$2:$B$501,$B324)),"Dependent SSN appears under more than one employee; confirm duplicate family coverage is intentional; ","")&amp;IF(AND(ROW()&gt;2,$A324&lt;&gt;"",$A324&lt;&gt;$A323,COUNTIF($A$2:$A323,$A324)&gt;0),"This household appears in more than one section of the census; keep the family together; ","")&amp;IF(OR(AND($C324&lt;&gt;"",LEN($C324&amp;"")&lt;&gt;LEN(TRIM($C324&amp;""))),AND($D324&lt;&gt;"",LEN($D324&amp;"")&lt;&gt;LEN(TRIM($D324&amp;""))),AND($E324&lt;&gt;"",LEN($E324&amp;"")&lt;&gt;LEN(TRIM($E324&amp;""))),AND($F324&lt;&gt;"",LEN($F324&amp;"")&lt;&gt;LEN(TRIM($F324&amp;""))),AND($G324&lt;&gt;"",LEN($G324&amp;"")&lt;&gt;LEN(TRIM($G324&amp;""))),AND($H324&lt;&gt;"",LEN($H324&amp;"")&lt;&gt;LEN(TRIM($H324&amp;""))),AND($I324&lt;&gt;"",LEN($I324&amp;"")&lt;&gt;LEN(TRIM($I324&amp;""))),AND($J324&lt;&gt;"",LEN($J324&amp;"")&lt;&gt;LEN(TRIM($J324&amp;""))),AND($K324&lt;&gt;"",LEN($K324&amp;"")&lt;&gt;LEN(TRIM($K324&amp;""))),AND($M324&lt;&gt;"",LEN($M324&amp;"")&lt;&gt;LEN(TRIM($M324&amp;""))),AND($N324&lt;&gt;"",LEN($N324&amp;"")&lt;&gt;LEN(TRIM($N324&amp;""))),AND($O324&lt;&gt;"",LEN($O324&amp;"")&lt;&gt;LEN(TRIM($O324&amp;""))),AND($R324&lt;&gt;"",LEN($R324&amp;"")&lt;&gt;LEN(TRIM($R324&amp;""))),AND($S324&lt;&gt;"",LEN($S324&amp;"")&lt;&gt;LEN(TRIM($S324&amp;""))),AND($T324&lt;&gt;"",LEN($T324&amp;"")&lt;&gt;LEN(TRIM($T324&amp;"")))),"Remove leading or trailing spaces from text fields; ","")&amp;IF(OR(AND(LEN($C324)&gt;1,OR(EXACT($C324,UPPER($C324)),EXACT($C324,LOWER($C324)))),AND(LEN($D324)&gt;1,OR(EXACT($D324,UPPER($D324)),EXACT($D324,LOWER($D324)))),AND(LEN($H324)&gt;1,OR(EXACT($H324,UPPER($H324)),EXACT($H324,LOWER($H324))))),"Review capitalization in First Name, Last Name, or City; ","")&amp;IF(AND($N324&lt;&gt;"",NOT(EXACT($N324,LOWER($N324)))),"Email will be standardized to lowercase in the clean output; ","")&amp;IF(AND(OR('START HERE'!$C$8="Initial Enrollment",'START HERE'!$C$8="Open Enrollment"),$R324="Terminated"),"A terminated row is included in an initial or open enrollment file; confirm this is intentional; ",""))</f>
        <v/>
      </c>
      <c r="AE324">
        <f>IF(COUNTA($A324:$U324)=0,"",IF(OR($A324="",AND($A324&lt;&gt;"",NOT(IFERROR(AND(LEN($A324&amp;"")=9,ISNUMBER(--($A324&amp;""))),FALSE))),AND($A324&lt;&gt;"",OR($A324="123456789",$A324="987654321",$A324="012345678",$A324=REPT(LEFT($A324&amp;"",1),9)))),"Employee SSN, ","")&amp;IF(OR(AND($O324&lt;&gt;"",$B324=""),AND($B324&lt;&gt;"",OR(NOT(IFERROR(AND(LEN($B324&amp;"")=9,ISNUMBER(--($B324&amp;""))),FALSE)),$B324=$A324,$B324="123456789",$B324="987654321",$B324="012345678",$B324=REPT(LEFT($B324&amp;"",1),9)))),"Dependent SSN, ","")&amp;IF(OR($C324="",LEN($C324)&gt;19,AND($C324&lt;&gt;"",SUMPRODUCT(--(ROW($1:$19)&lt;=LEN($C324&amp;"")),--ISERROR(FIND(MID($C324&amp;"",ROW($1:$19),1),"ABCDEFGHIJKLMNOPQRSTUVWXYZabcdefghijklmnopqrstuvwxyz .,")))&gt;0)),"First Name, ","")&amp;IF(OR($D324="",LEN($D324)&gt;26,AND($D324&lt;&gt;"",SUMPRODUCT(--(ROW($1:$26)&lt;=LEN($D324&amp;"")),--ISERROR(FIND(MID($D324&amp;"",ROW($1:$26),1),"ABCDEFGHIJKLMNOPQRSTUVWXYZabcdefghijklmnopqrstuvwxyz .,")))&gt;0)),"Last Name, ","")&amp;IF(OR(LEN($E324)&gt;1,AND($E324&lt;&gt;"",SUMPRODUCT(--(ROW($1:$1)&lt;=LEN($E324&amp;"")),--ISERROR(FIND(MID($E324&amp;"",ROW($1:$1),1),"ABCDEFGHIJKLMNOPQRSTUVWXYZabcdefghijklmnopqrstuvwxyz .,")))&gt;0)),"Middle Initial, ","")&amp;IF(OR($F324="",LEN($F324)&gt;75),"Address, ","")&amp;IF(OR($H324="",LEN($H324)&gt;30),"City, ","")&amp;IF(AND($K324="US",OR($I324="",LEN($I324)&lt;&gt;2)),"State, ","")&amp;IF($J324="","ZIP, ","")&amp;IF(OR($K324="",AND($K324&lt;&gt;"US",$K324&lt;&gt;"CA")),"Country, ","")&amp;IF(OR($L324="",AND($L324&lt;&gt;"",OR(NOT(ISNUMBER($L324)),$L324&lt;=DATE(1900,1,1),$L324&gt;TODAY()))),"Birthdate, ","")&amp;IF(AND($N324&lt;&gt;"",NOT(IFERROR(AND(ISNUMBER(SEARCH("@",$N324)),ISNUMBER(SEARCH(".",$N324,SEARCH("@",$N324)+2))),FALSE))),"Email, ","")&amp;IF(OR(AND($B324&lt;&gt;"",$O324=""),AND($O324&lt;&gt;"",$O324&lt;&gt;"Spouse or Common Law Spouse",$O324&lt;&gt;"Domestic Partner",$O324&lt;&gt;"Child",$O324&lt;&gt;"Other",$O324&lt;&gt;"Estate",$O324&lt;&gt;"Unknown")),"Dependent Relationship, ","")&amp;IF($AA324&lt;&gt;"","Household, ","")&amp;IF(OR($P324="",AND($P324&lt;&gt;"",OR(NOT(ISNUMBER($P324)),$P324&lt;=DATE(1900,1,1)))),"Eligibility Date, ","")&amp;IF(OR(AND($R324="Terminated",$Q324=""),AND($Q324&lt;&gt;"",OR(NOT(ISNUMBER($Q324)),$Q324&lt;=DATE(1900,1,1))),AND(ISNUMBER($P324),ISNUMBER($Q324),$Q324&lt;$P324)),"Termination Date, ","")&amp;IF(OR($R324="",AND($R324&lt;&gt;"Active",$R324&lt;&gt;"Terminated"),AND('START HERE'!$C$8="Terminations Only",$R324&lt;&gt;"Terminated")),"Status, ","")&amp;IF($S324="","Plan Name, ","")&amp;IF($T324="","Coverage Level, ","")&amp;IF(AND($U324&lt;&gt;"",OR(NOT(ISNUMBER($U324)),$U324&lt;0)),"Funding, ","")&amp;IF(AND($A324&lt;&gt;"",$S324&lt;&gt;"",COUNTIFS($A$2:$A$501,$A324,$B$2:$B$501,$B324,$S$2:$S$501,$S324)&gt;1),"Duplicate Row, ",""))</f>
        <v/>
      </c>
      <c r="AF324">
        <f>IF(COUNTA($A324:$U324)=0,"",$Y324&amp;$Z324&amp;$AA324&amp;$AB324&amp;$AC324)</f>
        <v/>
      </c>
      <c r="AG324">
        <f>IF($N324="","",LOWER(TRIM($N324)))</f>
        <v/>
      </c>
      <c r="AH324">
        <f>IF($A324="","",COUNTIFS($A$2:$A$501,$A324,$AI$2:$AI$501,1))</f>
        <v/>
      </c>
      <c r="AI324">
        <f>IF(COUNTA($A324:$U324)=0,"",--($AF324&lt;&gt;""))</f>
        <v/>
      </c>
      <c r="AJ324">
        <f>IF(COUNTA($A324:$U324)=0,"",--($AD324&lt;&gt;""))</f>
        <v/>
      </c>
    </row>
    <row r="325" ht="20" customHeight="1">
      <c r="A325" s="80" t="n"/>
      <c r="B325" s="80" t="n"/>
      <c r="C325" s="81" t="n"/>
      <c r="D325" s="81" t="n"/>
      <c r="E325" s="80" t="n"/>
      <c r="F325" s="81" t="n"/>
      <c r="G325" s="81" t="n"/>
      <c r="H325" s="81" t="n"/>
      <c r="I325" s="80" t="n"/>
      <c r="J325" s="80" t="n"/>
      <c r="K325" s="80" t="n"/>
      <c r="L325" s="82" t="n"/>
      <c r="M325" s="80" t="n"/>
      <c r="N325" s="80" t="n"/>
      <c r="O325" s="80" t="n"/>
      <c r="P325" s="82" t="n"/>
      <c r="Q325" s="82" t="n"/>
      <c r="R325" s="80" t="n"/>
      <c r="S325" s="80" t="n"/>
      <c r="T325" s="80" t="n"/>
      <c r="U325" s="83" t="n"/>
      <c r="V325">
        <f>IF($A325="","",IF($A325=$A324,$V324,IF($V324="",0,1-$V324)))</f>
        <v/>
      </c>
      <c r="W325">
        <f>IF($B325&lt;&gt;"",$B325,$A325)</f>
        <v/>
      </c>
      <c r="X325">
        <f>IF(COUNTA($A325:$U325)=0,"",IF(OR($B325&lt;&gt;"",$O325&lt;&gt;""),"Dependent","Employee"))</f>
        <v/>
      </c>
      <c r="Y325">
        <f>IF(COUNTA($A325:$U325)=0,"",IF($A325="","Employee SSN is required; ","")&amp;IF($C325="","First Name is required; ","")&amp;IF(LEN($C325&amp;"")&gt;19,"First Name exceeds 19 characters; ","")&amp;IF(AND($C325&lt;&gt;"",SUMPRODUCT(--(ROW($1:$19)&lt;=LEN($C325&amp;"")),--ISERROR(FIND(MID($C325&amp;"",ROW($1:$19),1),"ABCDEFGHIJKLMNOPQRSTUVWXYZabcdefghijklmnopqrstuvwxyz .,")))&gt;0),"First Name contains unsupported or encoded characters; use plain A-Z letters only; ","")&amp;IF($D325="","Last Name is required; ","")&amp;IF(LEN($D325&amp;"")&gt;26,"Last Name exceeds 26 characters; ","")&amp;IF(AND($D325&lt;&gt;"",SUMPRODUCT(--(ROW($1:$26)&lt;=LEN($D325&amp;"")),--ISERROR(FIND(MID($D325&amp;"",ROW($1:$26),1),"ABCDEFGHIJKLMNOPQRSTUVWXYZabcdefghijklmnopqrstuvwxyz .,")))&gt;0),"Last Name contains unsupported or encoded characters; use plain A-Z letters only; ","")&amp;IF(LEN($E325&amp;"")&gt;1,"Middle Initial may contain only one character; ","")&amp;IF(AND($E325&lt;&gt;"",SUMPRODUCT(--(ROW($1:$1)&lt;=LEN($E325&amp;"")),--ISERROR(FIND(MID($E325&amp;"",ROW($1:$1),1),"ABCDEFGHIJKLMNOPQRSTUVWXYZabcdefghijklmnopqrstuvwxyz .,")))&gt;0),"Middle Initial must be a plain A-Z letter; ","")&amp;IF($F325="","Address is required; ","")&amp;IF(LEN($F325&amp;"")&gt;75,"Address exceeds 75 characters; ","")&amp;IF(LEN($G325&amp;"")&gt;75,"Address 2 exceeds 75 characters; ","")&amp;IF($H325="","City is required; ","")&amp;IF(LEN($H325&amp;"")&gt;30,"City exceeds 30 characters; ","")&amp;IF($K325="","Country is required; ","")&amp;IF(AND($K325&lt;&gt;"",$K325&lt;&gt;"US",$K325&lt;&gt;"CA"),"Country must be US or CA; ","")&amp;IF(AND($K325="US",OR($I325="",LEN($I325&amp;"")&lt;&gt;2)),"Use a 2-letter state code; ","")&amp;IF($J325="","ZIP or postal code is required; ","")&amp;IF(AND($K325="US",$J325&lt;&gt;"",NOT(IFERROR(OR(AND(LEN($J325&amp;"")=5,ISNUMBER(--($J325&amp;""))),AND(LEN($J325&amp;"")=9,ISNUMBER(--($J325&amp;""))),AND(LEN($J325&amp;"")=10,MID($J325&amp;"",6,1)="-",ISNUMBER(--SUBSTITUTE($J325&amp;"","-","")))),FALSE))),"US ZIP must be 5 or 9 digits, with an optional ZIP+4 hyphen; ","")&amp;IF(AND($N325&lt;&gt;"",NOT(IFERROR(AND(ISNUMBER(SEARCH("@",$N325)),ISNUMBER(SEARCH(".",$N325,SEARCH("@",$N325)+2))),FALSE))),"Email format appears invalid; ","")&amp;IF(AND($O325&lt;&gt;"",$B325=""),"Dependent SSN is required for every dependent; ","")&amp;IF(AND($B325&lt;&gt;"",$O325=""),"Dependent Relationship is required when Dependent SSN is entered; ","")&amp;IF(AND($O325&lt;&gt;"",$O325&lt;&gt;"Spouse or Common Law Spouse",$O325&lt;&gt;"Domestic Partner",$O325&lt;&gt;"Child",$O325&lt;&gt;"Other",$O325&lt;&gt;"Estate",$O325&lt;&gt;"Unknown"),"Dependent Relationship must use one of the approved options; ",""))</f>
        <v/>
      </c>
      <c r="Z325">
        <f>IF(COUNTA($A325:$U325)=0,"",IF(AND($A325&lt;&gt;"",NOT(IFERROR(AND(LEN($A325&amp;"")=9,ISNUMBER(--($A325&amp;""))),FALSE))),"Employee SSN must contain exactly 9 digits; ","")&amp;IF(AND($A325&lt;&gt;"",OR($A325="123456789",$A325="987654321",$A325="012345678",$A325=REPT(LEFT($A325&amp;"",1),9))),"Employee SSN appears to be a placeholder; ","")&amp;IF(AND($B325&lt;&gt;"",NOT(IFERROR(AND(LEN($B325&amp;"")=9,ISNUMBER(--($B325&amp;""))),FALSE))),"Dependent SSN must contain exactly 9 digits; ","")&amp;IF(AND($B325&lt;&gt;"",OR($B325="123456789",$B325="987654321",$B325="012345678",$B325=REPT(LEFT($B325&amp;"",1),9))),"Dependent SSN appears to be a placeholder; ","")&amp;IF(AND($A325&lt;&gt;"",$B325&lt;&gt;"",$A325&amp;""=$B325&amp;""),"Dependent SSN cannot match Employee SSN; ","")&amp;IF(AND($W325&lt;&gt;"",OR(COUNTIFS($W$2:$W$501,$W325,$C$2:$C$501,"&lt;&gt;"&amp;$C325)&gt;0,COUNTIFS($W$2:$W$501,$W325,$D$2:$D$501,"&lt;&gt;"&amp;$D325)&gt;0,COUNTIFS($W$2:$W$501,$W325,$L$2:$L$501,"&lt;&gt;"&amp;$L325)&gt;0)),"The same SSN is associated with a different name or birthdate; ",""))</f>
        <v/>
      </c>
      <c r="AA325">
        <f>IF(COUNTA($A325:$U325)=0,"",IF(AND($A325&lt;&gt;"",$S325&lt;&gt;"",COUNTIFS($A$2:$A$501,$A325,$S$2:$S$501,$S325,$B$2:$B$501,"",$O$2:$O$501,"")=0),"Add an employee row for this household and plan; ","")&amp;IF(AND($X325="Dependent",COUNTIFS($A$2:$A325,$A325,$S$2:$S325,$S325,$B$2:$B325,"",$O$2:$O325,"")=0),"Place the employee row before dependent rows for this plan; ","")&amp;IF(AND($X325="Dependent",COUNTIFS($A$2:$A$501,$A325,$S$2:$S$501,$S325,$B$2:$B$501,"",$O$2:$O$501,"")&gt;0,IFERROR(OR($P325&lt;&gt;LOOKUP(2,1/(($A$2:$A$501=$A325)*($S$2:$S$501=$S325)*($B$2:$B$501="")*($O$2:$O$501="")),$P$2:$P$501),$Q325&lt;&gt;LOOKUP(2,1/(($A$2:$A$501=$A325)*($S$2:$S$501=$S325)*($B$2:$B$501="")*($O$2:$O$501="")),$Q$2:$Q$501),$R325&lt;&gt;LOOKUP(2,1/(($A$2:$A$501=$A325)*($S$2:$S$501=$S325)*($B$2:$B$501="")*($O$2:$O$501="")),$R$2:$R$501),$T325&lt;&gt;LOOKUP(2,1/(($A$2:$A$501=$A325)*($S$2:$S$501=$S325)*($B$2:$B$501="")*($O$2:$O$501="")),$T$2:$T$501),$U325&lt;&gt;LOOKUP(2,1/(($A$2:$A$501=$A325)*($S$2:$S$501=$S325)*($B$2:$B$501="")*($O$2:$O$501="")),$U$2:$U$501)),FALSE)),"Dependent row does not match the employee row for eligibility, status, coverage level, or funding; ",""))</f>
        <v/>
      </c>
      <c r="AB325">
        <f>IF(COUNTA($A325:$U325)=0,"",IF($L325="","Birthdate is required; ","")&amp;IF(AND($L325&lt;&gt;"",OR(NOT(ISNUMBER($L325)),$L325&lt;=DATE(1900,1,1),$L325&gt;TODAY())),"Birthdate must be an exact valid past date; ","")&amp;IF($P325="","Eligibility Date is required; ","")&amp;IF(AND($P325&lt;&gt;"",OR(NOT(ISNUMBER($P325)),$P325&lt;=DATE(1900,1,1))),"Eligibility Date must be a valid date; ","")&amp;IF(AND($R325="Terminated",$Q325=""),"Termination Date is required when Status is Terminated; ","")&amp;IF(AND($Q325&lt;&gt;"",OR(NOT(ISNUMBER($Q325)),$Q325&lt;=DATE(1900,1,1))),"Termination Date must be a valid date; ","")&amp;IF(AND(ISNUMBER($P325),ISNUMBER($Q325),$Q325&lt;$P325),"Termination Date cannot be before Eligibility Date; ","")&amp;IF($R325="","Status is required; ","")&amp;IF(AND($R325&lt;&gt;"",$R325&lt;&gt;"Active",$R325&lt;&gt;"Terminated"),"Status must be Active or Terminated; ","")&amp;IF(AND('START HERE'!$C$8="Terminations Only",$R325&lt;&gt;"Terminated"),"Terminations Only files must contain terminated records; ",""))</f>
        <v/>
      </c>
      <c r="AC325">
        <f>IF(COUNTA($A325:$U325)=0,"",IF($S325="","Plan Name is required; ","")&amp;IF($T325="","Benefit Coverage Level is required; ","")&amp;IF(AND($U325&lt;&gt;"",OR(NOT(ISNUMBER($U325)),$U325&lt;0)),"Plan Funding Amount must be a nonnegative number; ","")&amp;IF(AND($A325&lt;&gt;"",$S325&lt;&gt;"",COUNTIFS($A$2:$A$501,$A325,$B$2:$B$501,$B325,$S$2:$S$501,$S325)&gt;1),"Duplicate participant and plan row; ",""))</f>
        <v/>
      </c>
      <c r="AD325">
        <f>IF(COUNTA($A325:$U325)=0,"",IF(AND($X325="Employee",$M325="",$N325=""),"No employee phone or email provided; ","")&amp;IF(AND($R325="Active",$Q325&lt;&gt;""),"Active record includes a Termination Date; confirm this is intentional; ","")&amp;IF(AND($B325&lt;&gt;"",$B325&amp;""&lt;&gt;$A325&amp;"",COUNTIF($A$2:$A$501,$B325)&gt;0),"Dependent SSN also appears as an Employee SSN elsewhere; confirm dual-employee coverage is intentional; ","")&amp;IF(AND($B325&lt;&gt;"",COUNTIF($B$2:$B$501,$B325)&gt;COUNTIFS($A$2:$A$501,$A325,$B$2:$B$501,$B325)),"Dependent SSN appears under more than one employee; confirm duplicate family coverage is intentional; ","")&amp;IF(AND(ROW()&gt;2,$A325&lt;&gt;"",$A325&lt;&gt;$A324,COUNTIF($A$2:$A324,$A325)&gt;0),"This household appears in more than one section of the census; keep the family together; ","")&amp;IF(OR(AND($C325&lt;&gt;"",LEN($C325&amp;"")&lt;&gt;LEN(TRIM($C325&amp;""))),AND($D325&lt;&gt;"",LEN($D325&amp;"")&lt;&gt;LEN(TRIM($D325&amp;""))),AND($E325&lt;&gt;"",LEN($E325&amp;"")&lt;&gt;LEN(TRIM($E325&amp;""))),AND($F325&lt;&gt;"",LEN($F325&amp;"")&lt;&gt;LEN(TRIM($F325&amp;""))),AND($G325&lt;&gt;"",LEN($G325&amp;"")&lt;&gt;LEN(TRIM($G325&amp;""))),AND($H325&lt;&gt;"",LEN($H325&amp;"")&lt;&gt;LEN(TRIM($H325&amp;""))),AND($I325&lt;&gt;"",LEN($I325&amp;"")&lt;&gt;LEN(TRIM($I325&amp;""))),AND($J325&lt;&gt;"",LEN($J325&amp;"")&lt;&gt;LEN(TRIM($J325&amp;""))),AND($K325&lt;&gt;"",LEN($K325&amp;"")&lt;&gt;LEN(TRIM($K325&amp;""))),AND($M325&lt;&gt;"",LEN($M325&amp;"")&lt;&gt;LEN(TRIM($M325&amp;""))),AND($N325&lt;&gt;"",LEN($N325&amp;"")&lt;&gt;LEN(TRIM($N325&amp;""))),AND($O325&lt;&gt;"",LEN($O325&amp;"")&lt;&gt;LEN(TRIM($O325&amp;""))),AND($R325&lt;&gt;"",LEN($R325&amp;"")&lt;&gt;LEN(TRIM($R325&amp;""))),AND($S325&lt;&gt;"",LEN($S325&amp;"")&lt;&gt;LEN(TRIM($S325&amp;""))),AND($T325&lt;&gt;"",LEN($T325&amp;"")&lt;&gt;LEN(TRIM($T325&amp;"")))),"Remove leading or trailing spaces from text fields; ","")&amp;IF(OR(AND(LEN($C325)&gt;1,OR(EXACT($C325,UPPER($C325)),EXACT($C325,LOWER($C325)))),AND(LEN($D325)&gt;1,OR(EXACT($D325,UPPER($D325)),EXACT($D325,LOWER($D325)))),AND(LEN($H325)&gt;1,OR(EXACT($H325,UPPER($H325)),EXACT($H325,LOWER($H325))))),"Review capitalization in First Name, Last Name, or City; ","")&amp;IF(AND($N325&lt;&gt;"",NOT(EXACT($N325,LOWER($N325)))),"Email will be standardized to lowercase in the clean output; ","")&amp;IF(AND(OR('START HERE'!$C$8="Initial Enrollment",'START HERE'!$C$8="Open Enrollment"),$R325="Terminated"),"A terminated row is included in an initial or open enrollment file; confirm this is intentional; ",""))</f>
        <v/>
      </c>
      <c r="AE325">
        <f>IF(COUNTA($A325:$U325)=0,"",IF(OR($A325="",AND($A325&lt;&gt;"",NOT(IFERROR(AND(LEN($A325&amp;"")=9,ISNUMBER(--($A325&amp;""))),FALSE))),AND($A325&lt;&gt;"",OR($A325="123456789",$A325="987654321",$A325="012345678",$A325=REPT(LEFT($A325&amp;"",1),9)))),"Employee SSN, ","")&amp;IF(OR(AND($O325&lt;&gt;"",$B325=""),AND($B325&lt;&gt;"",OR(NOT(IFERROR(AND(LEN($B325&amp;"")=9,ISNUMBER(--($B325&amp;""))),FALSE)),$B325=$A325,$B325="123456789",$B325="987654321",$B325="012345678",$B325=REPT(LEFT($B325&amp;"",1),9)))),"Dependent SSN, ","")&amp;IF(OR($C325="",LEN($C325)&gt;19,AND($C325&lt;&gt;"",SUMPRODUCT(--(ROW($1:$19)&lt;=LEN($C325&amp;"")),--ISERROR(FIND(MID($C325&amp;"",ROW($1:$19),1),"ABCDEFGHIJKLMNOPQRSTUVWXYZabcdefghijklmnopqrstuvwxyz .,")))&gt;0)),"First Name, ","")&amp;IF(OR($D325="",LEN($D325)&gt;26,AND($D325&lt;&gt;"",SUMPRODUCT(--(ROW($1:$26)&lt;=LEN($D325&amp;"")),--ISERROR(FIND(MID($D325&amp;"",ROW($1:$26),1),"ABCDEFGHIJKLMNOPQRSTUVWXYZabcdefghijklmnopqrstuvwxyz .,")))&gt;0)),"Last Name, ","")&amp;IF(OR(LEN($E325)&gt;1,AND($E325&lt;&gt;"",SUMPRODUCT(--(ROW($1:$1)&lt;=LEN($E325&amp;"")),--ISERROR(FIND(MID($E325&amp;"",ROW($1:$1),1),"ABCDEFGHIJKLMNOPQRSTUVWXYZabcdefghijklmnopqrstuvwxyz .,")))&gt;0)),"Middle Initial, ","")&amp;IF(OR($F325="",LEN($F325)&gt;75),"Address, ","")&amp;IF(OR($H325="",LEN($H325)&gt;30),"City, ","")&amp;IF(AND($K325="US",OR($I325="",LEN($I325)&lt;&gt;2)),"State, ","")&amp;IF($J325="","ZIP, ","")&amp;IF(OR($K325="",AND($K325&lt;&gt;"US",$K325&lt;&gt;"CA")),"Country, ","")&amp;IF(OR($L325="",AND($L325&lt;&gt;"",OR(NOT(ISNUMBER($L325)),$L325&lt;=DATE(1900,1,1),$L325&gt;TODAY()))),"Birthdate, ","")&amp;IF(AND($N325&lt;&gt;"",NOT(IFERROR(AND(ISNUMBER(SEARCH("@",$N325)),ISNUMBER(SEARCH(".",$N325,SEARCH("@",$N325)+2))),FALSE))),"Email, ","")&amp;IF(OR(AND($B325&lt;&gt;"",$O325=""),AND($O325&lt;&gt;"",$O325&lt;&gt;"Spouse or Common Law Spouse",$O325&lt;&gt;"Domestic Partner",$O325&lt;&gt;"Child",$O325&lt;&gt;"Other",$O325&lt;&gt;"Estate",$O325&lt;&gt;"Unknown")),"Dependent Relationship, ","")&amp;IF($AA325&lt;&gt;"","Household, ","")&amp;IF(OR($P325="",AND($P325&lt;&gt;"",OR(NOT(ISNUMBER($P325)),$P325&lt;=DATE(1900,1,1)))),"Eligibility Date, ","")&amp;IF(OR(AND($R325="Terminated",$Q325=""),AND($Q325&lt;&gt;"",OR(NOT(ISNUMBER($Q325)),$Q325&lt;=DATE(1900,1,1))),AND(ISNUMBER($P325),ISNUMBER($Q325),$Q325&lt;$P325)),"Termination Date, ","")&amp;IF(OR($R325="",AND($R325&lt;&gt;"Active",$R325&lt;&gt;"Terminated"),AND('START HERE'!$C$8="Terminations Only",$R325&lt;&gt;"Terminated")),"Status, ","")&amp;IF($S325="","Plan Name, ","")&amp;IF($T325="","Coverage Level, ","")&amp;IF(AND($U325&lt;&gt;"",OR(NOT(ISNUMBER($U325)),$U325&lt;0)),"Funding, ","")&amp;IF(AND($A325&lt;&gt;"",$S325&lt;&gt;"",COUNTIFS($A$2:$A$501,$A325,$B$2:$B$501,$B325,$S$2:$S$501,$S325)&gt;1),"Duplicate Row, ",""))</f>
        <v/>
      </c>
      <c r="AF325">
        <f>IF(COUNTA($A325:$U325)=0,"",$Y325&amp;$Z325&amp;$AA325&amp;$AB325&amp;$AC325)</f>
        <v/>
      </c>
      <c r="AG325">
        <f>IF($N325="","",LOWER(TRIM($N325)))</f>
        <v/>
      </c>
      <c r="AH325">
        <f>IF($A325="","",COUNTIFS($A$2:$A$501,$A325,$AI$2:$AI$501,1))</f>
        <v/>
      </c>
      <c r="AI325">
        <f>IF(COUNTA($A325:$U325)=0,"",--($AF325&lt;&gt;""))</f>
        <v/>
      </c>
      <c r="AJ325">
        <f>IF(COUNTA($A325:$U325)=0,"",--($AD325&lt;&gt;""))</f>
        <v/>
      </c>
    </row>
    <row r="326" ht="20" customHeight="1">
      <c r="A326" s="80" t="n"/>
      <c r="B326" s="80" t="n"/>
      <c r="C326" s="81" t="n"/>
      <c r="D326" s="81" t="n"/>
      <c r="E326" s="80" t="n"/>
      <c r="F326" s="81" t="n"/>
      <c r="G326" s="81" t="n"/>
      <c r="H326" s="81" t="n"/>
      <c r="I326" s="80" t="n"/>
      <c r="J326" s="80" t="n"/>
      <c r="K326" s="80" t="n"/>
      <c r="L326" s="82" t="n"/>
      <c r="M326" s="80" t="n"/>
      <c r="N326" s="80" t="n"/>
      <c r="O326" s="80" t="n"/>
      <c r="P326" s="82" t="n"/>
      <c r="Q326" s="82" t="n"/>
      <c r="R326" s="80" t="n"/>
      <c r="S326" s="80" t="n"/>
      <c r="T326" s="80" t="n"/>
      <c r="U326" s="83" t="n"/>
      <c r="V326">
        <f>IF($A326="","",IF($A326=$A325,$V325,IF($V325="",0,1-$V325)))</f>
        <v/>
      </c>
      <c r="W326">
        <f>IF($B326&lt;&gt;"",$B326,$A326)</f>
        <v/>
      </c>
      <c r="X326">
        <f>IF(COUNTA($A326:$U326)=0,"",IF(OR($B326&lt;&gt;"",$O326&lt;&gt;""),"Dependent","Employee"))</f>
        <v/>
      </c>
      <c r="Y326">
        <f>IF(COUNTA($A326:$U326)=0,"",IF($A326="","Employee SSN is required; ","")&amp;IF($C326="","First Name is required; ","")&amp;IF(LEN($C326&amp;"")&gt;19,"First Name exceeds 19 characters; ","")&amp;IF(AND($C326&lt;&gt;"",SUMPRODUCT(--(ROW($1:$19)&lt;=LEN($C326&amp;"")),--ISERROR(FIND(MID($C326&amp;"",ROW($1:$19),1),"ABCDEFGHIJKLMNOPQRSTUVWXYZabcdefghijklmnopqrstuvwxyz .,")))&gt;0),"First Name contains unsupported or encoded characters; use plain A-Z letters only; ","")&amp;IF($D326="","Last Name is required; ","")&amp;IF(LEN($D326&amp;"")&gt;26,"Last Name exceeds 26 characters; ","")&amp;IF(AND($D326&lt;&gt;"",SUMPRODUCT(--(ROW($1:$26)&lt;=LEN($D326&amp;"")),--ISERROR(FIND(MID($D326&amp;"",ROW($1:$26),1),"ABCDEFGHIJKLMNOPQRSTUVWXYZabcdefghijklmnopqrstuvwxyz .,")))&gt;0),"Last Name contains unsupported or encoded characters; use plain A-Z letters only; ","")&amp;IF(LEN($E326&amp;"")&gt;1,"Middle Initial may contain only one character; ","")&amp;IF(AND($E326&lt;&gt;"",SUMPRODUCT(--(ROW($1:$1)&lt;=LEN($E326&amp;"")),--ISERROR(FIND(MID($E326&amp;"",ROW($1:$1),1),"ABCDEFGHIJKLMNOPQRSTUVWXYZabcdefghijklmnopqrstuvwxyz .,")))&gt;0),"Middle Initial must be a plain A-Z letter; ","")&amp;IF($F326="","Address is required; ","")&amp;IF(LEN($F326&amp;"")&gt;75,"Address exceeds 75 characters; ","")&amp;IF(LEN($G326&amp;"")&gt;75,"Address 2 exceeds 75 characters; ","")&amp;IF($H326="","City is required; ","")&amp;IF(LEN($H326&amp;"")&gt;30,"City exceeds 30 characters; ","")&amp;IF($K326="","Country is required; ","")&amp;IF(AND($K326&lt;&gt;"",$K326&lt;&gt;"US",$K326&lt;&gt;"CA"),"Country must be US or CA; ","")&amp;IF(AND($K326="US",OR($I326="",LEN($I326&amp;"")&lt;&gt;2)),"Use a 2-letter state code; ","")&amp;IF($J326="","ZIP or postal code is required; ","")&amp;IF(AND($K326="US",$J326&lt;&gt;"",NOT(IFERROR(OR(AND(LEN($J326&amp;"")=5,ISNUMBER(--($J326&amp;""))),AND(LEN($J326&amp;"")=9,ISNUMBER(--($J326&amp;""))),AND(LEN($J326&amp;"")=10,MID($J326&amp;"",6,1)="-",ISNUMBER(--SUBSTITUTE($J326&amp;"","-","")))),FALSE))),"US ZIP must be 5 or 9 digits, with an optional ZIP+4 hyphen; ","")&amp;IF(AND($N326&lt;&gt;"",NOT(IFERROR(AND(ISNUMBER(SEARCH("@",$N326)),ISNUMBER(SEARCH(".",$N326,SEARCH("@",$N326)+2))),FALSE))),"Email format appears invalid; ","")&amp;IF(AND($O326&lt;&gt;"",$B326=""),"Dependent SSN is required for every dependent; ","")&amp;IF(AND($B326&lt;&gt;"",$O326=""),"Dependent Relationship is required when Dependent SSN is entered; ","")&amp;IF(AND($O326&lt;&gt;"",$O326&lt;&gt;"Spouse or Common Law Spouse",$O326&lt;&gt;"Domestic Partner",$O326&lt;&gt;"Child",$O326&lt;&gt;"Other",$O326&lt;&gt;"Estate",$O326&lt;&gt;"Unknown"),"Dependent Relationship must use one of the approved options; ",""))</f>
        <v/>
      </c>
      <c r="Z326">
        <f>IF(COUNTA($A326:$U326)=0,"",IF(AND($A326&lt;&gt;"",NOT(IFERROR(AND(LEN($A326&amp;"")=9,ISNUMBER(--($A326&amp;""))),FALSE))),"Employee SSN must contain exactly 9 digits; ","")&amp;IF(AND($A326&lt;&gt;"",OR($A326="123456789",$A326="987654321",$A326="012345678",$A326=REPT(LEFT($A326&amp;"",1),9))),"Employee SSN appears to be a placeholder; ","")&amp;IF(AND($B326&lt;&gt;"",NOT(IFERROR(AND(LEN($B326&amp;"")=9,ISNUMBER(--($B326&amp;""))),FALSE))),"Dependent SSN must contain exactly 9 digits; ","")&amp;IF(AND($B326&lt;&gt;"",OR($B326="123456789",$B326="987654321",$B326="012345678",$B326=REPT(LEFT($B326&amp;"",1),9))),"Dependent SSN appears to be a placeholder; ","")&amp;IF(AND($A326&lt;&gt;"",$B326&lt;&gt;"",$A326&amp;""=$B326&amp;""),"Dependent SSN cannot match Employee SSN; ","")&amp;IF(AND($W326&lt;&gt;"",OR(COUNTIFS($W$2:$W$501,$W326,$C$2:$C$501,"&lt;&gt;"&amp;$C326)&gt;0,COUNTIFS($W$2:$W$501,$W326,$D$2:$D$501,"&lt;&gt;"&amp;$D326)&gt;0,COUNTIFS($W$2:$W$501,$W326,$L$2:$L$501,"&lt;&gt;"&amp;$L326)&gt;0)),"The same SSN is associated with a different name or birthdate; ",""))</f>
        <v/>
      </c>
      <c r="AA326">
        <f>IF(COUNTA($A326:$U326)=0,"",IF(AND($A326&lt;&gt;"",$S326&lt;&gt;"",COUNTIFS($A$2:$A$501,$A326,$S$2:$S$501,$S326,$B$2:$B$501,"",$O$2:$O$501,"")=0),"Add an employee row for this household and plan; ","")&amp;IF(AND($X326="Dependent",COUNTIFS($A$2:$A326,$A326,$S$2:$S326,$S326,$B$2:$B326,"",$O$2:$O326,"")=0),"Place the employee row before dependent rows for this plan; ","")&amp;IF(AND($X326="Dependent",COUNTIFS($A$2:$A$501,$A326,$S$2:$S$501,$S326,$B$2:$B$501,"",$O$2:$O$501,"")&gt;0,IFERROR(OR($P326&lt;&gt;LOOKUP(2,1/(($A$2:$A$501=$A326)*($S$2:$S$501=$S326)*($B$2:$B$501="")*($O$2:$O$501="")),$P$2:$P$501),$Q326&lt;&gt;LOOKUP(2,1/(($A$2:$A$501=$A326)*($S$2:$S$501=$S326)*($B$2:$B$501="")*($O$2:$O$501="")),$Q$2:$Q$501),$R326&lt;&gt;LOOKUP(2,1/(($A$2:$A$501=$A326)*($S$2:$S$501=$S326)*($B$2:$B$501="")*($O$2:$O$501="")),$R$2:$R$501),$T326&lt;&gt;LOOKUP(2,1/(($A$2:$A$501=$A326)*($S$2:$S$501=$S326)*($B$2:$B$501="")*($O$2:$O$501="")),$T$2:$T$501),$U326&lt;&gt;LOOKUP(2,1/(($A$2:$A$501=$A326)*($S$2:$S$501=$S326)*($B$2:$B$501="")*($O$2:$O$501="")),$U$2:$U$501)),FALSE)),"Dependent row does not match the employee row for eligibility, status, coverage level, or funding; ",""))</f>
        <v/>
      </c>
      <c r="AB326">
        <f>IF(COUNTA($A326:$U326)=0,"",IF($L326="","Birthdate is required; ","")&amp;IF(AND($L326&lt;&gt;"",OR(NOT(ISNUMBER($L326)),$L326&lt;=DATE(1900,1,1),$L326&gt;TODAY())),"Birthdate must be an exact valid past date; ","")&amp;IF($P326="","Eligibility Date is required; ","")&amp;IF(AND($P326&lt;&gt;"",OR(NOT(ISNUMBER($P326)),$P326&lt;=DATE(1900,1,1))),"Eligibility Date must be a valid date; ","")&amp;IF(AND($R326="Terminated",$Q326=""),"Termination Date is required when Status is Terminated; ","")&amp;IF(AND($Q326&lt;&gt;"",OR(NOT(ISNUMBER($Q326)),$Q326&lt;=DATE(1900,1,1))),"Termination Date must be a valid date; ","")&amp;IF(AND(ISNUMBER($P326),ISNUMBER($Q326),$Q326&lt;$P326),"Termination Date cannot be before Eligibility Date; ","")&amp;IF($R326="","Status is required; ","")&amp;IF(AND($R326&lt;&gt;"",$R326&lt;&gt;"Active",$R326&lt;&gt;"Terminated"),"Status must be Active or Terminated; ","")&amp;IF(AND('START HERE'!$C$8="Terminations Only",$R326&lt;&gt;"Terminated"),"Terminations Only files must contain terminated records; ",""))</f>
        <v/>
      </c>
      <c r="AC326">
        <f>IF(COUNTA($A326:$U326)=0,"",IF($S326="","Plan Name is required; ","")&amp;IF($T326="","Benefit Coverage Level is required; ","")&amp;IF(AND($U326&lt;&gt;"",OR(NOT(ISNUMBER($U326)),$U326&lt;0)),"Plan Funding Amount must be a nonnegative number; ","")&amp;IF(AND($A326&lt;&gt;"",$S326&lt;&gt;"",COUNTIFS($A$2:$A$501,$A326,$B$2:$B$501,$B326,$S$2:$S$501,$S326)&gt;1),"Duplicate participant and plan row; ",""))</f>
        <v/>
      </c>
      <c r="AD326">
        <f>IF(COUNTA($A326:$U326)=0,"",IF(AND($X326="Employee",$M326="",$N326=""),"No employee phone or email provided; ","")&amp;IF(AND($R326="Active",$Q326&lt;&gt;""),"Active record includes a Termination Date; confirm this is intentional; ","")&amp;IF(AND($B326&lt;&gt;"",$B326&amp;""&lt;&gt;$A326&amp;"",COUNTIF($A$2:$A$501,$B326)&gt;0),"Dependent SSN also appears as an Employee SSN elsewhere; confirm dual-employee coverage is intentional; ","")&amp;IF(AND($B326&lt;&gt;"",COUNTIF($B$2:$B$501,$B326)&gt;COUNTIFS($A$2:$A$501,$A326,$B$2:$B$501,$B326)),"Dependent SSN appears under more than one employee; confirm duplicate family coverage is intentional; ","")&amp;IF(AND(ROW()&gt;2,$A326&lt;&gt;"",$A326&lt;&gt;$A325,COUNTIF($A$2:$A325,$A326)&gt;0),"This household appears in more than one section of the census; keep the family together; ","")&amp;IF(OR(AND($C326&lt;&gt;"",LEN($C326&amp;"")&lt;&gt;LEN(TRIM($C326&amp;""))),AND($D326&lt;&gt;"",LEN($D326&amp;"")&lt;&gt;LEN(TRIM($D326&amp;""))),AND($E326&lt;&gt;"",LEN($E326&amp;"")&lt;&gt;LEN(TRIM($E326&amp;""))),AND($F326&lt;&gt;"",LEN($F326&amp;"")&lt;&gt;LEN(TRIM($F326&amp;""))),AND($G326&lt;&gt;"",LEN($G326&amp;"")&lt;&gt;LEN(TRIM($G326&amp;""))),AND($H326&lt;&gt;"",LEN($H326&amp;"")&lt;&gt;LEN(TRIM($H326&amp;""))),AND($I326&lt;&gt;"",LEN($I326&amp;"")&lt;&gt;LEN(TRIM($I326&amp;""))),AND($J326&lt;&gt;"",LEN($J326&amp;"")&lt;&gt;LEN(TRIM($J326&amp;""))),AND($K326&lt;&gt;"",LEN($K326&amp;"")&lt;&gt;LEN(TRIM($K326&amp;""))),AND($M326&lt;&gt;"",LEN($M326&amp;"")&lt;&gt;LEN(TRIM($M326&amp;""))),AND($N326&lt;&gt;"",LEN($N326&amp;"")&lt;&gt;LEN(TRIM($N326&amp;""))),AND($O326&lt;&gt;"",LEN($O326&amp;"")&lt;&gt;LEN(TRIM($O326&amp;""))),AND($R326&lt;&gt;"",LEN($R326&amp;"")&lt;&gt;LEN(TRIM($R326&amp;""))),AND($S326&lt;&gt;"",LEN($S326&amp;"")&lt;&gt;LEN(TRIM($S326&amp;""))),AND($T326&lt;&gt;"",LEN($T326&amp;"")&lt;&gt;LEN(TRIM($T326&amp;"")))),"Remove leading or trailing spaces from text fields; ","")&amp;IF(OR(AND(LEN($C326)&gt;1,OR(EXACT($C326,UPPER($C326)),EXACT($C326,LOWER($C326)))),AND(LEN($D326)&gt;1,OR(EXACT($D326,UPPER($D326)),EXACT($D326,LOWER($D326)))),AND(LEN($H326)&gt;1,OR(EXACT($H326,UPPER($H326)),EXACT($H326,LOWER($H326))))),"Review capitalization in First Name, Last Name, or City; ","")&amp;IF(AND($N326&lt;&gt;"",NOT(EXACT($N326,LOWER($N326)))),"Email will be standardized to lowercase in the clean output; ","")&amp;IF(AND(OR('START HERE'!$C$8="Initial Enrollment",'START HERE'!$C$8="Open Enrollment"),$R326="Terminated"),"A terminated row is included in an initial or open enrollment file; confirm this is intentional; ",""))</f>
        <v/>
      </c>
      <c r="AE326">
        <f>IF(COUNTA($A326:$U326)=0,"",IF(OR($A326="",AND($A326&lt;&gt;"",NOT(IFERROR(AND(LEN($A326&amp;"")=9,ISNUMBER(--($A326&amp;""))),FALSE))),AND($A326&lt;&gt;"",OR($A326="123456789",$A326="987654321",$A326="012345678",$A326=REPT(LEFT($A326&amp;"",1),9)))),"Employee SSN, ","")&amp;IF(OR(AND($O326&lt;&gt;"",$B326=""),AND($B326&lt;&gt;"",OR(NOT(IFERROR(AND(LEN($B326&amp;"")=9,ISNUMBER(--($B326&amp;""))),FALSE)),$B326=$A326,$B326="123456789",$B326="987654321",$B326="012345678",$B326=REPT(LEFT($B326&amp;"",1),9)))),"Dependent SSN, ","")&amp;IF(OR($C326="",LEN($C326)&gt;19,AND($C326&lt;&gt;"",SUMPRODUCT(--(ROW($1:$19)&lt;=LEN($C326&amp;"")),--ISERROR(FIND(MID($C326&amp;"",ROW($1:$19),1),"ABCDEFGHIJKLMNOPQRSTUVWXYZabcdefghijklmnopqrstuvwxyz .,")))&gt;0)),"First Name, ","")&amp;IF(OR($D326="",LEN($D326)&gt;26,AND($D326&lt;&gt;"",SUMPRODUCT(--(ROW($1:$26)&lt;=LEN($D326&amp;"")),--ISERROR(FIND(MID($D326&amp;"",ROW($1:$26),1),"ABCDEFGHIJKLMNOPQRSTUVWXYZabcdefghijklmnopqrstuvwxyz .,")))&gt;0)),"Last Name, ","")&amp;IF(OR(LEN($E326)&gt;1,AND($E326&lt;&gt;"",SUMPRODUCT(--(ROW($1:$1)&lt;=LEN($E326&amp;"")),--ISERROR(FIND(MID($E326&amp;"",ROW($1:$1),1),"ABCDEFGHIJKLMNOPQRSTUVWXYZabcdefghijklmnopqrstuvwxyz .,")))&gt;0)),"Middle Initial, ","")&amp;IF(OR($F326="",LEN($F326)&gt;75),"Address, ","")&amp;IF(OR($H326="",LEN($H326)&gt;30),"City, ","")&amp;IF(AND($K326="US",OR($I326="",LEN($I326)&lt;&gt;2)),"State, ","")&amp;IF($J326="","ZIP, ","")&amp;IF(OR($K326="",AND($K326&lt;&gt;"US",$K326&lt;&gt;"CA")),"Country, ","")&amp;IF(OR($L326="",AND($L326&lt;&gt;"",OR(NOT(ISNUMBER($L326)),$L326&lt;=DATE(1900,1,1),$L326&gt;TODAY()))),"Birthdate, ","")&amp;IF(AND($N326&lt;&gt;"",NOT(IFERROR(AND(ISNUMBER(SEARCH("@",$N326)),ISNUMBER(SEARCH(".",$N326,SEARCH("@",$N326)+2))),FALSE))),"Email, ","")&amp;IF(OR(AND($B326&lt;&gt;"",$O326=""),AND($O326&lt;&gt;"",$O326&lt;&gt;"Spouse or Common Law Spouse",$O326&lt;&gt;"Domestic Partner",$O326&lt;&gt;"Child",$O326&lt;&gt;"Other",$O326&lt;&gt;"Estate",$O326&lt;&gt;"Unknown")),"Dependent Relationship, ","")&amp;IF($AA326&lt;&gt;"","Household, ","")&amp;IF(OR($P326="",AND($P326&lt;&gt;"",OR(NOT(ISNUMBER($P326)),$P326&lt;=DATE(1900,1,1)))),"Eligibility Date, ","")&amp;IF(OR(AND($R326="Terminated",$Q326=""),AND($Q326&lt;&gt;"",OR(NOT(ISNUMBER($Q326)),$Q326&lt;=DATE(1900,1,1))),AND(ISNUMBER($P326),ISNUMBER($Q326),$Q326&lt;$P326)),"Termination Date, ","")&amp;IF(OR($R326="",AND($R326&lt;&gt;"Active",$R326&lt;&gt;"Terminated"),AND('START HERE'!$C$8="Terminations Only",$R326&lt;&gt;"Terminated")),"Status, ","")&amp;IF($S326="","Plan Name, ","")&amp;IF($T326="","Coverage Level, ","")&amp;IF(AND($U326&lt;&gt;"",OR(NOT(ISNUMBER($U326)),$U326&lt;0)),"Funding, ","")&amp;IF(AND($A326&lt;&gt;"",$S326&lt;&gt;"",COUNTIFS($A$2:$A$501,$A326,$B$2:$B$501,$B326,$S$2:$S$501,$S326)&gt;1),"Duplicate Row, ",""))</f>
        <v/>
      </c>
      <c r="AF326">
        <f>IF(COUNTA($A326:$U326)=0,"",$Y326&amp;$Z326&amp;$AA326&amp;$AB326&amp;$AC326)</f>
        <v/>
      </c>
      <c r="AG326">
        <f>IF($N326="","",LOWER(TRIM($N326)))</f>
        <v/>
      </c>
      <c r="AH326">
        <f>IF($A326="","",COUNTIFS($A$2:$A$501,$A326,$AI$2:$AI$501,1))</f>
        <v/>
      </c>
      <c r="AI326">
        <f>IF(COUNTA($A326:$U326)=0,"",--($AF326&lt;&gt;""))</f>
        <v/>
      </c>
      <c r="AJ326">
        <f>IF(COUNTA($A326:$U326)=0,"",--($AD326&lt;&gt;""))</f>
        <v/>
      </c>
    </row>
    <row r="327" ht="20" customHeight="1">
      <c r="A327" s="80" t="n"/>
      <c r="B327" s="80" t="n"/>
      <c r="C327" s="81" t="n"/>
      <c r="D327" s="81" t="n"/>
      <c r="E327" s="80" t="n"/>
      <c r="F327" s="81" t="n"/>
      <c r="G327" s="81" t="n"/>
      <c r="H327" s="81" t="n"/>
      <c r="I327" s="80" t="n"/>
      <c r="J327" s="80" t="n"/>
      <c r="K327" s="80" t="n"/>
      <c r="L327" s="82" t="n"/>
      <c r="M327" s="80" t="n"/>
      <c r="N327" s="80" t="n"/>
      <c r="O327" s="80" t="n"/>
      <c r="P327" s="82" t="n"/>
      <c r="Q327" s="82" t="n"/>
      <c r="R327" s="80" t="n"/>
      <c r="S327" s="80" t="n"/>
      <c r="T327" s="80" t="n"/>
      <c r="U327" s="83" t="n"/>
      <c r="V327">
        <f>IF($A327="","",IF($A327=$A326,$V326,IF($V326="",0,1-$V326)))</f>
        <v/>
      </c>
      <c r="W327">
        <f>IF($B327&lt;&gt;"",$B327,$A327)</f>
        <v/>
      </c>
      <c r="X327">
        <f>IF(COUNTA($A327:$U327)=0,"",IF(OR($B327&lt;&gt;"",$O327&lt;&gt;""),"Dependent","Employee"))</f>
        <v/>
      </c>
      <c r="Y327">
        <f>IF(COUNTA($A327:$U327)=0,"",IF($A327="","Employee SSN is required; ","")&amp;IF($C327="","First Name is required; ","")&amp;IF(LEN($C327&amp;"")&gt;19,"First Name exceeds 19 characters; ","")&amp;IF(AND($C327&lt;&gt;"",SUMPRODUCT(--(ROW($1:$19)&lt;=LEN($C327&amp;"")),--ISERROR(FIND(MID($C327&amp;"",ROW($1:$19),1),"ABCDEFGHIJKLMNOPQRSTUVWXYZabcdefghijklmnopqrstuvwxyz .,")))&gt;0),"First Name contains unsupported or encoded characters; use plain A-Z letters only; ","")&amp;IF($D327="","Last Name is required; ","")&amp;IF(LEN($D327&amp;"")&gt;26,"Last Name exceeds 26 characters; ","")&amp;IF(AND($D327&lt;&gt;"",SUMPRODUCT(--(ROW($1:$26)&lt;=LEN($D327&amp;"")),--ISERROR(FIND(MID($D327&amp;"",ROW($1:$26),1),"ABCDEFGHIJKLMNOPQRSTUVWXYZabcdefghijklmnopqrstuvwxyz .,")))&gt;0),"Last Name contains unsupported or encoded characters; use plain A-Z letters only; ","")&amp;IF(LEN($E327&amp;"")&gt;1,"Middle Initial may contain only one character; ","")&amp;IF(AND($E327&lt;&gt;"",SUMPRODUCT(--(ROW($1:$1)&lt;=LEN($E327&amp;"")),--ISERROR(FIND(MID($E327&amp;"",ROW($1:$1),1),"ABCDEFGHIJKLMNOPQRSTUVWXYZabcdefghijklmnopqrstuvwxyz .,")))&gt;0),"Middle Initial must be a plain A-Z letter; ","")&amp;IF($F327="","Address is required; ","")&amp;IF(LEN($F327&amp;"")&gt;75,"Address exceeds 75 characters; ","")&amp;IF(LEN($G327&amp;"")&gt;75,"Address 2 exceeds 75 characters; ","")&amp;IF($H327="","City is required; ","")&amp;IF(LEN($H327&amp;"")&gt;30,"City exceeds 30 characters; ","")&amp;IF($K327="","Country is required; ","")&amp;IF(AND($K327&lt;&gt;"",$K327&lt;&gt;"US",$K327&lt;&gt;"CA"),"Country must be US or CA; ","")&amp;IF(AND($K327="US",OR($I327="",LEN($I327&amp;"")&lt;&gt;2)),"Use a 2-letter state code; ","")&amp;IF($J327="","ZIP or postal code is required; ","")&amp;IF(AND($K327="US",$J327&lt;&gt;"",NOT(IFERROR(OR(AND(LEN($J327&amp;"")=5,ISNUMBER(--($J327&amp;""))),AND(LEN($J327&amp;"")=9,ISNUMBER(--($J327&amp;""))),AND(LEN($J327&amp;"")=10,MID($J327&amp;"",6,1)="-",ISNUMBER(--SUBSTITUTE($J327&amp;"","-","")))),FALSE))),"US ZIP must be 5 or 9 digits, with an optional ZIP+4 hyphen; ","")&amp;IF(AND($N327&lt;&gt;"",NOT(IFERROR(AND(ISNUMBER(SEARCH("@",$N327)),ISNUMBER(SEARCH(".",$N327,SEARCH("@",$N327)+2))),FALSE))),"Email format appears invalid; ","")&amp;IF(AND($O327&lt;&gt;"",$B327=""),"Dependent SSN is required for every dependent; ","")&amp;IF(AND($B327&lt;&gt;"",$O327=""),"Dependent Relationship is required when Dependent SSN is entered; ","")&amp;IF(AND($O327&lt;&gt;"",$O327&lt;&gt;"Spouse or Common Law Spouse",$O327&lt;&gt;"Domestic Partner",$O327&lt;&gt;"Child",$O327&lt;&gt;"Other",$O327&lt;&gt;"Estate",$O327&lt;&gt;"Unknown"),"Dependent Relationship must use one of the approved options; ",""))</f>
        <v/>
      </c>
      <c r="Z327">
        <f>IF(COUNTA($A327:$U327)=0,"",IF(AND($A327&lt;&gt;"",NOT(IFERROR(AND(LEN($A327&amp;"")=9,ISNUMBER(--($A327&amp;""))),FALSE))),"Employee SSN must contain exactly 9 digits; ","")&amp;IF(AND($A327&lt;&gt;"",OR($A327="123456789",$A327="987654321",$A327="012345678",$A327=REPT(LEFT($A327&amp;"",1),9))),"Employee SSN appears to be a placeholder; ","")&amp;IF(AND($B327&lt;&gt;"",NOT(IFERROR(AND(LEN($B327&amp;"")=9,ISNUMBER(--($B327&amp;""))),FALSE))),"Dependent SSN must contain exactly 9 digits; ","")&amp;IF(AND($B327&lt;&gt;"",OR($B327="123456789",$B327="987654321",$B327="012345678",$B327=REPT(LEFT($B327&amp;"",1),9))),"Dependent SSN appears to be a placeholder; ","")&amp;IF(AND($A327&lt;&gt;"",$B327&lt;&gt;"",$A327&amp;""=$B327&amp;""),"Dependent SSN cannot match Employee SSN; ","")&amp;IF(AND($W327&lt;&gt;"",OR(COUNTIFS($W$2:$W$501,$W327,$C$2:$C$501,"&lt;&gt;"&amp;$C327)&gt;0,COUNTIFS($W$2:$W$501,$W327,$D$2:$D$501,"&lt;&gt;"&amp;$D327)&gt;0,COUNTIFS($W$2:$W$501,$W327,$L$2:$L$501,"&lt;&gt;"&amp;$L327)&gt;0)),"The same SSN is associated with a different name or birthdate; ",""))</f>
        <v/>
      </c>
      <c r="AA327">
        <f>IF(COUNTA($A327:$U327)=0,"",IF(AND($A327&lt;&gt;"",$S327&lt;&gt;"",COUNTIFS($A$2:$A$501,$A327,$S$2:$S$501,$S327,$B$2:$B$501,"",$O$2:$O$501,"")=0),"Add an employee row for this household and plan; ","")&amp;IF(AND($X327="Dependent",COUNTIFS($A$2:$A327,$A327,$S$2:$S327,$S327,$B$2:$B327,"",$O$2:$O327,"")=0),"Place the employee row before dependent rows for this plan; ","")&amp;IF(AND($X327="Dependent",COUNTIFS($A$2:$A$501,$A327,$S$2:$S$501,$S327,$B$2:$B$501,"",$O$2:$O$501,"")&gt;0,IFERROR(OR($P327&lt;&gt;LOOKUP(2,1/(($A$2:$A$501=$A327)*($S$2:$S$501=$S327)*($B$2:$B$501="")*($O$2:$O$501="")),$P$2:$P$501),$Q327&lt;&gt;LOOKUP(2,1/(($A$2:$A$501=$A327)*($S$2:$S$501=$S327)*($B$2:$B$501="")*($O$2:$O$501="")),$Q$2:$Q$501),$R327&lt;&gt;LOOKUP(2,1/(($A$2:$A$501=$A327)*($S$2:$S$501=$S327)*($B$2:$B$501="")*($O$2:$O$501="")),$R$2:$R$501),$T327&lt;&gt;LOOKUP(2,1/(($A$2:$A$501=$A327)*($S$2:$S$501=$S327)*($B$2:$B$501="")*($O$2:$O$501="")),$T$2:$T$501),$U327&lt;&gt;LOOKUP(2,1/(($A$2:$A$501=$A327)*($S$2:$S$501=$S327)*($B$2:$B$501="")*($O$2:$O$501="")),$U$2:$U$501)),FALSE)),"Dependent row does not match the employee row for eligibility, status, coverage level, or funding; ",""))</f>
        <v/>
      </c>
      <c r="AB327">
        <f>IF(COUNTA($A327:$U327)=0,"",IF($L327="","Birthdate is required; ","")&amp;IF(AND($L327&lt;&gt;"",OR(NOT(ISNUMBER($L327)),$L327&lt;=DATE(1900,1,1),$L327&gt;TODAY())),"Birthdate must be an exact valid past date; ","")&amp;IF($P327="","Eligibility Date is required; ","")&amp;IF(AND($P327&lt;&gt;"",OR(NOT(ISNUMBER($P327)),$P327&lt;=DATE(1900,1,1))),"Eligibility Date must be a valid date; ","")&amp;IF(AND($R327="Terminated",$Q327=""),"Termination Date is required when Status is Terminated; ","")&amp;IF(AND($Q327&lt;&gt;"",OR(NOT(ISNUMBER($Q327)),$Q327&lt;=DATE(1900,1,1))),"Termination Date must be a valid date; ","")&amp;IF(AND(ISNUMBER($P327),ISNUMBER($Q327),$Q327&lt;$P327),"Termination Date cannot be before Eligibility Date; ","")&amp;IF($R327="","Status is required; ","")&amp;IF(AND($R327&lt;&gt;"",$R327&lt;&gt;"Active",$R327&lt;&gt;"Terminated"),"Status must be Active or Terminated; ","")&amp;IF(AND('START HERE'!$C$8="Terminations Only",$R327&lt;&gt;"Terminated"),"Terminations Only files must contain terminated records; ",""))</f>
        <v/>
      </c>
      <c r="AC327">
        <f>IF(COUNTA($A327:$U327)=0,"",IF($S327="","Plan Name is required; ","")&amp;IF($T327="","Benefit Coverage Level is required; ","")&amp;IF(AND($U327&lt;&gt;"",OR(NOT(ISNUMBER($U327)),$U327&lt;0)),"Plan Funding Amount must be a nonnegative number; ","")&amp;IF(AND($A327&lt;&gt;"",$S327&lt;&gt;"",COUNTIFS($A$2:$A$501,$A327,$B$2:$B$501,$B327,$S$2:$S$501,$S327)&gt;1),"Duplicate participant and plan row; ",""))</f>
        <v/>
      </c>
      <c r="AD327">
        <f>IF(COUNTA($A327:$U327)=0,"",IF(AND($X327="Employee",$M327="",$N327=""),"No employee phone or email provided; ","")&amp;IF(AND($R327="Active",$Q327&lt;&gt;""),"Active record includes a Termination Date; confirm this is intentional; ","")&amp;IF(AND($B327&lt;&gt;"",$B327&amp;""&lt;&gt;$A327&amp;"",COUNTIF($A$2:$A$501,$B327)&gt;0),"Dependent SSN also appears as an Employee SSN elsewhere; confirm dual-employee coverage is intentional; ","")&amp;IF(AND($B327&lt;&gt;"",COUNTIF($B$2:$B$501,$B327)&gt;COUNTIFS($A$2:$A$501,$A327,$B$2:$B$501,$B327)),"Dependent SSN appears under more than one employee; confirm duplicate family coverage is intentional; ","")&amp;IF(AND(ROW()&gt;2,$A327&lt;&gt;"",$A327&lt;&gt;$A326,COUNTIF($A$2:$A326,$A327)&gt;0),"This household appears in more than one section of the census; keep the family together; ","")&amp;IF(OR(AND($C327&lt;&gt;"",LEN($C327&amp;"")&lt;&gt;LEN(TRIM($C327&amp;""))),AND($D327&lt;&gt;"",LEN($D327&amp;"")&lt;&gt;LEN(TRIM($D327&amp;""))),AND($E327&lt;&gt;"",LEN($E327&amp;"")&lt;&gt;LEN(TRIM($E327&amp;""))),AND($F327&lt;&gt;"",LEN($F327&amp;"")&lt;&gt;LEN(TRIM($F327&amp;""))),AND($G327&lt;&gt;"",LEN($G327&amp;"")&lt;&gt;LEN(TRIM($G327&amp;""))),AND($H327&lt;&gt;"",LEN($H327&amp;"")&lt;&gt;LEN(TRIM($H327&amp;""))),AND($I327&lt;&gt;"",LEN($I327&amp;"")&lt;&gt;LEN(TRIM($I327&amp;""))),AND($J327&lt;&gt;"",LEN($J327&amp;"")&lt;&gt;LEN(TRIM($J327&amp;""))),AND($K327&lt;&gt;"",LEN($K327&amp;"")&lt;&gt;LEN(TRIM($K327&amp;""))),AND($M327&lt;&gt;"",LEN($M327&amp;"")&lt;&gt;LEN(TRIM($M327&amp;""))),AND($N327&lt;&gt;"",LEN($N327&amp;"")&lt;&gt;LEN(TRIM($N327&amp;""))),AND($O327&lt;&gt;"",LEN($O327&amp;"")&lt;&gt;LEN(TRIM($O327&amp;""))),AND($R327&lt;&gt;"",LEN($R327&amp;"")&lt;&gt;LEN(TRIM($R327&amp;""))),AND($S327&lt;&gt;"",LEN($S327&amp;"")&lt;&gt;LEN(TRIM($S327&amp;""))),AND($T327&lt;&gt;"",LEN($T327&amp;"")&lt;&gt;LEN(TRIM($T327&amp;"")))),"Remove leading or trailing spaces from text fields; ","")&amp;IF(OR(AND(LEN($C327)&gt;1,OR(EXACT($C327,UPPER($C327)),EXACT($C327,LOWER($C327)))),AND(LEN($D327)&gt;1,OR(EXACT($D327,UPPER($D327)),EXACT($D327,LOWER($D327)))),AND(LEN($H327)&gt;1,OR(EXACT($H327,UPPER($H327)),EXACT($H327,LOWER($H327))))),"Review capitalization in First Name, Last Name, or City; ","")&amp;IF(AND($N327&lt;&gt;"",NOT(EXACT($N327,LOWER($N327)))),"Email will be standardized to lowercase in the clean output; ","")&amp;IF(AND(OR('START HERE'!$C$8="Initial Enrollment",'START HERE'!$C$8="Open Enrollment"),$R327="Terminated"),"A terminated row is included in an initial or open enrollment file; confirm this is intentional; ",""))</f>
        <v/>
      </c>
      <c r="AE327">
        <f>IF(COUNTA($A327:$U327)=0,"",IF(OR($A327="",AND($A327&lt;&gt;"",NOT(IFERROR(AND(LEN($A327&amp;"")=9,ISNUMBER(--($A327&amp;""))),FALSE))),AND($A327&lt;&gt;"",OR($A327="123456789",$A327="987654321",$A327="012345678",$A327=REPT(LEFT($A327&amp;"",1),9)))),"Employee SSN, ","")&amp;IF(OR(AND($O327&lt;&gt;"",$B327=""),AND($B327&lt;&gt;"",OR(NOT(IFERROR(AND(LEN($B327&amp;"")=9,ISNUMBER(--($B327&amp;""))),FALSE)),$B327=$A327,$B327="123456789",$B327="987654321",$B327="012345678",$B327=REPT(LEFT($B327&amp;"",1),9)))),"Dependent SSN, ","")&amp;IF(OR($C327="",LEN($C327)&gt;19,AND($C327&lt;&gt;"",SUMPRODUCT(--(ROW($1:$19)&lt;=LEN($C327&amp;"")),--ISERROR(FIND(MID($C327&amp;"",ROW($1:$19),1),"ABCDEFGHIJKLMNOPQRSTUVWXYZabcdefghijklmnopqrstuvwxyz .,")))&gt;0)),"First Name, ","")&amp;IF(OR($D327="",LEN($D327)&gt;26,AND($D327&lt;&gt;"",SUMPRODUCT(--(ROW($1:$26)&lt;=LEN($D327&amp;"")),--ISERROR(FIND(MID($D327&amp;"",ROW($1:$26),1),"ABCDEFGHIJKLMNOPQRSTUVWXYZabcdefghijklmnopqrstuvwxyz .,")))&gt;0)),"Last Name, ","")&amp;IF(OR(LEN($E327)&gt;1,AND($E327&lt;&gt;"",SUMPRODUCT(--(ROW($1:$1)&lt;=LEN($E327&amp;"")),--ISERROR(FIND(MID($E327&amp;"",ROW($1:$1),1),"ABCDEFGHIJKLMNOPQRSTUVWXYZabcdefghijklmnopqrstuvwxyz .,")))&gt;0)),"Middle Initial, ","")&amp;IF(OR($F327="",LEN($F327)&gt;75),"Address, ","")&amp;IF(OR($H327="",LEN($H327)&gt;30),"City, ","")&amp;IF(AND($K327="US",OR($I327="",LEN($I327)&lt;&gt;2)),"State, ","")&amp;IF($J327="","ZIP, ","")&amp;IF(OR($K327="",AND($K327&lt;&gt;"US",$K327&lt;&gt;"CA")),"Country, ","")&amp;IF(OR($L327="",AND($L327&lt;&gt;"",OR(NOT(ISNUMBER($L327)),$L327&lt;=DATE(1900,1,1),$L327&gt;TODAY()))),"Birthdate, ","")&amp;IF(AND($N327&lt;&gt;"",NOT(IFERROR(AND(ISNUMBER(SEARCH("@",$N327)),ISNUMBER(SEARCH(".",$N327,SEARCH("@",$N327)+2))),FALSE))),"Email, ","")&amp;IF(OR(AND($B327&lt;&gt;"",$O327=""),AND($O327&lt;&gt;"",$O327&lt;&gt;"Spouse or Common Law Spouse",$O327&lt;&gt;"Domestic Partner",$O327&lt;&gt;"Child",$O327&lt;&gt;"Other",$O327&lt;&gt;"Estate",$O327&lt;&gt;"Unknown")),"Dependent Relationship, ","")&amp;IF($AA327&lt;&gt;"","Household, ","")&amp;IF(OR($P327="",AND($P327&lt;&gt;"",OR(NOT(ISNUMBER($P327)),$P327&lt;=DATE(1900,1,1)))),"Eligibility Date, ","")&amp;IF(OR(AND($R327="Terminated",$Q327=""),AND($Q327&lt;&gt;"",OR(NOT(ISNUMBER($Q327)),$Q327&lt;=DATE(1900,1,1))),AND(ISNUMBER($P327),ISNUMBER($Q327),$Q327&lt;$P327)),"Termination Date, ","")&amp;IF(OR($R327="",AND($R327&lt;&gt;"Active",$R327&lt;&gt;"Terminated"),AND('START HERE'!$C$8="Terminations Only",$R327&lt;&gt;"Terminated")),"Status, ","")&amp;IF($S327="","Plan Name, ","")&amp;IF($T327="","Coverage Level, ","")&amp;IF(AND($U327&lt;&gt;"",OR(NOT(ISNUMBER($U327)),$U327&lt;0)),"Funding, ","")&amp;IF(AND($A327&lt;&gt;"",$S327&lt;&gt;"",COUNTIFS($A$2:$A$501,$A327,$B$2:$B$501,$B327,$S$2:$S$501,$S327)&gt;1),"Duplicate Row, ",""))</f>
        <v/>
      </c>
      <c r="AF327">
        <f>IF(COUNTA($A327:$U327)=0,"",$Y327&amp;$Z327&amp;$AA327&amp;$AB327&amp;$AC327)</f>
        <v/>
      </c>
      <c r="AG327">
        <f>IF($N327="","",LOWER(TRIM($N327)))</f>
        <v/>
      </c>
      <c r="AH327">
        <f>IF($A327="","",COUNTIFS($A$2:$A$501,$A327,$AI$2:$AI$501,1))</f>
        <v/>
      </c>
      <c r="AI327">
        <f>IF(COUNTA($A327:$U327)=0,"",--($AF327&lt;&gt;""))</f>
        <v/>
      </c>
      <c r="AJ327">
        <f>IF(COUNTA($A327:$U327)=0,"",--($AD327&lt;&gt;""))</f>
        <v/>
      </c>
    </row>
    <row r="328" ht="20" customHeight="1">
      <c r="A328" s="80" t="n"/>
      <c r="B328" s="80" t="n"/>
      <c r="C328" s="81" t="n"/>
      <c r="D328" s="81" t="n"/>
      <c r="E328" s="80" t="n"/>
      <c r="F328" s="81" t="n"/>
      <c r="G328" s="81" t="n"/>
      <c r="H328" s="81" t="n"/>
      <c r="I328" s="80" t="n"/>
      <c r="J328" s="80" t="n"/>
      <c r="K328" s="80" t="n"/>
      <c r="L328" s="82" t="n"/>
      <c r="M328" s="80" t="n"/>
      <c r="N328" s="80" t="n"/>
      <c r="O328" s="80" t="n"/>
      <c r="P328" s="82" t="n"/>
      <c r="Q328" s="82" t="n"/>
      <c r="R328" s="80" t="n"/>
      <c r="S328" s="80" t="n"/>
      <c r="T328" s="80" t="n"/>
      <c r="U328" s="83" t="n"/>
      <c r="V328">
        <f>IF($A328="","",IF($A328=$A327,$V327,IF($V327="",0,1-$V327)))</f>
        <v/>
      </c>
      <c r="W328">
        <f>IF($B328&lt;&gt;"",$B328,$A328)</f>
        <v/>
      </c>
      <c r="X328">
        <f>IF(COUNTA($A328:$U328)=0,"",IF(OR($B328&lt;&gt;"",$O328&lt;&gt;""),"Dependent","Employee"))</f>
        <v/>
      </c>
      <c r="Y328">
        <f>IF(COUNTA($A328:$U328)=0,"",IF($A328="","Employee SSN is required; ","")&amp;IF($C328="","First Name is required; ","")&amp;IF(LEN($C328&amp;"")&gt;19,"First Name exceeds 19 characters; ","")&amp;IF(AND($C328&lt;&gt;"",SUMPRODUCT(--(ROW($1:$19)&lt;=LEN($C328&amp;"")),--ISERROR(FIND(MID($C328&amp;"",ROW($1:$19),1),"ABCDEFGHIJKLMNOPQRSTUVWXYZabcdefghijklmnopqrstuvwxyz .,")))&gt;0),"First Name contains unsupported or encoded characters; use plain A-Z letters only; ","")&amp;IF($D328="","Last Name is required; ","")&amp;IF(LEN($D328&amp;"")&gt;26,"Last Name exceeds 26 characters; ","")&amp;IF(AND($D328&lt;&gt;"",SUMPRODUCT(--(ROW($1:$26)&lt;=LEN($D328&amp;"")),--ISERROR(FIND(MID($D328&amp;"",ROW($1:$26),1),"ABCDEFGHIJKLMNOPQRSTUVWXYZabcdefghijklmnopqrstuvwxyz .,")))&gt;0),"Last Name contains unsupported or encoded characters; use plain A-Z letters only; ","")&amp;IF(LEN($E328&amp;"")&gt;1,"Middle Initial may contain only one character; ","")&amp;IF(AND($E328&lt;&gt;"",SUMPRODUCT(--(ROW($1:$1)&lt;=LEN($E328&amp;"")),--ISERROR(FIND(MID($E328&amp;"",ROW($1:$1),1),"ABCDEFGHIJKLMNOPQRSTUVWXYZabcdefghijklmnopqrstuvwxyz .,")))&gt;0),"Middle Initial must be a plain A-Z letter; ","")&amp;IF($F328="","Address is required; ","")&amp;IF(LEN($F328&amp;"")&gt;75,"Address exceeds 75 characters; ","")&amp;IF(LEN($G328&amp;"")&gt;75,"Address 2 exceeds 75 characters; ","")&amp;IF($H328="","City is required; ","")&amp;IF(LEN($H328&amp;"")&gt;30,"City exceeds 30 characters; ","")&amp;IF($K328="","Country is required; ","")&amp;IF(AND($K328&lt;&gt;"",$K328&lt;&gt;"US",$K328&lt;&gt;"CA"),"Country must be US or CA; ","")&amp;IF(AND($K328="US",OR($I328="",LEN($I328&amp;"")&lt;&gt;2)),"Use a 2-letter state code; ","")&amp;IF($J328="","ZIP or postal code is required; ","")&amp;IF(AND($K328="US",$J328&lt;&gt;"",NOT(IFERROR(OR(AND(LEN($J328&amp;"")=5,ISNUMBER(--($J328&amp;""))),AND(LEN($J328&amp;"")=9,ISNUMBER(--($J328&amp;""))),AND(LEN($J328&amp;"")=10,MID($J328&amp;"",6,1)="-",ISNUMBER(--SUBSTITUTE($J328&amp;"","-","")))),FALSE))),"US ZIP must be 5 or 9 digits, with an optional ZIP+4 hyphen; ","")&amp;IF(AND($N328&lt;&gt;"",NOT(IFERROR(AND(ISNUMBER(SEARCH("@",$N328)),ISNUMBER(SEARCH(".",$N328,SEARCH("@",$N328)+2))),FALSE))),"Email format appears invalid; ","")&amp;IF(AND($O328&lt;&gt;"",$B328=""),"Dependent SSN is required for every dependent; ","")&amp;IF(AND($B328&lt;&gt;"",$O328=""),"Dependent Relationship is required when Dependent SSN is entered; ","")&amp;IF(AND($O328&lt;&gt;"",$O328&lt;&gt;"Spouse or Common Law Spouse",$O328&lt;&gt;"Domestic Partner",$O328&lt;&gt;"Child",$O328&lt;&gt;"Other",$O328&lt;&gt;"Estate",$O328&lt;&gt;"Unknown"),"Dependent Relationship must use one of the approved options; ",""))</f>
        <v/>
      </c>
      <c r="Z328">
        <f>IF(COUNTA($A328:$U328)=0,"",IF(AND($A328&lt;&gt;"",NOT(IFERROR(AND(LEN($A328&amp;"")=9,ISNUMBER(--($A328&amp;""))),FALSE))),"Employee SSN must contain exactly 9 digits; ","")&amp;IF(AND($A328&lt;&gt;"",OR($A328="123456789",$A328="987654321",$A328="012345678",$A328=REPT(LEFT($A328&amp;"",1),9))),"Employee SSN appears to be a placeholder; ","")&amp;IF(AND($B328&lt;&gt;"",NOT(IFERROR(AND(LEN($B328&amp;"")=9,ISNUMBER(--($B328&amp;""))),FALSE))),"Dependent SSN must contain exactly 9 digits; ","")&amp;IF(AND($B328&lt;&gt;"",OR($B328="123456789",$B328="987654321",$B328="012345678",$B328=REPT(LEFT($B328&amp;"",1),9))),"Dependent SSN appears to be a placeholder; ","")&amp;IF(AND($A328&lt;&gt;"",$B328&lt;&gt;"",$A328&amp;""=$B328&amp;""),"Dependent SSN cannot match Employee SSN; ","")&amp;IF(AND($W328&lt;&gt;"",OR(COUNTIFS($W$2:$W$501,$W328,$C$2:$C$501,"&lt;&gt;"&amp;$C328)&gt;0,COUNTIFS($W$2:$W$501,$W328,$D$2:$D$501,"&lt;&gt;"&amp;$D328)&gt;0,COUNTIFS($W$2:$W$501,$W328,$L$2:$L$501,"&lt;&gt;"&amp;$L328)&gt;0)),"The same SSN is associated with a different name or birthdate; ",""))</f>
        <v/>
      </c>
      <c r="AA328">
        <f>IF(COUNTA($A328:$U328)=0,"",IF(AND($A328&lt;&gt;"",$S328&lt;&gt;"",COUNTIFS($A$2:$A$501,$A328,$S$2:$S$501,$S328,$B$2:$B$501,"",$O$2:$O$501,"")=0),"Add an employee row for this household and plan; ","")&amp;IF(AND($X328="Dependent",COUNTIFS($A$2:$A328,$A328,$S$2:$S328,$S328,$B$2:$B328,"",$O$2:$O328,"")=0),"Place the employee row before dependent rows for this plan; ","")&amp;IF(AND($X328="Dependent",COUNTIFS($A$2:$A$501,$A328,$S$2:$S$501,$S328,$B$2:$B$501,"",$O$2:$O$501,"")&gt;0,IFERROR(OR($P328&lt;&gt;LOOKUP(2,1/(($A$2:$A$501=$A328)*($S$2:$S$501=$S328)*($B$2:$B$501="")*($O$2:$O$501="")),$P$2:$P$501),$Q328&lt;&gt;LOOKUP(2,1/(($A$2:$A$501=$A328)*($S$2:$S$501=$S328)*($B$2:$B$501="")*($O$2:$O$501="")),$Q$2:$Q$501),$R328&lt;&gt;LOOKUP(2,1/(($A$2:$A$501=$A328)*($S$2:$S$501=$S328)*($B$2:$B$501="")*($O$2:$O$501="")),$R$2:$R$501),$T328&lt;&gt;LOOKUP(2,1/(($A$2:$A$501=$A328)*($S$2:$S$501=$S328)*($B$2:$B$501="")*($O$2:$O$501="")),$T$2:$T$501),$U328&lt;&gt;LOOKUP(2,1/(($A$2:$A$501=$A328)*($S$2:$S$501=$S328)*($B$2:$B$501="")*($O$2:$O$501="")),$U$2:$U$501)),FALSE)),"Dependent row does not match the employee row for eligibility, status, coverage level, or funding; ",""))</f>
        <v/>
      </c>
      <c r="AB328">
        <f>IF(COUNTA($A328:$U328)=0,"",IF($L328="","Birthdate is required; ","")&amp;IF(AND($L328&lt;&gt;"",OR(NOT(ISNUMBER($L328)),$L328&lt;=DATE(1900,1,1),$L328&gt;TODAY())),"Birthdate must be an exact valid past date; ","")&amp;IF($P328="","Eligibility Date is required; ","")&amp;IF(AND($P328&lt;&gt;"",OR(NOT(ISNUMBER($P328)),$P328&lt;=DATE(1900,1,1))),"Eligibility Date must be a valid date; ","")&amp;IF(AND($R328="Terminated",$Q328=""),"Termination Date is required when Status is Terminated; ","")&amp;IF(AND($Q328&lt;&gt;"",OR(NOT(ISNUMBER($Q328)),$Q328&lt;=DATE(1900,1,1))),"Termination Date must be a valid date; ","")&amp;IF(AND(ISNUMBER($P328),ISNUMBER($Q328),$Q328&lt;$P328),"Termination Date cannot be before Eligibility Date; ","")&amp;IF($R328="","Status is required; ","")&amp;IF(AND($R328&lt;&gt;"",$R328&lt;&gt;"Active",$R328&lt;&gt;"Terminated"),"Status must be Active or Terminated; ","")&amp;IF(AND('START HERE'!$C$8="Terminations Only",$R328&lt;&gt;"Terminated"),"Terminations Only files must contain terminated records; ",""))</f>
        <v/>
      </c>
      <c r="AC328">
        <f>IF(COUNTA($A328:$U328)=0,"",IF($S328="","Plan Name is required; ","")&amp;IF($T328="","Benefit Coverage Level is required; ","")&amp;IF(AND($U328&lt;&gt;"",OR(NOT(ISNUMBER($U328)),$U328&lt;0)),"Plan Funding Amount must be a nonnegative number; ","")&amp;IF(AND($A328&lt;&gt;"",$S328&lt;&gt;"",COUNTIFS($A$2:$A$501,$A328,$B$2:$B$501,$B328,$S$2:$S$501,$S328)&gt;1),"Duplicate participant and plan row; ",""))</f>
        <v/>
      </c>
      <c r="AD328">
        <f>IF(COUNTA($A328:$U328)=0,"",IF(AND($X328="Employee",$M328="",$N328=""),"No employee phone or email provided; ","")&amp;IF(AND($R328="Active",$Q328&lt;&gt;""),"Active record includes a Termination Date; confirm this is intentional; ","")&amp;IF(AND($B328&lt;&gt;"",$B328&amp;""&lt;&gt;$A328&amp;"",COUNTIF($A$2:$A$501,$B328)&gt;0),"Dependent SSN also appears as an Employee SSN elsewhere; confirm dual-employee coverage is intentional; ","")&amp;IF(AND($B328&lt;&gt;"",COUNTIF($B$2:$B$501,$B328)&gt;COUNTIFS($A$2:$A$501,$A328,$B$2:$B$501,$B328)),"Dependent SSN appears under more than one employee; confirm duplicate family coverage is intentional; ","")&amp;IF(AND(ROW()&gt;2,$A328&lt;&gt;"",$A328&lt;&gt;$A327,COUNTIF($A$2:$A327,$A328)&gt;0),"This household appears in more than one section of the census; keep the family together; ","")&amp;IF(OR(AND($C328&lt;&gt;"",LEN($C328&amp;"")&lt;&gt;LEN(TRIM($C328&amp;""))),AND($D328&lt;&gt;"",LEN($D328&amp;"")&lt;&gt;LEN(TRIM($D328&amp;""))),AND($E328&lt;&gt;"",LEN($E328&amp;"")&lt;&gt;LEN(TRIM($E328&amp;""))),AND($F328&lt;&gt;"",LEN($F328&amp;"")&lt;&gt;LEN(TRIM($F328&amp;""))),AND($G328&lt;&gt;"",LEN($G328&amp;"")&lt;&gt;LEN(TRIM($G328&amp;""))),AND($H328&lt;&gt;"",LEN($H328&amp;"")&lt;&gt;LEN(TRIM($H328&amp;""))),AND($I328&lt;&gt;"",LEN($I328&amp;"")&lt;&gt;LEN(TRIM($I328&amp;""))),AND($J328&lt;&gt;"",LEN($J328&amp;"")&lt;&gt;LEN(TRIM($J328&amp;""))),AND($K328&lt;&gt;"",LEN($K328&amp;"")&lt;&gt;LEN(TRIM($K328&amp;""))),AND($M328&lt;&gt;"",LEN($M328&amp;"")&lt;&gt;LEN(TRIM($M328&amp;""))),AND($N328&lt;&gt;"",LEN($N328&amp;"")&lt;&gt;LEN(TRIM($N328&amp;""))),AND($O328&lt;&gt;"",LEN($O328&amp;"")&lt;&gt;LEN(TRIM($O328&amp;""))),AND($R328&lt;&gt;"",LEN($R328&amp;"")&lt;&gt;LEN(TRIM($R328&amp;""))),AND($S328&lt;&gt;"",LEN($S328&amp;"")&lt;&gt;LEN(TRIM($S328&amp;""))),AND($T328&lt;&gt;"",LEN($T328&amp;"")&lt;&gt;LEN(TRIM($T328&amp;"")))),"Remove leading or trailing spaces from text fields; ","")&amp;IF(OR(AND(LEN($C328)&gt;1,OR(EXACT($C328,UPPER($C328)),EXACT($C328,LOWER($C328)))),AND(LEN($D328)&gt;1,OR(EXACT($D328,UPPER($D328)),EXACT($D328,LOWER($D328)))),AND(LEN($H328)&gt;1,OR(EXACT($H328,UPPER($H328)),EXACT($H328,LOWER($H328))))),"Review capitalization in First Name, Last Name, or City; ","")&amp;IF(AND($N328&lt;&gt;"",NOT(EXACT($N328,LOWER($N328)))),"Email will be standardized to lowercase in the clean output; ","")&amp;IF(AND(OR('START HERE'!$C$8="Initial Enrollment",'START HERE'!$C$8="Open Enrollment"),$R328="Terminated"),"A terminated row is included in an initial or open enrollment file; confirm this is intentional; ",""))</f>
        <v/>
      </c>
      <c r="AE328">
        <f>IF(COUNTA($A328:$U328)=0,"",IF(OR($A328="",AND($A328&lt;&gt;"",NOT(IFERROR(AND(LEN($A328&amp;"")=9,ISNUMBER(--($A328&amp;""))),FALSE))),AND($A328&lt;&gt;"",OR($A328="123456789",$A328="987654321",$A328="012345678",$A328=REPT(LEFT($A328&amp;"",1),9)))),"Employee SSN, ","")&amp;IF(OR(AND($O328&lt;&gt;"",$B328=""),AND($B328&lt;&gt;"",OR(NOT(IFERROR(AND(LEN($B328&amp;"")=9,ISNUMBER(--($B328&amp;""))),FALSE)),$B328=$A328,$B328="123456789",$B328="987654321",$B328="012345678",$B328=REPT(LEFT($B328&amp;"",1),9)))),"Dependent SSN, ","")&amp;IF(OR($C328="",LEN($C328)&gt;19,AND($C328&lt;&gt;"",SUMPRODUCT(--(ROW($1:$19)&lt;=LEN($C328&amp;"")),--ISERROR(FIND(MID($C328&amp;"",ROW($1:$19),1),"ABCDEFGHIJKLMNOPQRSTUVWXYZabcdefghijklmnopqrstuvwxyz .,")))&gt;0)),"First Name, ","")&amp;IF(OR($D328="",LEN($D328)&gt;26,AND($D328&lt;&gt;"",SUMPRODUCT(--(ROW($1:$26)&lt;=LEN($D328&amp;"")),--ISERROR(FIND(MID($D328&amp;"",ROW($1:$26),1),"ABCDEFGHIJKLMNOPQRSTUVWXYZabcdefghijklmnopqrstuvwxyz .,")))&gt;0)),"Last Name, ","")&amp;IF(OR(LEN($E328)&gt;1,AND($E328&lt;&gt;"",SUMPRODUCT(--(ROW($1:$1)&lt;=LEN($E328&amp;"")),--ISERROR(FIND(MID($E328&amp;"",ROW($1:$1),1),"ABCDEFGHIJKLMNOPQRSTUVWXYZabcdefghijklmnopqrstuvwxyz .,")))&gt;0)),"Middle Initial, ","")&amp;IF(OR($F328="",LEN($F328)&gt;75),"Address, ","")&amp;IF(OR($H328="",LEN($H328)&gt;30),"City, ","")&amp;IF(AND($K328="US",OR($I328="",LEN($I328)&lt;&gt;2)),"State, ","")&amp;IF($J328="","ZIP, ","")&amp;IF(OR($K328="",AND($K328&lt;&gt;"US",$K328&lt;&gt;"CA")),"Country, ","")&amp;IF(OR($L328="",AND($L328&lt;&gt;"",OR(NOT(ISNUMBER($L328)),$L328&lt;=DATE(1900,1,1),$L328&gt;TODAY()))),"Birthdate, ","")&amp;IF(AND($N328&lt;&gt;"",NOT(IFERROR(AND(ISNUMBER(SEARCH("@",$N328)),ISNUMBER(SEARCH(".",$N328,SEARCH("@",$N328)+2))),FALSE))),"Email, ","")&amp;IF(OR(AND($B328&lt;&gt;"",$O328=""),AND($O328&lt;&gt;"",$O328&lt;&gt;"Spouse or Common Law Spouse",$O328&lt;&gt;"Domestic Partner",$O328&lt;&gt;"Child",$O328&lt;&gt;"Other",$O328&lt;&gt;"Estate",$O328&lt;&gt;"Unknown")),"Dependent Relationship, ","")&amp;IF($AA328&lt;&gt;"","Household, ","")&amp;IF(OR($P328="",AND($P328&lt;&gt;"",OR(NOT(ISNUMBER($P328)),$P328&lt;=DATE(1900,1,1)))),"Eligibility Date, ","")&amp;IF(OR(AND($R328="Terminated",$Q328=""),AND($Q328&lt;&gt;"",OR(NOT(ISNUMBER($Q328)),$Q328&lt;=DATE(1900,1,1))),AND(ISNUMBER($P328),ISNUMBER($Q328),$Q328&lt;$P328)),"Termination Date, ","")&amp;IF(OR($R328="",AND($R328&lt;&gt;"Active",$R328&lt;&gt;"Terminated"),AND('START HERE'!$C$8="Terminations Only",$R328&lt;&gt;"Terminated")),"Status, ","")&amp;IF($S328="","Plan Name, ","")&amp;IF($T328="","Coverage Level, ","")&amp;IF(AND($U328&lt;&gt;"",OR(NOT(ISNUMBER($U328)),$U328&lt;0)),"Funding, ","")&amp;IF(AND($A328&lt;&gt;"",$S328&lt;&gt;"",COUNTIFS($A$2:$A$501,$A328,$B$2:$B$501,$B328,$S$2:$S$501,$S328)&gt;1),"Duplicate Row, ",""))</f>
        <v/>
      </c>
      <c r="AF328">
        <f>IF(COUNTA($A328:$U328)=0,"",$Y328&amp;$Z328&amp;$AA328&amp;$AB328&amp;$AC328)</f>
        <v/>
      </c>
      <c r="AG328">
        <f>IF($N328="","",LOWER(TRIM($N328)))</f>
        <v/>
      </c>
      <c r="AH328">
        <f>IF($A328="","",COUNTIFS($A$2:$A$501,$A328,$AI$2:$AI$501,1))</f>
        <v/>
      </c>
      <c r="AI328">
        <f>IF(COUNTA($A328:$U328)=0,"",--($AF328&lt;&gt;""))</f>
        <v/>
      </c>
      <c r="AJ328">
        <f>IF(COUNTA($A328:$U328)=0,"",--($AD328&lt;&gt;""))</f>
        <v/>
      </c>
    </row>
    <row r="329" ht="20" customHeight="1">
      <c r="A329" s="80" t="n"/>
      <c r="B329" s="80" t="n"/>
      <c r="C329" s="81" t="n"/>
      <c r="D329" s="81" t="n"/>
      <c r="E329" s="80" t="n"/>
      <c r="F329" s="81" t="n"/>
      <c r="G329" s="81" t="n"/>
      <c r="H329" s="81" t="n"/>
      <c r="I329" s="80" t="n"/>
      <c r="J329" s="80" t="n"/>
      <c r="K329" s="80" t="n"/>
      <c r="L329" s="82" t="n"/>
      <c r="M329" s="80" t="n"/>
      <c r="N329" s="80" t="n"/>
      <c r="O329" s="80" t="n"/>
      <c r="P329" s="82" t="n"/>
      <c r="Q329" s="82" t="n"/>
      <c r="R329" s="80" t="n"/>
      <c r="S329" s="80" t="n"/>
      <c r="T329" s="80" t="n"/>
      <c r="U329" s="83" t="n"/>
      <c r="V329">
        <f>IF($A329="","",IF($A329=$A328,$V328,IF($V328="",0,1-$V328)))</f>
        <v/>
      </c>
      <c r="W329">
        <f>IF($B329&lt;&gt;"",$B329,$A329)</f>
        <v/>
      </c>
      <c r="X329">
        <f>IF(COUNTA($A329:$U329)=0,"",IF(OR($B329&lt;&gt;"",$O329&lt;&gt;""),"Dependent","Employee"))</f>
        <v/>
      </c>
      <c r="Y329">
        <f>IF(COUNTA($A329:$U329)=0,"",IF($A329="","Employee SSN is required; ","")&amp;IF($C329="","First Name is required; ","")&amp;IF(LEN($C329&amp;"")&gt;19,"First Name exceeds 19 characters; ","")&amp;IF(AND($C329&lt;&gt;"",SUMPRODUCT(--(ROW($1:$19)&lt;=LEN($C329&amp;"")),--ISERROR(FIND(MID($C329&amp;"",ROW($1:$19),1),"ABCDEFGHIJKLMNOPQRSTUVWXYZabcdefghijklmnopqrstuvwxyz .,")))&gt;0),"First Name contains unsupported or encoded characters; use plain A-Z letters only; ","")&amp;IF($D329="","Last Name is required; ","")&amp;IF(LEN($D329&amp;"")&gt;26,"Last Name exceeds 26 characters; ","")&amp;IF(AND($D329&lt;&gt;"",SUMPRODUCT(--(ROW($1:$26)&lt;=LEN($D329&amp;"")),--ISERROR(FIND(MID($D329&amp;"",ROW($1:$26),1),"ABCDEFGHIJKLMNOPQRSTUVWXYZabcdefghijklmnopqrstuvwxyz .,")))&gt;0),"Last Name contains unsupported or encoded characters; use plain A-Z letters only; ","")&amp;IF(LEN($E329&amp;"")&gt;1,"Middle Initial may contain only one character; ","")&amp;IF(AND($E329&lt;&gt;"",SUMPRODUCT(--(ROW($1:$1)&lt;=LEN($E329&amp;"")),--ISERROR(FIND(MID($E329&amp;"",ROW($1:$1),1),"ABCDEFGHIJKLMNOPQRSTUVWXYZabcdefghijklmnopqrstuvwxyz .,")))&gt;0),"Middle Initial must be a plain A-Z letter; ","")&amp;IF($F329="","Address is required; ","")&amp;IF(LEN($F329&amp;"")&gt;75,"Address exceeds 75 characters; ","")&amp;IF(LEN($G329&amp;"")&gt;75,"Address 2 exceeds 75 characters; ","")&amp;IF($H329="","City is required; ","")&amp;IF(LEN($H329&amp;"")&gt;30,"City exceeds 30 characters; ","")&amp;IF($K329="","Country is required; ","")&amp;IF(AND($K329&lt;&gt;"",$K329&lt;&gt;"US",$K329&lt;&gt;"CA"),"Country must be US or CA; ","")&amp;IF(AND($K329="US",OR($I329="",LEN($I329&amp;"")&lt;&gt;2)),"Use a 2-letter state code; ","")&amp;IF($J329="","ZIP or postal code is required; ","")&amp;IF(AND($K329="US",$J329&lt;&gt;"",NOT(IFERROR(OR(AND(LEN($J329&amp;"")=5,ISNUMBER(--($J329&amp;""))),AND(LEN($J329&amp;"")=9,ISNUMBER(--($J329&amp;""))),AND(LEN($J329&amp;"")=10,MID($J329&amp;"",6,1)="-",ISNUMBER(--SUBSTITUTE($J329&amp;"","-","")))),FALSE))),"US ZIP must be 5 or 9 digits, with an optional ZIP+4 hyphen; ","")&amp;IF(AND($N329&lt;&gt;"",NOT(IFERROR(AND(ISNUMBER(SEARCH("@",$N329)),ISNUMBER(SEARCH(".",$N329,SEARCH("@",$N329)+2))),FALSE))),"Email format appears invalid; ","")&amp;IF(AND($O329&lt;&gt;"",$B329=""),"Dependent SSN is required for every dependent; ","")&amp;IF(AND($B329&lt;&gt;"",$O329=""),"Dependent Relationship is required when Dependent SSN is entered; ","")&amp;IF(AND($O329&lt;&gt;"",$O329&lt;&gt;"Spouse or Common Law Spouse",$O329&lt;&gt;"Domestic Partner",$O329&lt;&gt;"Child",$O329&lt;&gt;"Other",$O329&lt;&gt;"Estate",$O329&lt;&gt;"Unknown"),"Dependent Relationship must use one of the approved options; ",""))</f>
        <v/>
      </c>
      <c r="Z329">
        <f>IF(COUNTA($A329:$U329)=0,"",IF(AND($A329&lt;&gt;"",NOT(IFERROR(AND(LEN($A329&amp;"")=9,ISNUMBER(--($A329&amp;""))),FALSE))),"Employee SSN must contain exactly 9 digits; ","")&amp;IF(AND($A329&lt;&gt;"",OR($A329="123456789",$A329="987654321",$A329="012345678",$A329=REPT(LEFT($A329&amp;"",1),9))),"Employee SSN appears to be a placeholder; ","")&amp;IF(AND($B329&lt;&gt;"",NOT(IFERROR(AND(LEN($B329&amp;"")=9,ISNUMBER(--($B329&amp;""))),FALSE))),"Dependent SSN must contain exactly 9 digits; ","")&amp;IF(AND($B329&lt;&gt;"",OR($B329="123456789",$B329="987654321",$B329="012345678",$B329=REPT(LEFT($B329&amp;"",1),9))),"Dependent SSN appears to be a placeholder; ","")&amp;IF(AND($A329&lt;&gt;"",$B329&lt;&gt;"",$A329&amp;""=$B329&amp;""),"Dependent SSN cannot match Employee SSN; ","")&amp;IF(AND($W329&lt;&gt;"",OR(COUNTIFS($W$2:$W$501,$W329,$C$2:$C$501,"&lt;&gt;"&amp;$C329)&gt;0,COUNTIFS($W$2:$W$501,$W329,$D$2:$D$501,"&lt;&gt;"&amp;$D329)&gt;0,COUNTIFS($W$2:$W$501,$W329,$L$2:$L$501,"&lt;&gt;"&amp;$L329)&gt;0)),"The same SSN is associated with a different name or birthdate; ",""))</f>
        <v/>
      </c>
      <c r="AA329">
        <f>IF(COUNTA($A329:$U329)=0,"",IF(AND($A329&lt;&gt;"",$S329&lt;&gt;"",COUNTIFS($A$2:$A$501,$A329,$S$2:$S$501,$S329,$B$2:$B$501,"",$O$2:$O$501,"")=0),"Add an employee row for this household and plan; ","")&amp;IF(AND($X329="Dependent",COUNTIFS($A$2:$A329,$A329,$S$2:$S329,$S329,$B$2:$B329,"",$O$2:$O329,"")=0),"Place the employee row before dependent rows for this plan; ","")&amp;IF(AND($X329="Dependent",COUNTIFS($A$2:$A$501,$A329,$S$2:$S$501,$S329,$B$2:$B$501,"",$O$2:$O$501,"")&gt;0,IFERROR(OR($P329&lt;&gt;LOOKUP(2,1/(($A$2:$A$501=$A329)*($S$2:$S$501=$S329)*($B$2:$B$501="")*($O$2:$O$501="")),$P$2:$P$501),$Q329&lt;&gt;LOOKUP(2,1/(($A$2:$A$501=$A329)*($S$2:$S$501=$S329)*($B$2:$B$501="")*($O$2:$O$501="")),$Q$2:$Q$501),$R329&lt;&gt;LOOKUP(2,1/(($A$2:$A$501=$A329)*($S$2:$S$501=$S329)*($B$2:$B$501="")*($O$2:$O$501="")),$R$2:$R$501),$T329&lt;&gt;LOOKUP(2,1/(($A$2:$A$501=$A329)*($S$2:$S$501=$S329)*($B$2:$B$501="")*($O$2:$O$501="")),$T$2:$T$501),$U329&lt;&gt;LOOKUP(2,1/(($A$2:$A$501=$A329)*($S$2:$S$501=$S329)*($B$2:$B$501="")*($O$2:$O$501="")),$U$2:$U$501)),FALSE)),"Dependent row does not match the employee row for eligibility, status, coverage level, or funding; ",""))</f>
        <v/>
      </c>
      <c r="AB329">
        <f>IF(COUNTA($A329:$U329)=0,"",IF($L329="","Birthdate is required; ","")&amp;IF(AND($L329&lt;&gt;"",OR(NOT(ISNUMBER($L329)),$L329&lt;=DATE(1900,1,1),$L329&gt;TODAY())),"Birthdate must be an exact valid past date; ","")&amp;IF($P329="","Eligibility Date is required; ","")&amp;IF(AND($P329&lt;&gt;"",OR(NOT(ISNUMBER($P329)),$P329&lt;=DATE(1900,1,1))),"Eligibility Date must be a valid date; ","")&amp;IF(AND($R329="Terminated",$Q329=""),"Termination Date is required when Status is Terminated; ","")&amp;IF(AND($Q329&lt;&gt;"",OR(NOT(ISNUMBER($Q329)),$Q329&lt;=DATE(1900,1,1))),"Termination Date must be a valid date; ","")&amp;IF(AND(ISNUMBER($P329),ISNUMBER($Q329),$Q329&lt;$P329),"Termination Date cannot be before Eligibility Date; ","")&amp;IF($R329="","Status is required; ","")&amp;IF(AND($R329&lt;&gt;"",$R329&lt;&gt;"Active",$R329&lt;&gt;"Terminated"),"Status must be Active or Terminated; ","")&amp;IF(AND('START HERE'!$C$8="Terminations Only",$R329&lt;&gt;"Terminated"),"Terminations Only files must contain terminated records; ",""))</f>
        <v/>
      </c>
      <c r="AC329">
        <f>IF(COUNTA($A329:$U329)=0,"",IF($S329="","Plan Name is required; ","")&amp;IF($T329="","Benefit Coverage Level is required; ","")&amp;IF(AND($U329&lt;&gt;"",OR(NOT(ISNUMBER($U329)),$U329&lt;0)),"Plan Funding Amount must be a nonnegative number; ","")&amp;IF(AND($A329&lt;&gt;"",$S329&lt;&gt;"",COUNTIFS($A$2:$A$501,$A329,$B$2:$B$501,$B329,$S$2:$S$501,$S329)&gt;1),"Duplicate participant and plan row; ",""))</f>
        <v/>
      </c>
      <c r="AD329">
        <f>IF(COUNTA($A329:$U329)=0,"",IF(AND($X329="Employee",$M329="",$N329=""),"No employee phone or email provided; ","")&amp;IF(AND($R329="Active",$Q329&lt;&gt;""),"Active record includes a Termination Date; confirm this is intentional; ","")&amp;IF(AND($B329&lt;&gt;"",$B329&amp;""&lt;&gt;$A329&amp;"",COUNTIF($A$2:$A$501,$B329)&gt;0),"Dependent SSN also appears as an Employee SSN elsewhere; confirm dual-employee coverage is intentional; ","")&amp;IF(AND($B329&lt;&gt;"",COUNTIF($B$2:$B$501,$B329)&gt;COUNTIFS($A$2:$A$501,$A329,$B$2:$B$501,$B329)),"Dependent SSN appears under more than one employee; confirm duplicate family coverage is intentional; ","")&amp;IF(AND(ROW()&gt;2,$A329&lt;&gt;"",$A329&lt;&gt;$A328,COUNTIF($A$2:$A328,$A329)&gt;0),"This household appears in more than one section of the census; keep the family together; ","")&amp;IF(OR(AND($C329&lt;&gt;"",LEN($C329&amp;"")&lt;&gt;LEN(TRIM($C329&amp;""))),AND($D329&lt;&gt;"",LEN($D329&amp;"")&lt;&gt;LEN(TRIM($D329&amp;""))),AND($E329&lt;&gt;"",LEN($E329&amp;"")&lt;&gt;LEN(TRIM($E329&amp;""))),AND($F329&lt;&gt;"",LEN($F329&amp;"")&lt;&gt;LEN(TRIM($F329&amp;""))),AND($G329&lt;&gt;"",LEN($G329&amp;"")&lt;&gt;LEN(TRIM($G329&amp;""))),AND($H329&lt;&gt;"",LEN($H329&amp;"")&lt;&gt;LEN(TRIM($H329&amp;""))),AND($I329&lt;&gt;"",LEN($I329&amp;"")&lt;&gt;LEN(TRIM($I329&amp;""))),AND($J329&lt;&gt;"",LEN($J329&amp;"")&lt;&gt;LEN(TRIM($J329&amp;""))),AND($K329&lt;&gt;"",LEN($K329&amp;"")&lt;&gt;LEN(TRIM($K329&amp;""))),AND($M329&lt;&gt;"",LEN($M329&amp;"")&lt;&gt;LEN(TRIM($M329&amp;""))),AND($N329&lt;&gt;"",LEN($N329&amp;"")&lt;&gt;LEN(TRIM($N329&amp;""))),AND($O329&lt;&gt;"",LEN($O329&amp;"")&lt;&gt;LEN(TRIM($O329&amp;""))),AND($R329&lt;&gt;"",LEN($R329&amp;"")&lt;&gt;LEN(TRIM($R329&amp;""))),AND($S329&lt;&gt;"",LEN($S329&amp;"")&lt;&gt;LEN(TRIM($S329&amp;""))),AND($T329&lt;&gt;"",LEN($T329&amp;"")&lt;&gt;LEN(TRIM($T329&amp;"")))),"Remove leading or trailing spaces from text fields; ","")&amp;IF(OR(AND(LEN($C329)&gt;1,OR(EXACT($C329,UPPER($C329)),EXACT($C329,LOWER($C329)))),AND(LEN($D329)&gt;1,OR(EXACT($D329,UPPER($D329)),EXACT($D329,LOWER($D329)))),AND(LEN($H329)&gt;1,OR(EXACT($H329,UPPER($H329)),EXACT($H329,LOWER($H329))))),"Review capitalization in First Name, Last Name, or City; ","")&amp;IF(AND($N329&lt;&gt;"",NOT(EXACT($N329,LOWER($N329)))),"Email will be standardized to lowercase in the clean output; ","")&amp;IF(AND(OR('START HERE'!$C$8="Initial Enrollment",'START HERE'!$C$8="Open Enrollment"),$R329="Terminated"),"A terminated row is included in an initial or open enrollment file; confirm this is intentional; ",""))</f>
        <v/>
      </c>
      <c r="AE329">
        <f>IF(COUNTA($A329:$U329)=0,"",IF(OR($A329="",AND($A329&lt;&gt;"",NOT(IFERROR(AND(LEN($A329&amp;"")=9,ISNUMBER(--($A329&amp;""))),FALSE))),AND($A329&lt;&gt;"",OR($A329="123456789",$A329="987654321",$A329="012345678",$A329=REPT(LEFT($A329&amp;"",1),9)))),"Employee SSN, ","")&amp;IF(OR(AND($O329&lt;&gt;"",$B329=""),AND($B329&lt;&gt;"",OR(NOT(IFERROR(AND(LEN($B329&amp;"")=9,ISNUMBER(--($B329&amp;""))),FALSE)),$B329=$A329,$B329="123456789",$B329="987654321",$B329="012345678",$B329=REPT(LEFT($B329&amp;"",1),9)))),"Dependent SSN, ","")&amp;IF(OR($C329="",LEN($C329)&gt;19,AND($C329&lt;&gt;"",SUMPRODUCT(--(ROW($1:$19)&lt;=LEN($C329&amp;"")),--ISERROR(FIND(MID($C329&amp;"",ROW($1:$19),1),"ABCDEFGHIJKLMNOPQRSTUVWXYZabcdefghijklmnopqrstuvwxyz .,")))&gt;0)),"First Name, ","")&amp;IF(OR($D329="",LEN($D329)&gt;26,AND($D329&lt;&gt;"",SUMPRODUCT(--(ROW($1:$26)&lt;=LEN($D329&amp;"")),--ISERROR(FIND(MID($D329&amp;"",ROW($1:$26),1),"ABCDEFGHIJKLMNOPQRSTUVWXYZabcdefghijklmnopqrstuvwxyz .,")))&gt;0)),"Last Name, ","")&amp;IF(OR(LEN($E329)&gt;1,AND($E329&lt;&gt;"",SUMPRODUCT(--(ROW($1:$1)&lt;=LEN($E329&amp;"")),--ISERROR(FIND(MID($E329&amp;"",ROW($1:$1),1),"ABCDEFGHIJKLMNOPQRSTUVWXYZabcdefghijklmnopqrstuvwxyz .,")))&gt;0)),"Middle Initial, ","")&amp;IF(OR($F329="",LEN($F329)&gt;75),"Address, ","")&amp;IF(OR($H329="",LEN($H329)&gt;30),"City, ","")&amp;IF(AND($K329="US",OR($I329="",LEN($I329)&lt;&gt;2)),"State, ","")&amp;IF($J329="","ZIP, ","")&amp;IF(OR($K329="",AND($K329&lt;&gt;"US",$K329&lt;&gt;"CA")),"Country, ","")&amp;IF(OR($L329="",AND($L329&lt;&gt;"",OR(NOT(ISNUMBER($L329)),$L329&lt;=DATE(1900,1,1),$L329&gt;TODAY()))),"Birthdate, ","")&amp;IF(AND($N329&lt;&gt;"",NOT(IFERROR(AND(ISNUMBER(SEARCH("@",$N329)),ISNUMBER(SEARCH(".",$N329,SEARCH("@",$N329)+2))),FALSE))),"Email, ","")&amp;IF(OR(AND($B329&lt;&gt;"",$O329=""),AND($O329&lt;&gt;"",$O329&lt;&gt;"Spouse or Common Law Spouse",$O329&lt;&gt;"Domestic Partner",$O329&lt;&gt;"Child",$O329&lt;&gt;"Other",$O329&lt;&gt;"Estate",$O329&lt;&gt;"Unknown")),"Dependent Relationship, ","")&amp;IF($AA329&lt;&gt;"","Household, ","")&amp;IF(OR($P329="",AND($P329&lt;&gt;"",OR(NOT(ISNUMBER($P329)),$P329&lt;=DATE(1900,1,1)))),"Eligibility Date, ","")&amp;IF(OR(AND($R329="Terminated",$Q329=""),AND($Q329&lt;&gt;"",OR(NOT(ISNUMBER($Q329)),$Q329&lt;=DATE(1900,1,1))),AND(ISNUMBER($P329),ISNUMBER($Q329),$Q329&lt;$P329)),"Termination Date, ","")&amp;IF(OR($R329="",AND($R329&lt;&gt;"Active",$R329&lt;&gt;"Terminated"),AND('START HERE'!$C$8="Terminations Only",$R329&lt;&gt;"Terminated")),"Status, ","")&amp;IF($S329="","Plan Name, ","")&amp;IF($T329="","Coverage Level, ","")&amp;IF(AND($U329&lt;&gt;"",OR(NOT(ISNUMBER($U329)),$U329&lt;0)),"Funding, ","")&amp;IF(AND($A329&lt;&gt;"",$S329&lt;&gt;"",COUNTIFS($A$2:$A$501,$A329,$B$2:$B$501,$B329,$S$2:$S$501,$S329)&gt;1),"Duplicate Row, ",""))</f>
        <v/>
      </c>
      <c r="AF329">
        <f>IF(COUNTA($A329:$U329)=0,"",$Y329&amp;$Z329&amp;$AA329&amp;$AB329&amp;$AC329)</f>
        <v/>
      </c>
      <c r="AG329">
        <f>IF($N329="","",LOWER(TRIM($N329)))</f>
        <v/>
      </c>
      <c r="AH329">
        <f>IF($A329="","",COUNTIFS($A$2:$A$501,$A329,$AI$2:$AI$501,1))</f>
        <v/>
      </c>
      <c r="AI329">
        <f>IF(COUNTA($A329:$U329)=0,"",--($AF329&lt;&gt;""))</f>
        <v/>
      </c>
      <c r="AJ329">
        <f>IF(COUNTA($A329:$U329)=0,"",--($AD329&lt;&gt;""))</f>
        <v/>
      </c>
    </row>
    <row r="330" ht="20" customHeight="1">
      <c r="A330" s="80" t="n"/>
      <c r="B330" s="80" t="n"/>
      <c r="C330" s="81" t="n"/>
      <c r="D330" s="81" t="n"/>
      <c r="E330" s="80" t="n"/>
      <c r="F330" s="81" t="n"/>
      <c r="G330" s="81" t="n"/>
      <c r="H330" s="81" t="n"/>
      <c r="I330" s="80" t="n"/>
      <c r="J330" s="80" t="n"/>
      <c r="K330" s="80" t="n"/>
      <c r="L330" s="82" t="n"/>
      <c r="M330" s="80" t="n"/>
      <c r="N330" s="80" t="n"/>
      <c r="O330" s="80" t="n"/>
      <c r="P330" s="82" t="n"/>
      <c r="Q330" s="82" t="n"/>
      <c r="R330" s="80" t="n"/>
      <c r="S330" s="80" t="n"/>
      <c r="T330" s="80" t="n"/>
      <c r="U330" s="83" t="n"/>
      <c r="V330">
        <f>IF($A330="","",IF($A330=$A329,$V329,IF($V329="",0,1-$V329)))</f>
        <v/>
      </c>
      <c r="W330">
        <f>IF($B330&lt;&gt;"",$B330,$A330)</f>
        <v/>
      </c>
      <c r="X330">
        <f>IF(COUNTA($A330:$U330)=0,"",IF(OR($B330&lt;&gt;"",$O330&lt;&gt;""),"Dependent","Employee"))</f>
        <v/>
      </c>
      <c r="Y330">
        <f>IF(COUNTA($A330:$U330)=0,"",IF($A330="","Employee SSN is required; ","")&amp;IF($C330="","First Name is required; ","")&amp;IF(LEN($C330&amp;"")&gt;19,"First Name exceeds 19 characters; ","")&amp;IF(AND($C330&lt;&gt;"",SUMPRODUCT(--(ROW($1:$19)&lt;=LEN($C330&amp;"")),--ISERROR(FIND(MID($C330&amp;"",ROW($1:$19),1),"ABCDEFGHIJKLMNOPQRSTUVWXYZabcdefghijklmnopqrstuvwxyz .,")))&gt;0),"First Name contains unsupported or encoded characters; use plain A-Z letters only; ","")&amp;IF($D330="","Last Name is required; ","")&amp;IF(LEN($D330&amp;"")&gt;26,"Last Name exceeds 26 characters; ","")&amp;IF(AND($D330&lt;&gt;"",SUMPRODUCT(--(ROW($1:$26)&lt;=LEN($D330&amp;"")),--ISERROR(FIND(MID($D330&amp;"",ROW($1:$26),1),"ABCDEFGHIJKLMNOPQRSTUVWXYZabcdefghijklmnopqrstuvwxyz .,")))&gt;0),"Last Name contains unsupported or encoded characters; use plain A-Z letters only; ","")&amp;IF(LEN($E330&amp;"")&gt;1,"Middle Initial may contain only one character; ","")&amp;IF(AND($E330&lt;&gt;"",SUMPRODUCT(--(ROW($1:$1)&lt;=LEN($E330&amp;"")),--ISERROR(FIND(MID($E330&amp;"",ROW($1:$1),1),"ABCDEFGHIJKLMNOPQRSTUVWXYZabcdefghijklmnopqrstuvwxyz .,")))&gt;0),"Middle Initial must be a plain A-Z letter; ","")&amp;IF($F330="","Address is required; ","")&amp;IF(LEN($F330&amp;"")&gt;75,"Address exceeds 75 characters; ","")&amp;IF(LEN($G330&amp;"")&gt;75,"Address 2 exceeds 75 characters; ","")&amp;IF($H330="","City is required; ","")&amp;IF(LEN($H330&amp;"")&gt;30,"City exceeds 30 characters; ","")&amp;IF($K330="","Country is required; ","")&amp;IF(AND($K330&lt;&gt;"",$K330&lt;&gt;"US",$K330&lt;&gt;"CA"),"Country must be US or CA; ","")&amp;IF(AND($K330="US",OR($I330="",LEN($I330&amp;"")&lt;&gt;2)),"Use a 2-letter state code; ","")&amp;IF($J330="","ZIP or postal code is required; ","")&amp;IF(AND($K330="US",$J330&lt;&gt;"",NOT(IFERROR(OR(AND(LEN($J330&amp;"")=5,ISNUMBER(--($J330&amp;""))),AND(LEN($J330&amp;"")=9,ISNUMBER(--($J330&amp;""))),AND(LEN($J330&amp;"")=10,MID($J330&amp;"",6,1)="-",ISNUMBER(--SUBSTITUTE($J330&amp;"","-","")))),FALSE))),"US ZIP must be 5 or 9 digits, with an optional ZIP+4 hyphen; ","")&amp;IF(AND($N330&lt;&gt;"",NOT(IFERROR(AND(ISNUMBER(SEARCH("@",$N330)),ISNUMBER(SEARCH(".",$N330,SEARCH("@",$N330)+2))),FALSE))),"Email format appears invalid; ","")&amp;IF(AND($O330&lt;&gt;"",$B330=""),"Dependent SSN is required for every dependent; ","")&amp;IF(AND($B330&lt;&gt;"",$O330=""),"Dependent Relationship is required when Dependent SSN is entered; ","")&amp;IF(AND($O330&lt;&gt;"",$O330&lt;&gt;"Spouse or Common Law Spouse",$O330&lt;&gt;"Domestic Partner",$O330&lt;&gt;"Child",$O330&lt;&gt;"Other",$O330&lt;&gt;"Estate",$O330&lt;&gt;"Unknown"),"Dependent Relationship must use one of the approved options; ",""))</f>
        <v/>
      </c>
      <c r="Z330">
        <f>IF(COUNTA($A330:$U330)=0,"",IF(AND($A330&lt;&gt;"",NOT(IFERROR(AND(LEN($A330&amp;"")=9,ISNUMBER(--($A330&amp;""))),FALSE))),"Employee SSN must contain exactly 9 digits; ","")&amp;IF(AND($A330&lt;&gt;"",OR($A330="123456789",$A330="987654321",$A330="012345678",$A330=REPT(LEFT($A330&amp;"",1),9))),"Employee SSN appears to be a placeholder; ","")&amp;IF(AND($B330&lt;&gt;"",NOT(IFERROR(AND(LEN($B330&amp;"")=9,ISNUMBER(--($B330&amp;""))),FALSE))),"Dependent SSN must contain exactly 9 digits; ","")&amp;IF(AND($B330&lt;&gt;"",OR($B330="123456789",$B330="987654321",$B330="012345678",$B330=REPT(LEFT($B330&amp;"",1),9))),"Dependent SSN appears to be a placeholder; ","")&amp;IF(AND($A330&lt;&gt;"",$B330&lt;&gt;"",$A330&amp;""=$B330&amp;""),"Dependent SSN cannot match Employee SSN; ","")&amp;IF(AND($W330&lt;&gt;"",OR(COUNTIFS($W$2:$W$501,$W330,$C$2:$C$501,"&lt;&gt;"&amp;$C330)&gt;0,COUNTIFS($W$2:$W$501,$W330,$D$2:$D$501,"&lt;&gt;"&amp;$D330)&gt;0,COUNTIFS($W$2:$W$501,$W330,$L$2:$L$501,"&lt;&gt;"&amp;$L330)&gt;0)),"The same SSN is associated with a different name or birthdate; ",""))</f>
        <v/>
      </c>
      <c r="AA330">
        <f>IF(COUNTA($A330:$U330)=0,"",IF(AND($A330&lt;&gt;"",$S330&lt;&gt;"",COUNTIFS($A$2:$A$501,$A330,$S$2:$S$501,$S330,$B$2:$B$501,"",$O$2:$O$501,"")=0),"Add an employee row for this household and plan; ","")&amp;IF(AND($X330="Dependent",COUNTIFS($A$2:$A330,$A330,$S$2:$S330,$S330,$B$2:$B330,"",$O$2:$O330,"")=0),"Place the employee row before dependent rows for this plan; ","")&amp;IF(AND($X330="Dependent",COUNTIFS($A$2:$A$501,$A330,$S$2:$S$501,$S330,$B$2:$B$501,"",$O$2:$O$501,"")&gt;0,IFERROR(OR($P330&lt;&gt;LOOKUP(2,1/(($A$2:$A$501=$A330)*($S$2:$S$501=$S330)*($B$2:$B$501="")*($O$2:$O$501="")),$P$2:$P$501),$Q330&lt;&gt;LOOKUP(2,1/(($A$2:$A$501=$A330)*($S$2:$S$501=$S330)*($B$2:$B$501="")*($O$2:$O$501="")),$Q$2:$Q$501),$R330&lt;&gt;LOOKUP(2,1/(($A$2:$A$501=$A330)*($S$2:$S$501=$S330)*($B$2:$B$501="")*($O$2:$O$501="")),$R$2:$R$501),$T330&lt;&gt;LOOKUP(2,1/(($A$2:$A$501=$A330)*($S$2:$S$501=$S330)*($B$2:$B$501="")*($O$2:$O$501="")),$T$2:$T$501),$U330&lt;&gt;LOOKUP(2,1/(($A$2:$A$501=$A330)*($S$2:$S$501=$S330)*($B$2:$B$501="")*($O$2:$O$501="")),$U$2:$U$501)),FALSE)),"Dependent row does not match the employee row for eligibility, status, coverage level, or funding; ",""))</f>
        <v/>
      </c>
      <c r="AB330">
        <f>IF(COUNTA($A330:$U330)=0,"",IF($L330="","Birthdate is required; ","")&amp;IF(AND($L330&lt;&gt;"",OR(NOT(ISNUMBER($L330)),$L330&lt;=DATE(1900,1,1),$L330&gt;TODAY())),"Birthdate must be an exact valid past date; ","")&amp;IF($P330="","Eligibility Date is required; ","")&amp;IF(AND($P330&lt;&gt;"",OR(NOT(ISNUMBER($P330)),$P330&lt;=DATE(1900,1,1))),"Eligibility Date must be a valid date; ","")&amp;IF(AND($R330="Terminated",$Q330=""),"Termination Date is required when Status is Terminated; ","")&amp;IF(AND($Q330&lt;&gt;"",OR(NOT(ISNUMBER($Q330)),$Q330&lt;=DATE(1900,1,1))),"Termination Date must be a valid date; ","")&amp;IF(AND(ISNUMBER($P330),ISNUMBER($Q330),$Q330&lt;$P330),"Termination Date cannot be before Eligibility Date; ","")&amp;IF($R330="","Status is required; ","")&amp;IF(AND($R330&lt;&gt;"",$R330&lt;&gt;"Active",$R330&lt;&gt;"Terminated"),"Status must be Active or Terminated; ","")&amp;IF(AND('START HERE'!$C$8="Terminations Only",$R330&lt;&gt;"Terminated"),"Terminations Only files must contain terminated records; ",""))</f>
        <v/>
      </c>
      <c r="AC330">
        <f>IF(COUNTA($A330:$U330)=0,"",IF($S330="","Plan Name is required; ","")&amp;IF($T330="","Benefit Coverage Level is required; ","")&amp;IF(AND($U330&lt;&gt;"",OR(NOT(ISNUMBER($U330)),$U330&lt;0)),"Plan Funding Amount must be a nonnegative number; ","")&amp;IF(AND($A330&lt;&gt;"",$S330&lt;&gt;"",COUNTIFS($A$2:$A$501,$A330,$B$2:$B$501,$B330,$S$2:$S$501,$S330)&gt;1),"Duplicate participant and plan row; ",""))</f>
        <v/>
      </c>
      <c r="AD330">
        <f>IF(COUNTA($A330:$U330)=0,"",IF(AND($X330="Employee",$M330="",$N330=""),"No employee phone or email provided; ","")&amp;IF(AND($R330="Active",$Q330&lt;&gt;""),"Active record includes a Termination Date; confirm this is intentional; ","")&amp;IF(AND($B330&lt;&gt;"",$B330&amp;""&lt;&gt;$A330&amp;"",COUNTIF($A$2:$A$501,$B330)&gt;0),"Dependent SSN also appears as an Employee SSN elsewhere; confirm dual-employee coverage is intentional; ","")&amp;IF(AND($B330&lt;&gt;"",COUNTIF($B$2:$B$501,$B330)&gt;COUNTIFS($A$2:$A$501,$A330,$B$2:$B$501,$B330)),"Dependent SSN appears under more than one employee; confirm duplicate family coverage is intentional; ","")&amp;IF(AND(ROW()&gt;2,$A330&lt;&gt;"",$A330&lt;&gt;$A329,COUNTIF($A$2:$A329,$A330)&gt;0),"This household appears in more than one section of the census; keep the family together; ","")&amp;IF(OR(AND($C330&lt;&gt;"",LEN($C330&amp;"")&lt;&gt;LEN(TRIM($C330&amp;""))),AND($D330&lt;&gt;"",LEN($D330&amp;"")&lt;&gt;LEN(TRIM($D330&amp;""))),AND($E330&lt;&gt;"",LEN($E330&amp;"")&lt;&gt;LEN(TRIM($E330&amp;""))),AND($F330&lt;&gt;"",LEN($F330&amp;"")&lt;&gt;LEN(TRIM($F330&amp;""))),AND($G330&lt;&gt;"",LEN($G330&amp;"")&lt;&gt;LEN(TRIM($G330&amp;""))),AND($H330&lt;&gt;"",LEN($H330&amp;"")&lt;&gt;LEN(TRIM($H330&amp;""))),AND($I330&lt;&gt;"",LEN($I330&amp;"")&lt;&gt;LEN(TRIM($I330&amp;""))),AND($J330&lt;&gt;"",LEN($J330&amp;"")&lt;&gt;LEN(TRIM($J330&amp;""))),AND($K330&lt;&gt;"",LEN($K330&amp;"")&lt;&gt;LEN(TRIM($K330&amp;""))),AND($M330&lt;&gt;"",LEN($M330&amp;"")&lt;&gt;LEN(TRIM($M330&amp;""))),AND($N330&lt;&gt;"",LEN($N330&amp;"")&lt;&gt;LEN(TRIM($N330&amp;""))),AND($O330&lt;&gt;"",LEN($O330&amp;"")&lt;&gt;LEN(TRIM($O330&amp;""))),AND($R330&lt;&gt;"",LEN($R330&amp;"")&lt;&gt;LEN(TRIM($R330&amp;""))),AND($S330&lt;&gt;"",LEN($S330&amp;"")&lt;&gt;LEN(TRIM($S330&amp;""))),AND($T330&lt;&gt;"",LEN($T330&amp;"")&lt;&gt;LEN(TRIM($T330&amp;"")))),"Remove leading or trailing spaces from text fields; ","")&amp;IF(OR(AND(LEN($C330)&gt;1,OR(EXACT($C330,UPPER($C330)),EXACT($C330,LOWER($C330)))),AND(LEN($D330)&gt;1,OR(EXACT($D330,UPPER($D330)),EXACT($D330,LOWER($D330)))),AND(LEN($H330)&gt;1,OR(EXACT($H330,UPPER($H330)),EXACT($H330,LOWER($H330))))),"Review capitalization in First Name, Last Name, or City; ","")&amp;IF(AND($N330&lt;&gt;"",NOT(EXACT($N330,LOWER($N330)))),"Email will be standardized to lowercase in the clean output; ","")&amp;IF(AND(OR('START HERE'!$C$8="Initial Enrollment",'START HERE'!$C$8="Open Enrollment"),$R330="Terminated"),"A terminated row is included in an initial or open enrollment file; confirm this is intentional; ",""))</f>
        <v/>
      </c>
      <c r="AE330">
        <f>IF(COUNTA($A330:$U330)=0,"",IF(OR($A330="",AND($A330&lt;&gt;"",NOT(IFERROR(AND(LEN($A330&amp;"")=9,ISNUMBER(--($A330&amp;""))),FALSE))),AND($A330&lt;&gt;"",OR($A330="123456789",$A330="987654321",$A330="012345678",$A330=REPT(LEFT($A330&amp;"",1),9)))),"Employee SSN, ","")&amp;IF(OR(AND($O330&lt;&gt;"",$B330=""),AND($B330&lt;&gt;"",OR(NOT(IFERROR(AND(LEN($B330&amp;"")=9,ISNUMBER(--($B330&amp;""))),FALSE)),$B330=$A330,$B330="123456789",$B330="987654321",$B330="012345678",$B330=REPT(LEFT($B330&amp;"",1),9)))),"Dependent SSN, ","")&amp;IF(OR($C330="",LEN($C330)&gt;19,AND($C330&lt;&gt;"",SUMPRODUCT(--(ROW($1:$19)&lt;=LEN($C330&amp;"")),--ISERROR(FIND(MID($C330&amp;"",ROW($1:$19),1),"ABCDEFGHIJKLMNOPQRSTUVWXYZabcdefghijklmnopqrstuvwxyz .,")))&gt;0)),"First Name, ","")&amp;IF(OR($D330="",LEN($D330)&gt;26,AND($D330&lt;&gt;"",SUMPRODUCT(--(ROW($1:$26)&lt;=LEN($D330&amp;"")),--ISERROR(FIND(MID($D330&amp;"",ROW($1:$26),1),"ABCDEFGHIJKLMNOPQRSTUVWXYZabcdefghijklmnopqrstuvwxyz .,")))&gt;0)),"Last Name, ","")&amp;IF(OR(LEN($E330)&gt;1,AND($E330&lt;&gt;"",SUMPRODUCT(--(ROW($1:$1)&lt;=LEN($E330&amp;"")),--ISERROR(FIND(MID($E330&amp;"",ROW($1:$1),1),"ABCDEFGHIJKLMNOPQRSTUVWXYZabcdefghijklmnopqrstuvwxyz .,")))&gt;0)),"Middle Initial, ","")&amp;IF(OR($F330="",LEN($F330)&gt;75),"Address, ","")&amp;IF(OR($H330="",LEN($H330)&gt;30),"City, ","")&amp;IF(AND($K330="US",OR($I330="",LEN($I330)&lt;&gt;2)),"State, ","")&amp;IF($J330="","ZIP, ","")&amp;IF(OR($K330="",AND($K330&lt;&gt;"US",$K330&lt;&gt;"CA")),"Country, ","")&amp;IF(OR($L330="",AND($L330&lt;&gt;"",OR(NOT(ISNUMBER($L330)),$L330&lt;=DATE(1900,1,1),$L330&gt;TODAY()))),"Birthdate, ","")&amp;IF(AND($N330&lt;&gt;"",NOT(IFERROR(AND(ISNUMBER(SEARCH("@",$N330)),ISNUMBER(SEARCH(".",$N330,SEARCH("@",$N330)+2))),FALSE))),"Email, ","")&amp;IF(OR(AND($B330&lt;&gt;"",$O330=""),AND($O330&lt;&gt;"",$O330&lt;&gt;"Spouse or Common Law Spouse",$O330&lt;&gt;"Domestic Partner",$O330&lt;&gt;"Child",$O330&lt;&gt;"Other",$O330&lt;&gt;"Estate",$O330&lt;&gt;"Unknown")),"Dependent Relationship, ","")&amp;IF($AA330&lt;&gt;"","Household, ","")&amp;IF(OR($P330="",AND($P330&lt;&gt;"",OR(NOT(ISNUMBER($P330)),$P330&lt;=DATE(1900,1,1)))),"Eligibility Date, ","")&amp;IF(OR(AND($R330="Terminated",$Q330=""),AND($Q330&lt;&gt;"",OR(NOT(ISNUMBER($Q330)),$Q330&lt;=DATE(1900,1,1))),AND(ISNUMBER($P330),ISNUMBER($Q330),$Q330&lt;$P330)),"Termination Date, ","")&amp;IF(OR($R330="",AND($R330&lt;&gt;"Active",$R330&lt;&gt;"Terminated"),AND('START HERE'!$C$8="Terminations Only",$R330&lt;&gt;"Terminated")),"Status, ","")&amp;IF($S330="","Plan Name, ","")&amp;IF($T330="","Coverage Level, ","")&amp;IF(AND($U330&lt;&gt;"",OR(NOT(ISNUMBER($U330)),$U330&lt;0)),"Funding, ","")&amp;IF(AND($A330&lt;&gt;"",$S330&lt;&gt;"",COUNTIFS($A$2:$A$501,$A330,$B$2:$B$501,$B330,$S$2:$S$501,$S330)&gt;1),"Duplicate Row, ",""))</f>
        <v/>
      </c>
      <c r="AF330">
        <f>IF(COUNTA($A330:$U330)=0,"",$Y330&amp;$Z330&amp;$AA330&amp;$AB330&amp;$AC330)</f>
        <v/>
      </c>
      <c r="AG330">
        <f>IF($N330="","",LOWER(TRIM($N330)))</f>
        <v/>
      </c>
      <c r="AH330">
        <f>IF($A330="","",COUNTIFS($A$2:$A$501,$A330,$AI$2:$AI$501,1))</f>
        <v/>
      </c>
      <c r="AI330">
        <f>IF(COUNTA($A330:$U330)=0,"",--($AF330&lt;&gt;""))</f>
        <v/>
      </c>
      <c r="AJ330">
        <f>IF(COUNTA($A330:$U330)=0,"",--($AD330&lt;&gt;""))</f>
        <v/>
      </c>
    </row>
    <row r="331" ht="20" customHeight="1">
      <c r="A331" s="80" t="n"/>
      <c r="B331" s="80" t="n"/>
      <c r="C331" s="81" t="n"/>
      <c r="D331" s="81" t="n"/>
      <c r="E331" s="80" t="n"/>
      <c r="F331" s="81" t="n"/>
      <c r="G331" s="81" t="n"/>
      <c r="H331" s="81" t="n"/>
      <c r="I331" s="80" t="n"/>
      <c r="J331" s="80" t="n"/>
      <c r="K331" s="80" t="n"/>
      <c r="L331" s="82" t="n"/>
      <c r="M331" s="80" t="n"/>
      <c r="N331" s="80" t="n"/>
      <c r="O331" s="80" t="n"/>
      <c r="P331" s="82" t="n"/>
      <c r="Q331" s="82" t="n"/>
      <c r="R331" s="80" t="n"/>
      <c r="S331" s="80" t="n"/>
      <c r="T331" s="80" t="n"/>
      <c r="U331" s="83" t="n"/>
      <c r="V331">
        <f>IF($A331="","",IF($A331=$A330,$V330,IF($V330="",0,1-$V330)))</f>
        <v/>
      </c>
      <c r="W331">
        <f>IF($B331&lt;&gt;"",$B331,$A331)</f>
        <v/>
      </c>
      <c r="X331">
        <f>IF(COUNTA($A331:$U331)=0,"",IF(OR($B331&lt;&gt;"",$O331&lt;&gt;""),"Dependent","Employee"))</f>
        <v/>
      </c>
      <c r="Y331">
        <f>IF(COUNTA($A331:$U331)=0,"",IF($A331="","Employee SSN is required; ","")&amp;IF($C331="","First Name is required; ","")&amp;IF(LEN($C331&amp;"")&gt;19,"First Name exceeds 19 characters; ","")&amp;IF(AND($C331&lt;&gt;"",SUMPRODUCT(--(ROW($1:$19)&lt;=LEN($C331&amp;"")),--ISERROR(FIND(MID($C331&amp;"",ROW($1:$19),1),"ABCDEFGHIJKLMNOPQRSTUVWXYZabcdefghijklmnopqrstuvwxyz .,")))&gt;0),"First Name contains unsupported or encoded characters; use plain A-Z letters only; ","")&amp;IF($D331="","Last Name is required; ","")&amp;IF(LEN($D331&amp;"")&gt;26,"Last Name exceeds 26 characters; ","")&amp;IF(AND($D331&lt;&gt;"",SUMPRODUCT(--(ROW($1:$26)&lt;=LEN($D331&amp;"")),--ISERROR(FIND(MID($D331&amp;"",ROW($1:$26),1),"ABCDEFGHIJKLMNOPQRSTUVWXYZabcdefghijklmnopqrstuvwxyz .,")))&gt;0),"Last Name contains unsupported or encoded characters; use plain A-Z letters only; ","")&amp;IF(LEN($E331&amp;"")&gt;1,"Middle Initial may contain only one character; ","")&amp;IF(AND($E331&lt;&gt;"",SUMPRODUCT(--(ROW($1:$1)&lt;=LEN($E331&amp;"")),--ISERROR(FIND(MID($E331&amp;"",ROW($1:$1),1),"ABCDEFGHIJKLMNOPQRSTUVWXYZabcdefghijklmnopqrstuvwxyz .,")))&gt;0),"Middle Initial must be a plain A-Z letter; ","")&amp;IF($F331="","Address is required; ","")&amp;IF(LEN($F331&amp;"")&gt;75,"Address exceeds 75 characters; ","")&amp;IF(LEN($G331&amp;"")&gt;75,"Address 2 exceeds 75 characters; ","")&amp;IF($H331="","City is required; ","")&amp;IF(LEN($H331&amp;"")&gt;30,"City exceeds 30 characters; ","")&amp;IF($K331="","Country is required; ","")&amp;IF(AND($K331&lt;&gt;"",$K331&lt;&gt;"US",$K331&lt;&gt;"CA"),"Country must be US or CA; ","")&amp;IF(AND($K331="US",OR($I331="",LEN($I331&amp;"")&lt;&gt;2)),"Use a 2-letter state code; ","")&amp;IF($J331="","ZIP or postal code is required; ","")&amp;IF(AND($K331="US",$J331&lt;&gt;"",NOT(IFERROR(OR(AND(LEN($J331&amp;"")=5,ISNUMBER(--($J331&amp;""))),AND(LEN($J331&amp;"")=9,ISNUMBER(--($J331&amp;""))),AND(LEN($J331&amp;"")=10,MID($J331&amp;"",6,1)="-",ISNUMBER(--SUBSTITUTE($J331&amp;"","-","")))),FALSE))),"US ZIP must be 5 or 9 digits, with an optional ZIP+4 hyphen; ","")&amp;IF(AND($N331&lt;&gt;"",NOT(IFERROR(AND(ISNUMBER(SEARCH("@",$N331)),ISNUMBER(SEARCH(".",$N331,SEARCH("@",$N331)+2))),FALSE))),"Email format appears invalid; ","")&amp;IF(AND($O331&lt;&gt;"",$B331=""),"Dependent SSN is required for every dependent; ","")&amp;IF(AND($B331&lt;&gt;"",$O331=""),"Dependent Relationship is required when Dependent SSN is entered; ","")&amp;IF(AND($O331&lt;&gt;"",$O331&lt;&gt;"Spouse or Common Law Spouse",$O331&lt;&gt;"Domestic Partner",$O331&lt;&gt;"Child",$O331&lt;&gt;"Other",$O331&lt;&gt;"Estate",$O331&lt;&gt;"Unknown"),"Dependent Relationship must use one of the approved options; ",""))</f>
        <v/>
      </c>
      <c r="Z331">
        <f>IF(COUNTA($A331:$U331)=0,"",IF(AND($A331&lt;&gt;"",NOT(IFERROR(AND(LEN($A331&amp;"")=9,ISNUMBER(--($A331&amp;""))),FALSE))),"Employee SSN must contain exactly 9 digits; ","")&amp;IF(AND($A331&lt;&gt;"",OR($A331="123456789",$A331="987654321",$A331="012345678",$A331=REPT(LEFT($A331&amp;"",1),9))),"Employee SSN appears to be a placeholder; ","")&amp;IF(AND($B331&lt;&gt;"",NOT(IFERROR(AND(LEN($B331&amp;"")=9,ISNUMBER(--($B331&amp;""))),FALSE))),"Dependent SSN must contain exactly 9 digits; ","")&amp;IF(AND($B331&lt;&gt;"",OR($B331="123456789",$B331="987654321",$B331="012345678",$B331=REPT(LEFT($B331&amp;"",1),9))),"Dependent SSN appears to be a placeholder; ","")&amp;IF(AND($A331&lt;&gt;"",$B331&lt;&gt;"",$A331&amp;""=$B331&amp;""),"Dependent SSN cannot match Employee SSN; ","")&amp;IF(AND($W331&lt;&gt;"",OR(COUNTIFS($W$2:$W$501,$W331,$C$2:$C$501,"&lt;&gt;"&amp;$C331)&gt;0,COUNTIFS($W$2:$W$501,$W331,$D$2:$D$501,"&lt;&gt;"&amp;$D331)&gt;0,COUNTIFS($W$2:$W$501,$W331,$L$2:$L$501,"&lt;&gt;"&amp;$L331)&gt;0)),"The same SSN is associated with a different name or birthdate; ",""))</f>
        <v/>
      </c>
      <c r="AA331">
        <f>IF(COUNTA($A331:$U331)=0,"",IF(AND($A331&lt;&gt;"",$S331&lt;&gt;"",COUNTIFS($A$2:$A$501,$A331,$S$2:$S$501,$S331,$B$2:$B$501,"",$O$2:$O$501,"")=0),"Add an employee row for this household and plan; ","")&amp;IF(AND($X331="Dependent",COUNTIFS($A$2:$A331,$A331,$S$2:$S331,$S331,$B$2:$B331,"",$O$2:$O331,"")=0),"Place the employee row before dependent rows for this plan; ","")&amp;IF(AND($X331="Dependent",COUNTIFS($A$2:$A$501,$A331,$S$2:$S$501,$S331,$B$2:$B$501,"",$O$2:$O$501,"")&gt;0,IFERROR(OR($P331&lt;&gt;LOOKUP(2,1/(($A$2:$A$501=$A331)*($S$2:$S$501=$S331)*($B$2:$B$501="")*($O$2:$O$501="")),$P$2:$P$501),$Q331&lt;&gt;LOOKUP(2,1/(($A$2:$A$501=$A331)*($S$2:$S$501=$S331)*($B$2:$B$501="")*($O$2:$O$501="")),$Q$2:$Q$501),$R331&lt;&gt;LOOKUP(2,1/(($A$2:$A$501=$A331)*($S$2:$S$501=$S331)*($B$2:$B$501="")*($O$2:$O$501="")),$R$2:$R$501),$T331&lt;&gt;LOOKUP(2,1/(($A$2:$A$501=$A331)*($S$2:$S$501=$S331)*($B$2:$B$501="")*($O$2:$O$501="")),$T$2:$T$501),$U331&lt;&gt;LOOKUP(2,1/(($A$2:$A$501=$A331)*($S$2:$S$501=$S331)*($B$2:$B$501="")*($O$2:$O$501="")),$U$2:$U$501)),FALSE)),"Dependent row does not match the employee row for eligibility, status, coverage level, or funding; ",""))</f>
        <v/>
      </c>
      <c r="AB331">
        <f>IF(COUNTA($A331:$U331)=0,"",IF($L331="","Birthdate is required; ","")&amp;IF(AND($L331&lt;&gt;"",OR(NOT(ISNUMBER($L331)),$L331&lt;=DATE(1900,1,1),$L331&gt;TODAY())),"Birthdate must be an exact valid past date; ","")&amp;IF($P331="","Eligibility Date is required; ","")&amp;IF(AND($P331&lt;&gt;"",OR(NOT(ISNUMBER($P331)),$P331&lt;=DATE(1900,1,1))),"Eligibility Date must be a valid date; ","")&amp;IF(AND($R331="Terminated",$Q331=""),"Termination Date is required when Status is Terminated; ","")&amp;IF(AND($Q331&lt;&gt;"",OR(NOT(ISNUMBER($Q331)),$Q331&lt;=DATE(1900,1,1))),"Termination Date must be a valid date; ","")&amp;IF(AND(ISNUMBER($P331),ISNUMBER($Q331),$Q331&lt;$P331),"Termination Date cannot be before Eligibility Date; ","")&amp;IF($R331="","Status is required; ","")&amp;IF(AND($R331&lt;&gt;"",$R331&lt;&gt;"Active",$R331&lt;&gt;"Terminated"),"Status must be Active or Terminated; ","")&amp;IF(AND('START HERE'!$C$8="Terminations Only",$R331&lt;&gt;"Terminated"),"Terminations Only files must contain terminated records; ",""))</f>
        <v/>
      </c>
      <c r="AC331">
        <f>IF(COUNTA($A331:$U331)=0,"",IF($S331="","Plan Name is required; ","")&amp;IF($T331="","Benefit Coverage Level is required; ","")&amp;IF(AND($U331&lt;&gt;"",OR(NOT(ISNUMBER($U331)),$U331&lt;0)),"Plan Funding Amount must be a nonnegative number; ","")&amp;IF(AND($A331&lt;&gt;"",$S331&lt;&gt;"",COUNTIFS($A$2:$A$501,$A331,$B$2:$B$501,$B331,$S$2:$S$501,$S331)&gt;1),"Duplicate participant and plan row; ",""))</f>
        <v/>
      </c>
      <c r="AD331">
        <f>IF(COUNTA($A331:$U331)=0,"",IF(AND($X331="Employee",$M331="",$N331=""),"No employee phone or email provided; ","")&amp;IF(AND($R331="Active",$Q331&lt;&gt;""),"Active record includes a Termination Date; confirm this is intentional; ","")&amp;IF(AND($B331&lt;&gt;"",$B331&amp;""&lt;&gt;$A331&amp;"",COUNTIF($A$2:$A$501,$B331)&gt;0),"Dependent SSN also appears as an Employee SSN elsewhere; confirm dual-employee coverage is intentional; ","")&amp;IF(AND($B331&lt;&gt;"",COUNTIF($B$2:$B$501,$B331)&gt;COUNTIFS($A$2:$A$501,$A331,$B$2:$B$501,$B331)),"Dependent SSN appears under more than one employee; confirm duplicate family coverage is intentional; ","")&amp;IF(AND(ROW()&gt;2,$A331&lt;&gt;"",$A331&lt;&gt;$A330,COUNTIF($A$2:$A330,$A331)&gt;0),"This household appears in more than one section of the census; keep the family together; ","")&amp;IF(OR(AND($C331&lt;&gt;"",LEN($C331&amp;"")&lt;&gt;LEN(TRIM($C331&amp;""))),AND($D331&lt;&gt;"",LEN($D331&amp;"")&lt;&gt;LEN(TRIM($D331&amp;""))),AND($E331&lt;&gt;"",LEN($E331&amp;"")&lt;&gt;LEN(TRIM($E331&amp;""))),AND($F331&lt;&gt;"",LEN($F331&amp;"")&lt;&gt;LEN(TRIM($F331&amp;""))),AND($G331&lt;&gt;"",LEN($G331&amp;"")&lt;&gt;LEN(TRIM($G331&amp;""))),AND($H331&lt;&gt;"",LEN($H331&amp;"")&lt;&gt;LEN(TRIM($H331&amp;""))),AND($I331&lt;&gt;"",LEN($I331&amp;"")&lt;&gt;LEN(TRIM($I331&amp;""))),AND($J331&lt;&gt;"",LEN($J331&amp;"")&lt;&gt;LEN(TRIM($J331&amp;""))),AND($K331&lt;&gt;"",LEN($K331&amp;"")&lt;&gt;LEN(TRIM($K331&amp;""))),AND($M331&lt;&gt;"",LEN($M331&amp;"")&lt;&gt;LEN(TRIM($M331&amp;""))),AND($N331&lt;&gt;"",LEN($N331&amp;"")&lt;&gt;LEN(TRIM($N331&amp;""))),AND($O331&lt;&gt;"",LEN($O331&amp;"")&lt;&gt;LEN(TRIM($O331&amp;""))),AND($R331&lt;&gt;"",LEN($R331&amp;"")&lt;&gt;LEN(TRIM($R331&amp;""))),AND($S331&lt;&gt;"",LEN($S331&amp;"")&lt;&gt;LEN(TRIM($S331&amp;""))),AND($T331&lt;&gt;"",LEN($T331&amp;"")&lt;&gt;LEN(TRIM($T331&amp;"")))),"Remove leading or trailing spaces from text fields; ","")&amp;IF(OR(AND(LEN($C331)&gt;1,OR(EXACT($C331,UPPER($C331)),EXACT($C331,LOWER($C331)))),AND(LEN($D331)&gt;1,OR(EXACT($D331,UPPER($D331)),EXACT($D331,LOWER($D331)))),AND(LEN($H331)&gt;1,OR(EXACT($H331,UPPER($H331)),EXACT($H331,LOWER($H331))))),"Review capitalization in First Name, Last Name, or City; ","")&amp;IF(AND($N331&lt;&gt;"",NOT(EXACT($N331,LOWER($N331)))),"Email will be standardized to lowercase in the clean output; ","")&amp;IF(AND(OR('START HERE'!$C$8="Initial Enrollment",'START HERE'!$C$8="Open Enrollment"),$R331="Terminated"),"A terminated row is included in an initial or open enrollment file; confirm this is intentional; ",""))</f>
        <v/>
      </c>
      <c r="AE331">
        <f>IF(COUNTA($A331:$U331)=0,"",IF(OR($A331="",AND($A331&lt;&gt;"",NOT(IFERROR(AND(LEN($A331&amp;"")=9,ISNUMBER(--($A331&amp;""))),FALSE))),AND($A331&lt;&gt;"",OR($A331="123456789",$A331="987654321",$A331="012345678",$A331=REPT(LEFT($A331&amp;"",1),9)))),"Employee SSN, ","")&amp;IF(OR(AND($O331&lt;&gt;"",$B331=""),AND($B331&lt;&gt;"",OR(NOT(IFERROR(AND(LEN($B331&amp;"")=9,ISNUMBER(--($B331&amp;""))),FALSE)),$B331=$A331,$B331="123456789",$B331="987654321",$B331="012345678",$B331=REPT(LEFT($B331&amp;"",1),9)))),"Dependent SSN, ","")&amp;IF(OR($C331="",LEN($C331)&gt;19,AND($C331&lt;&gt;"",SUMPRODUCT(--(ROW($1:$19)&lt;=LEN($C331&amp;"")),--ISERROR(FIND(MID($C331&amp;"",ROW($1:$19),1),"ABCDEFGHIJKLMNOPQRSTUVWXYZabcdefghijklmnopqrstuvwxyz .,")))&gt;0)),"First Name, ","")&amp;IF(OR($D331="",LEN($D331)&gt;26,AND($D331&lt;&gt;"",SUMPRODUCT(--(ROW($1:$26)&lt;=LEN($D331&amp;"")),--ISERROR(FIND(MID($D331&amp;"",ROW($1:$26),1),"ABCDEFGHIJKLMNOPQRSTUVWXYZabcdefghijklmnopqrstuvwxyz .,")))&gt;0)),"Last Name, ","")&amp;IF(OR(LEN($E331)&gt;1,AND($E331&lt;&gt;"",SUMPRODUCT(--(ROW($1:$1)&lt;=LEN($E331&amp;"")),--ISERROR(FIND(MID($E331&amp;"",ROW($1:$1),1),"ABCDEFGHIJKLMNOPQRSTUVWXYZabcdefghijklmnopqrstuvwxyz .,")))&gt;0)),"Middle Initial, ","")&amp;IF(OR($F331="",LEN($F331)&gt;75),"Address, ","")&amp;IF(OR($H331="",LEN($H331)&gt;30),"City, ","")&amp;IF(AND($K331="US",OR($I331="",LEN($I331)&lt;&gt;2)),"State, ","")&amp;IF($J331="","ZIP, ","")&amp;IF(OR($K331="",AND($K331&lt;&gt;"US",$K331&lt;&gt;"CA")),"Country, ","")&amp;IF(OR($L331="",AND($L331&lt;&gt;"",OR(NOT(ISNUMBER($L331)),$L331&lt;=DATE(1900,1,1),$L331&gt;TODAY()))),"Birthdate, ","")&amp;IF(AND($N331&lt;&gt;"",NOT(IFERROR(AND(ISNUMBER(SEARCH("@",$N331)),ISNUMBER(SEARCH(".",$N331,SEARCH("@",$N331)+2))),FALSE))),"Email, ","")&amp;IF(OR(AND($B331&lt;&gt;"",$O331=""),AND($O331&lt;&gt;"",$O331&lt;&gt;"Spouse or Common Law Spouse",$O331&lt;&gt;"Domestic Partner",$O331&lt;&gt;"Child",$O331&lt;&gt;"Other",$O331&lt;&gt;"Estate",$O331&lt;&gt;"Unknown")),"Dependent Relationship, ","")&amp;IF($AA331&lt;&gt;"","Household, ","")&amp;IF(OR($P331="",AND($P331&lt;&gt;"",OR(NOT(ISNUMBER($P331)),$P331&lt;=DATE(1900,1,1)))),"Eligibility Date, ","")&amp;IF(OR(AND($R331="Terminated",$Q331=""),AND($Q331&lt;&gt;"",OR(NOT(ISNUMBER($Q331)),$Q331&lt;=DATE(1900,1,1))),AND(ISNUMBER($P331),ISNUMBER($Q331),$Q331&lt;$P331)),"Termination Date, ","")&amp;IF(OR($R331="",AND($R331&lt;&gt;"Active",$R331&lt;&gt;"Terminated"),AND('START HERE'!$C$8="Terminations Only",$R331&lt;&gt;"Terminated")),"Status, ","")&amp;IF($S331="","Plan Name, ","")&amp;IF($T331="","Coverage Level, ","")&amp;IF(AND($U331&lt;&gt;"",OR(NOT(ISNUMBER($U331)),$U331&lt;0)),"Funding, ","")&amp;IF(AND($A331&lt;&gt;"",$S331&lt;&gt;"",COUNTIFS($A$2:$A$501,$A331,$B$2:$B$501,$B331,$S$2:$S$501,$S331)&gt;1),"Duplicate Row, ",""))</f>
        <v/>
      </c>
      <c r="AF331">
        <f>IF(COUNTA($A331:$U331)=0,"",$Y331&amp;$Z331&amp;$AA331&amp;$AB331&amp;$AC331)</f>
        <v/>
      </c>
      <c r="AG331">
        <f>IF($N331="","",LOWER(TRIM($N331)))</f>
        <v/>
      </c>
      <c r="AH331">
        <f>IF($A331="","",COUNTIFS($A$2:$A$501,$A331,$AI$2:$AI$501,1))</f>
        <v/>
      </c>
      <c r="AI331">
        <f>IF(COUNTA($A331:$U331)=0,"",--($AF331&lt;&gt;""))</f>
        <v/>
      </c>
      <c r="AJ331">
        <f>IF(COUNTA($A331:$U331)=0,"",--($AD331&lt;&gt;""))</f>
        <v/>
      </c>
    </row>
    <row r="332" ht="20" customHeight="1">
      <c r="A332" s="80" t="n"/>
      <c r="B332" s="80" t="n"/>
      <c r="C332" s="81" t="n"/>
      <c r="D332" s="81" t="n"/>
      <c r="E332" s="80" t="n"/>
      <c r="F332" s="81" t="n"/>
      <c r="G332" s="81" t="n"/>
      <c r="H332" s="81" t="n"/>
      <c r="I332" s="80" t="n"/>
      <c r="J332" s="80" t="n"/>
      <c r="K332" s="80" t="n"/>
      <c r="L332" s="82" t="n"/>
      <c r="M332" s="80" t="n"/>
      <c r="N332" s="80" t="n"/>
      <c r="O332" s="80" t="n"/>
      <c r="P332" s="82" t="n"/>
      <c r="Q332" s="82" t="n"/>
      <c r="R332" s="80" t="n"/>
      <c r="S332" s="80" t="n"/>
      <c r="T332" s="80" t="n"/>
      <c r="U332" s="83" t="n"/>
      <c r="V332">
        <f>IF($A332="","",IF($A332=$A331,$V331,IF($V331="",0,1-$V331)))</f>
        <v/>
      </c>
      <c r="W332">
        <f>IF($B332&lt;&gt;"",$B332,$A332)</f>
        <v/>
      </c>
      <c r="X332">
        <f>IF(COUNTA($A332:$U332)=0,"",IF(OR($B332&lt;&gt;"",$O332&lt;&gt;""),"Dependent","Employee"))</f>
        <v/>
      </c>
      <c r="Y332">
        <f>IF(COUNTA($A332:$U332)=0,"",IF($A332="","Employee SSN is required; ","")&amp;IF($C332="","First Name is required; ","")&amp;IF(LEN($C332&amp;"")&gt;19,"First Name exceeds 19 characters; ","")&amp;IF(AND($C332&lt;&gt;"",SUMPRODUCT(--(ROW($1:$19)&lt;=LEN($C332&amp;"")),--ISERROR(FIND(MID($C332&amp;"",ROW($1:$19),1),"ABCDEFGHIJKLMNOPQRSTUVWXYZabcdefghijklmnopqrstuvwxyz .,")))&gt;0),"First Name contains unsupported or encoded characters; use plain A-Z letters only; ","")&amp;IF($D332="","Last Name is required; ","")&amp;IF(LEN($D332&amp;"")&gt;26,"Last Name exceeds 26 characters; ","")&amp;IF(AND($D332&lt;&gt;"",SUMPRODUCT(--(ROW($1:$26)&lt;=LEN($D332&amp;"")),--ISERROR(FIND(MID($D332&amp;"",ROW($1:$26),1),"ABCDEFGHIJKLMNOPQRSTUVWXYZabcdefghijklmnopqrstuvwxyz .,")))&gt;0),"Last Name contains unsupported or encoded characters; use plain A-Z letters only; ","")&amp;IF(LEN($E332&amp;"")&gt;1,"Middle Initial may contain only one character; ","")&amp;IF(AND($E332&lt;&gt;"",SUMPRODUCT(--(ROW($1:$1)&lt;=LEN($E332&amp;"")),--ISERROR(FIND(MID($E332&amp;"",ROW($1:$1),1),"ABCDEFGHIJKLMNOPQRSTUVWXYZabcdefghijklmnopqrstuvwxyz .,")))&gt;0),"Middle Initial must be a plain A-Z letter; ","")&amp;IF($F332="","Address is required; ","")&amp;IF(LEN($F332&amp;"")&gt;75,"Address exceeds 75 characters; ","")&amp;IF(LEN($G332&amp;"")&gt;75,"Address 2 exceeds 75 characters; ","")&amp;IF($H332="","City is required; ","")&amp;IF(LEN($H332&amp;"")&gt;30,"City exceeds 30 characters; ","")&amp;IF($K332="","Country is required; ","")&amp;IF(AND($K332&lt;&gt;"",$K332&lt;&gt;"US",$K332&lt;&gt;"CA"),"Country must be US or CA; ","")&amp;IF(AND($K332="US",OR($I332="",LEN($I332&amp;"")&lt;&gt;2)),"Use a 2-letter state code; ","")&amp;IF($J332="","ZIP or postal code is required; ","")&amp;IF(AND($K332="US",$J332&lt;&gt;"",NOT(IFERROR(OR(AND(LEN($J332&amp;"")=5,ISNUMBER(--($J332&amp;""))),AND(LEN($J332&amp;"")=9,ISNUMBER(--($J332&amp;""))),AND(LEN($J332&amp;"")=10,MID($J332&amp;"",6,1)="-",ISNUMBER(--SUBSTITUTE($J332&amp;"","-","")))),FALSE))),"US ZIP must be 5 or 9 digits, with an optional ZIP+4 hyphen; ","")&amp;IF(AND($N332&lt;&gt;"",NOT(IFERROR(AND(ISNUMBER(SEARCH("@",$N332)),ISNUMBER(SEARCH(".",$N332,SEARCH("@",$N332)+2))),FALSE))),"Email format appears invalid; ","")&amp;IF(AND($O332&lt;&gt;"",$B332=""),"Dependent SSN is required for every dependent; ","")&amp;IF(AND($B332&lt;&gt;"",$O332=""),"Dependent Relationship is required when Dependent SSN is entered; ","")&amp;IF(AND($O332&lt;&gt;"",$O332&lt;&gt;"Spouse or Common Law Spouse",$O332&lt;&gt;"Domestic Partner",$O332&lt;&gt;"Child",$O332&lt;&gt;"Other",$O332&lt;&gt;"Estate",$O332&lt;&gt;"Unknown"),"Dependent Relationship must use one of the approved options; ",""))</f>
        <v/>
      </c>
      <c r="Z332">
        <f>IF(COUNTA($A332:$U332)=0,"",IF(AND($A332&lt;&gt;"",NOT(IFERROR(AND(LEN($A332&amp;"")=9,ISNUMBER(--($A332&amp;""))),FALSE))),"Employee SSN must contain exactly 9 digits; ","")&amp;IF(AND($A332&lt;&gt;"",OR($A332="123456789",$A332="987654321",$A332="012345678",$A332=REPT(LEFT($A332&amp;"",1),9))),"Employee SSN appears to be a placeholder; ","")&amp;IF(AND($B332&lt;&gt;"",NOT(IFERROR(AND(LEN($B332&amp;"")=9,ISNUMBER(--($B332&amp;""))),FALSE))),"Dependent SSN must contain exactly 9 digits; ","")&amp;IF(AND($B332&lt;&gt;"",OR($B332="123456789",$B332="987654321",$B332="012345678",$B332=REPT(LEFT($B332&amp;"",1),9))),"Dependent SSN appears to be a placeholder; ","")&amp;IF(AND($A332&lt;&gt;"",$B332&lt;&gt;"",$A332&amp;""=$B332&amp;""),"Dependent SSN cannot match Employee SSN; ","")&amp;IF(AND($W332&lt;&gt;"",OR(COUNTIFS($W$2:$W$501,$W332,$C$2:$C$501,"&lt;&gt;"&amp;$C332)&gt;0,COUNTIFS($W$2:$W$501,$W332,$D$2:$D$501,"&lt;&gt;"&amp;$D332)&gt;0,COUNTIFS($W$2:$W$501,$W332,$L$2:$L$501,"&lt;&gt;"&amp;$L332)&gt;0)),"The same SSN is associated with a different name or birthdate; ",""))</f>
        <v/>
      </c>
      <c r="AA332">
        <f>IF(COUNTA($A332:$U332)=0,"",IF(AND($A332&lt;&gt;"",$S332&lt;&gt;"",COUNTIFS($A$2:$A$501,$A332,$S$2:$S$501,$S332,$B$2:$B$501,"",$O$2:$O$501,"")=0),"Add an employee row for this household and plan; ","")&amp;IF(AND($X332="Dependent",COUNTIFS($A$2:$A332,$A332,$S$2:$S332,$S332,$B$2:$B332,"",$O$2:$O332,"")=0),"Place the employee row before dependent rows for this plan; ","")&amp;IF(AND($X332="Dependent",COUNTIFS($A$2:$A$501,$A332,$S$2:$S$501,$S332,$B$2:$B$501,"",$O$2:$O$501,"")&gt;0,IFERROR(OR($P332&lt;&gt;LOOKUP(2,1/(($A$2:$A$501=$A332)*($S$2:$S$501=$S332)*($B$2:$B$501="")*($O$2:$O$501="")),$P$2:$P$501),$Q332&lt;&gt;LOOKUP(2,1/(($A$2:$A$501=$A332)*($S$2:$S$501=$S332)*($B$2:$B$501="")*($O$2:$O$501="")),$Q$2:$Q$501),$R332&lt;&gt;LOOKUP(2,1/(($A$2:$A$501=$A332)*($S$2:$S$501=$S332)*($B$2:$B$501="")*($O$2:$O$501="")),$R$2:$R$501),$T332&lt;&gt;LOOKUP(2,1/(($A$2:$A$501=$A332)*($S$2:$S$501=$S332)*($B$2:$B$501="")*($O$2:$O$501="")),$T$2:$T$501),$U332&lt;&gt;LOOKUP(2,1/(($A$2:$A$501=$A332)*($S$2:$S$501=$S332)*($B$2:$B$501="")*($O$2:$O$501="")),$U$2:$U$501)),FALSE)),"Dependent row does not match the employee row for eligibility, status, coverage level, or funding; ",""))</f>
        <v/>
      </c>
      <c r="AB332">
        <f>IF(COUNTA($A332:$U332)=0,"",IF($L332="","Birthdate is required; ","")&amp;IF(AND($L332&lt;&gt;"",OR(NOT(ISNUMBER($L332)),$L332&lt;=DATE(1900,1,1),$L332&gt;TODAY())),"Birthdate must be an exact valid past date; ","")&amp;IF($P332="","Eligibility Date is required; ","")&amp;IF(AND($P332&lt;&gt;"",OR(NOT(ISNUMBER($P332)),$P332&lt;=DATE(1900,1,1))),"Eligibility Date must be a valid date; ","")&amp;IF(AND($R332="Terminated",$Q332=""),"Termination Date is required when Status is Terminated; ","")&amp;IF(AND($Q332&lt;&gt;"",OR(NOT(ISNUMBER($Q332)),$Q332&lt;=DATE(1900,1,1))),"Termination Date must be a valid date; ","")&amp;IF(AND(ISNUMBER($P332),ISNUMBER($Q332),$Q332&lt;$P332),"Termination Date cannot be before Eligibility Date; ","")&amp;IF($R332="","Status is required; ","")&amp;IF(AND($R332&lt;&gt;"",$R332&lt;&gt;"Active",$R332&lt;&gt;"Terminated"),"Status must be Active or Terminated; ","")&amp;IF(AND('START HERE'!$C$8="Terminations Only",$R332&lt;&gt;"Terminated"),"Terminations Only files must contain terminated records; ",""))</f>
        <v/>
      </c>
      <c r="AC332">
        <f>IF(COUNTA($A332:$U332)=0,"",IF($S332="","Plan Name is required; ","")&amp;IF($T332="","Benefit Coverage Level is required; ","")&amp;IF(AND($U332&lt;&gt;"",OR(NOT(ISNUMBER($U332)),$U332&lt;0)),"Plan Funding Amount must be a nonnegative number; ","")&amp;IF(AND($A332&lt;&gt;"",$S332&lt;&gt;"",COUNTIFS($A$2:$A$501,$A332,$B$2:$B$501,$B332,$S$2:$S$501,$S332)&gt;1),"Duplicate participant and plan row; ",""))</f>
        <v/>
      </c>
      <c r="AD332">
        <f>IF(COUNTA($A332:$U332)=0,"",IF(AND($X332="Employee",$M332="",$N332=""),"No employee phone or email provided; ","")&amp;IF(AND($R332="Active",$Q332&lt;&gt;""),"Active record includes a Termination Date; confirm this is intentional; ","")&amp;IF(AND($B332&lt;&gt;"",$B332&amp;""&lt;&gt;$A332&amp;"",COUNTIF($A$2:$A$501,$B332)&gt;0),"Dependent SSN also appears as an Employee SSN elsewhere; confirm dual-employee coverage is intentional; ","")&amp;IF(AND($B332&lt;&gt;"",COUNTIF($B$2:$B$501,$B332)&gt;COUNTIFS($A$2:$A$501,$A332,$B$2:$B$501,$B332)),"Dependent SSN appears under more than one employee; confirm duplicate family coverage is intentional; ","")&amp;IF(AND(ROW()&gt;2,$A332&lt;&gt;"",$A332&lt;&gt;$A331,COUNTIF($A$2:$A331,$A332)&gt;0),"This household appears in more than one section of the census; keep the family together; ","")&amp;IF(OR(AND($C332&lt;&gt;"",LEN($C332&amp;"")&lt;&gt;LEN(TRIM($C332&amp;""))),AND($D332&lt;&gt;"",LEN($D332&amp;"")&lt;&gt;LEN(TRIM($D332&amp;""))),AND($E332&lt;&gt;"",LEN($E332&amp;"")&lt;&gt;LEN(TRIM($E332&amp;""))),AND($F332&lt;&gt;"",LEN($F332&amp;"")&lt;&gt;LEN(TRIM($F332&amp;""))),AND($G332&lt;&gt;"",LEN($G332&amp;"")&lt;&gt;LEN(TRIM($G332&amp;""))),AND($H332&lt;&gt;"",LEN($H332&amp;"")&lt;&gt;LEN(TRIM($H332&amp;""))),AND($I332&lt;&gt;"",LEN($I332&amp;"")&lt;&gt;LEN(TRIM($I332&amp;""))),AND($J332&lt;&gt;"",LEN($J332&amp;"")&lt;&gt;LEN(TRIM($J332&amp;""))),AND($K332&lt;&gt;"",LEN($K332&amp;"")&lt;&gt;LEN(TRIM($K332&amp;""))),AND($M332&lt;&gt;"",LEN($M332&amp;"")&lt;&gt;LEN(TRIM($M332&amp;""))),AND($N332&lt;&gt;"",LEN($N332&amp;"")&lt;&gt;LEN(TRIM($N332&amp;""))),AND($O332&lt;&gt;"",LEN($O332&amp;"")&lt;&gt;LEN(TRIM($O332&amp;""))),AND($R332&lt;&gt;"",LEN($R332&amp;"")&lt;&gt;LEN(TRIM($R332&amp;""))),AND($S332&lt;&gt;"",LEN($S332&amp;"")&lt;&gt;LEN(TRIM($S332&amp;""))),AND($T332&lt;&gt;"",LEN($T332&amp;"")&lt;&gt;LEN(TRIM($T332&amp;"")))),"Remove leading or trailing spaces from text fields; ","")&amp;IF(OR(AND(LEN($C332)&gt;1,OR(EXACT($C332,UPPER($C332)),EXACT($C332,LOWER($C332)))),AND(LEN($D332)&gt;1,OR(EXACT($D332,UPPER($D332)),EXACT($D332,LOWER($D332)))),AND(LEN($H332)&gt;1,OR(EXACT($H332,UPPER($H332)),EXACT($H332,LOWER($H332))))),"Review capitalization in First Name, Last Name, or City; ","")&amp;IF(AND($N332&lt;&gt;"",NOT(EXACT($N332,LOWER($N332)))),"Email will be standardized to lowercase in the clean output; ","")&amp;IF(AND(OR('START HERE'!$C$8="Initial Enrollment",'START HERE'!$C$8="Open Enrollment"),$R332="Terminated"),"A terminated row is included in an initial or open enrollment file; confirm this is intentional; ",""))</f>
        <v/>
      </c>
      <c r="AE332">
        <f>IF(COUNTA($A332:$U332)=0,"",IF(OR($A332="",AND($A332&lt;&gt;"",NOT(IFERROR(AND(LEN($A332&amp;"")=9,ISNUMBER(--($A332&amp;""))),FALSE))),AND($A332&lt;&gt;"",OR($A332="123456789",$A332="987654321",$A332="012345678",$A332=REPT(LEFT($A332&amp;"",1),9)))),"Employee SSN, ","")&amp;IF(OR(AND($O332&lt;&gt;"",$B332=""),AND($B332&lt;&gt;"",OR(NOT(IFERROR(AND(LEN($B332&amp;"")=9,ISNUMBER(--($B332&amp;""))),FALSE)),$B332=$A332,$B332="123456789",$B332="987654321",$B332="012345678",$B332=REPT(LEFT($B332&amp;"",1),9)))),"Dependent SSN, ","")&amp;IF(OR($C332="",LEN($C332)&gt;19,AND($C332&lt;&gt;"",SUMPRODUCT(--(ROW($1:$19)&lt;=LEN($C332&amp;"")),--ISERROR(FIND(MID($C332&amp;"",ROW($1:$19),1),"ABCDEFGHIJKLMNOPQRSTUVWXYZabcdefghijklmnopqrstuvwxyz .,")))&gt;0)),"First Name, ","")&amp;IF(OR($D332="",LEN($D332)&gt;26,AND($D332&lt;&gt;"",SUMPRODUCT(--(ROW($1:$26)&lt;=LEN($D332&amp;"")),--ISERROR(FIND(MID($D332&amp;"",ROW($1:$26),1),"ABCDEFGHIJKLMNOPQRSTUVWXYZabcdefghijklmnopqrstuvwxyz .,")))&gt;0)),"Last Name, ","")&amp;IF(OR(LEN($E332)&gt;1,AND($E332&lt;&gt;"",SUMPRODUCT(--(ROW($1:$1)&lt;=LEN($E332&amp;"")),--ISERROR(FIND(MID($E332&amp;"",ROW($1:$1),1),"ABCDEFGHIJKLMNOPQRSTUVWXYZabcdefghijklmnopqrstuvwxyz .,")))&gt;0)),"Middle Initial, ","")&amp;IF(OR($F332="",LEN($F332)&gt;75),"Address, ","")&amp;IF(OR($H332="",LEN($H332)&gt;30),"City, ","")&amp;IF(AND($K332="US",OR($I332="",LEN($I332)&lt;&gt;2)),"State, ","")&amp;IF($J332="","ZIP, ","")&amp;IF(OR($K332="",AND($K332&lt;&gt;"US",$K332&lt;&gt;"CA")),"Country, ","")&amp;IF(OR($L332="",AND($L332&lt;&gt;"",OR(NOT(ISNUMBER($L332)),$L332&lt;=DATE(1900,1,1),$L332&gt;TODAY()))),"Birthdate, ","")&amp;IF(AND($N332&lt;&gt;"",NOT(IFERROR(AND(ISNUMBER(SEARCH("@",$N332)),ISNUMBER(SEARCH(".",$N332,SEARCH("@",$N332)+2))),FALSE))),"Email, ","")&amp;IF(OR(AND($B332&lt;&gt;"",$O332=""),AND($O332&lt;&gt;"",$O332&lt;&gt;"Spouse or Common Law Spouse",$O332&lt;&gt;"Domestic Partner",$O332&lt;&gt;"Child",$O332&lt;&gt;"Other",$O332&lt;&gt;"Estate",$O332&lt;&gt;"Unknown")),"Dependent Relationship, ","")&amp;IF($AA332&lt;&gt;"","Household, ","")&amp;IF(OR($P332="",AND($P332&lt;&gt;"",OR(NOT(ISNUMBER($P332)),$P332&lt;=DATE(1900,1,1)))),"Eligibility Date, ","")&amp;IF(OR(AND($R332="Terminated",$Q332=""),AND($Q332&lt;&gt;"",OR(NOT(ISNUMBER($Q332)),$Q332&lt;=DATE(1900,1,1))),AND(ISNUMBER($P332),ISNUMBER($Q332),$Q332&lt;$P332)),"Termination Date, ","")&amp;IF(OR($R332="",AND($R332&lt;&gt;"Active",$R332&lt;&gt;"Terminated"),AND('START HERE'!$C$8="Terminations Only",$R332&lt;&gt;"Terminated")),"Status, ","")&amp;IF($S332="","Plan Name, ","")&amp;IF($T332="","Coverage Level, ","")&amp;IF(AND($U332&lt;&gt;"",OR(NOT(ISNUMBER($U332)),$U332&lt;0)),"Funding, ","")&amp;IF(AND($A332&lt;&gt;"",$S332&lt;&gt;"",COUNTIFS($A$2:$A$501,$A332,$B$2:$B$501,$B332,$S$2:$S$501,$S332)&gt;1),"Duplicate Row, ",""))</f>
        <v/>
      </c>
      <c r="AF332">
        <f>IF(COUNTA($A332:$U332)=0,"",$Y332&amp;$Z332&amp;$AA332&amp;$AB332&amp;$AC332)</f>
        <v/>
      </c>
      <c r="AG332">
        <f>IF($N332="","",LOWER(TRIM($N332)))</f>
        <v/>
      </c>
      <c r="AH332">
        <f>IF($A332="","",COUNTIFS($A$2:$A$501,$A332,$AI$2:$AI$501,1))</f>
        <v/>
      </c>
      <c r="AI332">
        <f>IF(COUNTA($A332:$U332)=0,"",--($AF332&lt;&gt;""))</f>
        <v/>
      </c>
      <c r="AJ332">
        <f>IF(COUNTA($A332:$U332)=0,"",--($AD332&lt;&gt;""))</f>
        <v/>
      </c>
    </row>
    <row r="333" ht="20" customHeight="1">
      <c r="A333" s="80" t="n"/>
      <c r="B333" s="80" t="n"/>
      <c r="C333" s="81" t="n"/>
      <c r="D333" s="81" t="n"/>
      <c r="E333" s="80" t="n"/>
      <c r="F333" s="81" t="n"/>
      <c r="G333" s="81" t="n"/>
      <c r="H333" s="81" t="n"/>
      <c r="I333" s="80" t="n"/>
      <c r="J333" s="80" t="n"/>
      <c r="K333" s="80" t="n"/>
      <c r="L333" s="82" t="n"/>
      <c r="M333" s="80" t="n"/>
      <c r="N333" s="80" t="n"/>
      <c r="O333" s="80" t="n"/>
      <c r="P333" s="82" t="n"/>
      <c r="Q333" s="82" t="n"/>
      <c r="R333" s="80" t="n"/>
      <c r="S333" s="80" t="n"/>
      <c r="T333" s="80" t="n"/>
      <c r="U333" s="83" t="n"/>
      <c r="V333">
        <f>IF($A333="","",IF($A333=$A332,$V332,IF($V332="",0,1-$V332)))</f>
        <v/>
      </c>
      <c r="W333">
        <f>IF($B333&lt;&gt;"",$B333,$A333)</f>
        <v/>
      </c>
      <c r="X333">
        <f>IF(COUNTA($A333:$U333)=0,"",IF(OR($B333&lt;&gt;"",$O333&lt;&gt;""),"Dependent","Employee"))</f>
        <v/>
      </c>
      <c r="Y333">
        <f>IF(COUNTA($A333:$U333)=0,"",IF($A333="","Employee SSN is required; ","")&amp;IF($C333="","First Name is required; ","")&amp;IF(LEN($C333&amp;"")&gt;19,"First Name exceeds 19 characters; ","")&amp;IF(AND($C333&lt;&gt;"",SUMPRODUCT(--(ROW($1:$19)&lt;=LEN($C333&amp;"")),--ISERROR(FIND(MID($C333&amp;"",ROW($1:$19),1),"ABCDEFGHIJKLMNOPQRSTUVWXYZabcdefghijklmnopqrstuvwxyz .,")))&gt;0),"First Name contains unsupported or encoded characters; use plain A-Z letters only; ","")&amp;IF($D333="","Last Name is required; ","")&amp;IF(LEN($D333&amp;"")&gt;26,"Last Name exceeds 26 characters; ","")&amp;IF(AND($D333&lt;&gt;"",SUMPRODUCT(--(ROW($1:$26)&lt;=LEN($D333&amp;"")),--ISERROR(FIND(MID($D333&amp;"",ROW($1:$26),1),"ABCDEFGHIJKLMNOPQRSTUVWXYZabcdefghijklmnopqrstuvwxyz .,")))&gt;0),"Last Name contains unsupported or encoded characters; use plain A-Z letters only; ","")&amp;IF(LEN($E333&amp;"")&gt;1,"Middle Initial may contain only one character; ","")&amp;IF(AND($E333&lt;&gt;"",SUMPRODUCT(--(ROW($1:$1)&lt;=LEN($E333&amp;"")),--ISERROR(FIND(MID($E333&amp;"",ROW($1:$1),1),"ABCDEFGHIJKLMNOPQRSTUVWXYZabcdefghijklmnopqrstuvwxyz .,")))&gt;0),"Middle Initial must be a plain A-Z letter; ","")&amp;IF($F333="","Address is required; ","")&amp;IF(LEN($F333&amp;"")&gt;75,"Address exceeds 75 characters; ","")&amp;IF(LEN($G333&amp;"")&gt;75,"Address 2 exceeds 75 characters; ","")&amp;IF($H333="","City is required; ","")&amp;IF(LEN($H333&amp;"")&gt;30,"City exceeds 30 characters; ","")&amp;IF($K333="","Country is required; ","")&amp;IF(AND($K333&lt;&gt;"",$K333&lt;&gt;"US",$K333&lt;&gt;"CA"),"Country must be US or CA; ","")&amp;IF(AND($K333="US",OR($I333="",LEN($I333&amp;"")&lt;&gt;2)),"Use a 2-letter state code; ","")&amp;IF($J333="","ZIP or postal code is required; ","")&amp;IF(AND($K333="US",$J333&lt;&gt;"",NOT(IFERROR(OR(AND(LEN($J333&amp;"")=5,ISNUMBER(--($J333&amp;""))),AND(LEN($J333&amp;"")=9,ISNUMBER(--($J333&amp;""))),AND(LEN($J333&amp;"")=10,MID($J333&amp;"",6,1)="-",ISNUMBER(--SUBSTITUTE($J333&amp;"","-","")))),FALSE))),"US ZIP must be 5 or 9 digits, with an optional ZIP+4 hyphen; ","")&amp;IF(AND($N333&lt;&gt;"",NOT(IFERROR(AND(ISNUMBER(SEARCH("@",$N333)),ISNUMBER(SEARCH(".",$N333,SEARCH("@",$N333)+2))),FALSE))),"Email format appears invalid; ","")&amp;IF(AND($O333&lt;&gt;"",$B333=""),"Dependent SSN is required for every dependent; ","")&amp;IF(AND($B333&lt;&gt;"",$O333=""),"Dependent Relationship is required when Dependent SSN is entered; ","")&amp;IF(AND($O333&lt;&gt;"",$O333&lt;&gt;"Spouse or Common Law Spouse",$O333&lt;&gt;"Domestic Partner",$O333&lt;&gt;"Child",$O333&lt;&gt;"Other",$O333&lt;&gt;"Estate",$O333&lt;&gt;"Unknown"),"Dependent Relationship must use one of the approved options; ",""))</f>
        <v/>
      </c>
      <c r="Z333">
        <f>IF(COUNTA($A333:$U333)=0,"",IF(AND($A333&lt;&gt;"",NOT(IFERROR(AND(LEN($A333&amp;"")=9,ISNUMBER(--($A333&amp;""))),FALSE))),"Employee SSN must contain exactly 9 digits; ","")&amp;IF(AND($A333&lt;&gt;"",OR($A333="123456789",$A333="987654321",$A333="012345678",$A333=REPT(LEFT($A333&amp;"",1),9))),"Employee SSN appears to be a placeholder; ","")&amp;IF(AND($B333&lt;&gt;"",NOT(IFERROR(AND(LEN($B333&amp;"")=9,ISNUMBER(--($B333&amp;""))),FALSE))),"Dependent SSN must contain exactly 9 digits; ","")&amp;IF(AND($B333&lt;&gt;"",OR($B333="123456789",$B333="987654321",$B333="012345678",$B333=REPT(LEFT($B333&amp;"",1),9))),"Dependent SSN appears to be a placeholder; ","")&amp;IF(AND($A333&lt;&gt;"",$B333&lt;&gt;"",$A333&amp;""=$B333&amp;""),"Dependent SSN cannot match Employee SSN; ","")&amp;IF(AND($W333&lt;&gt;"",OR(COUNTIFS($W$2:$W$501,$W333,$C$2:$C$501,"&lt;&gt;"&amp;$C333)&gt;0,COUNTIFS($W$2:$W$501,$W333,$D$2:$D$501,"&lt;&gt;"&amp;$D333)&gt;0,COUNTIFS($W$2:$W$501,$W333,$L$2:$L$501,"&lt;&gt;"&amp;$L333)&gt;0)),"The same SSN is associated with a different name or birthdate; ",""))</f>
        <v/>
      </c>
      <c r="AA333">
        <f>IF(COUNTA($A333:$U333)=0,"",IF(AND($A333&lt;&gt;"",$S333&lt;&gt;"",COUNTIFS($A$2:$A$501,$A333,$S$2:$S$501,$S333,$B$2:$B$501,"",$O$2:$O$501,"")=0),"Add an employee row for this household and plan; ","")&amp;IF(AND($X333="Dependent",COUNTIFS($A$2:$A333,$A333,$S$2:$S333,$S333,$B$2:$B333,"",$O$2:$O333,"")=0),"Place the employee row before dependent rows for this plan; ","")&amp;IF(AND($X333="Dependent",COUNTIFS($A$2:$A$501,$A333,$S$2:$S$501,$S333,$B$2:$B$501,"",$O$2:$O$501,"")&gt;0,IFERROR(OR($P333&lt;&gt;LOOKUP(2,1/(($A$2:$A$501=$A333)*($S$2:$S$501=$S333)*($B$2:$B$501="")*($O$2:$O$501="")),$P$2:$P$501),$Q333&lt;&gt;LOOKUP(2,1/(($A$2:$A$501=$A333)*($S$2:$S$501=$S333)*($B$2:$B$501="")*($O$2:$O$501="")),$Q$2:$Q$501),$R333&lt;&gt;LOOKUP(2,1/(($A$2:$A$501=$A333)*($S$2:$S$501=$S333)*($B$2:$B$501="")*($O$2:$O$501="")),$R$2:$R$501),$T333&lt;&gt;LOOKUP(2,1/(($A$2:$A$501=$A333)*($S$2:$S$501=$S333)*($B$2:$B$501="")*($O$2:$O$501="")),$T$2:$T$501),$U333&lt;&gt;LOOKUP(2,1/(($A$2:$A$501=$A333)*($S$2:$S$501=$S333)*($B$2:$B$501="")*($O$2:$O$501="")),$U$2:$U$501)),FALSE)),"Dependent row does not match the employee row for eligibility, status, coverage level, or funding; ",""))</f>
        <v/>
      </c>
      <c r="AB333">
        <f>IF(COUNTA($A333:$U333)=0,"",IF($L333="","Birthdate is required; ","")&amp;IF(AND($L333&lt;&gt;"",OR(NOT(ISNUMBER($L333)),$L333&lt;=DATE(1900,1,1),$L333&gt;TODAY())),"Birthdate must be an exact valid past date; ","")&amp;IF($P333="","Eligibility Date is required; ","")&amp;IF(AND($P333&lt;&gt;"",OR(NOT(ISNUMBER($P333)),$P333&lt;=DATE(1900,1,1))),"Eligibility Date must be a valid date; ","")&amp;IF(AND($R333="Terminated",$Q333=""),"Termination Date is required when Status is Terminated; ","")&amp;IF(AND($Q333&lt;&gt;"",OR(NOT(ISNUMBER($Q333)),$Q333&lt;=DATE(1900,1,1))),"Termination Date must be a valid date; ","")&amp;IF(AND(ISNUMBER($P333),ISNUMBER($Q333),$Q333&lt;$P333),"Termination Date cannot be before Eligibility Date; ","")&amp;IF($R333="","Status is required; ","")&amp;IF(AND($R333&lt;&gt;"",$R333&lt;&gt;"Active",$R333&lt;&gt;"Terminated"),"Status must be Active or Terminated; ","")&amp;IF(AND('START HERE'!$C$8="Terminations Only",$R333&lt;&gt;"Terminated"),"Terminations Only files must contain terminated records; ",""))</f>
        <v/>
      </c>
      <c r="AC333">
        <f>IF(COUNTA($A333:$U333)=0,"",IF($S333="","Plan Name is required; ","")&amp;IF($T333="","Benefit Coverage Level is required; ","")&amp;IF(AND($U333&lt;&gt;"",OR(NOT(ISNUMBER($U333)),$U333&lt;0)),"Plan Funding Amount must be a nonnegative number; ","")&amp;IF(AND($A333&lt;&gt;"",$S333&lt;&gt;"",COUNTIFS($A$2:$A$501,$A333,$B$2:$B$501,$B333,$S$2:$S$501,$S333)&gt;1),"Duplicate participant and plan row; ",""))</f>
        <v/>
      </c>
      <c r="AD333">
        <f>IF(COUNTA($A333:$U333)=0,"",IF(AND($X333="Employee",$M333="",$N333=""),"No employee phone or email provided; ","")&amp;IF(AND($R333="Active",$Q333&lt;&gt;""),"Active record includes a Termination Date; confirm this is intentional; ","")&amp;IF(AND($B333&lt;&gt;"",$B333&amp;""&lt;&gt;$A333&amp;"",COUNTIF($A$2:$A$501,$B333)&gt;0),"Dependent SSN also appears as an Employee SSN elsewhere; confirm dual-employee coverage is intentional; ","")&amp;IF(AND($B333&lt;&gt;"",COUNTIF($B$2:$B$501,$B333)&gt;COUNTIFS($A$2:$A$501,$A333,$B$2:$B$501,$B333)),"Dependent SSN appears under more than one employee; confirm duplicate family coverage is intentional; ","")&amp;IF(AND(ROW()&gt;2,$A333&lt;&gt;"",$A333&lt;&gt;$A332,COUNTIF($A$2:$A332,$A333)&gt;0),"This household appears in more than one section of the census; keep the family together; ","")&amp;IF(OR(AND($C333&lt;&gt;"",LEN($C333&amp;"")&lt;&gt;LEN(TRIM($C333&amp;""))),AND($D333&lt;&gt;"",LEN($D333&amp;"")&lt;&gt;LEN(TRIM($D333&amp;""))),AND($E333&lt;&gt;"",LEN($E333&amp;"")&lt;&gt;LEN(TRIM($E333&amp;""))),AND($F333&lt;&gt;"",LEN($F333&amp;"")&lt;&gt;LEN(TRIM($F333&amp;""))),AND($G333&lt;&gt;"",LEN($G333&amp;"")&lt;&gt;LEN(TRIM($G333&amp;""))),AND($H333&lt;&gt;"",LEN($H333&amp;"")&lt;&gt;LEN(TRIM($H333&amp;""))),AND($I333&lt;&gt;"",LEN($I333&amp;"")&lt;&gt;LEN(TRIM($I333&amp;""))),AND($J333&lt;&gt;"",LEN($J333&amp;"")&lt;&gt;LEN(TRIM($J333&amp;""))),AND($K333&lt;&gt;"",LEN($K333&amp;"")&lt;&gt;LEN(TRIM($K333&amp;""))),AND($M333&lt;&gt;"",LEN($M333&amp;"")&lt;&gt;LEN(TRIM($M333&amp;""))),AND($N333&lt;&gt;"",LEN($N333&amp;"")&lt;&gt;LEN(TRIM($N333&amp;""))),AND($O333&lt;&gt;"",LEN($O333&amp;"")&lt;&gt;LEN(TRIM($O333&amp;""))),AND($R333&lt;&gt;"",LEN($R333&amp;"")&lt;&gt;LEN(TRIM($R333&amp;""))),AND($S333&lt;&gt;"",LEN($S333&amp;"")&lt;&gt;LEN(TRIM($S333&amp;""))),AND($T333&lt;&gt;"",LEN($T333&amp;"")&lt;&gt;LEN(TRIM($T333&amp;"")))),"Remove leading or trailing spaces from text fields; ","")&amp;IF(OR(AND(LEN($C333)&gt;1,OR(EXACT($C333,UPPER($C333)),EXACT($C333,LOWER($C333)))),AND(LEN($D333)&gt;1,OR(EXACT($D333,UPPER($D333)),EXACT($D333,LOWER($D333)))),AND(LEN($H333)&gt;1,OR(EXACT($H333,UPPER($H333)),EXACT($H333,LOWER($H333))))),"Review capitalization in First Name, Last Name, or City; ","")&amp;IF(AND($N333&lt;&gt;"",NOT(EXACT($N333,LOWER($N333)))),"Email will be standardized to lowercase in the clean output; ","")&amp;IF(AND(OR('START HERE'!$C$8="Initial Enrollment",'START HERE'!$C$8="Open Enrollment"),$R333="Terminated"),"A terminated row is included in an initial or open enrollment file; confirm this is intentional; ",""))</f>
        <v/>
      </c>
      <c r="AE333">
        <f>IF(COUNTA($A333:$U333)=0,"",IF(OR($A333="",AND($A333&lt;&gt;"",NOT(IFERROR(AND(LEN($A333&amp;"")=9,ISNUMBER(--($A333&amp;""))),FALSE))),AND($A333&lt;&gt;"",OR($A333="123456789",$A333="987654321",$A333="012345678",$A333=REPT(LEFT($A333&amp;"",1),9)))),"Employee SSN, ","")&amp;IF(OR(AND($O333&lt;&gt;"",$B333=""),AND($B333&lt;&gt;"",OR(NOT(IFERROR(AND(LEN($B333&amp;"")=9,ISNUMBER(--($B333&amp;""))),FALSE)),$B333=$A333,$B333="123456789",$B333="987654321",$B333="012345678",$B333=REPT(LEFT($B333&amp;"",1),9)))),"Dependent SSN, ","")&amp;IF(OR($C333="",LEN($C333)&gt;19,AND($C333&lt;&gt;"",SUMPRODUCT(--(ROW($1:$19)&lt;=LEN($C333&amp;"")),--ISERROR(FIND(MID($C333&amp;"",ROW($1:$19),1),"ABCDEFGHIJKLMNOPQRSTUVWXYZabcdefghijklmnopqrstuvwxyz .,")))&gt;0)),"First Name, ","")&amp;IF(OR($D333="",LEN($D333)&gt;26,AND($D333&lt;&gt;"",SUMPRODUCT(--(ROW($1:$26)&lt;=LEN($D333&amp;"")),--ISERROR(FIND(MID($D333&amp;"",ROW($1:$26),1),"ABCDEFGHIJKLMNOPQRSTUVWXYZabcdefghijklmnopqrstuvwxyz .,")))&gt;0)),"Last Name, ","")&amp;IF(OR(LEN($E333)&gt;1,AND($E333&lt;&gt;"",SUMPRODUCT(--(ROW($1:$1)&lt;=LEN($E333&amp;"")),--ISERROR(FIND(MID($E333&amp;"",ROW($1:$1),1),"ABCDEFGHIJKLMNOPQRSTUVWXYZabcdefghijklmnopqrstuvwxyz .,")))&gt;0)),"Middle Initial, ","")&amp;IF(OR($F333="",LEN($F333)&gt;75),"Address, ","")&amp;IF(OR($H333="",LEN($H333)&gt;30),"City, ","")&amp;IF(AND($K333="US",OR($I333="",LEN($I333)&lt;&gt;2)),"State, ","")&amp;IF($J333="","ZIP, ","")&amp;IF(OR($K333="",AND($K333&lt;&gt;"US",$K333&lt;&gt;"CA")),"Country, ","")&amp;IF(OR($L333="",AND($L333&lt;&gt;"",OR(NOT(ISNUMBER($L333)),$L333&lt;=DATE(1900,1,1),$L333&gt;TODAY()))),"Birthdate, ","")&amp;IF(AND($N333&lt;&gt;"",NOT(IFERROR(AND(ISNUMBER(SEARCH("@",$N333)),ISNUMBER(SEARCH(".",$N333,SEARCH("@",$N333)+2))),FALSE))),"Email, ","")&amp;IF(OR(AND($B333&lt;&gt;"",$O333=""),AND($O333&lt;&gt;"",$O333&lt;&gt;"Spouse or Common Law Spouse",$O333&lt;&gt;"Domestic Partner",$O333&lt;&gt;"Child",$O333&lt;&gt;"Other",$O333&lt;&gt;"Estate",$O333&lt;&gt;"Unknown")),"Dependent Relationship, ","")&amp;IF($AA333&lt;&gt;"","Household, ","")&amp;IF(OR($P333="",AND($P333&lt;&gt;"",OR(NOT(ISNUMBER($P333)),$P333&lt;=DATE(1900,1,1)))),"Eligibility Date, ","")&amp;IF(OR(AND($R333="Terminated",$Q333=""),AND($Q333&lt;&gt;"",OR(NOT(ISNUMBER($Q333)),$Q333&lt;=DATE(1900,1,1))),AND(ISNUMBER($P333),ISNUMBER($Q333),$Q333&lt;$P333)),"Termination Date, ","")&amp;IF(OR($R333="",AND($R333&lt;&gt;"Active",$R333&lt;&gt;"Terminated"),AND('START HERE'!$C$8="Terminations Only",$R333&lt;&gt;"Terminated")),"Status, ","")&amp;IF($S333="","Plan Name, ","")&amp;IF($T333="","Coverage Level, ","")&amp;IF(AND($U333&lt;&gt;"",OR(NOT(ISNUMBER($U333)),$U333&lt;0)),"Funding, ","")&amp;IF(AND($A333&lt;&gt;"",$S333&lt;&gt;"",COUNTIFS($A$2:$A$501,$A333,$B$2:$B$501,$B333,$S$2:$S$501,$S333)&gt;1),"Duplicate Row, ",""))</f>
        <v/>
      </c>
      <c r="AF333">
        <f>IF(COUNTA($A333:$U333)=0,"",$Y333&amp;$Z333&amp;$AA333&amp;$AB333&amp;$AC333)</f>
        <v/>
      </c>
      <c r="AG333">
        <f>IF($N333="","",LOWER(TRIM($N333)))</f>
        <v/>
      </c>
      <c r="AH333">
        <f>IF($A333="","",COUNTIFS($A$2:$A$501,$A333,$AI$2:$AI$501,1))</f>
        <v/>
      </c>
      <c r="AI333">
        <f>IF(COUNTA($A333:$U333)=0,"",--($AF333&lt;&gt;""))</f>
        <v/>
      </c>
      <c r="AJ333">
        <f>IF(COUNTA($A333:$U333)=0,"",--($AD333&lt;&gt;""))</f>
        <v/>
      </c>
    </row>
    <row r="334" ht="20" customHeight="1">
      <c r="A334" s="80" t="n"/>
      <c r="B334" s="80" t="n"/>
      <c r="C334" s="81" t="n"/>
      <c r="D334" s="81" t="n"/>
      <c r="E334" s="80" t="n"/>
      <c r="F334" s="81" t="n"/>
      <c r="G334" s="81" t="n"/>
      <c r="H334" s="81" t="n"/>
      <c r="I334" s="80" t="n"/>
      <c r="J334" s="80" t="n"/>
      <c r="K334" s="80" t="n"/>
      <c r="L334" s="82" t="n"/>
      <c r="M334" s="80" t="n"/>
      <c r="N334" s="80" t="n"/>
      <c r="O334" s="80" t="n"/>
      <c r="P334" s="82" t="n"/>
      <c r="Q334" s="82" t="n"/>
      <c r="R334" s="80" t="n"/>
      <c r="S334" s="80" t="n"/>
      <c r="T334" s="80" t="n"/>
      <c r="U334" s="83" t="n"/>
      <c r="V334">
        <f>IF($A334="","",IF($A334=$A333,$V333,IF($V333="",0,1-$V333)))</f>
        <v/>
      </c>
      <c r="W334">
        <f>IF($B334&lt;&gt;"",$B334,$A334)</f>
        <v/>
      </c>
      <c r="X334">
        <f>IF(COUNTA($A334:$U334)=0,"",IF(OR($B334&lt;&gt;"",$O334&lt;&gt;""),"Dependent","Employee"))</f>
        <v/>
      </c>
      <c r="Y334">
        <f>IF(COUNTA($A334:$U334)=0,"",IF($A334="","Employee SSN is required; ","")&amp;IF($C334="","First Name is required; ","")&amp;IF(LEN($C334&amp;"")&gt;19,"First Name exceeds 19 characters; ","")&amp;IF(AND($C334&lt;&gt;"",SUMPRODUCT(--(ROW($1:$19)&lt;=LEN($C334&amp;"")),--ISERROR(FIND(MID($C334&amp;"",ROW($1:$19),1),"ABCDEFGHIJKLMNOPQRSTUVWXYZabcdefghijklmnopqrstuvwxyz .,")))&gt;0),"First Name contains unsupported or encoded characters; use plain A-Z letters only; ","")&amp;IF($D334="","Last Name is required; ","")&amp;IF(LEN($D334&amp;"")&gt;26,"Last Name exceeds 26 characters; ","")&amp;IF(AND($D334&lt;&gt;"",SUMPRODUCT(--(ROW($1:$26)&lt;=LEN($D334&amp;"")),--ISERROR(FIND(MID($D334&amp;"",ROW($1:$26),1),"ABCDEFGHIJKLMNOPQRSTUVWXYZabcdefghijklmnopqrstuvwxyz .,")))&gt;0),"Last Name contains unsupported or encoded characters; use plain A-Z letters only; ","")&amp;IF(LEN($E334&amp;"")&gt;1,"Middle Initial may contain only one character; ","")&amp;IF(AND($E334&lt;&gt;"",SUMPRODUCT(--(ROW($1:$1)&lt;=LEN($E334&amp;"")),--ISERROR(FIND(MID($E334&amp;"",ROW($1:$1),1),"ABCDEFGHIJKLMNOPQRSTUVWXYZabcdefghijklmnopqrstuvwxyz .,")))&gt;0),"Middle Initial must be a plain A-Z letter; ","")&amp;IF($F334="","Address is required; ","")&amp;IF(LEN($F334&amp;"")&gt;75,"Address exceeds 75 characters; ","")&amp;IF(LEN($G334&amp;"")&gt;75,"Address 2 exceeds 75 characters; ","")&amp;IF($H334="","City is required; ","")&amp;IF(LEN($H334&amp;"")&gt;30,"City exceeds 30 characters; ","")&amp;IF($K334="","Country is required; ","")&amp;IF(AND($K334&lt;&gt;"",$K334&lt;&gt;"US",$K334&lt;&gt;"CA"),"Country must be US or CA; ","")&amp;IF(AND($K334="US",OR($I334="",LEN($I334&amp;"")&lt;&gt;2)),"Use a 2-letter state code; ","")&amp;IF($J334="","ZIP or postal code is required; ","")&amp;IF(AND($K334="US",$J334&lt;&gt;"",NOT(IFERROR(OR(AND(LEN($J334&amp;"")=5,ISNUMBER(--($J334&amp;""))),AND(LEN($J334&amp;"")=9,ISNUMBER(--($J334&amp;""))),AND(LEN($J334&amp;"")=10,MID($J334&amp;"",6,1)="-",ISNUMBER(--SUBSTITUTE($J334&amp;"","-","")))),FALSE))),"US ZIP must be 5 or 9 digits, with an optional ZIP+4 hyphen; ","")&amp;IF(AND($N334&lt;&gt;"",NOT(IFERROR(AND(ISNUMBER(SEARCH("@",$N334)),ISNUMBER(SEARCH(".",$N334,SEARCH("@",$N334)+2))),FALSE))),"Email format appears invalid; ","")&amp;IF(AND($O334&lt;&gt;"",$B334=""),"Dependent SSN is required for every dependent; ","")&amp;IF(AND($B334&lt;&gt;"",$O334=""),"Dependent Relationship is required when Dependent SSN is entered; ","")&amp;IF(AND($O334&lt;&gt;"",$O334&lt;&gt;"Spouse or Common Law Spouse",$O334&lt;&gt;"Domestic Partner",$O334&lt;&gt;"Child",$O334&lt;&gt;"Other",$O334&lt;&gt;"Estate",$O334&lt;&gt;"Unknown"),"Dependent Relationship must use one of the approved options; ",""))</f>
        <v/>
      </c>
      <c r="Z334">
        <f>IF(COUNTA($A334:$U334)=0,"",IF(AND($A334&lt;&gt;"",NOT(IFERROR(AND(LEN($A334&amp;"")=9,ISNUMBER(--($A334&amp;""))),FALSE))),"Employee SSN must contain exactly 9 digits; ","")&amp;IF(AND($A334&lt;&gt;"",OR($A334="123456789",$A334="987654321",$A334="012345678",$A334=REPT(LEFT($A334&amp;"",1),9))),"Employee SSN appears to be a placeholder; ","")&amp;IF(AND($B334&lt;&gt;"",NOT(IFERROR(AND(LEN($B334&amp;"")=9,ISNUMBER(--($B334&amp;""))),FALSE))),"Dependent SSN must contain exactly 9 digits; ","")&amp;IF(AND($B334&lt;&gt;"",OR($B334="123456789",$B334="987654321",$B334="012345678",$B334=REPT(LEFT($B334&amp;"",1),9))),"Dependent SSN appears to be a placeholder; ","")&amp;IF(AND($A334&lt;&gt;"",$B334&lt;&gt;"",$A334&amp;""=$B334&amp;""),"Dependent SSN cannot match Employee SSN; ","")&amp;IF(AND($W334&lt;&gt;"",OR(COUNTIFS($W$2:$W$501,$W334,$C$2:$C$501,"&lt;&gt;"&amp;$C334)&gt;0,COUNTIFS($W$2:$W$501,$W334,$D$2:$D$501,"&lt;&gt;"&amp;$D334)&gt;0,COUNTIFS($W$2:$W$501,$W334,$L$2:$L$501,"&lt;&gt;"&amp;$L334)&gt;0)),"The same SSN is associated with a different name or birthdate; ",""))</f>
        <v/>
      </c>
      <c r="AA334">
        <f>IF(COUNTA($A334:$U334)=0,"",IF(AND($A334&lt;&gt;"",$S334&lt;&gt;"",COUNTIFS($A$2:$A$501,$A334,$S$2:$S$501,$S334,$B$2:$B$501,"",$O$2:$O$501,"")=0),"Add an employee row for this household and plan; ","")&amp;IF(AND($X334="Dependent",COUNTIFS($A$2:$A334,$A334,$S$2:$S334,$S334,$B$2:$B334,"",$O$2:$O334,"")=0),"Place the employee row before dependent rows for this plan; ","")&amp;IF(AND($X334="Dependent",COUNTIFS($A$2:$A$501,$A334,$S$2:$S$501,$S334,$B$2:$B$501,"",$O$2:$O$501,"")&gt;0,IFERROR(OR($P334&lt;&gt;LOOKUP(2,1/(($A$2:$A$501=$A334)*($S$2:$S$501=$S334)*($B$2:$B$501="")*($O$2:$O$501="")),$P$2:$P$501),$Q334&lt;&gt;LOOKUP(2,1/(($A$2:$A$501=$A334)*($S$2:$S$501=$S334)*($B$2:$B$501="")*($O$2:$O$501="")),$Q$2:$Q$501),$R334&lt;&gt;LOOKUP(2,1/(($A$2:$A$501=$A334)*($S$2:$S$501=$S334)*($B$2:$B$501="")*($O$2:$O$501="")),$R$2:$R$501),$T334&lt;&gt;LOOKUP(2,1/(($A$2:$A$501=$A334)*($S$2:$S$501=$S334)*($B$2:$B$501="")*($O$2:$O$501="")),$T$2:$T$501),$U334&lt;&gt;LOOKUP(2,1/(($A$2:$A$501=$A334)*($S$2:$S$501=$S334)*($B$2:$B$501="")*($O$2:$O$501="")),$U$2:$U$501)),FALSE)),"Dependent row does not match the employee row for eligibility, status, coverage level, or funding; ",""))</f>
        <v/>
      </c>
      <c r="AB334">
        <f>IF(COUNTA($A334:$U334)=0,"",IF($L334="","Birthdate is required; ","")&amp;IF(AND($L334&lt;&gt;"",OR(NOT(ISNUMBER($L334)),$L334&lt;=DATE(1900,1,1),$L334&gt;TODAY())),"Birthdate must be an exact valid past date; ","")&amp;IF($P334="","Eligibility Date is required; ","")&amp;IF(AND($P334&lt;&gt;"",OR(NOT(ISNUMBER($P334)),$P334&lt;=DATE(1900,1,1))),"Eligibility Date must be a valid date; ","")&amp;IF(AND($R334="Terminated",$Q334=""),"Termination Date is required when Status is Terminated; ","")&amp;IF(AND($Q334&lt;&gt;"",OR(NOT(ISNUMBER($Q334)),$Q334&lt;=DATE(1900,1,1))),"Termination Date must be a valid date; ","")&amp;IF(AND(ISNUMBER($P334),ISNUMBER($Q334),$Q334&lt;$P334),"Termination Date cannot be before Eligibility Date; ","")&amp;IF($R334="","Status is required; ","")&amp;IF(AND($R334&lt;&gt;"",$R334&lt;&gt;"Active",$R334&lt;&gt;"Terminated"),"Status must be Active or Terminated; ","")&amp;IF(AND('START HERE'!$C$8="Terminations Only",$R334&lt;&gt;"Terminated"),"Terminations Only files must contain terminated records; ",""))</f>
        <v/>
      </c>
      <c r="AC334">
        <f>IF(COUNTA($A334:$U334)=0,"",IF($S334="","Plan Name is required; ","")&amp;IF($T334="","Benefit Coverage Level is required; ","")&amp;IF(AND($U334&lt;&gt;"",OR(NOT(ISNUMBER($U334)),$U334&lt;0)),"Plan Funding Amount must be a nonnegative number; ","")&amp;IF(AND($A334&lt;&gt;"",$S334&lt;&gt;"",COUNTIFS($A$2:$A$501,$A334,$B$2:$B$501,$B334,$S$2:$S$501,$S334)&gt;1),"Duplicate participant and plan row; ",""))</f>
        <v/>
      </c>
      <c r="AD334">
        <f>IF(COUNTA($A334:$U334)=0,"",IF(AND($X334="Employee",$M334="",$N334=""),"No employee phone or email provided; ","")&amp;IF(AND($R334="Active",$Q334&lt;&gt;""),"Active record includes a Termination Date; confirm this is intentional; ","")&amp;IF(AND($B334&lt;&gt;"",$B334&amp;""&lt;&gt;$A334&amp;"",COUNTIF($A$2:$A$501,$B334)&gt;0),"Dependent SSN also appears as an Employee SSN elsewhere; confirm dual-employee coverage is intentional; ","")&amp;IF(AND($B334&lt;&gt;"",COUNTIF($B$2:$B$501,$B334)&gt;COUNTIFS($A$2:$A$501,$A334,$B$2:$B$501,$B334)),"Dependent SSN appears under more than one employee; confirm duplicate family coverage is intentional; ","")&amp;IF(AND(ROW()&gt;2,$A334&lt;&gt;"",$A334&lt;&gt;$A333,COUNTIF($A$2:$A333,$A334)&gt;0),"This household appears in more than one section of the census; keep the family together; ","")&amp;IF(OR(AND($C334&lt;&gt;"",LEN($C334&amp;"")&lt;&gt;LEN(TRIM($C334&amp;""))),AND($D334&lt;&gt;"",LEN($D334&amp;"")&lt;&gt;LEN(TRIM($D334&amp;""))),AND($E334&lt;&gt;"",LEN($E334&amp;"")&lt;&gt;LEN(TRIM($E334&amp;""))),AND($F334&lt;&gt;"",LEN($F334&amp;"")&lt;&gt;LEN(TRIM($F334&amp;""))),AND($G334&lt;&gt;"",LEN($G334&amp;"")&lt;&gt;LEN(TRIM($G334&amp;""))),AND($H334&lt;&gt;"",LEN($H334&amp;"")&lt;&gt;LEN(TRIM($H334&amp;""))),AND($I334&lt;&gt;"",LEN($I334&amp;"")&lt;&gt;LEN(TRIM($I334&amp;""))),AND($J334&lt;&gt;"",LEN($J334&amp;"")&lt;&gt;LEN(TRIM($J334&amp;""))),AND($K334&lt;&gt;"",LEN($K334&amp;"")&lt;&gt;LEN(TRIM($K334&amp;""))),AND($M334&lt;&gt;"",LEN($M334&amp;"")&lt;&gt;LEN(TRIM($M334&amp;""))),AND($N334&lt;&gt;"",LEN($N334&amp;"")&lt;&gt;LEN(TRIM($N334&amp;""))),AND($O334&lt;&gt;"",LEN($O334&amp;"")&lt;&gt;LEN(TRIM($O334&amp;""))),AND($R334&lt;&gt;"",LEN($R334&amp;"")&lt;&gt;LEN(TRIM($R334&amp;""))),AND($S334&lt;&gt;"",LEN($S334&amp;"")&lt;&gt;LEN(TRIM($S334&amp;""))),AND($T334&lt;&gt;"",LEN($T334&amp;"")&lt;&gt;LEN(TRIM($T334&amp;"")))),"Remove leading or trailing spaces from text fields; ","")&amp;IF(OR(AND(LEN($C334)&gt;1,OR(EXACT($C334,UPPER($C334)),EXACT($C334,LOWER($C334)))),AND(LEN($D334)&gt;1,OR(EXACT($D334,UPPER($D334)),EXACT($D334,LOWER($D334)))),AND(LEN($H334)&gt;1,OR(EXACT($H334,UPPER($H334)),EXACT($H334,LOWER($H334))))),"Review capitalization in First Name, Last Name, or City; ","")&amp;IF(AND($N334&lt;&gt;"",NOT(EXACT($N334,LOWER($N334)))),"Email will be standardized to lowercase in the clean output; ","")&amp;IF(AND(OR('START HERE'!$C$8="Initial Enrollment",'START HERE'!$C$8="Open Enrollment"),$R334="Terminated"),"A terminated row is included in an initial or open enrollment file; confirm this is intentional; ",""))</f>
        <v/>
      </c>
      <c r="AE334">
        <f>IF(COUNTA($A334:$U334)=0,"",IF(OR($A334="",AND($A334&lt;&gt;"",NOT(IFERROR(AND(LEN($A334&amp;"")=9,ISNUMBER(--($A334&amp;""))),FALSE))),AND($A334&lt;&gt;"",OR($A334="123456789",$A334="987654321",$A334="012345678",$A334=REPT(LEFT($A334&amp;"",1),9)))),"Employee SSN, ","")&amp;IF(OR(AND($O334&lt;&gt;"",$B334=""),AND($B334&lt;&gt;"",OR(NOT(IFERROR(AND(LEN($B334&amp;"")=9,ISNUMBER(--($B334&amp;""))),FALSE)),$B334=$A334,$B334="123456789",$B334="987654321",$B334="012345678",$B334=REPT(LEFT($B334&amp;"",1),9)))),"Dependent SSN, ","")&amp;IF(OR($C334="",LEN($C334)&gt;19,AND($C334&lt;&gt;"",SUMPRODUCT(--(ROW($1:$19)&lt;=LEN($C334&amp;"")),--ISERROR(FIND(MID($C334&amp;"",ROW($1:$19),1),"ABCDEFGHIJKLMNOPQRSTUVWXYZabcdefghijklmnopqrstuvwxyz .,")))&gt;0)),"First Name, ","")&amp;IF(OR($D334="",LEN($D334)&gt;26,AND($D334&lt;&gt;"",SUMPRODUCT(--(ROW($1:$26)&lt;=LEN($D334&amp;"")),--ISERROR(FIND(MID($D334&amp;"",ROW($1:$26),1),"ABCDEFGHIJKLMNOPQRSTUVWXYZabcdefghijklmnopqrstuvwxyz .,")))&gt;0)),"Last Name, ","")&amp;IF(OR(LEN($E334)&gt;1,AND($E334&lt;&gt;"",SUMPRODUCT(--(ROW($1:$1)&lt;=LEN($E334&amp;"")),--ISERROR(FIND(MID($E334&amp;"",ROW($1:$1),1),"ABCDEFGHIJKLMNOPQRSTUVWXYZabcdefghijklmnopqrstuvwxyz .,")))&gt;0)),"Middle Initial, ","")&amp;IF(OR($F334="",LEN($F334)&gt;75),"Address, ","")&amp;IF(OR($H334="",LEN($H334)&gt;30),"City, ","")&amp;IF(AND($K334="US",OR($I334="",LEN($I334)&lt;&gt;2)),"State, ","")&amp;IF($J334="","ZIP, ","")&amp;IF(OR($K334="",AND($K334&lt;&gt;"US",$K334&lt;&gt;"CA")),"Country, ","")&amp;IF(OR($L334="",AND($L334&lt;&gt;"",OR(NOT(ISNUMBER($L334)),$L334&lt;=DATE(1900,1,1),$L334&gt;TODAY()))),"Birthdate, ","")&amp;IF(AND($N334&lt;&gt;"",NOT(IFERROR(AND(ISNUMBER(SEARCH("@",$N334)),ISNUMBER(SEARCH(".",$N334,SEARCH("@",$N334)+2))),FALSE))),"Email, ","")&amp;IF(OR(AND($B334&lt;&gt;"",$O334=""),AND($O334&lt;&gt;"",$O334&lt;&gt;"Spouse or Common Law Spouse",$O334&lt;&gt;"Domestic Partner",$O334&lt;&gt;"Child",$O334&lt;&gt;"Other",$O334&lt;&gt;"Estate",$O334&lt;&gt;"Unknown")),"Dependent Relationship, ","")&amp;IF($AA334&lt;&gt;"","Household, ","")&amp;IF(OR($P334="",AND($P334&lt;&gt;"",OR(NOT(ISNUMBER($P334)),$P334&lt;=DATE(1900,1,1)))),"Eligibility Date, ","")&amp;IF(OR(AND($R334="Terminated",$Q334=""),AND($Q334&lt;&gt;"",OR(NOT(ISNUMBER($Q334)),$Q334&lt;=DATE(1900,1,1))),AND(ISNUMBER($P334),ISNUMBER($Q334),$Q334&lt;$P334)),"Termination Date, ","")&amp;IF(OR($R334="",AND($R334&lt;&gt;"Active",$R334&lt;&gt;"Terminated"),AND('START HERE'!$C$8="Terminations Only",$R334&lt;&gt;"Terminated")),"Status, ","")&amp;IF($S334="","Plan Name, ","")&amp;IF($T334="","Coverage Level, ","")&amp;IF(AND($U334&lt;&gt;"",OR(NOT(ISNUMBER($U334)),$U334&lt;0)),"Funding, ","")&amp;IF(AND($A334&lt;&gt;"",$S334&lt;&gt;"",COUNTIFS($A$2:$A$501,$A334,$B$2:$B$501,$B334,$S$2:$S$501,$S334)&gt;1),"Duplicate Row, ",""))</f>
        <v/>
      </c>
      <c r="AF334">
        <f>IF(COUNTA($A334:$U334)=0,"",$Y334&amp;$Z334&amp;$AA334&amp;$AB334&amp;$AC334)</f>
        <v/>
      </c>
      <c r="AG334">
        <f>IF($N334="","",LOWER(TRIM($N334)))</f>
        <v/>
      </c>
      <c r="AH334">
        <f>IF($A334="","",COUNTIFS($A$2:$A$501,$A334,$AI$2:$AI$501,1))</f>
        <v/>
      </c>
      <c r="AI334">
        <f>IF(COUNTA($A334:$U334)=0,"",--($AF334&lt;&gt;""))</f>
        <v/>
      </c>
      <c r="AJ334">
        <f>IF(COUNTA($A334:$U334)=0,"",--($AD334&lt;&gt;""))</f>
        <v/>
      </c>
    </row>
    <row r="335" ht="20" customHeight="1">
      <c r="A335" s="80" t="n"/>
      <c r="B335" s="80" t="n"/>
      <c r="C335" s="81" t="n"/>
      <c r="D335" s="81" t="n"/>
      <c r="E335" s="80" t="n"/>
      <c r="F335" s="81" t="n"/>
      <c r="G335" s="81" t="n"/>
      <c r="H335" s="81" t="n"/>
      <c r="I335" s="80" t="n"/>
      <c r="J335" s="80" t="n"/>
      <c r="K335" s="80" t="n"/>
      <c r="L335" s="82" t="n"/>
      <c r="M335" s="80" t="n"/>
      <c r="N335" s="80" t="n"/>
      <c r="O335" s="80" t="n"/>
      <c r="P335" s="82" t="n"/>
      <c r="Q335" s="82" t="n"/>
      <c r="R335" s="80" t="n"/>
      <c r="S335" s="80" t="n"/>
      <c r="T335" s="80" t="n"/>
      <c r="U335" s="83" t="n"/>
      <c r="V335">
        <f>IF($A335="","",IF($A335=$A334,$V334,IF($V334="",0,1-$V334)))</f>
        <v/>
      </c>
      <c r="W335">
        <f>IF($B335&lt;&gt;"",$B335,$A335)</f>
        <v/>
      </c>
      <c r="X335">
        <f>IF(COUNTA($A335:$U335)=0,"",IF(OR($B335&lt;&gt;"",$O335&lt;&gt;""),"Dependent","Employee"))</f>
        <v/>
      </c>
      <c r="Y335">
        <f>IF(COUNTA($A335:$U335)=0,"",IF($A335="","Employee SSN is required; ","")&amp;IF($C335="","First Name is required; ","")&amp;IF(LEN($C335&amp;"")&gt;19,"First Name exceeds 19 characters; ","")&amp;IF(AND($C335&lt;&gt;"",SUMPRODUCT(--(ROW($1:$19)&lt;=LEN($C335&amp;"")),--ISERROR(FIND(MID($C335&amp;"",ROW($1:$19),1),"ABCDEFGHIJKLMNOPQRSTUVWXYZabcdefghijklmnopqrstuvwxyz .,")))&gt;0),"First Name contains unsupported or encoded characters; use plain A-Z letters only; ","")&amp;IF($D335="","Last Name is required; ","")&amp;IF(LEN($D335&amp;"")&gt;26,"Last Name exceeds 26 characters; ","")&amp;IF(AND($D335&lt;&gt;"",SUMPRODUCT(--(ROW($1:$26)&lt;=LEN($D335&amp;"")),--ISERROR(FIND(MID($D335&amp;"",ROW($1:$26),1),"ABCDEFGHIJKLMNOPQRSTUVWXYZabcdefghijklmnopqrstuvwxyz .,")))&gt;0),"Last Name contains unsupported or encoded characters; use plain A-Z letters only; ","")&amp;IF(LEN($E335&amp;"")&gt;1,"Middle Initial may contain only one character; ","")&amp;IF(AND($E335&lt;&gt;"",SUMPRODUCT(--(ROW($1:$1)&lt;=LEN($E335&amp;"")),--ISERROR(FIND(MID($E335&amp;"",ROW($1:$1),1),"ABCDEFGHIJKLMNOPQRSTUVWXYZabcdefghijklmnopqrstuvwxyz .,")))&gt;0),"Middle Initial must be a plain A-Z letter; ","")&amp;IF($F335="","Address is required; ","")&amp;IF(LEN($F335&amp;"")&gt;75,"Address exceeds 75 characters; ","")&amp;IF(LEN($G335&amp;"")&gt;75,"Address 2 exceeds 75 characters; ","")&amp;IF($H335="","City is required; ","")&amp;IF(LEN($H335&amp;"")&gt;30,"City exceeds 30 characters; ","")&amp;IF($K335="","Country is required; ","")&amp;IF(AND($K335&lt;&gt;"",$K335&lt;&gt;"US",$K335&lt;&gt;"CA"),"Country must be US or CA; ","")&amp;IF(AND($K335="US",OR($I335="",LEN($I335&amp;"")&lt;&gt;2)),"Use a 2-letter state code; ","")&amp;IF($J335="","ZIP or postal code is required; ","")&amp;IF(AND($K335="US",$J335&lt;&gt;"",NOT(IFERROR(OR(AND(LEN($J335&amp;"")=5,ISNUMBER(--($J335&amp;""))),AND(LEN($J335&amp;"")=9,ISNUMBER(--($J335&amp;""))),AND(LEN($J335&amp;"")=10,MID($J335&amp;"",6,1)="-",ISNUMBER(--SUBSTITUTE($J335&amp;"","-","")))),FALSE))),"US ZIP must be 5 or 9 digits, with an optional ZIP+4 hyphen; ","")&amp;IF(AND($N335&lt;&gt;"",NOT(IFERROR(AND(ISNUMBER(SEARCH("@",$N335)),ISNUMBER(SEARCH(".",$N335,SEARCH("@",$N335)+2))),FALSE))),"Email format appears invalid; ","")&amp;IF(AND($O335&lt;&gt;"",$B335=""),"Dependent SSN is required for every dependent; ","")&amp;IF(AND($B335&lt;&gt;"",$O335=""),"Dependent Relationship is required when Dependent SSN is entered; ","")&amp;IF(AND($O335&lt;&gt;"",$O335&lt;&gt;"Spouse or Common Law Spouse",$O335&lt;&gt;"Domestic Partner",$O335&lt;&gt;"Child",$O335&lt;&gt;"Other",$O335&lt;&gt;"Estate",$O335&lt;&gt;"Unknown"),"Dependent Relationship must use one of the approved options; ",""))</f>
        <v/>
      </c>
      <c r="Z335">
        <f>IF(COUNTA($A335:$U335)=0,"",IF(AND($A335&lt;&gt;"",NOT(IFERROR(AND(LEN($A335&amp;"")=9,ISNUMBER(--($A335&amp;""))),FALSE))),"Employee SSN must contain exactly 9 digits; ","")&amp;IF(AND($A335&lt;&gt;"",OR($A335="123456789",$A335="987654321",$A335="012345678",$A335=REPT(LEFT($A335&amp;"",1),9))),"Employee SSN appears to be a placeholder; ","")&amp;IF(AND($B335&lt;&gt;"",NOT(IFERROR(AND(LEN($B335&amp;"")=9,ISNUMBER(--($B335&amp;""))),FALSE))),"Dependent SSN must contain exactly 9 digits; ","")&amp;IF(AND($B335&lt;&gt;"",OR($B335="123456789",$B335="987654321",$B335="012345678",$B335=REPT(LEFT($B335&amp;"",1),9))),"Dependent SSN appears to be a placeholder; ","")&amp;IF(AND($A335&lt;&gt;"",$B335&lt;&gt;"",$A335&amp;""=$B335&amp;""),"Dependent SSN cannot match Employee SSN; ","")&amp;IF(AND($W335&lt;&gt;"",OR(COUNTIFS($W$2:$W$501,$W335,$C$2:$C$501,"&lt;&gt;"&amp;$C335)&gt;0,COUNTIFS($W$2:$W$501,$W335,$D$2:$D$501,"&lt;&gt;"&amp;$D335)&gt;0,COUNTIFS($W$2:$W$501,$W335,$L$2:$L$501,"&lt;&gt;"&amp;$L335)&gt;0)),"The same SSN is associated with a different name or birthdate; ",""))</f>
        <v/>
      </c>
      <c r="AA335">
        <f>IF(COUNTA($A335:$U335)=0,"",IF(AND($A335&lt;&gt;"",$S335&lt;&gt;"",COUNTIFS($A$2:$A$501,$A335,$S$2:$S$501,$S335,$B$2:$B$501,"",$O$2:$O$501,"")=0),"Add an employee row for this household and plan; ","")&amp;IF(AND($X335="Dependent",COUNTIFS($A$2:$A335,$A335,$S$2:$S335,$S335,$B$2:$B335,"",$O$2:$O335,"")=0),"Place the employee row before dependent rows for this plan; ","")&amp;IF(AND($X335="Dependent",COUNTIFS($A$2:$A$501,$A335,$S$2:$S$501,$S335,$B$2:$B$501,"",$O$2:$O$501,"")&gt;0,IFERROR(OR($P335&lt;&gt;LOOKUP(2,1/(($A$2:$A$501=$A335)*($S$2:$S$501=$S335)*($B$2:$B$501="")*($O$2:$O$501="")),$P$2:$P$501),$Q335&lt;&gt;LOOKUP(2,1/(($A$2:$A$501=$A335)*($S$2:$S$501=$S335)*($B$2:$B$501="")*($O$2:$O$501="")),$Q$2:$Q$501),$R335&lt;&gt;LOOKUP(2,1/(($A$2:$A$501=$A335)*($S$2:$S$501=$S335)*($B$2:$B$501="")*($O$2:$O$501="")),$R$2:$R$501),$T335&lt;&gt;LOOKUP(2,1/(($A$2:$A$501=$A335)*($S$2:$S$501=$S335)*($B$2:$B$501="")*($O$2:$O$501="")),$T$2:$T$501),$U335&lt;&gt;LOOKUP(2,1/(($A$2:$A$501=$A335)*($S$2:$S$501=$S335)*($B$2:$B$501="")*($O$2:$O$501="")),$U$2:$U$501)),FALSE)),"Dependent row does not match the employee row for eligibility, status, coverage level, or funding; ",""))</f>
        <v/>
      </c>
      <c r="AB335">
        <f>IF(COUNTA($A335:$U335)=0,"",IF($L335="","Birthdate is required; ","")&amp;IF(AND($L335&lt;&gt;"",OR(NOT(ISNUMBER($L335)),$L335&lt;=DATE(1900,1,1),$L335&gt;TODAY())),"Birthdate must be an exact valid past date; ","")&amp;IF($P335="","Eligibility Date is required; ","")&amp;IF(AND($P335&lt;&gt;"",OR(NOT(ISNUMBER($P335)),$P335&lt;=DATE(1900,1,1))),"Eligibility Date must be a valid date; ","")&amp;IF(AND($R335="Terminated",$Q335=""),"Termination Date is required when Status is Terminated; ","")&amp;IF(AND($Q335&lt;&gt;"",OR(NOT(ISNUMBER($Q335)),$Q335&lt;=DATE(1900,1,1))),"Termination Date must be a valid date; ","")&amp;IF(AND(ISNUMBER($P335),ISNUMBER($Q335),$Q335&lt;$P335),"Termination Date cannot be before Eligibility Date; ","")&amp;IF($R335="","Status is required; ","")&amp;IF(AND($R335&lt;&gt;"",$R335&lt;&gt;"Active",$R335&lt;&gt;"Terminated"),"Status must be Active or Terminated; ","")&amp;IF(AND('START HERE'!$C$8="Terminations Only",$R335&lt;&gt;"Terminated"),"Terminations Only files must contain terminated records; ",""))</f>
        <v/>
      </c>
      <c r="AC335">
        <f>IF(COUNTA($A335:$U335)=0,"",IF($S335="","Plan Name is required; ","")&amp;IF($T335="","Benefit Coverage Level is required; ","")&amp;IF(AND($U335&lt;&gt;"",OR(NOT(ISNUMBER($U335)),$U335&lt;0)),"Plan Funding Amount must be a nonnegative number; ","")&amp;IF(AND($A335&lt;&gt;"",$S335&lt;&gt;"",COUNTIFS($A$2:$A$501,$A335,$B$2:$B$501,$B335,$S$2:$S$501,$S335)&gt;1),"Duplicate participant and plan row; ",""))</f>
        <v/>
      </c>
      <c r="AD335">
        <f>IF(COUNTA($A335:$U335)=0,"",IF(AND($X335="Employee",$M335="",$N335=""),"No employee phone or email provided; ","")&amp;IF(AND($R335="Active",$Q335&lt;&gt;""),"Active record includes a Termination Date; confirm this is intentional; ","")&amp;IF(AND($B335&lt;&gt;"",$B335&amp;""&lt;&gt;$A335&amp;"",COUNTIF($A$2:$A$501,$B335)&gt;0),"Dependent SSN also appears as an Employee SSN elsewhere; confirm dual-employee coverage is intentional; ","")&amp;IF(AND($B335&lt;&gt;"",COUNTIF($B$2:$B$501,$B335)&gt;COUNTIFS($A$2:$A$501,$A335,$B$2:$B$501,$B335)),"Dependent SSN appears under more than one employee; confirm duplicate family coverage is intentional; ","")&amp;IF(AND(ROW()&gt;2,$A335&lt;&gt;"",$A335&lt;&gt;$A334,COUNTIF($A$2:$A334,$A335)&gt;0),"This household appears in more than one section of the census; keep the family together; ","")&amp;IF(OR(AND($C335&lt;&gt;"",LEN($C335&amp;"")&lt;&gt;LEN(TRIM($C335&amp;""))),AND($D335&lt;&gt;"",LEN($D335&amp;"")&lt;&gt;LEN(TRIM($D335&amp;""))),AND($E335&lt;&gt;"",LEN($E335&amp;"")&lt;&gt;LEN(TRIM($E335&amp;""))),AND($F335&lt;&gt;"",LEN($F335&amp;"")&lt;&gt;LEN(TRIM($F335&amp;""))),AND($G335&lt;&gt;"",LEN($G335&amp;"")&lt;&gt;LEN(TRIM($G335&amp;""))),AND($H335&lt;&gt;"",LEN($H335&amp;"")&lt;&gt;LEN(TRIM($H335&amp;""))),AND($I335&lt;&gt;"",LEN($I335&amp;"")&lt;&gt;LEN(TRIM($I335&amp;""))),AND($J335&lt;&gt;"",LEN($J335&amp;"")&lt;&gt;LEN(TRIM($J335&amp;""))),AND($K335&lt;&gt;"",LEN($K335&amp;"")&lt;&gt;LEN(TRIM($K335&amp;""))),AND($M335&lt;&gt;"",LEN($M335&amp;"")&lt;&gt;LEN(TRIM($M335&amp;""))),AND($N335&lt;&gt;"",LEN($N335&amp;"")&lt;&gt;LEN(TRIM($N335&amp;""))),AND($O335&lt;&gt;"",LEN($O335&amp;"")&lt;&gt;LEN(TRIM($O335&amp;""))),AND($R335&lt;&gt;"",LEN($R335&amp;"")&lt;&gt;LEN(TRIM($R335&amp;""))),AND($S335&lt;&gt;"",LEN($S335&amp;"")&lt;&gt;LEN(TRIM($S335&amp;""))),AND($T335&lt;&gt;"",LEN($T335&amp;"")&lt;&gt;LEN(TRIM($T335&amp;"")))),"Remove leading or trailing spaces from text fields; ","")&amp;IF(OR(AND(LEN($C335)&gt;1,OR(EXACT($C335,UPPER($C335)),EXACT($C335,LOWER($C335)))),AND(LEN($D335)&gt;1,OR(EXACT($D335,UPPER($D335)),EXACT($D335,LOWER($D335)))),AND(LEN($H335)&gt;1,OR(EXACT($H335,UPPER($H335)),EXACT($H335,LOWER($H335))))),"Review capitalization in First Name, Last Name, or City; ","")&amp;IF(AND($N335&lt;&gt;"",NOT(EXACT($N335,LOWER($N335)))),"Email will be standardized to lowercase in the clean output; ","")&amp;IF(AND(OR('START HERE'!$C$8="Initial Enrollment",'START HERE'!$C$8="Open Enrollment"),$R335="Terminated"),"A terminated row is included in an initial or open enrollment file; confirm this is intentional; ",""))</f>
        <v/>
      </c>
      <c r="AE335">
        <f>IF(COUNTA($A335:$U335)=0,"",IF(OR($A335="",AND($A335&lt;&gt;"",NOT(IFERROR(AND(LEN($A335&amp;"")=9,ISNUMBER(--($A335&amp;""))),FALSE))),AND($A335&lt;&gt;"",OR($A335="123456789",$A335="987654321",$A335="012345678",$A335=REPT(LEFT($A335&amp;"",1),9)))),"Employee SSN, ","")&amp;IF(OR(AND($O335&lt;&gt;"",$B335=""),AND($B335&lt;&gt;"",OR(NOT(IFERROR(AND(LEN($B335&amp;"")=9,ISNUMBER(--($B335&amp;""))),FALSE)),$B335=$A335,$B335="123456789",$B335="987654321",$B335="012345678",$B335=REPT(LEFT($B335&amp;"",1),9)))),"Dependent SSN, ","")&amp;IF(OR($C335="",LEN($C335)&gt;19,AND($C335&lt;&gt;"",SUMPRODUCT(--(ROW($1:$19)&lt;=LEN($C335&amp;"")),--ISERROR(FIND(MID($C335&amp;"",ROW($1:$19),1),"ABCDEFGHIJKLMNOPQRSTUVWXYZabcdefghijklmnopqrstuvwxyz .,")))&gt;0)),"First Name, ","")&amp;IF(OR($D335="",LEN($D335)&gt;26,AND($D335&lt;&gt;"",SUMPRODUCT(--(ROW($1:$26)&lt;=LEN($D335&amp;"")),--ISERROR(FIND(MID($D335&amp;"",ROW($1:$26),1),"ABCDEFGHIJKLMNOPQRSTUVWXYZabcdefghijklmnopqrstuvwxyz .,")))&gt;0)),"Last Name, ","")&amp;IF(OR(LEN($E335)&gt;1,AND($E335&lt;&gt;"",SUMPRODUCT(--(ROW($1:$1)&lt;=LEN($E335&amp;"")),--ISERROR(FIND(MID($E335&amp;"",ROW($1:$1),1),"ABCDEFGHIJKLMNOPQRSTUVWXYZabcdefghijklmnopqrstuvwxyz .,")))&gt;0)),"Middle Initial, ","")&amp;IF(OR($F335="",LEN($F335)&gt;75),"Address, ","")&amp;IF(OR($H335="",LEN($H335)&gt;30),"City, ","")&amp;IF(AND($K335="US",OR($I335="",LEN($I335)&lt;&gt;2)),"State, ","")&amp;IF($J335="","ZIP, ","")&amp;IF(OR($K335="",AND($K335&lt;&gt;"US",$K335&lt;&gt;"CA")),"Country, ","")&amp;IF(OR($L335="",AND($L335&lt;&gt;"",OR(NOT(ISNUMBER($L335)),$L335&lt;=DATE(1900,1,1),$L335&gt;TODAY()))),"Birthdate, ","")&amp;IF(AND($N335&lt;&gt;"",NOT(IFERROR(AND(ISNUMBER(SEARCH("@",$N335)),ISNUMBER(SEARCH(".",$N335,SEARCH("@",$N335)+2))),FALSE))),"Email, ","")&amp;IF(OR(AND($B335&lt;&gt;"",$O335=""),AND($O335&lt;&gt;"",$O335&lt;&gt;"Spouse or Common Law Spouse",$O335&lt;&gt;"Domestic Partner",$O335&lt;&gt;"Child",$O335&lt;&gt;"Other",$O335&lt;&gt;"Estate",$O335&lt;&gt;"Unknown")),"Dependent Relationship, ","")&amp;IF($AA335&lt;&gt;"","Household, ","")&amp;IF(OR($P335="",AND($P335&lt;&gt;"",OR(NOT(ISNUMBER($P335)),$P335&lt;=DATE(1900,1,1)))),"Eligibility Date, ","")&amp;IF(OR(AND($R335="Terminated",$Q335=""),AND($Q335&lt;&gt;"",OR(NOT(ISNUMBER($Q335)),$Q335&lt;=DATE(1900,1,1))),AND(ISNUMBER($P335),ISNUMBER($Q335),$Q335&lt;$P335)),"Termination Date, ","")&amp;IF(OR($R335="",AND($R335&lt;&gt;"Active",$R335&lt;&gt;"Terminated"),AND('START HERE'!$C$8="Terminations Only",$R335&lt;&gt;"Terminated")),"Status, ","")&amp;IF($S335="","Plan Name, ","")&amp;IF($T335="","Coverage Level, ","")&amp;IF(AND($U335&lt;&gt;"",OR(NOT(ISNUMBER($U335)),$U335&lt;0)),"Funding, ","")&amp;IF(AND($A335&lt;&gt;"",$S335&lt;&gt;"",COUNTIFS($A$2:$A$501,$A335,$B$2:$B$501,$B335,$S$2:$S$501,$S335)&gt;1),"Duplicate Row, ",""))</f>
        <v/>
      </c>
      <c r="AF335">
        <f>IF(COUNTA($A335:$U335)=0,"",$Y335&amp;$Z335&amp;$AA335&amp;$AB335&amp;$AC335)</f>
        <v/>
      </c>
      <c r="AG335">
        <f>IF($N335="","",LOWER(TRIM($N335)))</f>
        <v/>
      </c>
      <c r="AH335">
        <f>IF($A335="","",COUNTIFS($A$2:$A$501,$A335,$AI$2:$AI$501,1))</f>
        <v/>
      </c>
      <c r="AI335">
        <f>IF(COUNTA($A335:$U335)=0,"",--($AF335&lt;&gt;""))</f>
        <v/>
      </c>
      <c r="AJ335">
        <f>IF(COUNTA($A335:$U335)=0,"",--($AD335&lt;&gt;""))</f>
        <v/>
      </c>
    </row>
    <row r="336" ht="20" customHeight="1">
      <c r="A336" s="80" t="n"/>
      <c r="B336" s="80" t="n"/>
      <c r="C336" s="81" t="n"/>
      <c r="D336" s="81" t="n"/>
      <c r="E336" s="80" t="n"/>
      <c r="F336" s="81" t="n"/>
      <c r="G336" s="81" t="n"/>
      <c r="H336" s="81" t="n"/>
      <c r="I336" s="80" t="n"/>
      <c r="J336" s="80" t="n"/>
      <c r="K336" s="80" t="n"/>
      <c r="L336" s="82" t="n"/>
      <c r="M336" s="80" t="n"/>
      <c r="N336" s="80" t="n"/>
      <c r="O336" s="80" t="n"/>
      <c r="P336" s="82" t="n"/>
      <c r="Q336" s="82" t="n"/>
      <c r="R336" s="80" t="n"/>
      <c r="S336" s="80" t="n"/>
      <c r="T336" s="80" t="n"/>
      <c r="U336" s="83" t="n"/>
      <c r="V336">
        <f>IF($A336="","",IF($A336=$A335,$V335,IF($V335="",0,1-$V335)))</f>
        <v/>
      </c>
      <c r="W336">
        <f>IF($B336&lt;&gt;"",$B336,$A336)</f>
        <v/>
      </c>
      <c r="X336">
        <f>IF(COUNTA($A336:$U336)=0,"",IF(OR($B336&lt;&gt;"",$O336&lt;&gt;""),"Dependent","Employee"))</f>
        <v/>
      </c>
      <c r="Y336">
        <f>IF(COUNTA($A336:$U336)=0,"",IF($A336="","Employee SSN is required; ","")&amp;IF($C336="","First Name is required; ","")&amp;IF(LEN($C336&amp;"")&gt;19,"First Name exceeds 19 characters; ","")&amp;IF(AND($C336&lt;&gt;"",SUMPRODUCT(--(ROW($1:$19)&lt;=LEN($C336&amp;"")),--ISERROR(FIND(MID($C336&amp;"",ROW($1:$19),1),"ABCDEFGHIJKLMNOPQRSTUVWXYZabcdefghijklmnopqrstuvwxyz .,")))&gt;0),"First Name contains unsupported or encoded characters; use plain A-Z letters only; ","")&amp;IF($D336="","Last Name is required; ","")&amp;IF(LEN($D336&amp;"")&gt;26,"Last Name exceeds 26 characters; ","")&amp;IF(AND($D336&lt;&gt;"",SUMPRODUCT(--(ROW($1:$26)&lt;=LEN($D336&amp;"")),--ISERROR(FIND(MID($D336&amp;"",ROW($1:$26),1),"ABCDEFGHIJKLMNOPQRSTUVWXYZabcdefghijklmnopqrstuvwxyz .,")))&gt;0),"Last Name contains unsupported or encoded characters; use plain A-Z letters only; ","")&amp;IF(LEN($E336&amp;"")&gt;1,"Middle Initial may contain only one character; ","")&amp;IF(AND($E336&lt;&gt;"",SUMPRODUCT(--(ROW($1:$1)&lt;=LEN($E336&amp;"")),--ISERROR(FIND(MID($E336&amp;"",ROW($1:$1),1),"ABCDEFGHIJKLMNOPQRSTUVWXYZabcdefghijklmnopqrstuvwxyz .,")))&gt;0),"Middle Initial must be a plain A-Z letter; ","")&amp;IF($F336="","Address is required; ","")&amp;IF(LEN($F336&amp;"")&gt;75,"Address exceeds 75 characters; ","")&amp;IF(LEN($G336&amp;"")&gt;75,"Address 2 exceeds 75 characters; ","")&amp;IF($H336="","City is required; ","")&amp;IF(LEN($H336&amp;"")&gt;30,"City exceeds 30 characters; ","")&amp;IF($K336="","Country is required; ","")&amp;IF(AND($K336&lt;&gt;"",$K336&lt;&gt;"US",$K336&lt;&gt;"CA"),"Country must be US or CA; ","")&amp;IF(AND($K336="US",OR($I336="",LEN($I336&amp;"")&lt;&gt;2)),"Use a 2-letter state code; ","")&amp;IF($J336="","ZIP or postal code is required; ","")&amp;IF(AND($K336="US",$J336&lt;&gt;"",NOT(IFERROR(OR(AND(LEN($J336&amp;"")=5,ISNUMBER(--($J336&amp;""))),AND(LEN($J336&amp;"")=9,ISNUMBER(--($J336&amp;""))),AND(LEN($J336&amp;"")=10,MID($J336&amp;"",6,1)="-",ISNUMBER(--SUBSTITUTE($J336&amp;"","-","")))),FALSE))),"US ZIP must be 5 or 9 digits, with an optional ZIP+4 hyphen; ","")&amp;IF(AND($N336&lt;&gt;"",NOT(IFERROR(AND(ISNUMBER(SEARCH("@",$N336)),ISNUMBER(SEARCH(".",$N336,SEARCH("@",$N336)+2))),FALSE))),"Email format appears invalid; ","")&amp;IF(AND($O336&lt;&gt;"",$B336=""),"Dependent SSN is required for every dependent; ","")&amp;IF(AND($B336&lt;&gt;"",$O336=""),"Dependent Relationship is required when Dependent SSN is entered; ","")&amp;IF(AND($O336&lt;&gt;"",$O336&lt;&gt;"Spouse or Common Law Spouse",$O336&lt;&gt;"Domestic Partner",$O336&lt;&gt;"Child",$O336&lt;&gt;"Other",$O336&lt;&gt;"Estate",$O336&lt;&gt;"Unknown"),"Dependent Relationship must use one of the approved options; ",""))</f>
        <v/>
      </c>
      <c r="Z336">
        <f>IF(COUNTA($A336:$U336)=0,"",IF(AND($A336&lt;&gt;"",NOT(IFERROR(AND(LEN($A336&amp;"")=9,ISNUMBER(--($A336&amp;""))),FALSE))),"Employee SSN must contain exactly 9 digits; ","")&amp;IF(AND($A336&lt;&gt;"",OR($A336="123456789",$A336="987654321",$A336="012345678",$A336=REPT(LEFT($A336&amp;"",1),9))),"Employee SSN appears to be a placeholder; ","")&amp;IF(AND($B336&lt;&gt;"",NOT(IFERROR(AND(LEN($B336&amp;"")=9,ISNUMBER(--($B336&amp;""))),FALSE))),"Dependent SSN must contain exactly 9 digits; ","")&amp;IF(AND($B336&lt;&gt;"",OR($B336="123456789",$B336="987654321",$B336="012345678",$B336=REPT(LEFT($B336&amp;"",1),9))),"Dependent SSN appears to be a placeholder; ","")&amp;IF(AND($A336&lt;&gt;"",$B336&lt;&gt;"",$A336&amp;""=$B336&amp;""),"Dependent SSN cannot match Employee SSN; ","")&amp;IF(AND($W336&lt;&gt;"",OR(COUNTIFS($W$2:$W$501,$W336,$C$2:$C$501,"&lt;&gt;"&amp;$C336)&gt;0,COUNTIFS($W$2:$W$501,$W336,$D$2:$D$501,"&lt;&gt;"&amp;$D336)&gt;0,COUNTIFS($W$2:$W$501,$W336,$L$2:$L$501,"&lt;&gt;"&amp;$L336)&gt;0)),"The same SSN is associated with a different name or birthdate; ",""))</f>
        <v/>
      </c>
      <c r="AA336">
        <f>IF(COUNTA($A336:$U336)=0,"",IF(AND($A336&lt;&gt;"",$S336&lt;&gt;"",COUNTIFS($A$2:$A$501,$A336,$S$2:$S$501,$S336,$B$2:$B$501,"",$O$2:$O$501,"")=0),"Add an employee row for this household and plan; ","")&amp;IF(AND($X336="Dependent",COUNTIFS($A$2:$A336,$A336,$S$2:$S336,$S336,$B$2:$B336,"",$O$2:$O336,"")=0),"Place the employee row before dependent rows for this plan; ","")&amp;IF(AND($X336="Dependent",COUNTIFS($A$2:$A$501,$A336,$S$2:$S$501,$S336,$B$2:$B$501,"",$O$2:$O$501,"")&gt;0,IFERROR(OR($P336&lt;&gt;LOOKUP(2,1/(($A$2:$A$501=$A336)*($S$2:$S$501=$S336)*($B$2:$B$501="")*($O$2:$O$501="")),$P$2:$P$501),$Q336&lt;&gt;LOOKUP(2,1/(($A$2:$A$501=$A336)*($S$2:$S$501=$S336)*($B$2:$B$501="")*($O$2:$O$501="")),$Q$2:$Q$501),$R336&lt;&gt;LOOKUP(2,1/(($A$2:$A$501=$A336)*($S$2:$S$501=$S336)*($B$2:$B$501="")*($O$2:$O$501="")),$R$2:$R$501),$T336&lt;&gt;LOOKUP(2,1/(($A$2:$A$501=$A336)*($S$2:$S$501=$S336)*($B$2:$B$501="")*($O$2:$O$501="")),$T$2:$T$501),$U336&lt;&gt;LOOKUP(2,1/(($A$2:$A$501=$A336)*($S$2:$S$501=$S336)*($B$2:$B$501="")*($O$2:$O$501="")),$U$2:$U$501)),FALSE)),"Dependent row does not match the employee row for eligibility, status, coverage level, or funding; ",""))</f>
        <v/>
      </c>
      <c r="AB336">
        <f>IF(COUNTA($A336:$U336)=0,"",IF($L336="","Birthdate is required; ","")&amp;IF(AND($L336&lt;&gt;"",OR(NOT(ISNUMBER($L336)),$L336&lt;=DATE(1900,1,1),$L336&gt;TODAY())),"Birthdate must be an exact valid past date; ","")&amp;IF($P336="","Eligibility Date is required; ","")&amp;IF(AND($P336&lt;&gt;"",OR(NOT(ISNUMBER($P336)),$P336&lt;=DATE(1900,1,1))),"Eligibility Date must be a valid date; ","")&amp;IF(AND($R336="Terminated",$Q336=""),"Termination Date is required when Status is Terminated; ","")&amp;IF(AND($Q336&lt;&gt;"",OR(NOT(ISNUMBER($Q336)),$Q336&lt;=DATE(1900,1,1))),"Termination Date must be a valid date; ","")&amp;IF(AND(ISNUMBER($P336),ISNUMBER($Q336),$Q336&lt;$P336),"Termination Date cannot be before Eligibility Date; ","")&amp;IF($R336="","Status is required; ","")&amp;IF(AND($R336&lt;&gt;"",$R336&lt;&gt;"Active",$R336&lt;&gt;"Terminated"),"Status must be Active or Terminated; ","")&amp;IF(AND('START HERE'!$C$8="Terminations Only",$R336&lt;&gt;"Terminated"),"Terminations Only files must contain terminated records; ",""))</f>
        <v/>
      </c>
      <c r="AC336">
        <f>IF(COUNTA($A336:$U336)=0,"",IF($S336="","Plan Name is required; ","")&amp;IF($T336="","Benefit Coverage Level is required; ","")&amp;IF(AND($U336&lt;&gt;"",OR(NOT(ISNUMBER($U336)),$U336&lt;0)),"Plan Funding Amount must be a nonnegative number; ","")&amp;IF(AND($A336&lt;&gt;"",$S336&lt;&gt;"",COUNTIFS($A$2:$A$501,$A336,$B$2:$B$501,$B336,$S$2:$S$501,$S336)&gt;1),"Duplicate participant and plan row; ",""))</f>
        <v/>
      </c>
      <c r="AD336">
        <f>IF(COUNTA($A336:$U336)=0,"",IF(AND($X336="Employee",$M336="",$N336=""),"No employee phone or email provided; ","")&amp;IF(AND($R336="Active",$Q336&lt;&gt;""),"Active record includes a Termination Date; confirm this is intentional; ","")&amp;IF(AND($B336&lt;&gt;"",$B336&amp;""&lt;&gt;$A336&amp;"",COUNTIF($A$2:$A$501,$B336)&gt;0),"Dependent SSN also appears as an Employee SSN elsewhere; confirm dual-employee coverage is intentional; ","")&amp;IF(AND($B336&lt;&gt;"",COUNTIF($B$2:$B$501,$B336)&gt;COUNTIFS($A$2:$A$501,$A336,$B$2:$B$501,$B336)),"Dependent SSN appears under more than one employee; confirm duplicate family coverage is intentional; ","")&amp;IF(AND(ROW()&gt;2,$A336&lt;&gt;"",$A336&lt;&gt;$A335,COUNTIF($A$2:$A335,$A336)&gt;0),"This household appears in more than one section of the census; keep the family together; ","")&amp;IF(OR(AND($C336&lt;&gt;"",LEN($C336&amp;"")&lt;&gt;LEN(TRIM($C336&amp;""))),AND($D336&lt;&gt;"",LEN($D336&amp;"")&lt;&gt;LEN(TRIM($D336&amp;""))),AND($E336&lt;&gt;"",LEN($E336&amp;"")&lt;&gt;LEN(TRIM($E336&amp;""))),AND($F336&lt;&gt;"",LEN($F336&amp;"")&lt;&gt;LEN(TRIM($F336&amp;""))),AND($G336&lt;&gt;"",LEN($G336&amp;"")&lt;&gt;LEN(TRIM($G336&amp;""))),AND($H336&lt;&gt;"",LEN($H336&amp;"")&lt;&gt;LEN(TRIM($H336&amp;""))),AND($I336&lt;&gt;"",LEN($I336&amp;"")&lt;&gt;LEN(TRIM($I336&amp;""))),AND($J336&lt;&gt;"",LEN($J336&amp;"")&lt;&gt;LEN(TRIM($J336&amp;""))),AND($K336&lt;&gt;"",LEN($K336&amp;"")&lt;&gt;LEN(TRIM($K336&amp;""))),AND($M336&lt;&gt;"",LEN($M336&amp;"")&lt;&gt;LEN(TRIM($M336&amp;""))),AND($N336&lt;&gt;"",LEN($N336&amp;"")&lt;&gt;LEN(TRIM($N336&amp;""))),AND($O336&lt;&gt;"",LEN($O336&amp;"")&lt;&gt;LEN(TRIM($O336&amp;""))),AND($R336&lt;&gt;"",LEN($R336&amp;"")&lt;&gt;LEN(TRIM($R336&amp;""))),AND($S336&lt;&gt;"",LEN($S336&amp;"")&lt;&gt;LEN(TRIM($S336&amp;""))),AND($T336&lt;&gt;"",LEN($T336&amp;"")&lt;&gt;LEN(TRIM($T336&amp;"")))),"Remove leading or trailing spaces from text fields; ","")&amp;IF(OR(AND(LEN($C336)&gt;1,OR(EXACT($C336,UPPER($C336)),EXACT($C336,LOWER($C336)))),AND(LEN($D336)&gt;1,OR(EXACT($D336,UPPER($D336)),EXACT($D336,LOWER($D336)))),AND(LEN($H336)&gt;1,OR(EXACT($H336,UPPER($H336)),EXACT($H336,LOWER($H336))))),"Review capitalization in First Name, Last Name, or City; ","")&amp;IF(AND($N336&lt;&gt;"",NOT(EXACT($N336,LOWER($N336)))),"Email will be standardized to lowercase in the clean output; ","")&amp;IF(AND(OR('START HERE'!$C$8="Initial Enrollment",'START HERE'!$C$8="Open Enrollment"),$R336="Terminated"),"A terminated row is included in an initial or open enrollment file; confirm this is intentional; ",""))</f>
        <v/>
      </c>
      <c r="AE336">
        <f>IF(COUNTA($A336:$U336)=0,"",IF(OR($A336="",AND($A336&lt;&gt;"",NOT(IFERROR(AND(LEN($A336&amp;"")=9,ISNUMBER(--($A336&amp;""))),FALSE))),AND($A336&lt;&gt;"",OR($A336="123456789",$A336="987654321",$A336="012345678",$A336=REPT(LEFT($A336&amp;"",1),9)))),"Employee SSN, ","")&amp;IF(OR(AND($O336&lt;&gt;"",$B336=""),AND($B336&lt;&gt;"",OR(NOT(IFERROR(AND(LEN($B336&amp;"")=9,ISNUMBER(--($B336&amp;""))),FALSE)),$B336=$A336,$B336="123456789",$B336="987654321",$B336="012345678",$B336=REPT(LEFT($B336&amp;"",1),9)))),"Dependent SSN, ","")&amp;IF(OR($C336="",LEN($C336)&gt;19,AND($C336&lt;&gt;"",SUMPRODUCT(--(ROW($1:$19)&lt;=LEN($C336&amp;"")),--ISERROR(FIND(MID($C336&amp;"",ROW($1:$19),1),"ABCDEFGHIJKLMNOPQRSTUVWXYZabcdefghijklmnopqrstuvwxyz .,")))&gt;0)),"First Name, ","")&amp;IF(OR($D336="",LEN($D336)&gt;26,AND($D336&lt;&gt;"",SUMPRODUCT(--(ROW($1:$26)&lt;=LEN($D336&amp;"")),--ISERROR(FIND(MID($D336&amp;"",ROW($1:$26),1),"ABCDEFGHIJKLMNOPQRSTUVWXYZabcdefghijklmnopqrstuvwxyz .,")))&gt;0)),"Last Name, ","")&amp;IF(OR(LEN($E336)&gt;1,AND($E336&lt;&gt;"",SUMPRODUCT(--(ROW($1:$1)&lt;=LEN($E336&amp;"")),--ISERROR(FIND(MID($E336&amp;"",ROW($1:$1),1),"ABCDEFGHIJKLMNOPQRSTUVWXYZabcdefghijklmnopqrstuvwxyz .,")))&gt;0)),"Middle Initial, ","")&amp;IF(OR($F336="",LEN($F336)&gt;75),"Address, ","")&amp;IF(OR($H336="",LEN($H336)&gt;30),"City, ","")&amp;IF(AND($K336="US",OR($I336="",LEN($I336)&lt;&gt;2)),"State, ","")&amp;IF($J336="","ZIP, ","")&amp;IF(OR($K336="",AND($K336&lt;&gt;"US",$K336&lt;&gt;"CA")),"Country, ","")&amp;IF(OR($L336="",AND($L336&lt;&gt;"",OR(NOT(ISNUMBER($L336)),$L336&lt;=DATE(1900,1,1),$L336&gt;TODAY()))),"Birthdate, ","")&amp;IF(AND($N336&lt;&gt;"",NOT(IFERROR(AND(ISNUMBER(SEARCH("@",$N336)),ISNUMBER(SEARCH(".",$N336,SEARCH("@",$N336)+2))),FALSE))),"Email, ","")&amp;IF(OR(AND($B336&lt;&gt;"",$O336=""),AND($O336&lt;&gt;"",$O336&lt;&gt;"Spouse or Common Law Spouse",$O336&lt;&gt;"Domestic Partner",$O336&lt;&gt;"Child",$O336&lt;&gt;"Other",$O336&lt;&gt;"Estate",$O336&lt;&gt;"Unknown")),"Dependent Relationship, ","")&amp;IF($AA336&lt;&gt;"","Household, ","")&amp;IF(OR($P336="",AND($P336&lt;&gt;"",OR(NOT(ISNUMBER($P336)),$P336&lt;=DATE(1900,1,1)))),"Eligibility Date, ","")&amp;IF(OR(AND($R336="Terminated",$Q336=""),AND($Q336&lt;&gt;"",OR(NOT(ISNUMBER($Q336)),$Q336&lt;=DATE(1900,1,1))),AND(ISNUMBER($P336),ISNUMBER($Q336),$Q336&lt;$P336)),"Termination Date, ","")&amp;IF(OR($R336="",AND($R336&lt;&gt;"Active",$R336&lt;&gt;"Terminated"),AND('START HERE'!$C$8="Terminations Only",$R336&lt;&gt;"Terminated")),"Status, ","")&amp;IF($S336="","Plan Name, ","")&amp;IF($T336="","Coverage Level, ","")&amp;IF(AND($U336&lt;&gt;"",OR(NOT(ISNUMBER($U336)),$U336&lt;0)),"Funding, ","")&amp;IF(AND($A336&lt;&gt;"",$S336&lt;&gt;"",COUNTIFS($A$2:$A$501,$A336,$B$2:$B$501,$B336,$S$2:$S$501,$S336)&gt;1),"Duplicate Row, ",""))</f>
        <v/>
      </c>
      <c r="AF336">
        <f>IF(COUNTA($A336:$U336)=0,"",$Y336&amp;$Z336&amp;$AA336&amp;$AB336&amp;$AC336)</f>
        <v/>
      </c>
      <c r="AG336">
        <f>IF($N336="","",LOWER(TRIM($N336)))</f>
        <v/>
      </c>
      <c r="AH336">
        <f>IF($A336="","",COUNTIFS($A$2:$A$501,$A336,$AI$2:$AI$501,1))</f>
        <v/>
      </c>
      <c r="AI336">
        <f>IF(COUNTA($A336:$U336)=0,"",--($AF336&lt;&gt;""))</f>
        <v/>
      </c>
      <c r="AJ336">
        <f>IF(COUNTA($A336:$U336)=0,"",--($AD336&lt;&gt;""))</f>
        <v/>
      </c>
    </row>
    <row r="337" ht="20" customHeight="1">
      <c r="A337" s="80" t="n"/>
      <c r="B337" s="80" t="n"/>
      <c r="C337" s="81" t="n"/>
      <c r="D337" s="81" t="n"/>
      <c r="E337" s="80" t="n"/>
      <c r="F337" s="81" t="n"/>
      <c r="G337" s="81" t="n"/>
      <c r="H337" s="81" t="n"/>
      <c r="I337" s="80" t="n"/>
      <c r="J337" s="80" t="n"/>
      <c r="K337" s="80" t="n"/>
      <c r="L337" s="82" t="n"/>
      <c r="M337" s="80" t="n"/>
      <c r="N337" s="80" t="n"/>
      <c r="O337" s="80" t="n"/>
      <c r="P337" s="82" t="n"/>
      <c r="Q337" s="82" t="n"/>
      <c r="R337" s="80" t="n"/>
      <c r="S337" s="80" t="n"/>
      <c r="T337" s="80" t="n"/>
      <c r="U337" s="83" t="n"/>
      <c r="V337">
        <f>IF($A337="","",IF($A337=$A336,$V336,IF($V336="",0,1-$V336)))</f>
        <v/>
      </c>
      <c r="W337">
        <f>IF($B337&lt;&gt;"",$B337,$A337)</f>
        <v/>
      </c>
      <c r="X337">
        <f>IF(COUNTA($A337:$U337)=0,"",IF(OR($B337&lt;&gt;"",$O337&lt;&gt;""),"Dependent","Employee"))</f>
        <v/>
      </c>
      <c r="Y337">
        <f>IF(COUNTA($A337:$U337)=0,"",IF($A337="","Employee SSN is required; ","")&amp;IF($C337="","First Name is required; ","")&amp;IF(LEN($C337&amp;"")&gt;19,"First Name exceeds 19 characters; ","")&amp;IF(AND($C337&lt;&gt;"",SUMPRODUCT(--(ROW($1:$19)&lt;=LEN($C337&amp;"")),--ISERROR(FIND(MID($C337&amp;"",ROW($1:$19),1),"ABCDEFGHIJKLMNOPQRSTUVWXYZabcdefghijklmnopqrstuvwxyz .,")))&gt;0),"First Name contains unsupported or encoded characters; use plain A-Z letters only; ","")&amp;IF($D337="","Last Name is required; ","")&amp;IF(LEN($D337&amp;"")&gt;26,"Last Name exceeds 26 characters; ","")&amp;IF(AND($D337&lt;&gt;"",SUMPRODUCT(--(ROW($1:$26)&lt;=LEN($D337&amp;"")),--ISERROR(FIND(MID($D337&amp;"",ROW($1:$26),1),"ABCDEFGHIJKLMNOPQRSTUVWXYZabcdefghijklmnopqrstuvwxyz .,")))&gt;0),"Last Name contains unsupported or encoded characters; use plain A-Z letters only; ","")&amp;IF(LEN($E337&amp;"")&gt;1,"Middle Initial may contain only one character; ","")&amp;IF(AND($E337&lt;&gt;"",SUMPRODUCT(--(ROW($1:$1)&lt;=LEN($E337&amp;"")),--ISERROR(FIND(MID($E337&amp;"",ROW($1:$1),1),"ABCDEFGHIJKLMNOPQRSTUVWXYZabcdefghijklmnopqrstuvwxyz .,")))&gt;0),"Middle Initial must be a plain A-Z letter; ","")&amp;IF($F337="","Address is required; ","")&amp;IF(LEN($F337&amp;"")&gt;75,"Address exceeds 75 characters; ","")&amp;IF(LEN($G337&amp;"")&gt;75,"Address 2 exceeds 75 characters; ","")&amp;IF($H337="","City is required; ","")&amp;IF(LEN($H337&amp;"")&gt;30,"City exceeds 30 characters; ","")&amp;IF($K337="","Country is required; ","")&amp;IF(AND($K337&lt;&gt;"",$K337&lt;&gt;"US",$K337&lt;&gt;"CA"),"Country must be US or CA; ","")&amp;IF(AND($K337="US",OR($I337="",LEN($I337&amp;"")&lt;&gt;2)),"Use a 2-letter state code; ","")&amp;IF($J337="","ZIP or postal code is required; ","")&amp;IF(AND($K337="US",$J337&lt;&gt;"",NOT(IFERROR(OR(AND(LEN($J337&amp;"")=5,ISNUMBER(--($J337&amp;""))),AND(LEN($J337&amp;"")=9,ISNUMBER(--($J337&amp;""))),AND(LEN($J337&amp;"")=10,MID($J337&amp;"",6,1)="-",ISNUMBER(--SUBSTITUTE($J337&amp;"","-","")))),FALSE))),"US ZIP must be 5 or 9 digits, with an optional ZIP+4 hyphen; ","")&amp;IF(AND($N337&lt;&gt;"",NOT(IFERROR(AND(ISNUMBER(SEARCH("@",$N337)),ISNUMBER(SEARCH(".",$N337,SEARCH("@",$N337)+2))),FALSE))),"Email format appears invalid; ","")&amp;IF(AND($O337&lt;&gt;"",$B337=""),"Dependent SSN is required for every dependent; ","")&amp;IF(AND($B337&lt;&gt;"",$O337=""),"Dependent Relationship is required when Dependent SSN is entered; ","")&amp;IF(AND($O337&lt;&gt;"",$O337&lt;&gt;"Spouse or Common Law Spouse",$O337&lt;&gt;"Domestic Partner",$O337&lt;&gt;"Child",$O337&lt;&gt;"Other",$O337&lt;&gt;"Estate",$O337&lt;&gt;"Unknown"),"Dependent Relationship must use one of the approved options; ",""))</f>
        <v/>
      </c>
      <c r="Z337">
        <f>IF(COUNTA($A337:$U337)=0,"",IF(AND($A337&lt;&gt;"",NOT(IFERROR(AND(LEN($A337&amp;"")=9,ISNUMBER(--($A337&amp;""))),FALSE))),"Employee SSN must contain exactly 9 digits; ","")&amp;IF(AND($A337&lt;&gt;"",OR($A337="123456789",$A337="987654321",$A337="012345678",$A337=REPT(LEFT($A337&amp;"",1),9))),"Employee SSN appears to be a placeholder; ","")&amp;IF(AND($B337&lt;&gt;"",NOT(IFERROR(AND(LEN($B337&amp;"")=9,ISNUMBER(--($B337&amp;""))),FALSE))),"Dependent SSN must contain exactly 9 digits; ","")&amp;IF(AND($B337&lt;&gt;"",OR($B337="123456789",$B337="987654321",$B337="012345678",$B337=REPT(LEFT($B337&amp;"",1),9))),"Dependent SSN appears to be a placeholder; ","")&amp;IF(AND($A337&lt;&gt;"",$B337&lt;&gt;"",$A337&amp;""=$B337&amp;""),"Dependent SSN cannot match Employee SSN; ","")&amp;IF(AND($W337&lt;&gt;"",OR(COUNTIFS($W$2:$W$501,$W337,$C$2:$C$501,"&lt;&gt;"&amp;$C337)&gt;0,COUNTIFS($W$2:$W$501,$W337,$D$2:$D$501,"&lt;&gt;"&amp;$D337)&gt;0,COUNTIFS($W$2:$W$501,$W337,$L$2:$L$501,"&lt;&gt;"&amp;$L337)&gt;0)),"The same SSN is associated with a different name or birthdate; ",""))</f>
        <v/>
      </c>
      <c r="AA337">
        <f>IF(COUNTA($A337:$U337)=0,"",IF(AND($A337&lt;&gt;"",$S337&lt;&gt;"",COUNTIFS($A$2:$A$501,$A337,$S$2:$S$501,$S337,$B$2:$B$501,"",$O$2:$O$501,"")=0),"Add an employee row for this household and plan; ","")&amp;IF(AND($X337="Dependent",COUNTIFS($A$2:$A337,$A337,$S$2:$S337,$S337,$B$2:$B337,"",$O$2:$O337,"")=0),"Place the employee row before dependent rows for this plan; ","")&amp;IF(AND($X337="Dependent",COUNTIFS($A$2:$A$501,$A337,$S$2:$S$501,$S337,$B$2:$B$501,"",$O$2:$O$501,"")&gt;0,IFERROR(OR($P337&lt;&gt;LOOKUP(2,1/(($A$2:$A$501=$A337)*($S$2:$S$501=$S337)*($B$2:$B$501="")*($O$2:$O$501="")),$P$2:$P$501),$Q337&lt;&gt;LOOKUP(2,1/(($A$2:$A$501=$A337)*($S$2:$S$501=$S337)*($B$2:$B$501="")*($O$2:$O$501="")),$Q$2:$Q$501),$R337&lt;&gt;LOOKUP(2,1/(($A$2:$A$501=$A337)*($S$2:$S$501=$S337)*($B$2:$B$501="")*($O$2:$O$501="")),$R$2:$R$501),$T337&lt;&gt;LOOKUP(2,1/(($A$2:$A$501=$A337)*($S$2:$S$501=$S337)*($B$2:$B$501="")*($O$2:$O$501="")),$T$2:$T$501),$U337&lt;&gt;LOOKUP(2,1/(($A$2:$A$501=$A337)*($S$2:$S$501=$S337)*($B$2:$B$501="")*($O$2:$O$501="")),$U$2:$U$501)),FALSE)),"Dependent row does not match the employee row for eligibility, status, coverage level, or funding; ",""))</f>
        <v/>
      </c>
      <c r="AB337">
        <f>IF(COUNTA($A337:$U337)=0,"",IF($L337="","Birthdate is required; ","")&amp;IF(AND($L337&lt;&gt;"",OR(NOT(ISNUMBER($L337)),$L337&lt;=DATE(1900,1,1),$L337&gt;TODAY())),"Birthdate must be an exact valid past date; ","")&amp;IF($P337="","Eligibility Date is required; ","")&amp;IF(AND($P337&lt;&gt;"",OR(NOT(ISNUMBER($P337)),$P337&lt;=DATE(1900,1,1))),"Eligibility Date must be a valid date; ","")&amp;IF(AND($R337="Terminated",$Q337=""),"Termination Date is required when Status is Terminated; ","")&amp;IF(AND($Q337&lt;&gt;"",OR(NOT(ISNUMBER($Q337)),$Q337&lt;=DATE(1900,1,1))),"Termination Date must be a valid date; ","")&amp;IF(AND(ISNUMBER($P337),ISNUMBER($Q337),$Q337&lt;$P337),"Termination Date cannot be before Eligibility Date; ","")&amp;IF($R337="","Status is required; ","")&amp;IF(AND($R337&lt;&gt;"",$R337&lt;&gt;"Active",$R337&lt;&gt;"Terminated"),"Status must be Active or Terminated; ","")&amp;IF(AND('START HERE'!$C$8="Terminations Only",$R337&lt;&gt;"Terminated"),"Terminations Only files must contain terminated records; ",""))</f>
        <v/>
      </c>
      <c r="AC337">
        <f>IF(COUNTA($A337:$U337)=0,"",IF($S337="","Plan Name is required; ","")&amp;IF($T337="","Benefit Coverage Level is required; ","")&amp;IF(AND($U337&lt;&gt;"",OR(NOT(ISNUMBER($U337)),$U337&lt;0)),"Plan Funding Amount must be a nonnegative number; ","")&amp;IF(AND($A337&lt;&gt;"",$S337&lt;&gt;"",COUNTIFS($A$2:$A$501,$A337,$B$2:$B$501,$B337,$S$2:$S$501,$S337)&gt;1),"Duplicate participant and plan row; ",""))</f>
        <v/>
      </c>
      <c r="AD337">
        <f>IF(COUNTA($A337:$U337)=0,"",IF(AND($X337="Employee",$M337="",$N337=""),"No employee phone or email provided; ","")&amp;IF(AND($R337="Active",$Q337&lt;&gt;""),"Active record includes a Termination Date; confirm this is intentional; ","")&amp;IF(AND($B337&lt;&gt;"",$B337&amp;""&lt;&gt;$A337&amp;"",COUNTIF($A$2:$A$501,$B337)&gt;0),"Dependent SSN also appears as an Employee SSN elsewhere; confirm dual-employee coverage is intentional; ","")&amp;IF(AND($B337&lt;&gt;"",COUNTIF($B$2:$B$501,$B337)&gt;COUNTIFS($A$2:$A$501,$A337,$B$2:$B$501,$B337)),"Dependent SSN appears under more than one employee; confirm duplicate family coverage is intentional; ","")&amp;IF(AND(ROW()&gt;2,$A337&lt;&gt;"",$A337&lt;&gt;$A336,COUNTIF($A$2:$A336,$A337)&gt;0),"This household appears in more than one section of the census; keep the family together; ","")&amp;IF(OR(AND($C337&lt;&gt;"",LEN($C337&amp;"")&lt;&gt;LEN(TRIM($C337&amp;""))),AND($D337&lt;&gt;"",LEN($D337&amp;"")&lt;&gt;LEN(TRIM($D337&amp;""))),AND($E337&lt;&gt;"",LEN($E337&amp;"")&lt;&gt;LEN(TRIM($E337&amp;""))),AND($F337&lt;&gt;"",LEN($F337&amp;"")&lt;&gt;LEN(TRIM($F337&amp;""))),AND($G337&lt;&gt;"",LEN($G337&amp;"")&lt;&gt;LEN(TRIM($G337&amp;""))),AND($H337&lt;&gt;"",LEN($H337&amp;"")&lt;&gt;LEN(TRIM($H337&amp;""))),AND($I337&lt;&gt;"",LEN($I337&amp;"")&lt;&gt;LEN(TRIM($I337&amp;""))),AND($J337&lt;&gt;"",LEN($J337&amp;"")&lt;&gt;LEN(TRIM($J337&amp;""))),AND($K337&lt;&gt;"",LEN($K337&amp;"")&lt;&gt;LEN(TRIM($K337&amp;""))),AND($M337&lt;&gt;"",LEN($M337&amp;"")&lt;&gt;LEN(TRIM($M337&amp;""))),AND($N337&lt;&gt;"",LEN($N337&amp;"")&lt;&gt;LEN(TRIM($N337&amp;""))),AND($O337&lt;&gt;"",LEN($O337&amp;"")&lt;&gt;LEN(TRIM($O337&amp;""))),AND($R337&lt;&gt;"",LEN($R337&amp;"")&lt;&gt;LEN(TRIM($R337&amp;""))),AND($S337&lt;&gt;"",LEN($S337&amp;"")&lt;&gt;LEN(TRIM($S337&amp;""))),AND($T337&lt;&gt;"",LEN($T337&amp;"")&lt;&gt;LEN(TRIM($T337&amp;"")))),"Remove leading or trailing spaces from text fields; ","")&amp;IF(OR(AND(LEN($C337)&gt;1,OR(EXACT($C337,UPPER($C337)),EXACT($C337,LOWER($C337)))),AND(LEN($D337)&gt;1,OR(EXACT($D337,UPPER($D337)),EXACT($D337,LOWER($D337)))),AND(LEN($H337)&gt;1,OR(EXACT($H337,UPPER($H337)),EXACT($H337,LOWER($H337))))),"Review capitalization in First Name, Last Name, or City; ","")&amp;IF(AND($N337&lt;&gt;"",NOT(EXACT($N337,LOWER($N337)))),"Email will be standardized to lowercase in the clean output; ","")&amp;IF(AND(OR('START HERE'!$C$8="Initial Enrollment",'START HERE'!$C$8="Open Enrollment"),$R337="Terminated"),"A terminated row is included in an initial or open enrollment file; confirm this is intentional; ",""))</f>
        <v/>
      </c>
      <c r="AE337">
        <f>IF(COUNTA($A337:$U337)=0,"",IF(OR($A337="",AND($A337&lt;&gt;"",NOT(IFERROR(AND(LEN($A337&amp;"")=9,ISNUMBER(--($A337&amp;""))),FALSE))),AND($A337&lt;&gt;"",OR($A337="123456789",$A337="987654321",$A337="012345678",$A337=REPT(LEFT($A337&amp;"",1),9)))),"Employee SSN, ","")&amp;IF(OR(AND($O337&lt;&gt;"",$B337=""),AND($B337&lt;&gt;"",OR(NOT(IFERROR(AND(LEN($B337&amp;"")=9,ISNUMBER(--($B337&amp;""))),FALSE)),$B337=$A337,$B337="123456789",$B337="987654321",$B337="012345678",$B337=REPT(LEFT($B337&amp;"",1),9)))),"Dependent SSN, ","")&amp;IF(OR($C337="",LEN($C337)&gt;19,AND($C337&lt;&gt;"",SUMPRODUCT(--(ROW($1:$19)&lt;=LEN($C337&amp;"")),--ISERROR(FIND(MID($C337&amp;"",ROW($1:$19),1),"ABCDEFGHIJKLMNOPQRSTUVWXYZabcdefghijklmnopqrstuvwxyz .,")))&gt;0)),"First Name, ","")&amp;IF(OR($D337="",LEN($D337)&gt;26,AND($D337&lt;&gt;"",SUMPRODUCT(--(ROW($1:$26)&lt;=LEN($D337&amp;"")),--ISERROR(FIND(MID($D337&amp;"",ROW($1:$26),1),"ABCDEFGHIJKLMNOPQRSTUVWXYZabcdefghijklmnopqrstuvwxyz .,")))&gt;0)),"Last Name, ","")&amp;IF(OR(LEN($E337)&gt;1,AND($E337&lt;&gt;"",SUMPRODUCT(--(ROW($1:$1)&lt;=LEN($E337&amp;"")),--ISERROR(FIND(MID($E337&amp;"",ROW($1:$1),1),"ABCDEFGHIJKLMNOPQRSTUVWXYZabcdefghijklmnopqrstuvwxyz .,")))&gt;0)),"Middle Initial, ","")&amp;IF(OR($F337="",LEN($F337)&gt;75),"Address, ","")&amp;IF(OR($H337="",LEN($H337)&gt;30),"City, ","")&amp;IF(AND($K337="US",OR($I337="",LEN($I337)&lt;&gt;2)),"State, ","")&amp;IF($J337="","ZIP, ","")&amp;IF(OR($K337="",AND($K337&lt;&gt;"US",$K337&lt;&gt;"CA")),"Country, ","")&amp;IF(OR($L337="",AND($L337&lt;&gt;"",OR(NOT(ISNUMBER($L337)),$L337&lt;=DATE(1900,1,1),$L337&gt;TODAY()))),"Birthdate, ","")&amp;IF(AND($N337&lt;&gt;"",NOT(IFERROR(AND(ISNUMBER(SEARCH("@",$N337)),ISNUMBER(SEARCH(".",$N337,SEARCH("@",$N337)+2))),FALSE))),"Email, ","")&amp;IF(OR(AND($B337&lt;&gt;"",$O337=""),AND($O337&lt;&gt;"",$O337&lt;&gt;"Spouse or Common Law Spouse",$O337&lt;&gt;"Domestic Partner",$O337&lt;&gt;"Child",$O337&lt;&gt;"Other",$O337&lt;&gt;"Estate",$O337&lt;&gt;"Unknown")),"Dependent Relationship, ","")&amp;IF($AA337&lt;&gt;"","Household, ","")&amp;IF(OR($P337="",AND($P337&lt;&gt;"",OR(NOT(ISNUMBER($P337)),$P337&lt;=DATE(1900,1,1)))),"Eligibility Date, ","")&amp;IF(OR(AND($R337="Terminated",$Q337=""),AND($Q337&lt;&gt;"",OR(NOT(ISNUMBER($Q337)),$Q337&lt;=DATE(1900,1,1))),AND(ISNUMBER($P337),ISNUMBER($Q337),$Q337&lt;$P337)),"Termination Date, ","")&amp;IF(OR($R337="",AND($R337&lt;&gt;"Active",$R337&lt;&gt;"Terminated"),AND('START HERE'!$C$8="Terminations Only",$R337&lt;&gt;"Terminated")),"Status, ","")&amp;IF($S337="","Plan Name, ","")&amp;IF($T337="","Coverage Level, ","")&amp;IF(AND($U337&lt;&gt;"",OR(NOT(ISNUMBER($U337)),$U337&lt;0)),"Funding, ","")&amp;IF(AND($A337&lt;&gt;"",$S337&lt;&gt;"",COUNTIFS($A$2:$A$501,$A337,$B$2:$B$501,$B337,$S$2:$S$501,$S337)&gt;1),"Duplicate Row, ",""))</f>
        <v/>
      </c>
      <c r="AF337">
        <f>IF(COUNTA($A337:$U337)=0,"",$Y337&amp;$Z337&amp;$AA337&amp;$AB337&amp;$AC337)</f>
        <v/>
      </c>
      <c r="AG337">
        <f>IF($N337="","",LOWER(TRIM($N337)))</f>
        <v/>
      </c>
      <c r="AH337">
        <f>IF($A337="","",COUNTIFS($A$2:$A$501,$A337,$AI$2:$AI$501,1))</f>
        <v/>
      </c>
      <c r="AI337">
        <f>IF(COUNTA($A337:$U337)=0,"",--($AF337&lt;&gt;""))</f>
        <v/>
      </c>
      <c r="AJ337">
        <f>IF(COUNTA($A337:$U337)=0,"",--($AD337&lt;&gt;""))</f>
        <v/>
      </c>
    </row>
    <row r="338" ht="20" customHeight="1">
      <c r="A338" s="80" t="n"/>
      <c r="B338" s="80" t="n"/>
      <c r="C338" s="81" t="n"/>
      <c r="D338" s="81" t="n"/>
      <c r="E338" s="80" t="n"/>
      <c r="F338" s="81" t="n"/>
      <c r="G338" s="81" t="n"/>
      <c r="H338" s="81" t="n"/>
      <c r="I338" s="80" t="n"/>
      <c r="J338" s="80" t="n"/>
      <c r="K338" s="80" t="n"/>
      <c r="L338" s="82" t="n"/>
      <c r="M338" s="80" t="n"/>
      <c r="N338" s="80" t="n"/>
      <c r="O338" s="80" t="n"/>
      <c r="P338" s="82" t="n"/>
      <c r="Q338" s="82" t="n"/>
      <c r="R338" s="80" t="n"/>
      <c r="S338" s="80" t="n"/>
      <c r="T338" s="80" t="n"/>
      <c r="U338" s="83" t="n"/>
      <c r="V338">
        <f>IF($A338="","",IF($A338=$A337,$V337,IF($V337="",0,1-$V337)))</f>
        <v/>
      </c>
      <c r="W338">
        <f>IF($B338&lt;&gt;"",$B338,$A338)</f>
        <v/>
      </c>
      <c r="X338">
        <f>IF(COUNTA($A338:$U338)=0,"",IF(OR($B338&lt;&gt;"",$O338&lt;&gt;""),"Dependent","Employee"))</f>
        <v/>
      </c>
      <c r="Y338">
        <f>IF(COUNTA($A338:$U338)=0,"",IF($A338="","Employee SSN is required; ","")&amp;IF($C338="","First Name is required; ","")&amp;IF(LEN($C338&amp;"")&gt;19,"First Name exceeds 19 characters; ","")&amp;IF(AND($C338&lt;&gt;"",SUMPRODUCT(--(ROW($1:$19)&lt;=LEN($C338&amp;"")),--ISERROR(FIND(MID($C338&amp;"",ROW($1:$19),1),"ABCDEFGHIJKLMNOPQRSTUVWXYZabcdefghijklmnopqrstuvwxyz .,")))&gt;0),"First Name contains unsupported or encoded characters; use plain A-Z letters only; ","")&amp;IF($D338="","Last Name is required; ","")&amp;IF(LEN($D338&amp;"")&gt;26,"Last Name exceeds 26 characters; ","")&amp;IF(AND($D338&lt;&gt;"",SUMPRODUCT(--(ROW($1:$26)&lt;=LEN($D338&amp;"")),--ISERROR(FIND(MID($D338&amp;"",ROW($1:$26),1),"ABCDEFGHIJKLMNOPQRSTUVWXYZabcdefghijklmnopqrstuvwxyz .,")))&gt;0),"Last Name contains unsupported or encoded characters; use plain A-Z letters only; ","")&amp;IF(LEN($E338&amp;"")&gt;1,"Middle Initial may contain only one character; ","")&amp;IF(AND($E338&lt;&gt;"",SUMPRODUCT(--(ROW($1:$1)&lt;=LEN($E338&amp;"")),--ISERROR(FIND(MID($E338&amp;"",ROW($1:$1),1),"ABCDEFGHIJKLMNOPQRSTUVWXYZabcdefghijklmnopqrstuvwxyz .,")))&gt;0),"Middle Initial must be a plain A-Z letter; ","")&amp;IF($F338="","Address is required; ","")&amp;IF(LEN($F338&amp;"")&gt;75,"Address exceeds 75 characters; ","")&amp;IF(LEN($G338&amp;"")&gt;75,"Address 2 exceeds 75 characters; ","")&amp;IF($H338="","City is required; ","")&amp;IF(LEN($H338&amp;"")&gt;30,"City exceeds 30 characters; ","")&amp;IF($K338="","Country is required; ","")&amp;IF(AND($K338&lt;&gt;"",$K338&lt;&gt;"US",$K338&lt;&gt;"CA"),"Country must be US or CA; ","")&amp;IF(AND($K338="US",OR($I338="",LEN($I338&amp;"")&lt;&gt;2)),"Use a 2-letter state code; ","")&amp;IF($J338="","ZIP or postal code is required; ","")&amp;IF(AND($K338="US",$J338&lt;&gt;"",NOT(IFERROR(OR(AND(LEN($J338&amp;"")=5,ISNUMBER(--($J338&amp;""))),AND(LEN($J338&amp;"")=9,ISNUMBER(--($J338&amp;""))),AND(LEN($J338&amp;"")=10,MID($J338&amp;"",6,1)="-",ISNUMBER(--SUBSTITUTE($J338&amp;"","-","")))),FALSE))),"US ZIP must be 5 or 9 digits, with an optional ZIP+4 hyphen; ","")&amp;IF(AND($N338&lt;&gt;"",NOT(IFERROR(AND(ISNUMBER(SEARCH("@",$N338)),ISNUMBER(SEARCH(".",$N338,SEARCH("@",$N338)+2))),FALSE))),"Email format appears invalid; ","")&amp;IF(AND($O338&lt;&gt;"",$B338=""),"Dependent SSN is required for every dependent; ","")&amp;IF(AND($B338&lt;&gt;"",$O338=""),"Dependent Relationship is required when Dependent SSN is entered; ","")&amp;IF(AND($O338&lt;&gt;"",$O338&lt;&gt;"Spouse or Common Law Spouse",$O338&lt;&gt;"Domestic Partner",$O338&lt;&gt;"Child",$O338&lt;&gt;"Other",$O338&lt;&gt;"Estate",$O338&lt;&gt;"Unknown"),"Dependent Relationship must use one of the approved options; ",""))</f>
        <v/>
      </c>
      <c r="Z338">
        <f>IF(COUNTA($A338:$U338)=0,"",IF(AND($A338&lt;&gt;"",NOT(IFERROR(AND(LEN($A338&amp;"")=9,ISNUMBER(--($A338&amp;""))),FALSE))),"Employee SSN must contain exactly 9 digits; ","")&amp;IF(AND($A338&lt;&gt;"",OR($A338="123456789",$A338="987654321",$A338="012345678",$A338=REPT(LEFT($A338&amp;"",1),9))),"Employee SSN appears to be a placeholder; ","")&amp;IF(AND($B338&lt;&gt;"",NOT(IFERROR(AND(LEN($B338&amp;"")=9,ISNUMBER(--($B338&amp;""))),FALSE))),"Dependent SSN must contain exactly 9 digits; ","")&amp;IF(AND($B338&lt;&gt;"",OR($B338="123456789",$B338="987654321",$B338="012345678",$B338=REPT(LEFT($B338&amp;"",1),9))),"Dependent SSN appears to be a placeholder; ","")&amp;IF(AND($A338&lt;&gt;"",$B338&lt;&gt;"",$A338&amp;""=$B338&amp;""),"Dependent SSN cannot match Employee SSN; ","")&amp;IF(AND($W338&lt;&gt;"",OR(COUNTIFS($W$2:$W$501,$W338,$C$2:$C$501,"&lt;&gt;"&amp;$C338)&gt;0,COUNTIFS($W$2:$W$501,$W338,$D$2:$D$501,"&lt;&gt;"&amp;$D338)&gt;0,COUNTIFS($W$2:$W$501,$W338,$L$2:$L$501,"&lt;&gt;"&amp;$L338)&gt;0)),"The same SSN is associated with a different name or birthdate; ",""))</f>
        <v/>
      </c>
      <c r="AA338">
        <f>IF(COUNTA($A338:$U338)=0,"",IF(AND($A338&lt;&gt;"",$S338&lt;&gt;"",COUNTIFS($A$2:$A$501,$A338,$S$2:$S$501,$S338,$B$2:$B$501,"",$O$2:$O$501,"")=0),"Add an employee row for this household and plan; ","")&amp;IF(AND($X338="Dependent",COUNTIFS($A$2:$A338,$A338,$S$2:$S338,$S338,$B$2:$B338,"",$O$2:$O338,"")=0),"Place the employee row before dependent rows for this plan; ","")&amp;IF(AND($X338="Dependent",COUNTIFS($A$2:$A$501,$A338,$S$2:$S$501,$S338,$B$2:$B$501,"",$O$2:$O$501,"")&gt;0,IFERROR(OR($P338&lt;&gt;LOOKUP(2,1/(($A$2:$A$501=$A338)*($S$2:$S$501=$S338)*($B$2:$B$501="")*($O$2:$O$501="")),$P$2:$P$501),$Q338&lt;&gt;LOOKUP(2,1/(($A$2:$A$501=$A338)*($S$2:$S$501=$S338)*($B$2:$B$501="")*($O$2:$O$501="")),$Q$2:$Q$501),$R338&lt;&gt;LOOKUP(2,1/(($A$2:$A$501=$A338)*($S$2:$S$501=$S338)*($B$2:$B$501="")*($O$2:$O$501="")),$R$2:$R$501),$T338&lt;&gt;LOOKUP(2,1/(($A$2:$A$501=$A338)*($S$2:$S$501=$S338)*($B$2:$B$501="")*($O$2:$O$501="")),$T$2:$T$501),$U338&lt;&gt;LOOKUP(2,1/(($A$2:$A$501=$A338)*($S$2:$S$501=$S338)*($B$2:$B$501="")*($O$2:$O$501="")),$U$2:$U$501)),FALSE)),"Dependent row does not match the employee row for eligibility, status, coverage level, or funding; ",""))</f>
        <v/>
      </c>
      <c r="AB338">
        <f>IF(COUNTA($A338:$U338)=0,"",IF($L338="","Birthdate is required; ","")&amp;IF(AND($L338&lt;&gt;"",OR(NOT(ISNUMBER($L338)),$L338&lt;=DATE(1900,1,1),$L338&gt;TODAY())),"Birthdate must be an exact valid past date; ","")&amp;IF($P338="","Eligibility Date is required; ","")&amp;IF(AND($P338&lt;&gt;"",OR(NOT(ISNUMBER($P338)),$P338&lt;=DATE(1900,1,1))),"Eligibility Date must be a valid date; ","")&amp;IF(AND($R338="Terminated",$Q338=""),"Termination Date is required when Status is Terminated; ","")&amp;IF(AND($Q338&lt;&gt;"",OR(NOT(ISNUMBER($Q338)),$Q338&lt;=DATE(1900,1,1))),"Termination Date must be a valid date; ","")&amp;IF(AND(ISNUMBER($P338),ISNUMBER($Q338),$Q338&lt;$P338),"Termination Date cannot be before Eligibility Date; ","")&amp;IF($R338="","Status is required; ","")&amp;IF(AND($R338&lt;&gt;"",$R338&lt;&gt;"Active",$R338&lt;&gt;"Terminated"),"Status must be Active or Terminated; ","")&amp;IF(AND('START HERE'!$C$8="Terminations Only",$R338&lt;&gt;"Terminated"),"Terminations Only files must contain terminated records; ",""))</f>
        <v/>
      </c>
      <c r="AC338">
        <f>IF(COUNTA($A338:$U338)=0,"",IF($S338="","Plan Name is required; ","")&amp;IF($T338="","Benefit Coverage Level is required; ","")&amp;IF(AND($U338&lt;&gt;"",OR(NOT(ISNUMBER($U338)),$U338&lt;0)),"Plan Funding Amount must be a nonnegative number; ","")&amp;IF(AND($A338&lt;&gt;"",$S338&lt;&gt;"",COUNTIFS($A$2:$A$501,$A338,$B$2:$B$501,$B338,$S$2:$S$501,$S338)&gt;1),"Duplicate participant and plan row; ",""))</f>
        <v/>
      </c>
      <c r="AD338">
        <f>IF(COUNTA($A338:$U338)=0,"",IF(AND($X338="Employee",$M338="",$N338=""),"No employee phone or email provided; ","")&amp;IF(AND($R338="Active",$Q338&lt;&gt;""),"Active record includes a Termination Date; confirm this is intentional; ","")&amp;IF(AND($B338&lt;&gt;"",$B338&amp;""&lt;&gt;$A338&amp;"",COUNTIF($A$2:$A$501,$B338)&gt;0),"Dependent SSN also appears as an Employee SSN elsewhere; confirm dual-employee coverage is intentional; ","")&amp;IF(AND($B338&lt;&gt;"",COUNTIF($B$2:$B$501,$B338)&gt;COUNTIFS($A$2:$A$501,$A338,$B$2:$B$501,$B338)),"Dependent SSN appears under more than one employee; confirm duplicate family coverage is intentional; ","")&amp;IF(AND(ROW()&gt;2,$A338&lt;&gt;"",$A338&lt;&gt;$A337,COUNTIF($A$2:$A337,$A338)&gt;0),"This household appears in more than one section of the census; keep the family together; ","")&amp;IF(OR(AND($C338&lt;&gt;"",LEN($C338&amp;"")&lt;&gt;LEN(TRIM($C338&amp;""))),AND($D338&lt;&gt;"",LEN($D338&amp;"")&lt;&gt;LEN(TRIM($D338&amp;""))),AND($E338&lt;&gt;"",LEN($E338&amp;"")&lt;&gt;LEN(TRIM($E338&amp;""))),AND($F338&lt;&gt;"",LEN($F338&amp;"")&lt;&gt;LEN(TRIM($F338&amp;""))),AND($G338&lt;&gt;"",LEN($G338&amp;"")&lt;&gt;LEN(TRIM($G338&amp;""))),AND($H338&lt;&gt;"",LEN($H338&amp;"")&lt;&gt;LEN(TRIM($H338&amp;""))),AND($I338&lt;&gt;"",LEN($I338&amp;"")&lt;&gt;LEN(TRIM($I338&amp;""))),AND($J338&lt;&gt;"",LEN($J338&amp;"")&lt;&gt;LEN(TRIM($J338&amp;""))),AND($K338&lt;&gt;"",LEN($K338&amp;"")&lt;&gt;LEN(TRIM($K338&amp;""))),AND($M338&lt;&gt;"",LEN($M338&amp;"")&lt;&gt;LEN(TRIM($M338&amp;""))),AND($N338&lt;&gt;"",LEN($N338&amp;"")&lt;&gt;LEN(TRIM($N338&amp;""))),AND($O338&lt;&gt;"",LEN($O338&amp;"")&lt;&gt;LEN(TRIM($O338&amp;""))),AND($R338&lt;&gt;"",LEN($R338&amp;"")&lt;&gt;LEN(TRIM($R338&amp;""))),AND($S338&lt;&gt;"",LEN($S338&amp;"")&lt;&gt;LEN(TRIM($S338&amp;""))),AND($T338&lt;&gt;"",LEN($T338&amp;"")&lt;&gt;LEN(TRIM($T338&amp;"")))),"Remove leading or trailing spaces from text fields; ","")&amp;IF(OR(AND(LEN($C338)&gt;1,OR(EXACT($C338,UPPER($C338)),EXACT($C338,LOWER($C338)))),AND(LEN($D338)&gt;1,OR(EXACT($D338,UPPER($D338)),EXACT($D338,LOWER($D338)))),AND(LEN($H338)&gt;1,OR(EXACT($H338,UPPER($H338)),EXACT($H338,LOWER($H338))))),"Review capitalization in First Name, Last Name, or City; ","")&amp;IF(AND($N338&lt;&gt;"",NOT(EXACT($N338,LOWER($N338)))),"Email will be standardized to lowercase in the clean output; ","")&amp;IF(AND(OR('START HERE'!$C$8="Initial Enrollment",'START HERE'!$C$8="Open Enrollment"),$R338="Terminated"),"A terminated row is included in an initial or open enrollment file; confirm this is intentional; ",""))</f>
        <v/>
      </c>
      <c r="AE338">
        <f>IF(COUNTA($A338:$U338)=0,"",IF(OR($A338="",AND($A338&lt;&gt;"",NOT(IFERROR(AND(LEN($A338&amp;"")=9,ISNUMBER(--($A338&amp;""))),FALSE))),AND($A338&lt;&gt;"",OR($A338="123456789",$A338="987654321",$A338="012345678",$A338=REPT(LEFT($A338&amp;"",1),9)))),"Employee SSN, ","")&amp;IF(OR(AND($O338&lt;&gt;"",$B338=""),AND($B338&lt;&gt;"",OR(NOT(IFERROR(AND(LEN($B338&amp;"")=9,ISNUMBER(--($B338&amp;""))),FALSE)),$B338=$A338,$B338="123456789",$B338="987654321",$B338="012345678",$B338=REPT(LEFT($B338&amp;"",1),9)))),"Dependent SSN, ","")&amp;IF(OR($C338="",LEN($C338)&gt;19,AND($C338&lt;&gt;"",SUMPRODUCT(--(ROW($1:$19)&lt;=LEN($C338&amp;"")),--ISERROR(FIND(MID($C338&amp;"",ROW($1:$19),1),"ABCDEFGHIJKLMNOPQRSTUVWXYZabcdefghijklmnopqrstuvwxyz .,")))&gt;0)),"First Name, ","")&amp;IF(OR($D338="",LEN($D338)&gt;26,AND($D338&lt;&gt;"",SUMPRODUCT(--(ROW($1:$26)&lt;=LEN($D338&amp;"")),--ISERROR(FIND(MID($D338&amp;"",ROW($1:$26),1),"ABCDEFGHIJKLMNOPQRSTUVWXYZabcdefghijklmnopqrstuvwxyz .,")))&gt;0)),"Last Name, ","")&amp;IF(OR(LEN($E338)&gt;1,AND($E338&lt;&gt;"",SUMPRODUCT(--(ROW($1:$1)&lt;=LEN($E338&amp;"")),--ISERROR(FIND(MID($E338&amp;"",ROW($1:$1),1),"ABCDEFGHIJKLMNOPQRSTUVWXYZabcdefghijklmnopqrstuvwxyz .,")))&gt;0)),"Middle Initial, ","")&amp;IF(OR($F338="",LEN($F338)&gt;75),"Address, ","")&amp;IF(OR($H338="",LEN($H338)&gt;30),"City, ","")&amp;IF(AND($K338="US",OR($I338="",LEN($I338)&lt;&gt;2)),"State, ","")&amp;IF($J338="","ZIP, ","")&amp;IF(OR($K338="",AND($K338&lt;&gt;"US",$K338&lt;&gt;"CA")),"Country, ","")&amp;IF(OR($L338="",AND($L338&lt;&gt;"",OR(NOT(ISNUMBER($L338)),$L338&lt;=DATE(1900,1,1),$L338&gt;TODAY()))),"Birthdate, ","")&amp;IF(AND($N338&lt;&gt;"",NOT(IFERROR(AND(ISNUMBER(SEARCH("@",$N338)),ISNUMBER(SEARCH(".",$N338,SEARCH("@",$N338)+2))),FALSE))),"Email, ","")&amp;IF(OR(AND($B338&lt;&gt;"",$O338=""),AND($O338&lt;&gt;"",$O338&lt;&gt;"Spouse or Common Law Spouse",$O338&lt;&gt;"Domestic Partner",$O338&lt;&gt;"Child",$O338&lt;&gt;"Other",$O338&lt;&gt;"Estate",$O338&lt;&gt;"Unknown")),"Dependent Relationship, ","")&amp;IF($AA338&lt;&gt;"","Household, ","")&amp;IF(OR($P338="",AND($P338&lt;&gt;"",OR(NOT(ISNUMBER($P338)),$P338&lt;=DATE(1900,1,1)))),"Eligibility Date, ","")&amp;IF(OR(AND($R338="Terminated",$Q338=""),AND($Q338&lt;&gt;"",OR(NOT(ISNUMBER($Q338)),$Q338&lt;=DATE(1900,1,1))),AND(ISNUMBER($P338),ISNUMBER($Q338),$Q338&lt;$P338)),"Termination Date, ","")&amp;IF(OR($R338="",AND($R338&lt;&gt;"Active",$R338&lt;&gt;"Terminated"),AND('START HERE'!$C$8="Terminations Only",$R338&lt;&gt;"Terminated")),"Status, ","")&amp;IF($S338="","Plan Name, ","")&amp;IF($T338="","Coverage Level, ","")&amp;IF(AND($U338&lt;&gt;"",OR(NOT(ISNUMBER($U338)),$U338&lt;0)),"Funding, ","")&amp;IF(AND($A338&lt;&gt;"",$S338&lt;&gt;"",COUNTIFS($A$2:$A$501,$A338,$B$2:$B$501,$B338,$S$2:$S$501,$S338)&gt;1),"Duplicate Row, ",""))</f>
        <v/>
      </c>
      <c r="AF338">
        <f>IF(COUNTA($A338:$U338)=0,"",$Y338&amp;$Z338&amp;$AA338&amp;$AB338&amp;$AC338)</f>
        <v/>
      </c>
      <c r="AG338">
        <f>IF($N338="","",LOWER(TRIM($N338)))</f>
        <v/>
      </c>
      <c r="AH338">
        <f>IF($A338="","",COUNTIFS($A$2:$A$501,$A338,$AI$2:$AI$501,1))</f>
        <v/>
      </c>
      <c r="AI338">
        <f>IF(COUNTA($A338:$U338)=0,"",--($AF338&lt;&gt;""))</f>
        <v/>
      </c>
      <c r="AJ338">
        <f>IF(COUNTA($A338:$U338)=0,"",--($AD338&lt;&gt;""))</f>
        <v/>
      </c>
    </row>
    <row r="339" ht="20" customHeight="1">
      <c r="A339" s="80" t="n"/>
      <c r="B339" s="80" t="n"/>
      <c r="C339" s="81" t="n"/>
      <c r="D339" s="81" t="n"/>
      <c r="E339" s="80" t="n"/>
      <c r="F339" s="81" t="n"/>
      <c r="G339" s="81" t="n"/>
      <c r="H339" s="81" t="n"/>
      <c r="I339" s="80" t="n"/>
      <c r="J339" s="80" t="n"/>
      <c r="K339" s="80" t="n"/>
      <c r="L339" s="82" t="n"/>
      <c r="M339" s="80" t="n"/>
      <c r="N339" s="80" t="n"/>
      <c r="O339" s="80" t="n"/>
      <c r="P339" s="82" t="n"/>
      <c r="Q339" s="82" t="n"/>
      <c r="R339" s="80" t="n"/>
      <c r="S339" s="80" t="n"/>
      <c r="T339" s="80" t="n"/>
      <c r="U339" s="83" t="n"/>
      <c r="V339">
        <f>IF($A339="","",IF($A339=$A338,$V338,IF($V338="",0,1-$V338)))</f>
        <v/>
      </c>
      <c r="W339">
        <f>IF($B339&lt;&gt;"",$B339,$A339)</f>
        <v/>
      </c>
      <c r="X339">
        <f>IF(COUNTA($A339:$U339)=0,"",IF(OR($B339&lt;&gt;"",$O339&lt;&gt;""),"Dependent","Employee"))</f>
        <v/>
      </c>
      <c r="Y339">
        <f>IF(COUNTA($A339:$U339)=0,"",IF($A339="","Employee SSN is required; ","")&amp;IF($C339="","First Name is required; ","")&amp;IF(LEN($C339&amp;"")&gt;19,"First Name exceeds 19 characters; ","")&amp;IF(AND($C339&lt;&gt;"",SUMPRODUCT(--(ROW($1:$19)&lt;=LEN($C339&amp;"")),--ISERROR(FIND(MID($C339&amp;"",ROW($1:$19),1),"ABCDEFGHIJKLMNOPQRSTUVWXYZabcdefghijklmnopqrstuvwxyz .,")))&gt;0),"First Name contains unsupported or encoded characters; use plain A-Z letters only; ","")&amp;IF($D339="","Last Name is required; ","")&amp;IF(LEN($D339&amp;"")&gt;26,"Last Name exceeds 26 characters; ","")&amp;IF(AND($D339&lt;&gt;"",SUMPRODUCT(--(ROW($1:$26)&lt;=LEN($D339&amp;"")),--ISERROR(FIND(MID($D339&amp;"",ROW($1:$26),1),"ABCDEFGHIJKLMNOPQRSTUVWXYZabcdefghijklmnopqrstuvwxyz .,")))&gt;0),"Last Name contains unsupported or encoded characters; use plain A-Z letters only; ","")&amp;IF(LEN($E339&amp;"")&gt;1,"Middle Initial may contain only one character; ","")&amp;IF(AND($E339&lt;&gt;"",SUMPRODUCT(--(ROW($1:$1)&lt;=LEN($E339&amp;"")),--ISERROR(FIND(MID($E339&amp;"",ROW($1:$1),1),"ABCDEFGHIJKLMNOPQRSTUVWXYZabcdefghijklmnopqrstuvwxyz .,")))&gt;0),"Middle Initial must be a plain A-Z letter; ","")&amp;IF($F339="","Address is required; ","")&amp;IF(LEN($F339&amp;"")&gt;75,"Address exceeds 75 characters; ","")&amp;IF(LEN($G339&amp;"")&gt;75,"Address 2 exceeds 75 characters; ","")&amp;IF($H339="","City is required; ","")&amp;IF(LEN($H339&amp;"")&gt;30,"City exceeds 30 characters; ","")&amp;IF($K339="","Country is required; ","")&amp;IF(AND($K339&lt;&gt;"",$K339&lt;&gt;"US",$K339&lt;&gt;"CA"),"Country must be US or CA; ","")&amp;IF(AND($K339="US",OR($I339="",LEN($I339&amp;"")&lt;&gt;2)),"Use a 2-letter state code; ","")&amp;IF($J339="","ZIP or postal code is required; ","")&amp;IF(AND($K339="US",$J339&lt;&gt;"",NOT(IFERROR(OR(AND(LEN($J339&amp;"")=5,ISNUMBER(--($J339&amp;""))),AND(LEN($J339&amp;"")=9,ISNUMBER(--($J339&amp;""))),AND(LEN($J339&amp;"")=10,MID($J339&amp;"",6,1)="-",ISNUMBER(--SUBSTITUTE($J339&amp;"","-","")))),FALSE))),"US ZIP must be 5 or 9 digits, with an optional ZIP+4 hyphen; ","")&amp;IF(AND($N339&lt;&gt;"",NOT(IFERROR(AND(ISNUMBER(SEARCH("@",$N339)),ISNUMBER(SEARCH(".",$N339,SEARCH("@",$N339)+2))),FALSE))),"Email format appears invalid; ","")&amp;IF(AND($O339&lt;&gt;"",$B339=""),"Dependent SSN is required for every dependent; ","")&amp;IF(AND($B339&lt;&gt;"",$O339=""),"Dependent Relationship is required when Dependent SSN is entered; ","")&amp;IF(AND($O339&lt;&gt;"",$O339&lt;&gt;"Spouse or Common Law Spouse",$O339&lt;&gt;"Domestic Partner",$O339&lt;&gt;"Child",$O339&lt;&gt;"Other",$O339&lt;&gt;"Estate",$O339&lt;&gt;"Unknown"),"Dependent Relationship must use one of the approved options; ",""))</f>
        <v/>
      </c>
      <c r="Z339">
        <f>IF(COUNTA($A339:$U339)=0,"",IF(AND($A339&lt;&gt;"",NOT(IFERROR(AND(LEN($A339&amp;"")=9,ISNUMBER(--($A339&amp;""))),FALSE))),"Employee SSN must contain exactly 9 digits; ","")&amp;IF(AND($A339&lt;&gt;"",OR($A339="123456789",$A339="987654321",$A339="012345678",$A339=REPT(LEFT($A339&amp;"",1),9))),"Employee SSN appears to be a placeholder; ","")&amp;IF(AND($B339&lt;&gt;"",NOT(IFERROR(AND(LEN($B339&amp;"")=9,ISNUMBER(--($B339&amp;""))),FALSE))),"Dependent SSN must contain exactly 9 digits; ","")&amp;IF(AND($B339&lt;&gt;"",OR($B339="123456789",$B339="987654321",$B339="012345678",$B339=REPT(LEFT($B339&amp;"",1),9))),"Dependent SSN appears to be a placeholder; ","")&amp;IF(AND($A339&lt;&gt;"",$B339&lt;&gt;"",$A339&amp;""=$B339&amp;""),"Dependent SSN cannot match Employee SSN; ","")&amp;IF(AND($W339&lt;&gt;"",OR(COUNTIFS($W$2:$W$501,$W339,$C$2:$C$501,"&lt;&gt;"&amp;$C339)&gt;0,COUNTIFS($W$2:$W$501,$W339,$D$2:$D$501,"&lt;&gt;"&amp;$D339)&gt;0,COUNTIFS($W$2:$W$501,$W339,$L$2:$L$501,"&lt;&gt;"&amp;$L339)&gt;0)),"The same SSN is associated with a different name or birthdate; ",""))</f>
        <v/>
      </c>
      <c r="AA339">
        <f>IF(COUNTA($A339:$U339)=0,"",IF(AND($A339&lt;&gt;"",$S339&lt;&gt;"",COUNTIFS($A$2:$A$501,$A339,$S$2:$S$501,$S339,$B$2:$B$501,"",$O$2:$O$501,"")=0),"Add an employee row for this household and plan; ","")&amp;IF(AND($X339="Dependent",COUNTIFS($A$2:$A339,$A339,$S$2:$S339,$S339,$B$2:$B339,"",$O$2:$O339,"")=0),"Place the employee row before dependent rows for this plan; ","")&amp;IF(AND($X339="Dependent",COUNTIFS($A$2:$A$501,$A339,$S$2:$S$501,$S339,$B$2:$B$501,"",$O$2:$O$501,"")&gt;0,IFERROR(OR($P339&lt;&gt;LOOKUP(2,1/(($A$2:$A$501=$A339)*($S$2:$S$501=$S339)*($B$2:$B$501="")*($O$2:$O$501="")),$P$2:$P$501),$Q339&lt;&gt;LOOKUP(2,1/(($A$2:$A$501=$A339)*($S$2:$S$501=$S339)*($B$2:$B$501="")*($O$2:$O$501="")),$Q$2:$Q$501),$R339&lt;&gt;LOOKUP(2,1/(($A$2:$A$501=$A339)*($S$2:$S$501=$S339)*($B$2:$B$501="")*($O$2:$O$501="")),$R$2:$R$501),$T339&lt;&gt;LOOKUP(2,1/(($A$2:$A$501=$A339)*($S$2:$S$501=$S339)*($B$2:$B$501="")*($O$2:$O$501="")),$T$2:$T$501),$U339&lt;&gt;LOOKUP(2,1/(($A$2:$A$501=$A339)*($S$2:$S$501=$S339)*($B$2:$B$501="")*($O$2:$O$501="")),$U$2:$U$501)),FALSE)),"Dependent row does not match the employee row for eligibility, status, coverage level, or funding; ",""))</f>
        <v/>
      </c>
      <c r="AB339">
        <f>IF(COUNTA($A339:$U339)=0,"",IF($L339="","Birthdate is required; ","")&amp;IF(AND($L339&lt;&gt;"",OR(NOT(ISNUMBER($L339)),$L339&lt;=DATE(1900,1,1),$L339&gt;TODAY())),"Birthdate must be an exact valid past date; ","")&amp;IF($P339="","Eligibility Date is required; ","")&amp;IF(AND($P339&lt;&gt;"",OR(NOT(ISNUMBER($P339)),$P339&lt;=DATE(1900,1,1))),"Eligibility Date must be a valid date; ","")&amp;IF(AND($R339="Terminated",$Q339=""),"Termination Date is required when Status is Terminated; ","")&amp;IF(AND($Q339&lt;&gt;"",OR(NOT(ISNUMBER($Q339)),$Q339&lt;=DATE(1900,1,1))),"Termination Date must be a valid date; ","")&amp;IF(AND(ISNUMBER($P339),ISNUMBER($Q339),$Q339&lt;$P339),"Termination Date cannot be before Eligibility Date; ","")&amp;IF($R339="","Status is required; ","")&amp;IF(AND($R339&lt;&gt;"",$R339&lt;&gt;"Active",$R339&lt;&gt;"Terminated"),"Status must be Active or Terminated; ","")&amp;IF(AND('START HERE'!$C$8="Terminations Only",$R339&lt;&gt;"Terminated"),"Terminations Only files must contain terminated records; ",""))</f>
        <v/>
      </c>
      <c r="AC339">
        <f>IF(COUNTA($A339:$U339)=0,"",IF($S339="","Plan Name is required; ","")&amp;IF($T339="","Benefit Coverage Level is required; ","")&amp;IF(AND($U339&lt;&gt;"",OR(NOT(ISNUMBER($U339)),$U339&lt;0)),"Plan Funding Amount must be a nonnegative number; ","")&amp;IF(AND($A339&lt;&gt;"",$S339&lt;&gt;"",COUNTIFS($A$2:$A$501,$A339,$B$2:$B$501,$B339,$S$2:$S$501,$S339)&gt;1),"Duplicate participant and plan row; ",""))</f>
        <v/>
      </c>
      <c r="AD339">
        <f>IF(COUNTA($A339:$U339)=0,"",IF(AND($X339="Employee",$M339="",$N339=""),"No employee phone or email provided; ","")&amp;IF(AND($R339="Active",$Q339&lt;&gt;""),"Active record includes a Termination Date; confirm this is intentional; ","")&amp;IF(AND($B339&lt;&gt;"",$B339&amp;""&lt;&gt;$A339&amp;"",COUNTIF($A$2:$A$501,$B339)&gt;0),"Dependent SSN also appears as an Employee SSN elsewhere; confirm dual-employee coverage is intentional; ","")&amp;IF(AND($B339&lt;&gt;"",COUNTIF($B$2:$B$501,$B339)&gt;COUNTIFS($A$2:$A$501,$A339,$B$2:$B$501,$B339)),"Dependent SSN appears under more than one employee; confirm duplicate family coverage is intentional; ","")&amp;IF(AND(ROW()&gt;2,$A339&lt;&gt;"",$A339&lt;&gt;$A338,COUNTIF($A$2:$A338,$A339)&gt;0),"This household appears in more than one section of the census; keep the family together; ","")&amp;IF(OR(AND($C339&lt;&gt;"",LEN($C339&amp;"")&lt;&gt;LEN(TRIM($C339&amp;""))),AND($D339&lt;&gt;"",LEN($D339&amp;"")&lt;&gt;LEN(TRIM($D339&amp;""))),AND($E339&lt;&gt;"",LEN($E339&amp;"")&lt;&gt;LEN(TRIM($E339&amp;""))),AND($F339&lt;&gt;"",LEN($F339&amp;"")&lt;&gt;LEN(TRIM($F339&amp;""))),AND($G339&lt;&gt;"",LEN($G339&amp;"")&lt;&gt;LEN(TRIM($G339&amp;""))),AND($H339&lt;&gt;"",LEN($H339&amp;"")&lt;&gt;LEN(TRIM($H339&amp;""))),AND($I339&lt;&gt;"",LEN($I339&amp;"")&lt;&gt;LEN(TRIM($I339&amp;""))),AND($J339&lt;&gt;"",LEN($J339&amp;"")&lt;&gt;LEN(TRIM($J339&amp;""))),AND($K339&lt;&gt;"",LEN($K339&amp;"")&lt;&gt;LEN(TRIM($K339&amp;""))),AND($M339&lt;&gt;"",LEN($M339&amp;"")&lt;&gt;LEN(TRIM($M339&amp;""))),AND($N339&lt;&gt;"",LEN($N339&amp;"")&lt;&gt;LEN(TRIM($N339&amp;""))),AND($O339&lt;&gt;"",LEN($O339&amp;"")&lt;&gt;LEN(TRIM($O339&amp;""))),AND($R339&lt;&gt;"",LEN($R339&amp;"")&lt;&gt;LEN(TRIM($R339&amp;""))),AND($S339&lt;&gt;"",LEN($S339&amp;"")&lt;&gt;LEN(TRIM($S339&amp;""))),AND($T339&lt;&gt;"",LEN($T339&amp;"")&lt;&gt;LEN(TRIM($T339&amp;"")))),"Remove leading or trailing spaces from text fields; ","")&amp;IF(OR(AND(LEN($C339)&gt;1,OR(EXACT($C339,UPPER($C339)),EXACT($C339,LOWER($C339)))),AND(LEN($D339)&gt;1,OR(EXACT($D339,UPPER($D339)),EXACT($D339,LOWER($D339)))),AND(LEN($H339)&gt;1,OR(EXACT($H339,UPPER($H339)),EXACT($H339,LOWER($H339))))),"Review capitalization in First Name, Last Name, or City; ","")&amp;IF(AND($N339&lt;&gt;"",NOT(EXACT($N339,LOWER($N339)))),"Email will be standardized to lowercase in the clean output; ","")&amp;IF(AND(OR('START HERE'!$C$8="Initial Enrollment",'START HERE'!$C$8="Open Enrollment"),$R339="Terminated"),"A terminated row is included in an initial or open enrollment file; confirm this is intentional; ",""))</f>
        <v/>
      </c>
      <c r="AE339">
        <f>IF(COUNTA($A339:$U339)=0,"",IF(OR($A339="",AND($A339&lt;&gt;"",NOT(IFERROR(AND(LEN($A339&amp;"")=9,ISNUMBER(--($A339&amp;""))),FALSE))),AND($A339&lt;&gt;"",OR($A339="123456789",$A339="987654321",$A339="012345678",$A339=REPT(LEFT($A339&amp;"",1),9)))),"Employee SSN, ","")&amp;IF(OR(AND($O339&lt;&gt;"",$B339=""),AND($B339&lt;&gt;"",OR(NOT(IFERROR(AND(LEN($B339&amp;"")=9,ISNUMBER(--($B339&amp;""))),FALSE)),$B339=$A339,$B339="123456789",$B339="987654321",$B339="012345678",$B339=REPT(LEFT($B339&amp;"",1),9)))),"Dependent SSN, ","")&amp;IF(OR($C339="",LEN($C339)&gt;19,AND($C339&lt;&gt;"",SUMPRODUCT(--(ROW($1:$19)&lt;=LEN($C339&amp;"")),--ISERROR(FIND(MID($C339&amp;"",ROW($1:$19),1),"ABCDEFGHIJKLMNOPQRSTUVWXYZabcdefghijklmnopqrstuvwxyz .,")))&gt;0)),"First Name, ","")&amp;IF(OR($D339="",LEN($D339)&gt;26,AND($D339&lt;&gt;"",SUMPRODUCT(--(ROW($1:$26)&lt;=LEN($D339&amp;"")),--ISERROR(FIND(MID($D339&amp;"",ROW($1:$26),1),"ABCDEFGHIJKLMNOPQRSTUVWXYZabcdefghijklmnopqrstuvwxyz .,")))&gt;0)),"Last Name, ","")&amp;IF(OR(LEN($E339)&gt;1,AND($E339&lt;&gt;"",SUMPRODUCT(--(ROW($1:$1)&lt;=LEN($E339&amp;"")),--ISERROR(FIND(MID($E339&amp;"",ROW($1:$1),1),"ABCDEFGHIJKLMNOPQRSTUVWXYZabcdefghijklmnopqrstuvwxyz .,")))&gt;0)),"Middle Initial, ","")&amp;IF(OR($F339="",LEN($F339)&gt;75),"Address, ","")&amp;IF(OR($H339="",LEN($H339)&gt;30),"City, ","")&amp;IF(AND($K339="US",OR($I339="",LEN($I339)&lt;&gt;2)),"State, ","")&amp;IF($J339="","ZIP, ","")&amp;IF(OR($K339="",AND($K339&lt;&gt;"US",$K339&lt;&gt;"CA")),"Country, ","")&amp;IF(OR($L339="",AND($L339&lt;&gt;"",OR(NOT(ISNUMBER($L339)),$L339&lt;=DATE(1900,1,1),$L339&gt;TODAY()))),"Birthdate, ","")&amp;IF(AND($N339&lt;&gt;"",NOT(IFERROR(AND(ISNUMBER(SEARCH("@",$N339)),ISNUMBER(SEARCH(".",$N339,SEARCH("@",$N339)+2))),FALSE))),"Email, ","")&amp;IF(OR(AND($B339&lt;&gt;"",$O339=""),AND($O339&lt;&gt;"",$O339&lt;&gt;"Spouse or Common Law Spouse",$O339&lt;&gt;"Domestic Partner",$O339&lt;&gt;"Child",$O339&lt;&gt;"Other",$O339&lt;&gt;"Estate",$O339&lt;&gt;"Unknown")),"Dependent Relationship, ","")&amp;IF($AA339&lt;&gt;"","Household, ","")&amp;IF(OR($P339="",AND($P339&lt;&gt;"",OR(NOT(ISNUMBER($P339)),$P339&lt;=DATE(1900,1,1)))),"Eligibility Date, ","")&amp;IF(OR(AND($R339="Terminated",$Q339=""),AND($Q339&lt;&gt;"",OR(NOT(ISNUMBER($Q339)),$Q339&lt;=DATE(1900,1,1))),AND(ISNUMBER($P339),ISNUMBER($Q339),$Q339&lt;$P339)),"Termination Date, ","")&amp;IF(OR($R339="",AND($R339&lt;&gt;"Active",$R339&lt;&gt;"Terminated"),AND('START HERE'!$C$8="Terminations Only",$R339&lt;&gt;"Terminated")),"Status, ","")&amp;IF($S339="","Plan Name, ","")&amp;IF($T339="","Coverage Level, ","")&amp;IF(AND($U339&lt;&gt;"",OR(NOT(ISNUMBER($U339)),$U339&lt;0)),"Funding, ","")&amp;IF(AND($A339&lt;&gt;"",$S339&lt;&gt;"",COUNTIFS($A$2:$A$501,$A339,$B$2:$B$501,$B339,$S$2:$S$501,$S339)&gt;1),"Duplicate Row, ",""))</f>
        <v/>
      </c>
      <c r="AF339">
        <f>IF(COUNTA($A339:$U339)=0,"",$Y339&amp;$Z339&amp;$AA339&amp;$AB339&amp;$AC339)</f>
        <v/>
      </c>
      <c r="AG339">
        <f>IF($N339="","",LOWER(TRIM($N339)))</f>
        <v/>
      </c>
      <c r="AH339">
        <f>IF($A339="","",COUNTIFS($A$2:$A$501,$A339,$AI$2:$AI$501,1))</f>
        <v/>
      </c>
      <c r="AI339">
        <f>IF(COUNTA($A339:$U339)=0,"",--($AF339&lt;&gt;""))</f>
        <v/>
      </c>
      <c r="AJ339">
        <f>IF(COUNTA($A339:$U339)=0,"",--($AD339&lt;&gt;""))</f>
        <v/>
      </c>
    </row>
    <row r="340" ht="20" customHeight="1">
      <c r="A340" s="80" t="n"/>
      <c r="B340" s="80" t="n"/>
      <c r="C340" s="81" t="n"/>
      <c r="D340" s="81" t="n"/>
      <c r="E340" s="80" t="n"/>
      <c r="F340" s="81" t="n"/>
      <c r="G340" s="81" t="n"/>
      <c r="H340" s="81" t="n"/>
      <c r="I340" s="80" t="n"/>
      <c r="J340" s="80" t="n"/>
      <c r="K340" s="80" t="n"/>
      <c r="L340" s="82" t="n"/>
      <c r="M340" s="80" t="n"/>
      <c r="N340" s="80" t="n"/>
      <c r="O340" s="80" t="n"/>
      <c r="P340" s="82" t="n"/>
      <c r="Q340" s="82" t="n"/>
      <c r="R340" s="80" t="n"/>
      <c r="S340" s="80" t="n"/>
      <c r="T340" s="80" t="n"/>
      <c r="U340" s="83" t="n"/>
      <c r="V340">
        <f>IF($A340="","",IF($A340=$A339,$V339,IF($V339="",0,1-$V339)))</f>
        <v/>
      </c>
      <c r="W340">
        <f>IF($B340&lt;&gt;"",$B340,$A340)</f>
        <v/>
      </c>
      <c r="X340">
        <f>IF(COUNTA($A340:$U340)=0,"",IF(OR($B340&lt;&gt;"",$O340&lt;&gt;""),"Dependent","Employee"))</f>
        <v/>
      </c>
      <c r="Y340">
        <f>IF(COUNTA($A340:$U340)=0,"",IF($A340="","Employee SSN is required; ","")&amp;IF($C340="","First Name is required; ","")&amp;IF(LEN($C340&amp;"")&gt;19,"First Name exceeds 19 characters; ","")&amp;IF(AND($C340&lt;&gt;"",SUMPRODUCT(--(ROW($1:$19)&lt;=LEN($C340&amp;"")),--ISERROR(FIND(MID($C340&amp;"",ROW($1:$19),1),"ABCDEFGHIJKLMNOPQRSTUVWXYZabcdefghijklmnopqrstuvwxyz .,")))&gt;0),"First Name contains unsupported or encoded characters; use plain A-Z letters only; ","")&amp;IF($D340="","Last Name is required; ","")&amp;IF(LEN($D340&amp;"")&gt;26,"Last Name exceeds 26 characters; ","")&amp;IF(AND($D340&lt;&gt;"",SUMPRODUCT(--(ROW($1:$26)&lt;=LEN($D340&amp;"")),--ISERROR(FIND(MID($D340&amp;"",ROW($1:$26),1),"ABCDEFGHIJKLMNOPQRSTUVWXYZabcdefghijklmnopqrstuvwxyz .,")))&gt;0),"Last Name contains unsupported or encoded characters; use plain A-Z letters only; ","")&amp;IF(LEN($E340&amp;"")&gt;1,"Middle Initial may contain only one character; ","")&amp;IF(AND($E340&lt;&gt;"",SUMPRODUCT(--(ROW($1:$1)&lt;=LEN($E340&amp;"")),--ISERROR(FIND(MID($E340&amp;"",ROW($1:$1),1),"ABCDEFGHIJKLMNOPQRSTUVWXYZabcdefghijklmnopqrstuvwxyz .,")))&gt;0),"Middle Initial must be a plain A-Z letter; ","")&amp;IF($F340="","Address is required; ","")&amp;IF(LEN($F340&amp;"")&gt;75,"Address exceeds 75 characters; ","")&amp;IF(LEN($G340&amp;"")&gt;75,"Address 2 exceeds 75 characters; ","")&amp;IF($H340="","City is required; ","")&amp;IF(LEN($H340&amp;"")&gt;30,"City exceeds 30 characters; ","")&amp;IF($K340="","Country is required; ","")&amp;IF(AND($K340&lt;&gt;"",$K340&lt;&gt;"US",$K340&lt;&gt;"CA"),"Country must be US or CA; ","")&amp;IF(AND($K340="US",OR($I340="",LEN($I340&amp;"")&lt;&gt;2)),"Use a 2-letter state code; ","")&amp;IF($J340="","ZIP or postal code is required; ","")&amp;IF(AND($K340="US",$J340&lt;&gt;"",NOT(IFERROR(OR(AND(LEN($J340&amp;"")=5,ISNUMBER(--($J340&amp;""))),AND(LEN($J340&amp;"")=9,ISNUMBER(--($J340&amp;""))),AND(LEN($J340&amp;"")=10,MID($J340&amp;"",6,1)="-",ISNUMBER(--SUBSTITUTE($J340&amp;"","-","")))),FALSE))),"US ZIP must be 5 or 9 digits, with an optional ZIP+4 hyphen; ","")&amp;IF(AND($N340&lt;&gt;"",NOT(IFERROR(AND(ISNUMBER(SEARCH("@",$N340)),ISNUMBER(SEARCH(".",$N340,SEARCH("@",$N340)+2))),FALSE))),"Email format appears invalid; ","")&amp;IF(AND($O340&lt;&gt;"",$B340=""),"Dependent SSN is required for every dependent; ","")&amp;IF(AND($B340&lt;&gt;"",$O340=""),"Dependent Relationship is required when Dependent SSN is entered; ","")&amp;IF(AND($O340&lt;&gt;"",$O340&lt;&gt;"Spouse or Common Law Spouse",$O340&lt;&gt;"Domestic Partner",$O340&lt;&gt;"Child",$O340&lt;&gt;"Other",$O340&lt;&gt;"Estate",$O340&lt;&gt;"Unknown"),"Dependent Relationship must use one of the approved options; ",""))</f>
        <v/>
      </c>
      <c r="Z340">
        <f>IF(COUNTA($A340:$U340)=0,"",IF(AND($A340&lt;&gt;"",NOT(IFERROR(AND(LEN($A340&amp;"")=9,ISNUMBER(--($A340&amp;""))),FALSE))),"Employee SSN must contain exactly 9 digits; ","")&amp;IF(AND($A340&lt;&gt;"",OR($A340="123456789",$A340="987654321",$A340="012345678",$A340=REPT(LEFT($A340&amp;"",1),9))),"Employee SSN appears to be a placeholder; ","")&amp;IF(AND($B340&lt;&gt;"",NOT(IFERROR(AND(LEN($B340&amp;"")=9,ISNUMBER(--($B340&amp;""))),FALSE))),"Dependent SSN must contain exactly 9 digits; ","")&amp;IF(AND($B340&lt;&gt;"",OR($B340="123456789",$B340="987654321",$B340="012345678",$B340=REPT(LEFT($B340&amp;"",1),9))),"Dependent SSN appears to be a placeholder; ","")&amp;IF(AND($A340&lt;&gt;"",$B340&lt;&gt;"",$A340&amp;""=$B340&amp;""),"Dependent SSN cannot match Employee SSN; ","")&amp;IF(AND($W340&lt;&gt;"",OR(COUNTIFS($W$2:$W$501,$W340,$C$2:$C$501,"&lt;&gt;"&amp;$C340)&gt;0,COUNTIFS($W$2:$W$501,$W340,$D$2:$D$501,"&lt;&gt;"&amp;$D340)&gt;0,COUNTIFS($W$2:$W$501,$W340,$L$2:$L$501,"&lt;&gt;"&amp;$L340)&gt;0)),"The same SSN is associated with a different name or birthdate; ",""))</f>
        <v/>
      </c>
      <c r="AA340">
        <f>IF(COUNTA($A340:$U340)=0,"",IF(AND($A340&lt;&gt;"",$S340&lt;&gt;"",COUNTIFS($A$2:$A$501,$A340,$S$2:$S$501,$S340,$B$2:$B$501,"",$O$2:$O$501,"")=0),"Add an employee row for this household and plan; ","")&amp;IF(AND($X340="Dependent",COUNTIFS($A$2:$A340,$A340,$S$2:$S340,$S340,$B$2:$B340,"",$O$2:$O340,"")=0),"Place the employee row before dependent rows for this plan; ","")&amp;IF(AND($X340="Dependent",COUNTIFS($A$2:$A$501,$A340,$S$2:$S$501,$S340,$B$2:$B$501,"",$O$2:$O$501,"")&gt;0,IFERROR(OR($P340&lt;&gt;LOOKUP(2,1/(($A$2:$A$501=$A340)*($S$2:$S$501=$S340)*($B$2:$B$501="")*($O$2:$O$501="")),$P$2:$P$501),$Q340&lt;&gt;LOOKUP(2,1/(($A$2:$A$501=$A340)*($S$2:$S$501=$S340)*($B$2:$B$501="")*($O$2:$O$501="")),$Q$2:$Q$501),$R340&lt;&gt;LOOKUP(2,1/(($A$2:$A$501=$A340)*($S$2:$S$501=$S340)*($B$2:$B$501="")*($O$2:$O$501="")),$R$2:$R$501),$T340&lt;&gt;LOOKUP(2,1/(($A$2:$A$501=$A340)*($S$2:$S$501=$S340)*($B$2:$B$501="")*($O$2:$O$501="")),$T$2:$T$501),$U340&lt;&gt;LOOKUP(2,1/(($A$2:$A$501=$A340)*($S$2:$S$501=$S340)*($B$2:$B$501="")*($O$2:$O$501="")),$U$2:$U$501)),FALSE)),"Dependent row does not match the employee row for eligibility, status, coverage level, or funding; ",""))</f>
        <v/>
      </c>
      <c r="AB340">
        <f>IF(COUNTA($A340:$U340)=0,"",IF($L340="","Birthdate is required; ","")&amp;IF(AND($L340&lt;&gt;"",OR(NOT(ISNUMBER($L340)),$L340&lt;=DATE(1900,1,1),$L340&gt;TODAY())),"Birthdate must be an exact valid past date; ","")&amp;IF($P340="","Eligibility Date is required; ","")&amp;IF(AND($P340&lt;&gt;"",OR(NOT(ISNUMBER($P340)),$P340&lt;=DATE(1900,1,1))),"Eligibility Date must be a valid date; ","")&amp;IF(AND($R340="Terminated",$Q340=""),"Termination Date is required when Status is Terminated; ","")&amp;IF(AND($Q340&lt;&gt;"",OR(NOT(ISNUMBER($Q340)),$Q340&lt;=DATE(1900,1,1))),"Termination Date must be a valid date; ","")&amp;IF(AND(ISNUMBER($P340),ISNUMBER($Q340),$Q340&lt;$P340),"Termination Date cannot be before Eligibility Date; ","")&amp;IF($R340="","Status is required; ","")&amp;IF(AND($R340&lt;&gt;"",$R340&lt;&gt;"Active",$R340&lt;&gt;"Terminated"),"Status must be Active or Terminated; ","")&amp;IF(AND('START HERE'!$C$8="Terminations Only",$R340&lt;&gt;"Terminated"),"Terminations Only files must contain terminated records; ",""))</f>
        <v/>
      </c>
      <c r="AC340">
        <f>IF(COUNTA($A340:$U340)=0,"",IF($S340="","Plan Name is required; ","")&amp;IF($T340="","Benefit Coverage Level is required; ","")&amp;IF(AND($U340&lt;&gt;"",OR(NOT(ISNUMBER($U340)),$U340&lt;0)),"Plan Funding Amount must be a nonnegative number; ","")&amp;IF(AND($A340&lt;&gt;"",$S340&lt;&gt;"",COUNTIFS($A$2:$A$501,$A340,$B$2:$B$501,$B340,$S$2:$S$501,$S340)&gt;1),"Duplicate participant and plan row; ",""))</f>
        <v/>
      </c>
      <c r="AD340">
        <f>IF(COUNTA($A340:$U340)=0,"",IF(AND($X340="Employee",$M340="",$N340=""),"No employee phone or email provided; ","")&amp;IF(AND($R340="Active",$Q340&lt;&gt;""),"Active record includes a Termination Date; confirm this is intentional; ","")&amp;IF(AND($B340&lt;&gt;"",$B340&amp;""&lt;&gt;$A340&amp;"",COUNTIF($A$2:$A$501,$B340)&gt;0),"Dependent SSN also appears as an Employee SSN elsewhere; confirm dual-employee coverage is intentional; ","")&amp;IF(AND($B340&lt;&gt;"",COUNTIF($B$2:$B$501,$B340)&gt;COUNTIFS($A$2:$A$501,$A340,$B$2:$B$501,$B340)),"Dependent SSN appears under more than one employee; confirm duplicate family coverage is intentional; ","")&amp;IF(AND(ROW()&gt;2,$A340&lt;&gt;"",$A340&lt;&gt;$A339,COUNTIF($A$2:$A339,$A340)&gt;0),"This household appears in more than one section of the census; keep the family together; ","")&amp;IF(OR(AND($C340&lt;&gt;"",LEN($C340&amp;"")&lt;&gt;LEN(TRIM($C340&amp;""))),AND($D340&lt;&gt;"",LEN($D340&amp;"")&lt;&gt;LEN(TRIM($D340&amp;""))),AND($E340&lt;&gt;"",LEN($E340&amp;"")&lt;&gt;LEN(TRIM($E340&amp;""))),AND($F340&lt;&gt;"",LEN($F340&amp;"")&lt;&gt;LEN(TRIM($F340&amp;""))),AND($G340&lt;&gt;"",LEN($G340&amp;"")&lt;&gt;LEN(TRIM($G340&amp;""))),AND($H340&lt;&gt;"",LEN($H340&amp;"")&lt;&gt;LEN(TRIM($H340&amp;""))),AND($I340&lt;&gt;"",LEN($I340&amp;"")&lt;&gt;LEN(TRIM($I340&amp;""))),AND($J340&lt;&gt;"",LEN($J340&amp;"")&lt;&gt;LEN(TRIM($J340&amp;""))),AND($K340&lt;&gt;"",LEN($K340&amp;"")&lt;&gt;LEN(TRIM($K340&amp;""))),AND($M340&lt;&gt;"",LEN($M340&amp;"")&lt;&gt;LEN(TRIM($M340&amp;""))),AND($N340&lt;&gt;"",LEN($N340&amp;"")&lt;&gt;LEN(TRIM($N340&amp;""))),AND($O340&lt;&gt;"",LEN($O340&amp;"")&lt;&gt;LEN(TRIM($O340&amp;""))),AND($R340&lt;&gt;"",LEN($R340&amp;"")&lt;&gt;LEN(TRIM($R340&amp;""))),AND($S340&lt;&gt;"",LEN($S340&amp;"")&lt;&gt;LEN(TRIM($S340&amp;""))),AND($T340&lt;&gt;"",LEN($T340&amp;"")&lt;&gt;LEN(TRIM($T340&amp;"")))),"Remove leading or trailing spaces from text fields; ","")&amp;IF(OR(AND(LEN($C340)&gt;1,OR(EXACT($C340,UPPER($C340)),EXACT($C340,LOWER($C340)))),AND(LEN($D340)&gt;1,OR(EXACT($D340,UPPER($D340)),EXACT($D340,LOWER($D340)))),AND(LEN($H340)&gt;1,OR(EXACT($H340,UPPER($H340)),EXACT($H340,LOWER($H340))))),"Review capitalization in First Name, Last Name, or City; ","")&amp;IF(AND($N340&lt;&gt;"",NOT(EXACT($N340,LOWER($N340)))),"Email will be standardized to lowercase in the clean output; ","")&amp;IF(AND(OR('START HERE'!$C$8="Initial Enrollment",'START HERE'!$C$8="Open Enrollment"),$R340="Terminated"),"A terminated row is included in an initial or open enrollment file; confirm this is intentional; ",""))</f>
        <v/>
      </c>
      <c r="AE340">
        <f>IF(COUNTA($A340:$U340)=0,"",IF(OR($A340="",AND($A340&lt;&gt;"",NOT(IFERROR(AND(LEN($A340&amp;"")=9,ISNUMBER(--($A340&amp;""))),FALSE))),AND($A340&lt;&gt;"",OR($A340="123456789",$A340="987654321",$A340="012345678",$A340=REPT(LEFT($A340&amp;"",1),9)))),"Employee SSN, ","")&amp;IF(OR(AND($O340&lt;&gt;"",$B340=""),AND($B340&lt;&gt;"",OR(NOT(IFERROR(AND(LEN($B340&amp;"")=9,ISNUMBER(--($B340&amp;""))),FALSE)),$B340=$A340,$B340="123456789",$B340="987654321",$B340="012345678",$B340=REPT(LEFT($B340&amp;"",1),9)))),"Dependent SSN, ","")&amp;IF(OR($C340="",LEN($C340)&gt;19,AND($C340&lt;&gt;"",SUMPRODUCT(--(ROW($1:$19)&lt;=LEN($C340&amp;"")),--ISERROR(FIND(MID($C340&amp;"",ROW($1:$19),1),"ABCDEFGHIJKLMNOPQRSTUVWXYZabcdefghijklmnopqrstuvwxyz .,")))&gt;0)),"First Name, ","")&amp;IF(OR($D340="",LEN($D340)&gt;26,AND($D340&lt;&gt;"",SUMPRODUCT(--(ROW($1:$26)&lt;=LEN($D340&amp;"")),--ISERROR(FIND(MID($D340&amp;"",ROW($1:$26),1),"ABCDEFGHIJKLMNOPQRSTUVWXYZabcdefghijklmnopqrstuvwxyz .,")))&gt;0)),"Last Name, ","")&amp;IF(OR(LEN($E340)&gt;1,AND($E340&lt;&gt;"",SUMPRODUCT(--(ROW($1:$1)&lt;=LEN($E340&amp;"")),--ISERROR(FIND(MID($E340&amp;"",ROW($1:$1),1),"ABCDEFGHIJKLMNOPQRSTUVWXYZabcdefghijklmnopqrstuvwxyz .,")))&gt;0)),"Middle Initial, ","")&amp;IF(OR($F340="",LEN($F340)&gt;75),"Address, ","")&amp;IF(OR($H340="",LEN($H340)&gt;30),"City, ","")&amp;IF(AND($K340="US",OR($I340="",LEN($I340)&lt;&gt;2)),"State, ","")&amp;IF($J340="","ZIP, ","")&amp;IF(OR($K340="",AND($K340&lt;&gt;"US",$K340&lt;&gt;"CA")),"Country, ","")&amp;IF(OR($L340="",AND($L340&lt;&gt;"",OR(NOT(ISNUMBER($L340)),$L340&lt;=DATE(1900,1,1),$L340&gt;TODAY()))),"Birthdate, ","")&amp;IF(AND($N340&lt;&gt;"",NOT(IFERROR(AND(ISNUMBER(SEARCH("@",$N340)),ISNUMBER(SEARCH(".",$N340,SEARCH("@",$N340)+2))),FALSE))),"Email, ","")&amp;IF(OR(AND($B340&lt;&gt;"",$O340=""),AND($O340&lt;&gt;"",$O340&lt;&gt;"Spouse or Common Law Spouse",$O340&lt;&gt;"Domestic Partner",$O340&lt;&gt;"Child",$O340&lt;&gt;"Other",$O340&lt;&gt;"Estate",$O340&lt;&gt;"Unknown")),"Dependent Relationship, ","")&amp;IF($AA340&lt;&gt;"","Household, ","")&amp;IF(OR($P340="",AND($P340&lt;&gt;"",OR(NOT(ISNUMBER($P340)),$P340&lt;=DATE(1900,1,1)))),"Eligibility Date, ","")&amp;IF(OR(AND($R340="Terminated",$Q340=""),AND($Q340&lt;&gt;"",OR(NOT(ISNUMBER($Q340)),$Q340&lt;=DATE(1900,1,1))),AND(ISNUMBER($P340),ISNUMBER($Q340),$Q340&lt;$P340)),"Termination Date, ","")&amp;IF(OR($R340="",AND($R340&lt;&gt;"Active",$R340&lt;&gt;"Terminated"),AND('START HERE'!$C$8="Terminations Only",$R340&lt;&gt;"Terminated")),"Status, ","")&amp;IF($S340="","Plan Name, ","")&amp;IF($T340="","Coverage Level, ","")&amp;IF(AND($U340&lt;&gt;"",OR(NOT(ISNUMBER($U340)),$U340&lt;0)),"Funding, ","")&amp;IF(AND($A340&lt;&gt;"",$S340&lt;&gt;"",COUNTIFS($A$2:$A$501,$A340,$B$2:$B$501,$B340,$S$2:$S$501,$S340)&gt;1),"Duplicate Row, ",""))</f>
        <v/>
      </c>
      <c r="AF340">
        <f>IF(COUNTA($A340:$U340)=0,"",$Y340&amp;$Z340&amp;$AA340&amp;$AB340&amp;$AC340)</f>
        <v/>
      </c>
      <c r="AG340">
        <f>IF($N340="","",LOWER(TRIM($N340)))</f>
        <v/>
      </c>
      <c r="AH340">
        <f>IF($A340="","",COUNTIFS($A$2:$A$501,$A340,$AI$2:$AI$501,1))</f>
        <v/>
      </c>
      <c r="AI340">
        <f>IF(COUNTA($A340:$U340)=0,"",--($AF340&lt;&gt;""))</f>
        <v/>
      </c>
      <c r="AJ340">
        <f>IF(COUNTA($A340:$U340)=0,"",--($AD340&lt;&gt;""))</f>
        <v/>
      </c>
    </row>
    <row r="341" ht="20" customHeight="1">
      <c r="A341" s="80" t="n"/>
      <c r="B341" s="80" t="n"/>
      <c r="C341" s="81" t="n"/>
      <c r="D341" s="81" t="n"/>
      <c r="E341" s="80" t="n"/>
      <c r="F341" s="81" t="n"/>
      <c r="G341" s="81" t="n"/>
      <c r="H341" s="81" t="n"/>
      <c r="I341" s="80" t="n"/>
      <c r="J341" s="80" t="n"/>
      <c r="K341" s="80" t="n"/>
      <c r="L341" s="82" t="n"/>
      <c r="M341" s="80" t="n"/>
      <c r="N341" s="80" t="n"/>
      <c r="O341" s="80" t="n"/>
      <c r="P341" s="82" t="n"/>
      <c r="Q341" s="82" t="n"/>
      <c r="R341" s="80" t="n"/>
      <c r="S341" s="80" t="n"/>
      <c r="T341" s="80" t="n"/>
      <c r="U341" s="83" t="n"/>
      <c r="V341">
        <f>IF($A341="","",IF($A341=$A340,$V340,IF($V340="",0,1-$V340)))</f>
        <v/>
      </c>
      <c r="W341">
        <f>IF($B341&lt;&gt;"",$B341,$A341)</f>
        <v/>
      </c>
      <c r="X341">
        <f>IF(COUNTA($A341:$U341)=0,"",IF(OR($B341&lt;&gt;"",$O341&lt;&gt;""),"Dependent","Employee"))</f>
        <v/>
      </c>
      <c r="Y341">
        <f>IF(COUNTA($A341:$U341)=0,"",IF($A341="","Employee SSN is required; ","")&amp;IF($C341="","First Name is required; ","")&amp;IF(LEN($C341&amp;"")&gt;19,"First Name exceeds 19 characters; ","")&amp;IF(AND($C341&lt;&gt;"",SUMPRODUCT(--(ROW($1:$19)&lt;=LEN($C341&amp;"")),--ISERROR(FIND(MID($C341&amp;"",ROW($1:$19),1),"ABCDEFGHIJKLMNOPQRSTUVWXYZabcdefghijklmnopqrstuvwxyz .,")))&gt;0),"First Name contains unsupported or encoded characters; use plain A-Z letters only; ","")&amp;IF($D341="","Last Name is required; ","")&amp;IF(LEN($D341&amp;"")&gt;26,"Last Name exceeds 26 characters; ","")&amp;IF(AND($D341&lt;&gt;"",SUMPRODUCT(--(ROW($1:$26)&lt;=LEN($D341&amp;"")),--ISERROR(FIND(MID($D341&amp;"",ROW($1:$26),1),"ABCDEFGHIJKLMNOPQRSTUVWXYZabcdefghijklmnopqrstuvwxyz .,")))&gt;0),"Last Name contains unsupported or encoded characters; use plain A-Z letters only; ","")&amp;IF(LEN($E341&amp;"")&gt;1,"Middle Initial may contain only one character; ","")&amp;IF(AND($E341&lt;&gt;"",SUMPRODUCT(--(ROW($1:$1)&lt;=LEN($E341&amp;"")),--ISERROR(FIND(MID($E341&amp;"",ROW($1:$1),1),"ABCDEFGHIJKLMNOPQRSTUVWXYZabcdefghijklmnopqrstuvwxyz .,")))&gt;0),"Middle Initial must be a plain A-Z letter; ","")&amp;IF($F341="","Address is required; ","")&amp;IF(LEN($F341&amp;"")&gt;75,"Address exceeds 75 characters; ","")&amp;IF(LEN($G341&amp;"")&gt;75,"Address 2 exceeds 75 characters; ","")&amp;IF($H341="","City is required; ","")&amp;IF(LEN($H341&amp;"")&gt;30,"City exceeds 30 characters; ","")&amp;IF($K341="","Country is required; ","")&amp;IF(AND($K341&lt;&gt;"",$K341&lt;&gt;"US",$K341&lt;&gt;"CA"),"Country must be US or CA; ","")&amp;IF(AND($K341="US",OR($I341="",LEN($I341&amp;"")&lt;&gt;2)),"Use a 2-letter state code; ","")&amp;IF($J341="","ZIP or postal code is required; ","")&amp;IF(AND($K341="US",$J341&lt;&gt;"",NOT(IFERROR(OR(AND(LEN($J341&amp;"")=5,ISNUMBER(--($J341&amp;""))),AND(LEN($J341&amp;"")=9,ISNUMBER(--($J341&amp;""))),AND(LEN($J341&amp;"")=10,MID($J341&amp;"",6,1)="-",ISNUMBER(--SUBSTITUTE($J341&amp;"","-","")))),FALSE))),"US ZIP must be 5 or 9 digits, with an optional ZIP+4 hyphen; ","")&amp;IF(AND($N341&lt;&gt;"",NOT(IFERROR(AND(ISNUMBER(SEARCH("@",$N341)),ISNUMBER(SEARCH(".",$N341,SEARCH("@",$N341)+2))),FALSE))),"Email format appears invalid; ","")&amp;IF(AND($O341&lt;&gt;"",$B341=""),"Dependent SSN is required for every dependent; ","")&amp;IF(AND($B341&lt;&gt;"",$O341=""),"Dependent Relationship is required when Dependent SSN is entered; ","")&amp;IF(AND($O341&lt;&gt;"",$O341&lt;&gt;"Spouse or Common Law Spouse",$O341&lt;&gt;"Domestic Partner",$O341&lt;&gt;"Child",$O341&lt;&gt;"Other",$O341&lt;&gt;"Estate",$O341&lt;&gt;"Unknown"),"Dependent Relationship must use one of the approved options; ",""))</f>
        <v/>
      </c>
      <c r="Z341">
        <f>IF(COUNTA($A341:$U341)=0,"",IF(AND($A341&lt;&gt;"",NOT(IFERROR(AND(LEN($A341&amp;"")=9,ISNUMBER(--($A341&amp;""))),FALSE))),"Employee SSN must contain exactly 9 digits; ","")&amp;IF(AND($A341&lt;&gt;"",OR($A341="123456789",$A341="987654321",$A341="012345678",$A341=REPT(LEFT($A341&amp;"",1),9))),"Employee SSN appears to be a placeholder; ","")&amp;IF(AND($B341&lt;&gt;"",NOT(IFERROR(AND(LEN($B341&amp;"")=9,ISNUMBER(--($B341&amp;""))),FALSE))),"Dependent SSN must contain exactly 9 digits; ","")&amp;IF(AND($B341&lt;&gt;"",OR($B341="123456789",$B341="987654321",$B341="012345678",$B341=REPT(LEFT($B341&amp;"",1),9))),"Dependent SSN appears to be a placeholder; ","")&amp;IF(AND($A341&lt;&gt;"",$B341&lt;&gt;"",$A341&amp;""=$B341&amp;""),"Dependent SSN cannot match Employee SSN; ","")&amp;IF(AND($W341&lt;&gt;"",OR(COUNTIFS($W$2:$W$501,$W341,$C$2:$C$501,"&lt;&gt;"&amp;$C341)&gt;0,COUNTIFS($W$2:$W$501,$W341,$D$2:$D$501,"&lt;&gt;"&amp;$D341)&gt;0,COUNTIFS($W$2:$W$501,$W341,$L$2:$L$501,"&lt;&gt;"&amp;$L341)&gt;0)),"The same SSN is associated with a different name or birthdate; ",""))</f>
        <v/>
      </c>
      <c r="AA341">
        <f>IF(COUNTA($A341:$U341)=0,"",IF(AND($A341&lt;&gt;"",$S341&lt;&gt;"",COUNTIFS($A$2:$A$501,$A341,$S$2:$S$501,$S341,$B$2:$B$501,"",$O$2:$O$501,"")=0),"Add an employee row for this household and plan; ","")&amp;IF(AND($X341="Dependent",COUNTIFS($A$2:$A341,$A341,$S$2:$S341,$S341,$B$2:$B341,"",$O$2:$O341,"")=0),"Place the employee row before dependent rows for this plan; ","")&amp;IF(AND($X341="Dependent",COUNTIFS($A$2:$A$501,$A341,$S$2:$S$501,$S341,$B$2:$B$501,"",$O$2:$O$501,"")&gt;0,IFERROR(OR($P341&lt;&gt;LOOKUP(2,1/(($A$2:$A$501=$A341)*($S$2:$S$501=$S341)*($B$2:$B$501="")*($O$2:$O$501="")),$P$2:$P$501),$Q341&lt;&gt;LOOKUP(2,1/(($A$2:$A$501=$A341)*($S$2:$S$501=$S341)*($B$2:$B$501="")*($O$2:$O$501="")),$Q$2:$Q$501),$R341&lt;&gt;LOOKUP(2,1/(($A$2:$A$501=$A341)*($S$2:$S$501=$S341)*($B$2:$B$501="")*($O$2:$O$501="")),$R$2:$R$501),$T341&lt;&gt;LOOKUP(2,1/(($A$2:$A$501=$A341)*($S$2:$S$501=$S341)*($B$2:$B$501="")*($O$2:$O$501="")),$T$2:$T$501),$U341&lt;&gt;LOOKUP(2,1/(($A$2:$A$501=$A341)*($S$2:$S$501=$S341)*($B$2:$B$501="")*($O$2:$O$501="")),$U$2:$U$501)),FALSE)),"Dependent row does not match the employee row for eligibility, status, coverage level, or funding; ",""))</f>
        <v/>
      </c>
      <c r="AB341">
        <f>IF(COUNTA($A341:$U341)=0,"",IF($L341="","Birthdate is required; ","")&amp;IF(AND($L341&lt;&gt;"",OR(NOT(ISNUMBER($L341)),$L341&lt;=DATE(1900,1,1),$L341&gt;TODAY())),"Birthdate must be an exact valid past date; ","")&amp;IF($P341="","Eligibility Date is required; ","")&amp;IF(AND($P341&lt;&gt;"",OR(NOT(ISNUMBER($P341)),$P341&lt;=DATE(1900,1,1))),"Eligibility Date must be a valid date; ","")&amp;IF(AND($R341="Terminated",$Q341=""),"Termination Date is required when Status is Terminated; ","")&amp;IF(AND($Q341&lt;&gt;"",OR(NOT(ISNUMBER($Q341)),$Q341&lt;=DATE(1900,1,1))),"Termination Date must be a valid date; ","")&amp;IF(AND(ISNUMBER($P341),ISNUMBER($Q341),$Q341&lt;$P341),"Termination Date cannot be before Eligibility Date; ","")&amp;IF($R341="","Status is required; ","")&amp;IF(AND($R341&lt;&gt;"",$R341&lt;&gt;"Active",$R341&lt;&gt;"Terminated"),"Status must be Active or Terminated; ","")&amp;IF(AND('START HERE'!$C$8="Terminations Only",$R341&lt;&gt;"Terminated"),"Terminations Only files must contain terminated records; ",""))</f>
        <v/>
      </c>
      <c r="AC341">
        <f>IF(COUNTA($A341:$U341)=0,"",IF($S341="","Plan Name is required; ","")&amp;IF($T341="","Benefit Coverage Level is required; ","")&amp;IF(AND($U341&lt;&gt;"",OR(NOT(ISNUMBER($U341)),$U341&lt;0)),"Plan Funding Amount must be a nonnegative number; ","")&amp;IF(AND($A341&lt;&gt;"",$S341&lt;&gt;"",COUNTIFS($A$2:$A$501,$A341,$B$2:$B$501,$B341,$S$2:$S$501,$S341)&gt;1),"Duplicate participant and plan row; ",""))</f>
        <v/>
      </c>
      <c r="AD341">
        <f>IF(COUNTA($A341:$U341)=0,"",IF(AND($X341="Employee",$M341="",$N341=""),"No employee phone or email provided; ","")&amp;IF(AND($R341="Active",$Q341&lt;&gt;""),"Active record includes a Termination Date; confirm this is intentional; ","")&amp;IF(AND($B341&lt;&gt;"",$B341&amp;""&lt;&gt;$A341&amp;"",COUNTIF($A$2:$A$501,$B341)&gt;0),"Dependent SSN also appears as an Employee SSN elsewhere; confirm dual-employee coverage is intentional; ","")&amp;IF(AND($B341&lt;&gt;"",COUNTIF($B$2:$B$501,$B341)&gt;COUNTIFS($A$2:$A$501,$A341,$B$2:$B$501,$B341)),"Dependent SSN appears under more than one employee; confirm duplicate family coverage is intentional; ","")&amp;IF(AND(ROW()&gt;2,$A341&lt;&gt;"",$A341&lt;&gt;$A340,COUNTIF($A$2:$A340,$A341)&gt;0),"This household appears in more than one section of the census; keep the family together; ","")&amp;IF(OR(AND($C341&lt;&gt;"",LEN($C341&amp;"")&lt;&gt;LEN(TRIM($C341&amp;""))),AND($D341&lt;&gt;"",LEN($D341&amp;"")&lt;&gt;LEN(TRIM($D341&amp;""))),AND($E341&lt;&gt;"",LEN($E341&amp;"")&lt;&gt;LEN(TRIM($E341&amp;""))),AND($F341&lt;&gt;"",LEN($F341&amp;"")&lt;&gt;LEN(TRIM($F341&amp;""))),AND($G341&lt;&gt;"",LEN($G341&amp;"")&lt;&gt;LEN(TRIM($G341&amp;""))),AND($H341&lt;&gt;"",LEN($H341&amp;"")&lt;&gt;LEN(TRIM($H341&amp;""))),AND($I341&lt;&gt;"",LEN($I341&amp;"")&lt;&gt;LEN(TRIM($I341&amp;""))),AND($J341&lt;&gt;"",LEN($J341&amp;"")&lt;&gt;LEN(TRIM($J341&amp;""))),AND($K341&lt;&gt;"",LEN($K341&amp;"")&lt;&gt;LEN(TRIM($K341&amp;""))),AND($M341&lt;&gt;"",LEN($M341&amp;"")&lt;&gt;LEN(TRIM($M341&amp;""))),AND($N341&lt;&gt;"",LEN($N341&amp;"")&lt;&gt;LEN(TRIM($N341&amp;""))),AND($O341&lt;&gt;"",LEN($O341&amp;"")&lt;&gt;LEN(TRIM($O341&amp;""))),AND($R341&lt;&gt;"",LEN($R341&amp;"")&lt;&gt;LEN(TRIM($R341&amp;""))),AND($S341&lt;&gt;"",LEN($S341&amp;"")&lt;&gt;LEN(TRIM($S341&amp;""))),AND($T341&lt;&gt;"",LEN($T341&amp;"")&lt;&gt;LEN(TRIM($T341&amp;"")))),"Remove leading or trailing spaces from text fields; ","")&amp;IF(OR(AND(LEN($C341)&gt;1,OR(EXACT($C341,UPPER($C341)),EXACT($C341,LOWER($C341)))),AND(LEN($D341)&gt;1,OR(EXACT($D341,UPPER($D341)),EXACT($D341,LOWER($D341)))),AND(LEN($H341)&gt;1,OR(EXACT($H341,UPPER($H341)),EXACT($H341,LOWER($H341))))),"Review capitalization in First Name, Last Name, or City; ","")&amp;IF(AND($N341&lt;&gt;"",NOT(EXACT($N341,LOWER($N341)))),"Email will be standardized to lowercase in the clean output; ","")&amp;IF(AND(OR('START HERE'!$C$8="Initial Enrollment",'START HERE'!$C$8="Open Enrollment"),$R341="Terminated"),"A terminated row is included in an initial or open enrollment file; confirm this is intentional; ",""))</f>
        <v/>
      </c>
      <c r="AE341">
        <f>IF(COUNTA($A341:$U341)=0,"",IF(OR($A341="",AND($A341&lt;&gt;"",NOT(IFERROR(AND(LEN($A341&amp;"")=9,ISNUMBER(--($A341&amp;""))),FALSE))),AND($A341&lt;&gt;"",OR($A341="123456789",$A341="987654321",$A341="012345678",$A341=REPT(LEFT($A341&amp;"",1),9)))),"Employee SSN, ","")&amp;IF(OR(AND($O341&lt;&gt;"",$B341=""),AND($B341&lt;&gt;"",OR(NOT(IFERROR(AND(LEN($B341&amp;"")=9,ISNUMBER(--($B341&amp;""))),FALSE)),$B341=$A341,$B341="123456789",$B341="987654321",$B341="012345678",$B341=REPT(LEFT($B341&amp;"",1),9)))),"Dependent SSN, ","")&amp;IF(OR($C341="",LEN($C341)&gt;19,AND($C341&lt;&gt;"",SUMPRODUCT(--(ROW($1:$19)&lt;=LEN($C341&amp;"")),--ISERROR(FIND(MID($C341&amp;"",ROW($1:$19),1),"ABCDEFGHIJKLMNOPQRSTUVWXYZabcdefghijklmnopqrstuvwxyz .,")))&gt;0)),"First Name, ","")&amp;IF(OR($D341="",LEN($D341)&gt;26,AND($D341&lt;&gt;"",SUMPRODUCT(--(ROW($1:$26)&lt;=LEN($D341&amp;"")),--ISERROR(FIND(MID($D341&amp;"",ROW($1:$26),1),"ABCDEFGHIJKLMNOPQRSTUVWXYZabcdefghijklmnopqrstuvwxyz .,")))&gt;0)),"Last Name, ","")&amp;IF(OR(LEN($E341)&gt;1,AND($E341&lt;&gt;"",SUMPRODUCT(--(ROW($1:$1)&lt;=LEN($E341&amp;"")),--ISERROR(FIND(MID($E341&amp;"",ROW($1:$1),1),"ABCDEFGHIJKLMNOPQRSTUVWXYZabcdefghijklmnopqrstuvwxyz .,")))&gt;0)),"Middle Initial, ","")&amp;IF(OR($F341="",LEN($F341)&gt;75),"Address, ","")&amp;IF(OR($H341="",LEN($H341)&gt;30),"City, ","")&amp;IF(AND($K341="US",OR($I341="",LEN($I341)&lt;&gt;2)),"State, ","")&amp;IF($J341="","ZIP, ","")&amp;IF(OR($K341="",AND($K341&lt;&gt;"US",$K341&lt;&gt;"CA")),"Country, ","")&amp;IF(OR($L341="",AND($L341&lt;&gt;"",OR(NOT(ISNUMBER($L341)),$L341&lt;=DATE(1900,1,1),$L341&gt;TODAY()))),"Birthdate, ","")&amp;IF(AND($N341&lt;&gt;"",NOT(IFERROR(AND(ISNUMBER(SEARCH("@",$N341)),ISNUMBER(SEARCH(".",$N341,SEARCH("@",$N341)+2))),FALSE))),"Email, ","")&amp;IF(OR(AND($B341&lt;&gt;"",$O341=""),AND($O341&lt;&gt;"",$O341&lt;&gt;"Spouse or Common Law Spouse",$O341&lt;&gt;"Domestic Partner",$O341&lt;&gt;"Child",$O341&lt;&gt;"Other",$O341&lt;&gt;"Estate",$O341&lt;&gt;"Unknown")),"Dependent Relationship, ","")&amp;IF($AA341&lt;&gt;"","Household, ","")&amp;IF(OR($P341="",AND($P341&lt;&gt;"",OR(NOT(ISNUMBER($P341)),$P341&lt;=DATE(1900,1,1)))),"Eligibility Date, ","")&amp;IF(OR(AND($R341="Terminated",$Q341=""),AND($Q341&lt;&gt;"",OR(NOT(ISNUMBER($Q341)),$Q341&lt;=DATE(1900,1,1))),AND(ISNUMBER($P341),ISNUMBER($Q341),$Q341&lt;$P341)),"Termination Date, ","")&amp;IF(OR($R341="",AND($R341&lt;&gt;"Active",$R341&lt;&gt;"Terminated"),AND('START HERE'!$C$8="Terminations Only",$R341&lt;&gt;"Terminated")),"Status, ","")&amp;IF($S341="","Plan Name, ","")&amp;IF($T341="","Coverage Level, ","")&amp;IF(AND($U341&lt;&gt;"",OR(NOT(ISNUMBER($U341)),$U341&lt;0)),"Funding, ","")&amp;IF(AND($A341&lt;&gt;"",$S341&lt;&gt;"",COUNTIFS($A$2:$A$501,$A341,$B$2:$B$501,$B341,$S$2:$S$501,$S341)&gt;1),"Duplicate Row, ",""))</f>
        <v/>
      </c>
      <c r="AF341">
        <f>IF(COUNTA($A341:$U341)=0,"",$Y341&amp;$Z341&amp;$AA341&amp;$AB341&amp;$AC341)</f>
        <v/>
      </c>
      <c r="AG341">
        <f>IF($N341="","",LOWER(TRIM($N341)))</f>
        <v/>
      </c>
      <c r="AH341">
        <f>IF($A341="","",COUNTIFS($A$2:$A$501,$A341,$AI$2:$AI$501,1))</f>
        <v/>
      </c>
      <c r="AI341">
        <f>IF(COUNTA($A341:$U341)=0,"",--($AF341&lt;&gt;""))</f>
        <v/>
      </c>
      <c r="AJ341">
        <f>IF(COUNTA($A341:$U341)=0,"",--($AD341&lt;&gt;""))</f>
        <v/>
      </c>
    </row>
    <row r="342" ht="20" customHeight="1">
      <c r="A342" s="80" t="n"/>
      <c r="B342" s="80" t="n"/>
      <c r="C342" s="81" t="n"/>
      <c r="D342" s="81" t="n"/>
      <c r="E342" s="80" t="n"/>
      <c r="F342" s="81" t="n"/>
      <c r="G342" s="81" t="n"/>
      <c r="H342" s="81" t="n"/>
      <c r="I342" s="80" t="n"/>
      <c r="J342" s="80" t="n"/>
      <c r="K342" s="80" t="n"/>
      <c r="L342" s="82" t="n"/>
      <c r="M342" s="80" t="n"/>
      <c r="N342" s="80" t="n"/>
      <c r="O342" s="80" t="n"/>
      <c r="P342" s="82" t="n"/>
      <c r="Q342" s="82" t="n"/>
      <c r="R342" s="80" t="n"/>
      <c r="S342" s="80" t="n"/>
      <c r="T342" s="80" t="n"/>
      <c r="U342" s="83" t="n"/>
      <c r="V342">
        <f>IF($A342="","",IF($A342=$A341,$V341,IF($V341="",0,1-$V341)))</f>
        <v/>
      </c>
      <c r="W342">
        <f>IF($B342&lt;&gt;"",$B342,$A342)</f>
        <v/>
      </c>
      <c r="X342">
        <f>IF(COUNTA($A342:$U342)=0,"",IF(OR($B342&lt;&gt;"",$O342&lt;&gt;""),"Dependent","Employee"))</f>
        <v/>
      </c>
      <c r="Y342">
        <f>IF(COUNTA($A342:$U342)=0,"",IF($A342="","Employee SSN is required; ","")&amp;IF($C342="","First Name is required; ","")&amp;IF(LEN($C342&amp;"")&gt;19,"First Name exceeds 19 characters; ","")&amp;IF(AND($C342&lt;&gt;"",SUMPRODUCT(--(ROW($1:$19)&lt;=LEN($C342&amp;"")),--ISERROR(FIND(MID($C342&amp;"",ROW($1:$19),1),"ABCDEFGHIJKLMNOPQRSTUVWXYZabcdefghijklmnopqrstuvwxyz .,")))&gt;0),"First Name contains unsupported or encoded characters; use plain A-Z letters only; ","")&amp;IF($D342="","Last Name is required; ","")&amp;IF(LEN($D342&amp;"")&gt;26,"Last Name exceeds 26 characters; ","")&amp;IF(AND($D342&lt;&gt;"",SUMPRODUCT(--(ROW($1:$26)&lt;=LEN($D342&amp;"")),--ISERROR(FIND(MID($D342&amp;"",ROW($1:$26),1),"ABCDEFGHIJKLMNOPQRSTUVWXYZabcdefghijklmnopqrstuvwxyz .,")))&gt;0),"Last Name contains unsupported or encoded characters; use plain A-Z letters only; ","")&amp;IF(LEN($E342&amp;"")&gt;1,"Middle Initial may contain only one character; ","")&amp;IF(AND($E342&lt;&gt;"",SUMPRODUCT(--(ROW($1:$1)&lt;=LEN($E342&amp;"")),--ISERROR(FIND(MID($E342&amp;"",ROW($1:$1),1),"ABCDEFGHIJKLMNOPQRSTUVWXYZabcdefghijklmnopqrstuvwxyz .,")))&gt;0),"Middle Initial must be a plain A-Z letter; ","")&amp;IF($F342="","Address is required; ","")&amp;IF(LEN($F342&amp;"")&gt;75,"Address exceeds 75 characters; ","")&amp;IF(LEN($G342&amp;"")&gt;75,"Address 2 exceeds 75 characters; ","")&amp;IF($H342="","City is required; ","")&amp;IF(LEN($H342&amp;"")&gt;30,"City exceeds 30 characters; ","")&amp;IF($K342="","Country is required; ","")&amp;IF(AND($K342&lt;&gt;"",$K342&lt;&gt;"US",$K342&lt;&gt;"CA"),"Country must be US or CA; ","")&amp;IF(AND($K342="US",OR($I342="",LEN($I342&amp;"")&lt;&gt;2)),"Use a 2-letter state code; ","")&amp;IF($J342="","ZIP or postal code is required; ","")&amp;IF(AND($K342="US",$J342&lt;&gt;"",NOT(IFERROR(OR(AND(LEN($J342&amp;"")=5,ISNUMBER(--($J342&amp;""))),AND(LEN($J342&amp;"")=9,ISNUMBER(--($J342&amp;""))),AND(LEN($J342&amp;"")=10,MID($J342&amp;"",6,1)="-",ISNUMBER(--SUBSTITUTE($J342&amp;"","-","")))),FALSE))),"US ZIP must be 5 or 9 digits, with an optional ZIP+4 hyphen; ","")&amp;IF(AND($N342&lt;&gt;"",NOT(IFERROR(AND(ISNUMBER(SEARCH("@",$N342)),ISNUMBER(SEARCH(".",$N342,SEARCH("@",$N342)+2))),FALSE))),"Email format appears invalid; ","")&amp;IF(AND($O342&lt;&gt;"",$B342=""),"Dependent SSN is required for every dependent; ","")&amp;IF(AND($B342&lt;&gt;"",$O342=""),"Dependent Relationship is required when Dependent SSN is entered; ","")&amp;IF(AND($O342&lt;&gt;"",$O342&lt;&gt;"Spouse or Common Law Spouse",$O342&lt;&gt;"Domestic Partner",$O342&lt;&gt;"Child",$O342&lt;&gt;"Other",$O342&lt;&gt;"Estate",$O342&lt;&gt;"Unknown"),"Dependent Relationship must use one of the approved options; ",""))</f>
        <v/>
      </c>
      <c r="Z342">
        <f>IF(COUNTA($A342:$U342)=0,"",IF(AND($A342&lt;&gt;"",NOT(IFERROR(AND(LEN($A342&amp;"")=9,ISNUMBER(--($A342&amp;""))),FALSE))),"Employee SSN must contain exactly 9 digits; ","")&amp;IF(AND($A342&lt;&gt;"",OR($A342="123456789",$A342="987654321",$A342="012345678",$A342=REPT(LEFT($A342&amp;"",1),9))),"Employee SSN appears to be a placeholder; ","")&amp;IF(AND($B342&lt;&gt;"",NOT(IFERROR(AND(LEN($B342&amp;"")=9,ISNUMBER(--($B342&amp;""))),FALSE))),"Dependent SSN must contain exactly 9 digits; ","")&amp;IF(AND($B342&lt;&gt;"",OR($B342="123456789",$B342="987654321",$B342="012345678",$B342=REPT(LEFT($B342&amp;"",1),9))),"Dependent SSN appears to be a placeholder; ","")&amp;IF(AND($A342&lt;&gt;"",$B342&lt;&gt;"",$A342&amp;""=$B342&amp;""),"Dependent SSN cannot match Employee SSN; ","")&amp;IF(AND($W342&lt;&gt;"",OR(COUNTIFS($W$2:$W$501,$W342,$C$2:$C$501,"&lt;&gt;"&amp;$C342)&gt;0,COUNTIFS($W$2:$W$501,$W342,$D$2:$D$501,"&lt;&gt;"&amp;$D342)&gt;0,COUNTIFS($W$2:$W$501,$W342,$L$2:$L$501,"&lt;&gt;"&amp;$L342)&gt;0)),"The same SSN is associated with a different name or birthdate; ",""))</f>
        <v/>
      </c>
      <c r="AA342">
        <f>IF(COUNTA($A342:$U342)=0,"",IF(AND($A342&lt;&gt;"",$S342&lt;&gt;"",COUNTIFS($A$2:$A$501,$A342,$S$2:$S$501,$S342,$B$2:$B$501,"",$O$2:$O$501,"")=0),"Add an employee row for this household and plan; ","")&amp;IF(AND($X342="Dependent",COUNTIFS($A$2:$A342,$A342,$S$2:$S342,$S342,$B$2:$B342,"",$O$2:$O342,"")=0),"Place the employee row before dependent rows for this plan; ","")&amp;IF(AND($X342="Dependent",COUNTIFS($A$2:$A$501,$A342,$S$2:$S$501,$S342,$B$2:$B$501,"",$O$2:$O$501,"")&gt;0,IFERROR(OR($P342&lt;&gt;LOOKUP(2,1/(($A$2:$A$501=$A342)*($S$2:$S$501=$S342)*($B$2:$B$501="")*($O$2:$O$501="")),$P$2:$P$501),$Q342&lt;&gt;LOOKUP(2,1/(($A$2:$A$501=$A342)*($S$2:$S$501=$S342)*($B$2:$B$501="")*($O$2:$O$501="")),$Q$2:$Q$501),$R342&lt;&gt;LOOKUP(2,1/(($A$2:$A$501=$A342)*($S$2:$S$501=$S342)*($B$2:$B$501="")*($O$2:$O$501="")),$R$2:$R$501),$T342&lt;&gt;LOOKUP(2,1/(($A$2:$A$501=$A342)*($S$2:$S$501=$S342)*($B$2:$B$501="")*($O$2:$O$501="")),$T$2:$T$501),$U342&lt;&gt;LOOKUP(2,1/(($A$2:$A$501=$A342)*($S$2:$S$501=$S342)*($B$2:$B$501="")*($O$2:$O$501="")),$U$2:$U$501)),FALSE)),"Dependent row does not match the employee row for eligibility, status, coverage level, or funding; ",""))</f>
        <v/>
      </c>
      <c r="AB342">
        <f>IF(COUNTA($A342:$U342)=0,"",IF($L342="","Birthdate is required; ","")&amp;IF(AND($L342&lt;&gt;"",OR(NOT(ISNUMBER($L342)),$L342&lt;=DATE(1900,1,1),$L342&gt;TODAY())),"Birthdate must be an exact valid past date; ","")&amp;IF($P342="","Eligibility Date is required; ","")&amp;IF(AND($P342&lt;&gt;"",OR(NOT(ISNUMBER($P342)),$P342&lt;=DATE(1900,1,1))),"Eligibility Date must be a valid date; ","")&amp;IF(AND($R342="Terminated",$Q342=""),"Termination Date is required when Status is Terminated; ","")&amp;IF(AND($Q342&lt;&gt;"",OR(NOT(ISNUMBER($Q342)),$Q342&lt;=DATE(1900,1,1))),"Termination Date must be a valid date; ","")&amp;IF(AND(ISNUMBER($P342),ISNUMBER($Q342),$Q342&lt;$P342),"Termination Date cannot be before Eligibility Date; ","")&amp;IF($R342="","Status is required; ","")&amp;IF(AND($R342&lt;&gt;"",$R342&lt;&gt;"Active",$R342&lt;&gt;"Terminated"),"Status must be Active or Terminated; ","")&amp;IF(AND('START HERE'!$C$8="Terminations Only",$R342&lt;&gt;"Terminated"),"Terminations Only files must contain terminated records; ",""))</f>
        <v/>
      </c>
      <c r="AC342">
        <f>IF(COUNTA($A342:$U342)=0,"",IF($S342="","Plan Name is required; ","")&amp;IF($T342="","Benefit Coverage Level is required; ","")&amp;IF(AND($U342&lt;&gt;"",OR(NOT(ISNUMBER($U342)),$U342&lt;0)),"Plan Funding Amount must be a nonnegative number; ","")&amp;IF(AND($A342&lt;&gt;"",$S342&lt;&gt;"",COUNTIFS($A$2:$A$501,$A342,$B$2:$B$501,$B342,$S$2:$S$501,$S342)&gt;1),"Duplicate participant and plan row; ",""))</f>
        <v/>
      </c>
      <c r="AD342">
        <f>IF(COUNTA($A342:$U342)=0,"",IF(AND($X342="Employee",$M342="",$N342=""),"No employee phone or email provided; ","")&amp;IF(AND($R342="Active",$Q342&lt;&gt;""),"Active record includes a Termination Date; confirm this is intentional; ","")&amp;IF(AND($B342&lt;&gt;"",$B342&amp;""&lt;&gt;$A342&amp;"",COUNTIF($A$2:$A$501,$B342)&gt;0),"Dependent SSN also appears as an Employee SSN elsewhere; confirm dual-employee coverage is intentional; ","")&amp;IF(AND($B342&lt;&gt;"",COUNTIF($B$2:$B$501,$B342)&gt;COUNTIFS($A$2:$A$501,$A342,$B$2:$B$501,$B342)),"Dependent SSN appears under more than one employee; confirm duplicate family coverage is intentional; ","")&amp;IF(AND(ROW()&gt;2,$A342&lt;&gt;"",$A342&lt;&gt;$A341,COUNTIF($A$2:$A341,$A342)&gt;0),"This household appears in more than one section of the census; keep the family together; ","")&amp;IF(OR(AND($C342&lt;&gt;"",LEN($C342&amp;"")&lt;&gt;LEN(TRIM($C342&amp;""))),AND($D342&lt;&gt;"",LEN($D342&amp;"")&lt;&gt;LEN(TRIM($D342&amp;""))),AND($E342&lt;&gt;"",LEN($E342&amp;"")&lt;&gt;LEN(TRIM($E342&amp;""))),AND($F342&lt;&gt;"",LEN($F342&amp;"")&lt;&gt;LEN(TRIM($F342&amp;""))),AND($G342&lt;&gt;"",LEN($G342&amp;"")&lt;&gt;LEN(TRIM($G342&amp;""))),AND($H342&lt;&gt;"",LEN($H342&amp;"")&lt;&gt;LEN(TRIM($H342&amp;""))),AND($I342&lt;&gt;"",LEN($I342&amp;"")&lt;&gt;LEN(TRIM($I342&amp;""))),AND($J342&lt;&gt;"",LEN($J342&amp;"")&lt;&gt;LEN(TRIM($J342&amp;""))),AND($K342&lt;&gt;"",LEN($K342&amp;"")&lt;&gt;LEN(TRIM($K342&amp;""))),AND($M342&lt;&gt;"",LEN($M342&amp;"")&lt;&gt;LEN(TRIM($M342&amp;""))),AND($N342&lt;&gt;"",LEN($N342&amp;"")&lt;&gt;LEN(TRIM($N342&amp;""))),AND($O342&lt;&gt;"",LEN($O342&amp;"")&lt;&gt;LEN(TRIM($O342&amp;""))),AND($R342&lt;&gt;"",LEN($R342&amp;"")&lt;&gt;LEN(TRIM($R342&amp;""))),AND($S342&lt;&gt;"",LEN($S342&amp;"")&lt;&gt;LEN(TRIM($S342&amp;""))),AND($T342&lt;&gt;"",LEN($T342&amp;"")&lt;&gt;LEN(TRIM($T342&amp;"")))),"Remove leading or trailing spaces from text fields; ","")&amp;IF(OR(AND(LEN($C342)&gt;1,OR(EXACT($C342,UPPER($C342)),EXACT($C342,LOWER($C342)))),AND(LEN($D342)&gt;1,OR(EXACT($D342,UPPER($D342)),EXACT($D342,LOWER($D342)))),AND(LEN($H342)&gt;1,OR(EXACT($H342,UPPER($H342)),EXACT($H342,LOWER($H342))))),"Review capitalization in First Name, Last Name, or City; ","")&amp;IF(AND($N342&lt;&gt;"",NOT(EXACT($N342,LOWER($N342)))),"Email will be standardized to lowercase in the clean output; ","")&amp;IF(AND(OR('START HERE'!$C$8="Initial Enrollment",'START HERE'!$C$8="Open Enrollment"),$R342="Terminated"),"A terminated row is included in an initial or open enrollment file; confirm this is intentional; ",""))</f>
        <v/>
      </c>
      <c r="AE342">
        <f>IF(COUNTA($A342:$U342)=0,"",IF(OR($A342="",AND($A342&lt;&gt;"",NOT(IFERROR(AND(LEN($A342&amp;"")=9,ISNUMBER(--($A342&amp;""))),FALSE))),AND($A342&lt;&gt;"",OR($A342="123456789",$A342="987654321",$A342="012345678",$A342=REPT(LEFT($A342&amp;"",1),9)))),"Employee SSN, ","")&amp;IF(OR(AND($O342&lt;&gt;"",$B342=""),AND($B342&lt;&gt;"",OR(NOT(IFERROR(AND(LEN($B342&amp;"")=9,ISNUMBER(--($B342&amp;""))),FALSE)),$B342=$A342,$B342="123456789",$B342="987654321",$B342="012345678",$B342=REPT(LEFT($B342&amp;"",1),9)))),"Dependent SSN, ","")&amp;IF(OR($C342="",LEN($C342)&gt;19,AND($C342&lt;&gt;"",SUMPRODUCT(--(ROW($1:$19)&lt;=LEN($C342&amp;"")),--ISERROR(FIND(MID($C342&amp;"",ROW($1:$19),1),"ABCDEFGHIJKLMNOPQRSTUVWXYZabcdefghijklmnopqrstuvwxyz .,")))&gt;0)),"First Name, ","")&amp;IF(OR($D342="",LEN($D342)&gt;26,AND($D342&lt;&gt;"",SUMPRODUCT(--(ROW($1:$26)&lt;=LEN($D342&amp;"")),--ISERROR(FIND(MID($D342&amp;"",ROW($1:$26),1),"ABCDEFGHIJKLMNOPQRSTUVWXYZabcdefghijklmnopqrstuvwxyz .,")))&gt;0)),"Last Name, ","")&amp;IF(OR(LEN($E342)&gt;1,AND($E342&lt;&gt;"",SUMPRODUCT(--(ROW($1:$1)&lt;=LEN($E342&amp;"")),--ISERROR(FIND(MID($E342&amp;"",ROW($1:$1),1),"ABCDEFGHIJKLMNOPQRSTUVWXYZabcdefghijklmnopqrstuvwxyz .,")))&gt;0)),"Middle Initial, ","")&amp;IF(OR($F342="",LEN($F342)&gt;75),"Address, ","")&amp;IF(OR($H342="",LEN($H342)&gt;30),"City, ","")&amp;IF(AND($K342="US",OR($I342="",LEN($I342)&lt;&gt;2)),"State, ","")&amp;IF($J342="","ZIP, ","")&amp;IF(OR($K342="",AND($K342&lt;&gt;"US",$K342&lt;&gt;"CA")),"Country, ","")&amp;IF(OR($L342="",AND($L342&lt;&gt;"",OR(NOT(ISNUMBER($L342)),$L342&lt;=DATE(1900,1,1),$L342&gt;TODAY()))),"Birthdate, ","")&amp;IF(AND($N342&lt;&gt;"",NOT(IFERROR(AND(ISNUMBER(SEARCH("@",$N342)),ISNUMBER(SEARCH(".",$N342,SEARCH("@",$N342)+2))),FALSE))),"Email, ","")&amp;IF(OR(AND($B342&lt;&gt;"",$O342=""),AND($O342&lt;&gt;"",$O342&lt;&gt;"Spouse or Common Law Spouse",$O342&lt;&gt;"Domestic Partner",$O342&lt;&gt;"Child",$O342&lt;&gt;"Other",$O342&lt;&gt;"Estate",$O342&lt;&gt;"Unknown")),"Dependent Relationship, ","")&amp;IF($AA342&lt;&gt;"","Household, ","")&amp;IF(OR($P342="",AND($P342&lt;&gt;"",OR(NOT(ISNUMBER($P342)),$P342&lt;=DATE(1900,1,1)))),"Eligibility Date, ","")&amp;IF(OR(AND($R342="Terminated",$Q342=""),AND($Q342&lt;&gt;"",OR(NOT(ISNUMBER($Q342)),$Q342&lt;=DATE(1900,1,1))),AND(ISNUMBER($P342),ISNUMBER($Q342),$Q342&lt;$P342)),"Termination Date, ","")&amp;IF(OR($R342="",AND($R342&lt;&gt;"Active",$R342&lt;&gt;"Terminated"),AND('START HERE'!$C$8="Terminations Only",$R342&lt;&gt;"Terminated")),"Status, ","")&amp;IF($S342="","Plan Name, ","")&amp;IF($T342="","Coverage Level, ","")&amp;IF(AND($U342&lt;&gt;"",OR(NOT(ISNUMBER($U342)),$U342&lt;0)),"Funding, ","")&amp;IF(AND($A342&lt;&gt;"",$S342&lt;&gt;"",COUNTIFS($A$2:$A$501,$A342,$B$2:$B$501,$B342,$S$2:$S$501,$S342)&gt;1),"Duplicate Row, ",""))</f>
        <v/>
      </c>
      <c r="AF342">
        <f>IF(COUNTA($A342:$U342)=0,"",$Y342&amp;$Z342&amp;$AA342&amp;$AB342&amp;$AC342)</f>
        <v/>
      </c>
      <c r="AG342">
        <f>IF($N342="","",LOWER(TRIM($N342)))</f>
        <v/>
      </c>
      <c r="AH342">
        <f>IF($A342="","",COUNTIFS($A$2:$A$501,$A342,$AI$2:$AI$501,1))</f>
        <v/>
      </c>
      <c r="AI342">
        <f>IF(COUNTA($A342:$U342)=0,"",--($AF342&lt;&gt;""))</f>
        <v/>
      </c>
      <c r="AJ342">
        <f>IF(COUNTA($A342:$U342)=0,"",--($AD342&lt;&gt;""))</f>
        <v/>
      </c>
    </row>
    <row r="343" ht="20" customHeight="1">
      <c r="A343" s="80" t="n"/>
      <c r="B343" s="80" t="n"/>
      <c r="C343" s="81" t="n"/>
      <c r="D343" s="81" t="n"/>
      <c r="E343" s="80" t="n"/>
      <c r="F343" s="81" t="n"/>
      <c r="G343" s="81" t="n"/>
      <c r="H343" s="81" t="n"/>
      <c r="I343" s="80" t="n"/>
      <c r="J343" s="80" t="n"/>
      <c r="K343" s="80" t="n"/>
      <c r="L343" s="82" t="n"/>
      <c r="M343" s="80" t="n"/>
      <c r="N343" s="80" t="n"/>
      <c r="O343" s="80" t="n"/>
      <c r="P343" s="82" t="n"/>
      <c r="Q343" s="82" t="n"/>
      <c r="R343" s="80" t="n"/>
      <c r="S343" s="80" t="n"/>
      <c r="T343" s="80" t="n"/>
      <c r="U343" s="83" t="n"/>
      <c r="V343">
        <f>IF($A343="","",IF($A343=$A342,$V342,IF($V342="",0,1-$V342)))</f>
        <v/>
      </c>
      <c r="W343">
        <f>IF($B343&lt;&gt;"",$B343,$A343)</f>
        <v/>
      </c>
      <c r="X343">
        <f>IF(COUNTA($A343:$U343)=0,"",IF(OR($B343&lt;&gt;"",$O343&lt;&gt;""),"Dependent","Employee"))</f>
        <v/>
      </c>
      <c r="Y343">
        <f>IF(COUNTA($A343:$U343)=0,"",IF($A343="","Employee SSN is required; ","")&amp;IF($C343="","First Name is required; ","")&amp;IF(LEN($C343&amp;"")&gt;19,"First Name exceeds 19 characters; ","")&amp;IF(AND($C343&lt;&gt;"",SUMPRODUCT(--(ROW($1:$19)&lt;=LEN($C343&amp;"")),--ISERROR(FIND(MID($C343&amp;"",ROW($1:$19),1),"ABCDEFGHIJKLMNOPQRSTUVWXYZabcdefghijklmnopqrstuvwxyz .,")))&gt;0),"First Name contains unsupported or encoded characters; use plain A-Z letters only; ","")&amp;IF($D343="","Last Name is required; ","")&amp;IF(LEN($D343&amp;"")&gt;26,"Last Name exceeds 26 characters; ","")&amp;IF(AND($D343&lt;&gt;"",SUMPRODUCT(--(ROW($1:$26)&lt;=LEN($D343&amp;"")),--ISERROR(FIND(MID($D343&amp;"",ROW($1:$26),1),"ABCDEFGHIJKLMNOPQRSTUVWXYZabcdefghijklmnopqrstuvwxyz .,")))&gt;0),"Last Name contains unsupported or encoded characters; use plain A-Z letters only; ","")&amp;IF(LEN($E343&amp;"")&gt;1,"Middle Initial may contain only one character; ","")&amp;IF(AND($E343&lt;&gt;"",SUMPRODUCT(--(ROW($1:$1)&lt;=LEN($E343&amp;"")),--ISERROR(FIND(MID($E343&amp;"",ROW($1:$1),1),"ABCDEFGHIJKLMNOPQRSTUVWXYZabcdefghijklmnopqrstuvwxyz .,")))&gt;0),"Middle Initial must be a plain A-Z letter; ","")&amp;IF($F343="","Address is required; ","")&amp;IF(LEN($F343&amp;"")&gt;75,"Address exceeds 75 characters; ","")&amp;IF(LEN($G343&amp;"")&gt;75,"Address 2 exceeds 75 characters; ","")&amp;IF($H343="","City is required; ","")&amp;IF(LEN($H343&amp;"")&gt;30,"City exceeds 30 characters; ","")&amp;IF($K343="","Country is required; ","")&amp;IF(AND($K343&lt;&gt;"",$K343&lt;&gt;"US",$K343&lt;&gt;"CA"),"Country must be US or CA; ","")&amp;IF(AND($K343="US",OR($I343="",LEN($I343&amp;"")&lt;&gt;2)),"Use a 2-letter state code; ","")&amp;IF($J343="","ZIP or postal code is required; ","")&amp;IF(AND($K343="US",$J343&lt;&gt;"",NOT(IFERROR(OR(AND(LEN($J343&amp;"")=5,ISNUMBER(--($J343&amp;""))),AND(LEN($J343&amp;"")=9,ISNUMBER(--($J343&amp;""))),AND(LEN($J343&amp;"")=10,MID($J343&amp;"",6,1)="-",ISNUMBER(--SUBSTITUTE($J343&amp;"","-","")))),FALSE))),"US ZIP must be 5 or 9 digits, with an optional ZIP+4 hyphen; ","")&amp;IF(AND($N343&lt;&gt;"",NOT(IFERROR(AND(ISNUMBER(SEARCH("@",$N343)),ISNUMBER(SEARCH(".",$N343,SEARCH("@",$N343)+2))),FALSE))),"Email format appears invalid; ","")&amp;IF(AND($O343&lt;&gt;"",$B343=""),"Dependent SSN is required for every dependent; ","")&amp;IF(AND($B343&lt;&gt;"",$O343=""),"Dependent Relationship is required when Dependent SSN is entered; ","")&amp;IF(AND($O343&lt;&gt;"",$O343&lt;&gt;"Spouse or Common Law Spouse",$O343&lt;&gt;"Domestic Partner",$O343&lt;&gt;"Child",$O343&lt;&gt;"Other",$O343&lt;&gt;"Estate",$O343&lt;&gt;"Unknown"),"Dependent Relationship must use one of the approved options; ",""))</f>
        <v/>
      </c>
      <c r="Z343">
        <f>IF(COUNTA($A343:$U343)=0,"",IF(AND($A343&lt;&gt;"",NOT(IFERROR(AND(LEN($A343&amp;"")=9,ISNUMBER(--($A343&amp;""))),FALSE))),"Employee SSN must contain exactly 9 digits; ","")&amp;IF(AND($A343&lt;&gt;"",OR($A343="123456789",$A343="987654321",$A343="012345678",$A343=REPT(LEFT($A343&amp;"",1),9))),"Employee SSN appears to be a placeholder; ","")&amp;IF(AND($B343&lt;&gt;"",NOT(IFERROR(AND(LEN($B343&amp;"")=9,ISNUMBER(--($B343&amp;""))),FALSE))),"Dependent SSN must contain exactly 9 digits; ","")&amp;IF(AND($B343&lt;&gt;"",OR($B343="123456789",$B343="987654321",$B343="012345678",$B343=REPT(LEFT($B343&amp;"",1),9))),"Dependent SSN appears to be a placeholder; ","")&amp;IF(AND($A343&lt;&gt;"",$B343&lt;&gt;"",$A343&amp;""=$B343&amp;""),"Dependent SSN cannot match Employee SSN; ","")&amp;IF(AND($W343&lt;&gt;"",OR(COUNTIFS($W$2:$W$501,$W343,$C$2:$C$501,"&lt;&gt;"&amp;$C343)&gt;0,COUNTIFS($W$2:$W$501,$W343,$D$2:$D$501,"&lt;&gt;"&amp;$D343)&gt;0,COUNTIFS($W$2:$W$501,$W343,$L$2:$L$501,"&lt;&gt;"&amp;$L343)&gt;0)),"The same SSN is associated with a different name or birthdate; ",""))</f>
        <v/>
      </c>
      <c r="AA343">
        <f>IF(COUNTA($A343:$U343)=0,"",IF(AND($A343&lt;&gt;"",$S343&lt;&gt;"",COUNTIFS($A$2:$A$501,$A343,$S$2:$S$501,$S343,$B$2:$B$501,"",$O$2:$O$501,"")=0),"Add an employee row for this household and plan; ","")&amp;IF(AND($X343="Dependent",COUNTIFS($A$2:$A343,$A343,$S$2:$S343,$S343,$B$2:$B343,"",$O$2:$O343,"")=0),"Place the employee row before dependent rows for this plan; ","")&amp;IF(AND($X343="Dependent",COUNTIFS($A$2:$A$501,$A343,$S$2:$S$501,$S343,$B$2:$B$501,"",$O$2:$O$501,"")&gt;0,IFERROR(OR($P343&lt;&gt;LOOKUP(2,1/(($A$2:$A$501=$A343)*($S$2:$S$501=$S343)*($B$2:$B$501="")*($O$2:$O$501="")),$P$2:$P$501),$Q343&lt;&gt;LOOKUP(2,1/(($A$2:$A$501=$A343)*($S$2:$S$501=$S343)*($B$2:$B$501="")*($O$2:$O$501="")),$Q$2:$Q$501),$R343&lt;&gt;LOOKUP(2,1/(($A$2:$A$501=$A343)*($S$2:$S$501=$S343)*($B$2:$B$501="")*($O$2:$O$501="")),$R$2:$R$501),$T343&lt;&gt;LOOKUP(2,1/(($A$2:$A$501=$A343)*($S$2:$S$501=$S343)*($B$2:$B$501="")*($O$2:$O$501="")),$T$2:$T$501),$U343&lt;&gt;LOOKUP(2,1/(($A$2:$A$501=$A343)*($S$2:$S$501=$S343)*($B$2:$B$501="")*($O$2:$O$501="")),$U$2:$U$501)),FALSE)),"Dependent row does not match the employee row for eligibility, status, coverage level, or funding; ",""))</f>
        <v/>
      </c>
      <c r="AB343">
        <f>IF(COUNTA($A343:$U343)=0,"",IF($L343="","Birthdate is required; ","")&amp;IF(AND($L343&lt;&gt;"",OR(NOT(ISNUMBER($L343)),$L343&lt;=DATE(1900,1,1),$L343&gt;TODAY())),"Birthdate must be an exact valid past date; ","")&amp;IF($P343="","Eligibility Date is required; ","")&amp;IF(AND($P343&lt;&gt;"",OR(NOT(ISNUMBER($P343)),$P343&lt;=DATE(1900,1,1))),"Eligibility Date must be a valid date; ","")&amp;IF(AND($R343="Terminated",$Q343=""),"Termination Date is required when Status is Terminated; ","")&amp;IF(AND($Q343&lt;&gt;"",OR(NOT(ISNUMBER($Q343)),$Q343&lt;=DATE(1900,1,1))),"Termination Date must be a valid date; ","")&amp;IF(AND(ISNUMBER($P343),ISNUMBER($Q343),$Q343&lt;$P343),"Termination Date cannot be before Eligibility Date; ","")&amp;IF($R343="","Status is required; ","")&amp;IF(AND($R343&lt;&gt;"",$R343&lt;&gt;"Active",$R343&lt;&gt;"Terminated"),"Status must be Active or Terminated; ","")&amp;IF(AND('START HERE'!$C$8="Terminations Only",$R343&lt;&gt;"Terminated"),"Terminations Only files must contain terminated records; ",""))</f>
        <v/>
      </c>
      <c r="AC343">
        <f>IF(COUNTA($A343:$U343)=0,"",IF($S343="","Plan Name is required; ","")&amp;IF($T343="","Benefit Coverage Level is required; ","")&amp;IF(AND($U343&lt;&gt;"",OR(NOT(ISNUMBER($U343)),$U343&lt;0)),"Plan Funding Amount must be a nonnegative number; ","")&amp;IF(AND($A343&lt;&gt;"",$S343&lt;&gt;"",COUNTIFS($A$2:$A$501,$A343,$B$2:$B$501,$B343,$S$2:$S$501,$S343)&gt;1),"Duplicate participant and plan row; ",""))</f>
        <v/>
      </c>
      <c r="AD343">
        <f>IF(COUNTA($A343:$U343)=0,"",IF(AND($X343="Employee",$M343="",$N343=""),"No employee phone or email provided; ","")&amp;IF(AND($R343="Active",$Q343&lt;&gt;""),"Active record includes a Termination Date; confirm this is intentional; ","")&amp;IF(AND($B343&lt;&gt;"",$B343&amp;""&lt;&gt;$A343&amp;"",COUNTIF($A$2:$A$501,$B343)&gt;0),"Dependent SSN also appears as an Employee SSN elsewhere; confirm dual-employee coverage is intentional; ","")&amp;IF(AND($B343&lt;&gt;"",COUNTIF($B$2:$B$501,$B343)&gt;COUNTIFS($A$2:$A$501,$A343,$B$2:$B$501,$B343)),"Dependent SSN appears under more than one employee; confirm duplicate family coverage is intentional; ","")&amp;IF(AND(ROW()&gt;2,$A343&lt;&gt;"",$A343&lt;&gt;$A342,COUNTIF($A$2:$A342,$A343)&gt;0),"This household appears in more than one section of the census; keep the family together; ","")&amp;IF(OR(AND($C343&lt;&gt;"",LEN($C343&amp;"")&lt;&gt;LEN(TRIM($C343&amp;""))),AND($D343&lt;&gt;"",LEN($D343&amp;"")&lt;&gt;LEN(TRIM($D343&amp;""))),AND($E343&lt;&gt;"",LEN($E343&amp;"")&lt;&gt;LEN(TRIM($E343&amp;""))),AND($F343&lt;&gt;"",LEN($F343&amp;"")&lt;&gt;LEN(TRIM($F343&amp;""))),AND($G343&lt;&gt;"",LEN($G343&amp;"")&lt;&gt;LEN(TRIM($G343&amp;""))),AND($H343&lt;&gt;"",LEN($H343&amp;"")&lt;&gt;LEN(TRIM($H343&amp;""))),AND($I343&lt;&gt;"",LEN($I343&amp;"")&lt;&gt;LEN(TRIM($I343&amp;""))),AND($J343&lt;&gt;"",LEN($J343&amp;"")&lt;&gt;LEN(TRIM($J343&amp;""))),AND($K343&lt;&gt;"",LEN($K343&amp;"")&lt;&gt;LEN(TRIM($K343&amp;""))),AND($M343&lt;&gt;"",LEN($M343&amp;"")&lt;&gt;LEN(TRIM($M343&amp;""))),AND($N343&lt;&gt;"",LEN($N343&amp;"")&lt;&gt;LEN(TRIM($N343&amp;""))),AND($O343&lt;&gt;"",LEN($O343&amp;"")&lt;&gt;LEN(TRIM($O343&amp;""))),AND($R343&lt;&gt;"",LEN($R343&amp;"")&lt;&gt;LEN(TRIM($R343&amp;""))),AND($S343&lt;&gt;"",LEN($S343&amp;"")&lt;&gt;LEN(TRIM($S343&amp;""))),AND($T343&lt;&gt;"",LEN($T343&amp;"")&lt;&gt;LEN(TRIM($T343&amp;"")))),"Remove leading or trailing spaces from text fields; ","")&amp;IF(OR(AND(LEN($C343)&gt;1,OR(EXACT($C343,UPPER($C343)),EXACT($C343,LOWER($C343)))),AND(LEN($D343)&gt;1,OR(EXACT($D343,UPPER($D343)),EXACT($D343,LOWER($D343)))),AND(LEN($H343)&gt;1,OR(EXACT($H343,UPPER($H343)),EXACT($H343,LOWER($H343))))),"Review capitalization in First Name, Last Name, or City; ","")&amp;IF(AND($N343&lt;&gt;"",NOT(EXACT($N343,LOWER($N343)))),"Email will be standardized to lowercase in the clean output; ","")&amp;IF(AND(OR('START HERE'!$C$8="Initial Enrollment",'START HERE'!$C$8="Open Enrollment"),$R343="Terminated"),"A terminated row is included in an initial or open enrollment file; confirm this is intentional; ",""))</f>
        <v/>
      </c>
      <c r="AE343">
        <f>IF(COUNTA($A343:$U343)=0,"",IF(OR($A343="",AND($A343&lt;&gt;"",NOT(IFERROR(AND(LEN($A343&amp;"")=9,ISNUMBER(--($A343&amp;""))),FALSE))),AND($A343&lt;&gt;"",OR($A343="123456789",$A343="987654321",$A343="012345678",$A343=REPT(LEFT($A343&amp;"",1),9)))),"Employee SSN, ","")&amp;IF(OR(AND($O343&lt;&gt;"",$B343=""),AND($B343&lt;&gt;"",OR(NOT(IFERROR(AND(LEN($B343&amp;"")=9,ISNUMBER(--($B343&amp;""))),FALSE)),$B343=$A343,$B343="123456789",$B343="987654321",$B343="012345678",$B343=REPT(LEFT($B343&amp;"",1),9)))),"Dependent SSN, ","")&amp;IF(OR($C343="",LEN($C343)&gt;19,AND($C343&lt;&gt;"",SUMPRODUCT(--(ROW($1:$19)&lt;=LEN($C343&amp;"")),--ISERROR(FIND(MID($C343&amp;"",ROW($1:$19),1),"ABCDEFGHIJKLMNOPQRSTUVWXYZabcdefghijklmnopqrstuvwxyz .,")))&gt;0)),"First Name, ","")&amp;IF(OR($D343="",LEN($D343)&gt;26,AND($D343&lt;&gt;"",SUMPRODUCT(--(ROW($1:$26)&lt;=LEN($D343&amp;"")),--ISERROR(FIND(MID($D343&amp;"",ROW($1:$26),1),"ABCDEFGHIJKLMNOPQRSTUVWXYZabcdefghijklmnopqrstuvwxyz .,")))&gt;0)),"Last Name, ","")&amp;IF(OR(LEN($E343)&gt;1,AND($E343&lt;&gt;"",SUMPRODUCT(--(ROW($1:$1)&lt;=LEN($E343&amp;"")),--ISERROR(FIND(MID($E343&amp;"",ROW($1:$1),1),"ABCDEFGHIJKLMNOPQRSTUVWXYZabcdefghijklmnopqrstuvwxyz .,")))&gt;0)),"Middle Initial, ","")&amp;IF(OR($F343="",LEN($F343)&gt;75),"Address, ","")&amp;IF(OR($H343="",LEN($H343)&gt;30),"City, ","")&amp;IF(AND($K343="US",OR($I343="",LEN($I343)&lt;&gt;2)),"State, ","")&amp;IF($J343="","ZIP, ","")&amp;IF(OR($K343="",AND($K343&lt;&gt;"US",$K343&lt;&gt;"CA")),"Country, ","")&amp;IF(OR($L343="",AND($L343&lt;&gt;"",OR(NOT(ISNUMBER($L343)),$L343&lt;=DATE(1900,1,1),$L343&gt;TODAY()))),"Birthdate, ","")&amp;IF(AND($N343&lt;&gt;"",NOT(IFERROR(AND(ISNUMBER(SEARCH("@",$N343)),ISNUMBER(SEARCH(".",$N343,SEARCH("@",$N343)+2))),FALSE))),"Email, ","")&amp;IF(OR(AND($B343&lt;&gt;"",$O343=""),AND($O343&lt;&gt;"",$O343&lt;&gt;"Spouse or Common Law Spouse",$O343&lt;&gt;"Domestic Partner",$O343&lt;&gt;"Child",$O343&lt;&gt;"Other",$O343&lt;&gt;"Estate",$O343&lt;&gt;"Unknown")),"Dependent Relationship, ","")&amp;IF($AA343&lt;&gt;"","Household, ","")&amp;IF(OR($P343="",AND($P343&lt;&gt;"",OR(NOT(ISNUMBER($P343)),$P343&lt;=DATE(1900,1,1)))),"Eligibility Date, ","")&amp;IF(OR(AND($R343="Terminated",$Q343=""),AND($Q343&lt;&gt;"",OR(NOT(ISNUMBER($Q343)),$Q343&lt;=DATE(1900,1,1))),AND(ISNUMBER($P343),ISNUMBER($Q343),$Q343&lt;$P343)),"Termination Date, ","")&amp;IF(OR($R343="",AND($R343&lt;&gt;"Active",$R343&lt;&gt;"Terminated"),AND('START HERE'!$C$8="Terminations Only",$R343&lt;&gt;"Terminated")),"Status, ","")&amp;IF($S343="","Plan Name, ","")&amp;IF($T343="","Coverage Level, ","")&amp;IF(AND($U343&lt;&gt;"",OR(NOT(ISNUMBER($U343)),$U343&lt;0)),"Funding, ","")&amp;IF(AND($A343&lt;&gt;"",$S343&lt;&gt;"",COUNTIFS($A$2:$A$501,$A343,$B$2:$B$501,$B343,$S$2:$S$501,$S343)&gt;1),"Duplicate Row, ",""))</f>
        <v/>
      </c>
      <c r="AF343">
        <f>IF(COUNTA($A343:$U343)=0,"",$Y343&amp;$Z343&amp;$AA343&amp;$AB343&amp;$AC343)</f>
        <v/>
      </c>
      <c r="AG343">
        <f>IF($N343="","",LOWER(TRIM($N343)))</f>
        <v/>
      </c>
      <c r="AH343">
        <f>IF($A343="","",COUNTIFS($A$2:$A$501,$A343,$AI$2:$AI$501,1))</f>
        <v/>
      </c>
      <c r="AI343">
        <f>IF(COUNTA($A343:$U343)=0,"",--($AF343&lt;&gt;""))</f>
        <v/>
      </c>
      <c r="AJ343">
        <f>IF(COUNTA($A343:$U343)=0,"",--($AD343&lt;&gt;""))</f>
        <v/>
      </c>
    </row>
    <row r="344" ht="20" customHeight="1">
      <c r="A344" s="80" t="n"/>
      <c r="B344" s="80" t="n"/>
      <c r="C344" s="81" t="n"/>
      <c r="D344" s="81" t="n"/>
      <c r="E344" s="80" t="n"/>
      <c r="F344" s="81" t="n"/>
      <c r="G344" s="81" t="n"/>
      <c r="H344" s="81" t="n"/>
      <c r="I344" s="80" t="n"/>
      <c r="J344" s="80" t="n"/>
      <c r="K344" s="80" t="n"/>
      <c r="L344" s="82" t="n"/>
      <c r="M344" s="80" t="n"/>
      <c r="N344" s="80" t="n"/>
      <c r="O344" s="80" t="n"/>
      <c r="P344" s="82" t="n"/>
      <c r="Q344" s="82" t="n"/>
      <c r="R344" s="80" t="n"/>
      <c r="S344" s="80" t="n"/>
      <c r="T344" s="80" t="n"/>
      <c r="U344" s="83" t="n"/>
      <c r="V344">
        <f>IF($A344="","",IF($A344=$A343,$V343,IF($V343="",0,1-$V343)))</f>
        <v/>
      </c>
      <c r="W344">
        <f>IF($B344&lt;&gt;"",$B344,$A344)</f>
        <v/>
      </c>
      <c r="X344">
        <f>IF(COUNTA($A344:$U344)=0,"",IF(OR($B344&lt;&gt;"",$O344&lt;&gt;""),"Dependent","Employee"))</f>
        <v/>
      </c>
      <c r="Y344">
        <f>IF(COUNTA($A344:$U344)=0,"",IF($A344="","Employee SSN is required; ","")&amp;IF($C344="","First Name is required; ","")&amp;IF(LEN($C344&amp;"")&gt;19,"First Name exceeds 19 characters; ","")&amp;IF(AND($C344&lt;&gt;"",SUMPRODUCT(--(ROW($1:$19)&lt;=LEN($C344&amp;"")),--ISERROR(FIND(MID($C344&amp;"",ROW($1:$19),1),"ABCDEFGHIJKLMNOPQRSTUVWXYZabcdefghijklmnopqrstuvwxyz .,")))&gt;0),"First Name contains unsupported or encoded characters; use plain A-Z letters only; ","")&amp;IF($D344="","Last Name is required; ","")&amp;IF(LEN($D344&amp;"")&gt;26,"Last Name exceeds 26 characters; ","")&amp;IF(AND($D344&lt;&gt;"",SUMPRODUCT(--(ROW($1:$26)&lt;=LEN($D344&amp;"")),--ISERROR(FIND(MID($D344&amp;"",ROW($1:$26),1),"ABCDEFGHIJKLMNOPQRSTUVWXYZabcdefghijklmnopqrstuvwxyz .,")))&gt;0),"Last Name contains unsupported or encoded characters; use plain A-Z letters only; ","")&amp;IF(LEN($E344&amp;"")&gt;1,"Middle Initial may contain only one character; ","")&amp;IF(AND($E344&lt;&gt;"",SUMPRODUCT(--(ROW($1:$1)&lt;=LEN($E344&amp;"")),--ISERROR(FIND(MID($E344&amp;"",ROW($1:$1),1),"ABCDEFGHIJKLMNOPQRSTUVWXYZabcdefghijklmnopqrstuvwxyz .,")))&gt;0),"Middle Initial must be a plain A-Z letter; ","")&amp;IF($F344="","Address is required; ","")&amp;IF(LEN($F344&amp;"")&gt;75,"Address exceeds 75 characters; ","")&amp;IF(LEN($G344&amp;"")&gt;75,"Address 2 exceeds 75 characters; ","")&amp;IF($H344="","City is required; ","")&amp;IF(LEN($H344&amp;"")&gt;30,"City exceeds 30 characters; ","")&amp;IF($K344="","Country is required; ","")&amp;IF(AND($K344&lt;&gt;"",$K344&lt;&gt;"US",$K344&lt;&gt;"CA"),"Country must be US or CA; ","")&amp;IF(AND($K344="US",OR($I344="",LEN($I344&amp;"")&lt;&gt;2)),"Use a 2-letter state code; ","")&amp;IF($J344="","ZIP or postal code is required; ","")&amp;IF(AND($K344="US",$J344&lt;&gt;"",NOT(IFERROR(OR(AND(LEN($J344&amp;"")=5,ISNUMBER(--($J344&amp;""))),AND(LEN($J344&amp;"")=9,ISNUMBER(--($J344&amp;""))),AND(LEN($J344&amp;"")=10,MID($J344&amp;"",6,1)="-",ISNUMBER(--SUBSTITUTE($J344&amp;"","-","")))),FALSE))),"US ZIP must be 5 or 9 digits, with an optional ZIP+4 hyphen; ","")&amp;IF(AND($N344&lt;&gt;"",NOT(IFERROR(AND(ISNUMBER(SEARCH("@",$N344)),ISNUMBER(SEARCH(".",$N344,SEARCH("@",$N344)+2))),FALSE))),"Email format appears invalid; ","")&amp;IF(AND($O344&lt;&gt;"",$B344=""),"Dependent SSN is required for every dependent; ","")&amp;IF(AND($B344&lt;&gt;"",$O344=""),"Dependent Relationship is required when Dependent SSN is entered; ","")&amp;IF(AND($O344&lt;&gt;"",$O344&lt;&gt;"Spouse or Common Law Spouse",$O344&lt;&gt;"Domestic Partner",$O344&lt;&gt;"Child",$O344&lt;&gt;"Other",$O344&lt;&gt;"Estate",$O344&lt;&gt;"Unknown"),"Dependent Relationship must use one of the approved options; ",""))</f>
        <v/>
      </c>
      <c r="Z344">
        <f>IF(COUNTA($A344:$U344)=0,"",IF(AND($A344&lt;&gt;"",NOT(IFERROR(AND(LEN($A344&amp;"")=9,ISNUMBER(--($A344&amp;""))),FALSE))),"Employee SSN must contain exactly 9 digits; ","")&amp;IF(AND($A344&lt;&gt;"",OR($A344="123456789",$A344="987654321",$A344="012345678",$A344=REPT(LEFT($A344&amp;"",1),9))),"Employee SSN appears to be a placeholder; ","")&amp;IF(AND($B344&lt;&gt;"",NOT(IFERROR(AND(LEN($B344&amp;"")=9,ISNUMBER(--($B344&amp;""))),FALSE))),"Dependent SSN must contain exactly 9 digits; ","")&amp;IF(AND($B344&lt;&gt;"",OR($B344="123456789",$B344="987654321",$B344="012345678",$B344=REPT(LEFT($B344&amp;"",1),9))),"Dependent SSN appears to be a placeholder; ","")&amp;IF(AND($A344&lt;&gt;"",$B344&lt;&gt;"",$A344&amp;""=$B344&amp;""),"Dependent SSN cannot match Employee SSN; ","")&amp;IF(AND($W344&lt;&gt;"",OR(COUNTIFS($W$2:$W$501,$W344,$C$2:$C$501,"&lt;&gt;"&amp;$C344)&gt;0,COUNTIFS($W$2:$W$501,$W344,$D$2:$D$501,"&lt;&gt;"&amp;$D344)&gt;0,COUNTIFS($W$2:$W$501,$W344,$L$2:$L$501,"&lt;&gt;"&amp;$L344)&gt;0)),"The same SSN is associated with a different name or birthdate; ",""))</f>
        <v/>
      </c>
      <c r="AA344">
        <f>IF(COUNTA($A344:$U344)=0,"",IF(AND($A344&lt;&gt;"",$S344&lt;&gt;"",COUNTIFS($A$2:$A$501,$A344,$S$2:$S$501,$S344,$B$2:$B$501,"",$O$2:$O$501,"")=0),"Add an employee row for this household and plan; ","")&amp;IF(AND($X344="Dependent",COUNTIFS($A$2:$A344,$A344,$S$2:$S344,$S344,$B$2:$B344,"",$O$2:$O344,"")=0),"Place the employee row before dependent rows for this plan; ","")&amp;IF(AND($X344="Dependent",COUNTIFS($A$2:$A$501,$A344,$S$2:$S$501,$S344,$B$2:$B$501,"",$O$2:$O$501,"")&gt;0,IFERROR(OR($P344&lt;&gt;LOOKUP(2,1/(($A$2:$A$501=$A344)*($S$2:$S$501=$S344)*($B$2:$B$501="")*($O$2:$O$501="")),$P$2:$P$501),$Q344&lt;&gt;LOOKUP(2,1/(($A$2:$A$501=$A344)*($S$2:$S$501=$S344)*($B$2:$B$501="")*($O$2:$O$501="")),$Q$2:$Q$501),$R344&lt;&gt;LOOKUP(2,1/(($A$2:$A$501=$A344)*($S$2:$S$501=$S344)*($B$2:$B$501="")*($O$2:$O$501="")),$R$2:$R$501),$T344&lt;&gt;LOOKUP(2,1/(($A$2:$A$501=$A344)*($S$2:$S$501=$S344)*($B$2:$B$501="")*($O$2:$O$501="")),$T$2:$T$501),$U344&lt;&gt;LOOKUP(2,1/(($A$2:$A$501=$A344)*($S$2:$S$501=$S344)*($B$2:$B$501="")*($O$2:$O$501="")),$U$2:$U$501)),FALSE)),"Dependent row does not match the employee row for eligibility, status, coverage level, or funding; ",""))</f>
        <v/>
      </c>
      <c r="AB344">
        <f>IF(COUNTA($A344:$U344)=0,"",IF($L344="","Birthdate is required; ","")&amp;IF(AND($L344&lt;&gt;"",OR(NOT(ISNUMBER($L344)),$L344&lt;=DATE(1900,1,1),$L344&gt;TODAY())),"Birthdate must be an exact valid past date; ","")&amp;IF($P344="","Eligibility Date is required; ","")&amp;IF(AND($P344&lt;&gt;"",OR(NOT(ISNUMBER($P344)),$P344&lt;=DATE(1900,1,1))),"Eligibility Date must be a valid date; ","")&amp;IF(AND($R344="Terminated",$Q344=""),"Termination Date is required when Status is Terminated; ","")&amp;IF(AND($Q344&lt;&gt;"",OR(NOT(ISNUMBER($Q344)),$Q344&lt;=DATE(1900,1,1))),"Termination Date must be a valid date; ","")&amp;IF(AND(ISNUMBER($P344),ISNUMBER($Q344),$Q344&lt;$P344),"Termination Date cannot be before Eligibility Date; ","")&amp;IF($R344="","Status is required; ","")&amp;IF(AND($R344&lt;&gt;"",$R344&lt;&gt;"Active",$R344&lt;&gt;"Terminated"),"Status must be Active or Terminated; ","")&amp;IF(AND('START HERE'!$C$8="Terminations Only",$R344&lt;&gt;"Terminated"),"Terminations Only files must contain terminated records; ",""))</f>
        <v/>
      </c>
      <c r="AC344">
        <f>IF(COUNTA($A344:$U344)=0,"",IF($S344="","Plan Name is required; ","")&amp;IF($T344="","Benefit Coverage Level is required; ","")&amp;IF(AND($U344&lt;&gt;"",OR(NOT(ISNUMBER($U344)),$U344&lt;0)),"Plan Funding Amount must be a nonnegative number; ","")&amp;IF(AND($A344&lt;&gt;"",$S344&lt;&gt;"",COUNTIFS($A$2:$A$501,$A344,$B$2:$B$501,$B344,$S$2:$S$501,$S344)&gt;1),"Duplicate participant and plan row; ",""))</f>
        <v/>
      </c>
      <c r="AD344">
        <f>IF(COUNTA($A344:$U344)=0,"",IF(AND($X344="Employee",$M344="",$N344=""),"No employee phone or email provided; ","")&amp;IF(AND($R344="Active",$Q344&lt;&gt;""),"Active record includes a Termination Date; confirm this is intentional; ","")&amp;IF(AND($B344&lt;&gt;"",$B344&amp;""&lt;&gt;$A344&amp;"",COUNTIF($A$2:$A$501,$B344)&gt;0),"Dependent SSN also appears as an Employee SSN elsewhere; confirm dual-employee coverage is intentional; ","")&amp;IF(AND($B344&lt;&gt;"",COUNTIF($B$2:$B$501,$B344)&gt;COUNTIFS($A$2:$A$501,$A344,$B$2:$B$501,$B344)),"Dependent SSN appears under more than one employee; confirm duplicate family coverage is intentional; ","")&amp;IF(AND(ROW()&gt;2,$A344&lt;&gt;"",$A344&lt;&gt;$A343,COUNTIF($A$2:$A343,$A344)&gt;0),"This household appears in more than one section of the census; keep the family together; ","")&amp;IF(OR(AND($C344&lt;&gt;"",LEN($C344&amp;"")&lt;&gt;LEN(TRIM($C344&amp;""))),AND($D344&lt;&gt;"",LEN($D344&amp;"")&lt;&gt;LEN(TRIM($D344&amp;""))),AND($E344&lt;&gt;"",LEN($E344&amp;"")&lt;&gt;LEN(TRIM($E344&amp;""))),AND($F344&lt;&gt;"",LEN($F344&amp;"")&lt;&gt;LEN(TRIM($F344&amp;""))),AND($G344&lt;&gt;"",LEN($G344&amp;"")&lt;&gt;LEN(TRIM($G344&amp;""))),AND($H344&lt;&gt;"",LEN($H344&amp;"")&lt;&gt;LEN(TRIM($H344&amp;""))),AND($I344&lt;&gt;"",LEN($I344&amp;"")&lt;&gt;LEN(TRIM($I344&amp;""))),AND($J344&lt;&gt;"",LEN($J344&amp;"")&lt;&gt;LEN(TRIM($J344&amp;""))),AND($K344&lt;&gt;"",LEN($K344&amp;"")&lt;&gt;LEN(TRIM($K344&amp;""))),AND($M344&lt;&gt;"",LEN($M344&amp;"")&lt;&gt;LEN(TRIM($M344&amp;""))),AND($N344&lt;&gt;"",LEN($N344&amp;"")&lt;&gt;LEN(TRIM($N344&amp;""))),AND($O344&lt;&gt;"",LEN($O344&amp;"")&lt;&gt;LEN(TRIM($O344&amp;""))),AND($R344&lt;&gt;"",LEN($R344&amp;"")&lt;&gt;LEN(TRIM($R344&amp;""))),AND($S344&lt;&gt;"",LEN($S344&amp;"")&lt;&gt;LEN(TRIM($S344&amp;""))),AND($T344&lt;&gt;"",LEN($T344&amp;"")&lt;&gt;LEN(TRIM($T344&amp;"")))),"Remove leading or trailing spaces from text fields; ","")&amp;IF(OR(AND(LEN($C344)&gt;1,OR(EXACT($C344,UPPER($C344)),EXACT($C344,LOWER($C344)))),AND(LEN($D344)&gt;1,OR(EXACT($D344,UPPER($D344)),EXACT($D344,LOWER($D344)))),AND(LEN($H344)&gt;1,OR(EXACT($H344,UPPER($H344)),EXACT($H344,LOWER($H344))))),"Review capitalization in First Name, Last Name, or City; ","")&amp;IF(AND($N344&lt;&gt;"",NOT(EXACT($N344,LOWER($N344)))),"Email will be standardized to lowercase in the clean output; ","")&amp;IF(AND(OR('START HERE'!$C$8="Initial Enrollment",'START HERE'!$C$8="Open Enrollment"),$R344="Terminated"),"A terminated row is included in an initial or open enrollment file; confirm this is intentional; ",""))</f>
        <v/>
      </c>
      <c r="AE344">
        <f>IF(COUNTA($A344:$U344)=0,"",IF(OR($A344="",AND($A344&lt;&gt;"",NOT(IFERROR(AND(LEN($A344&amp;"")=9,ISNUMBER(--($A344&amp;""))),FALSE))),AND($A344&lt;&gt;"",OR($A344="123456789",$A344="987654321",$A344="012345678",$A344=REPT(LEFT($A344&amp;"",1),9)))),"Employee SSN, ","")&amp;IF(OR(AND($O344&lt;&gt;"",$B344=""),AND($B344&lt;&gt;"",OR(NOT(IFERROR(AND(LEN($B344&amp;"")=9,ISNUMBER(--($B344&amp;""))),FALSE)),$B344=$A344,$B344="123456789",$B344="987654321",$B344="012345678",$B344=REPT(LEFT($B344&amp;"",1),9)))),"Dependent SSN, ","")&amp;IF(OR($C344="",LEN($C344)&gt;19,AND($C344&lt;&gt;"",SUMPRODUCT(--(ROW($1:$19)&lt;=LEN($C344&amp;"")),--ISERROR(FIND(MID($C344&amp;"",ROW($1:$19),1),"ABCDEFGHIJKLMNOPQRSTUVWXYZabcdefghijklmnopqrstuvwxyz .,")))&gt;0)),"First Name, ","")&amp;IF(OR($D344="",LEN($D344)&gt;26,AND($D344&lt;&gt;"",SUMPRODUCT(--(ROW($1:$26)&lt;=LEN($D344&amp;"")),--ISERROR(FIND(MID($D344&amp;"",ROW($1:$26),1),"ABCDEFGHIJKLMNOPQRSTUVWXYZabcdefghijklmnopqrstuvwxyz .,")))&gt;0)),"Last Name, ","")&amp;IF(OR(LEN($E344)&gt;1,AND($E344&lt;&gt;"",SUMPRODUCT(--(ROW($1:$1)&lt;=LEN($E344&amp;"")),--ISERROR(FIND(MID($E344&amp;"",ROW($1:$1),1),"ABCDEFGHIJKLMNOPQRSTUVWXYZabcdefghijklmnopqrstuvwxyz .,")))&gt;0)),"Middle Initial, ","")&amp;IF(OR($F344="",LEN($F344)&gt;75),"Address, ","")&amp;IF(OR($H344="",LEN($H344)&gt;30),"City, ","")&amp;IF(AND($K344="US",OR($I344="",LEN($I344)&lt;&gt;2)),"State, ","")&amp;IF($J344="","ZIP, ","")&amp;IF(OR($K344="",AND($K344&lt;&gt;"US",$K344&lt;&gt;"CA")),"Country, ","")&amp;IF(OR($L344="",AND($L344&lt;&gt;"",OR(NOT(ISNUMBER($L344)),$L344&lt;=DATE(1900,1,1),$L344&gt;TODAY()))),"Birthdate, ","")&amp;IF(AND($N344&lt;&gt;"",NOT(IFERROR(AND(ISNUMBER(SEARCH("@",$N344)),ISNUMBER(SEARCH(".",$N344,SEARCH("@",$N344)+2))),FALSE))),"Email, ","")&amp;IF(OR(AND($B344&lt;&gt;"",$O344=""),AND($O344&lt;&gt;"",$O344&lt;&gt;"Spouse or Common Law Spouse",$O344&lt;&gt;"Domestic Partner",$O344&lt;&gt;"Child",$O344&lt;&gt;"Other",$O344&lt;&gt;"Estate",$O344&lt;&gt;"Unknown")),"Dependent Relationship, ","")&amp;IF($AA344&lt;&gt;"","Household, ","")&amp;IF(OR($P344="",AND($P344&lt;&gt;"",OR(NOT(ISNUMBER($P344)),$P344&lt;=DATE(1900,1,1)))),"Eligibility Date, ","")&amp;IF(OR(AND($R344="Terminated",$Q344=""),AND($Q344&lt;&gt;"",OR(NOT(ISNUMBER($Q344)),$Q344&lt;=DATE(1900,1,1))),AND(ISNUMBER($P344),ISNUMBER($Q344),$Q344&lt;$P344)),"Termination Date, ","")&amp;IF(OR($R344="",AND($R344&lt;&gt;"Active",$R344&lt;&gt;"Terminated"),AND('START HERE'!$C$8="Terminations Only",$R344&lt;&gt;"Terminated")),"Status, ","")&amp;IF($S344="","Plan Name, ","")&amp;IF($T344="","Coverage Level, ","")&amp;IF(AND($U344&lt;&gt;"",OR(NOT(ISNUMBER($U344)),$U344&lt;0)),"Funding, ","")&amp;IF(AND($A344&lt;&gt;"",$S344&lt;&gt;"",COUNTIFS($A$2:$A$501,$A344,$B$2:$B$501,$B344,$S$2:$S$501,$S344)&gt;1),"Duplicate Row, ",""))</f>
        <v/>
      </c>
      <c r="AF344">
        <f>IF(COUNTA($A344:$U344)=0,"",$Y344&amp;$Z344&amp;$AA344&amp;$AB344&amp;$AC344)</f>
        <v/>
      </c>
      <c r="AG344">
        <f>IF($N344="","",LOWER(TRIM($N344)))</f>
        <v/>
      </c>
      <c r="AH344">
        <f>IF($A344="","",COUNTIFS($A$2:$A$501,$A344,$AI$2:$AI$501,1))</f>
        <v/>
      </c>
      <c r="AI344">
        <f>IF(COUNTA($A344:$U344)=0,"",--($AF344&lt;&gt;""))</f>
        <v/>
      </c>
      <c r="AJ344">
        <f>IF(COUNTA($A344:$U344)=0,"",--($AD344&lt;&gt;""))</f>
        <v/>
      </c>
    </row>
    <row r="345" ht="20" customHeight="1">
      <c r="A345" s="80" t="n"/>
      <c r="B345" s="80" t="n"/>
      <c r="C345" s="81" t="n"/>
      <c r="D345" s="81" t="n"/>
      <c r="E345" s="80" t="n"/>
      <c r="F345" s="81" t="n"/>
      <c r="G345" s="81" t="n"/>
      <c r="H345" s="81" t="n"/>
      <c r="I345" s="80" t="n"/>
      <c r="J345" s="80" t="n"/>
      <c r="K345" s="80" t="n"/>
      <c r="L345" s="82" t="n"/>
      <c r="M345" s="80" t="n"/>
      <c r="N345" s="80" t="n"/>
      <c r="O345" s="80" t="n"/>
      <c r="P345" s="82" t="n"/>
      <c r="Q345" s="82" t="n"/>
      <c r="R345" s="80" t="n"/>
      <c r="S345" s="80" t="n"/>
      <c r="T345" s="80" t="n"/>
      <c r="U345" s="83" t="n"/>
      <c r="V345">
        <f>IF($A345="","",IF($A345=$A344,$V344,IF($V344="",0,1-$V344)))</f>
        <v/>
      </c>
      <c r="W345">
        <f>IF($B345&lt;&gt;"",$B345,$A345)</f>
        <v/>
      </c>
      <c r="X345">
        <f>IF(COUNTA($A345:$U345)=0,"",IF(OR($B345&lt;&gt;"",$O345&lt;&gt;""),"Dependent","Employee"))</f>
        <v/>
      </c>
      <c r="Y345">
        <f>IF(COUNTA($A345:$U345)=0,"",IF($A345="","Employee SSN is required; ","")&amp;IF($C345="","First Name is required; ","")&amp;IF(LEN($C345&amp;"")&gt;19,"First Name exceeds 19 characters; ","")&amp;IF(AND($C345&lt;&gt;"",SUMPRODUCT(--(ROW($1:$19)&lt;=LEN($C345&amp;"")),--ISERROR(FIND(MID($C345&amp;"",ROW($1:$19),1),"ABCDEFGHIJKLMNOPQRSTUVWXYZabcdefghijklmnopqrstuvwxyz .,")))&gt;0),"First Name contains unsupported or encoded characters; use plain A-Z letters only; ","")&amp;IF($D345="","Last Name is required; ","")&amp;IF(LEN($D345&amp;"")&gt;26,"Last Name exceeds 26 characters; ","")&amp;IF(AND($D345&lt;&gt;"",SUMPRODUCT(--(ROW($1:$26)&lt;=LEN($D345&amp;"")),--ISERROR(FIND(MID($D345&amp;"",ROW($1:$26),1),"ABCDEFGHIJKLMNOPQRSTUVWXYZabcdefghijklmnopqrstuvwxyz .,")))&gt;0),"Last Name contains unsupported or encoded characters; use plain A-Z letters only; ","")&amp;IF(LEN($E345&amp;"")&gt;1,"Middle Initial may contain only one character; ","")&amp;IF(AND($E345&lt;&gt;"",SUMPRODUCT(--(ROW($1:$1)&lt;=LEN($E345&amp;"")),--ISERROR(FIND(MID($E345&amp;"",ROW($1:$1),1),"ABCDEFGHIJKLMNOPQRSTUVWXYZabcdefghijklmnopqrstuvwxyz .,")))&gt;0),"Middle Initial must be a plain A-Z letter; ","")&amp;IF($F345="","Address is required; ","")&amp;IF(LEN($F345&amp;"")&gt;75,"Address exceeds 75 characters; ","")&amp;IF(LEN($G345&amp;"")&gt;75,"Address 2 exceeds 75 characters; ","")&amp;IF($H345="","City is required; ","")&amp;IF(LEN($H345&amp;"")&gt;30,"City exceeds 30 characters; ","")&amp;IF($K345="","Country is required; ","")&amp;IF(AND($K345&lt;&gt;"",$K345&lt;&gt;"US",$K345&lt;&gt;"CA"),"Country must be US or CA; ","")&amp;IF(AND($K345="US",OR($I345="",LEN($I345&amp;"")&lt;&gt;2)),"Use a 2-letter state code; ","")&amp;IF($J345="","ZIP or postal code is required; ","")&amp;IF(AND($K345="US",$J345&lt;&gt;"",NOT(IFERROR(OR(AND(LEN($J345&amp;"")=5,ISNUMBER(--($J345&amp;""))),AND(LEN($J345&amp;"")=9,ISNUMBER(--($J345&amp;""))),AND(LEN($J345&amp;"")=10,MID($J345&amp;"",6,1)="-",ISNUMBER(--SUBSTITUTE($J345&amp;"","-","")))),FALSE))),"US ZIP must be 5 or 9 digits, with an optional ZIP+4 hyphen; ","")&amp;IF(AND($N345&lt;&gt;"",NOT(IFERROR(AND(ISNUMBER(SEARCH("@",$N345)),ISNUMBER(SEARCH(".",$N345,SEARCH("@",$N345)+2))),FALSE))),"Email format appears invalid; ","")&amp;IF(AND($O345&lt;&gt;"",$B345=""),"Dependent SSN is required for every dependent; ","")&amp;IF(AND($B345&lt;&gt;"",$O345=""),"Dependent Relationship is required when Dependent SSN is entered; ","")&amp;IF(AND($O345&lt;&gt;"",$O345&lt;&gt;"Spouse or Common Law Spouse",$O345&lt;&gt;"Domestic Partner",$O345&lt;&gt;"Child",$O345&lt;&gt;"Other",$O345&lt;&gt;"Estate",$O345&lt;&gt;"Unknown"),"Dependent Relationship must use one of the approved options; ",""))</f>
        <v/>
      </c>
      <c r="Z345">
        <f>IF(COUNTA($A345:$U345)=0,"",IF(AND($A345&lt;&gt;"",NOT(IFERROR(AND(LEN($A345&amp;"")=9,ISNUMBER(--($A345&amp;""))),FALSE))),"Employee SSN must contain exactly 9 digits; ","")&amp;IF(AND($A345&lt;&gt;"",OR($A345="123456789",$A345="987654321",$A345="012345678",$A345=REPT(LEFT($A345&amp;"",1),9))),"Employee SSN appears to be a placeholder; ","")&amp;IF(AND($B345&lt;&gt;"",NOT(IFERROR(AND(LEN($B345&amp;"")=9,ISNUMBER(--($B345&amp;""))),FALSE))),"Dependent SSN must contain exactly 9 digits; ","")&amp;IF(AND($B345&lt;&gt;"",OR($B345="123456789",$B345="987654321",$B345="012345678",$B345=REPT(LEFT($B345&amp;"",1),9))),"Dependent SSN appears to be a placeholder; ","")&amp;IF(AND($A345&lt;&gt;"",$B345&lt;&gt;"",$A345&amp;""=$B345&amp;""),"Dependent SSN cannot match Employee SSN; ","")&amp;IF(AND($W345&lt;&gt;"",OR(COUNTIFS($W$2:$W$501,$W345,$C$2:$C$501,"&lt;&gt;"&amp;$C345)&gt;0,COUNTIFS($W$2:$W$501,$W345,$D$2:$D$501,"&lt;&gt;"&amp;$D345)&gt;0,COUNTIFS($W$2:$W$501,$W345,$L$2:$L$501,"&lt;&gt;"&amp;$L345)&gt;0)),"The same SSN is associated with a different name or birthdate; ",""))</f>
        <v/>
      </c>
      <c r="AA345">
        <f>IF(COUNTA($A345:$U345)=0,"",IF(AND($A345&lt;&gt;"",$S345&lt;&gt;"",COUNTIFS($A$2:$A$501,$A345,$S$2:$S$501,$S345,$B$2:$B$501,"",$O$2:$O$501,"")=0),"Add an employee row for this household and plan; ","")&amp;IF(AND($X345="Dependent",COUNTIFS($A$2:$A345,$A345,$S$2:$S345,$S345,$B$2:$B345,"",$O$2:$O345,"")=0),"Place the employee row before dependent rows for this plan; ","")&amp;IF(AND($X345="Dependent",COUNTIFS($A$2:$A$501,$A345,$S$2:$S$501,$S345,$B$2:$B$501,"",$O$2:$O$501,"")&gt;0,IFERROR(OR($P345&lt;&gt;LOOKUP(2,1/(($A$2:$A$501=$A345)*($S$2:$S$501=$S345)*($B$2:$B$501="")*($O$2:$O$501="")),$P$2:$P$501),$Q345&lt;&gt;LOOKUP(2,1/(($A$2:$A$501=$A345)*($S$2:$S$501=$S345)*($B$2:$B$501="")*($O$2:$O$501="")),$Q$2:$Q$501),$R345&lt;&gt;LOOKUP(2,1/(($A$2:$A$501=$A345)*($S$2:$S$501=$S345)*($B$2:$B$501="")*($O$2:$O$501="")),$R$2:$R$501),$T345&lt;&gt;LOOKUP(2,1/(($A$2:$A$501=$A345)*($S$2:$S$501=$S345)*($B$2:$B$501="")*($O$2:$O$501="")),$T$2:$T$501),$U345&lt;&gt;LOOKUP(2,1/(($A$2:$A$501=$A345)*($S$2:$S$501=$S345)*($B$2:$B$501="")*($O$2:$O$501="")),$U$2:$U$501)),FALSE)),"Dependent row does not match the employee row for eligibility, status, coverage level, or funding; ",""))</f>
        <v/>
      </c>
      <c r="AB345">
        <f>IF(COUNTA($A345:$U345)=0,"",IF($L345="","Birthdate is required; ","")&amp;IF(AND($L345&lt;&gt;"",OR(NOT(ISNUMBER($L345)),$L345&lt;=DATE(1900,1,1),$L345&gt;TODAY())),"Birthdate must be an exact valid past date; ","")&amp;IF($P345="","Eligibility Date is required; ","")&amp;IF(AND($P345&lt;&gt;"",OR(NOT(ISNUMBER($P345)),$P345&lt;=DATE(1900,1,1))),"Eligibility Date must be a valid date; ","")&amp;IF(AND($R345="Terminated",$Q345=""),"Termination Date is required when Status is Terminated; ","")&amp;IF(AND($Q345&lt;&gt;"",OR(NOT(ISNUMBER($Q345)),$Q345&lt;=DATE(1900,1,1))),"Termination Date must be a valid date; ","")&amp;IF(AND(ISNUMBER($P345),ISNUMBER($Q345),$Q345&lt;$P345),"Termination Date cannot be before Eligibility Date; ","")&amp;IF($R345="","Status is required; ","")&amp;IF(AND($R345&lt;&gt;"",$R345&lt;&gt;"Active",$R345&lt;&gt;"Terminated"),"Status must be Active or Terminated; ","")&amp;IF(AND('START HERE'!$C$8="Terminations Only",$R345&lt;&gt;"Terminated"),"Terminations Only files must contain terminated records; ",""))</f>
        <v/>
      </c>
      <c r="AC345">
        <f>IF(COUNTA($A345:$U345)=0,"",IF($S345="","Plan Name is required; ","")&amp;IF($T345="","Benefit Coverage Level is required; ","")&amp;IF(AND($U345&lt;&gt;"",OR(NOT(ISNUMBER($U345)),$U345&lt;0)),"Plan Funding Amount must be a nonnegative number; ","")&amp;IF(AND($A345&lt;&gt;"",$S345&lt;&gt;"",COUNTIFS($A$2:$A$501,$A345,$B$2:$B$501,$B345,$S$2:$S$501,$S345)&gt;1),"Duplicate participant and plan row; ",""))</f>
        <v/>
      </c>
      <c r="AD345">
        <f>IF(COUNTA($A345:$U345)=0,"",IF(AND($X345="Employee",$M345="",$N345=""),"No employee phone or email provided; ","")&amp;IF(AND($R345="Active",$Q345&lt;&gt;""),"Active record includes a Termination Date; confirm this is intentional; ","")&amp;IF(AND($B345&lt;&gt;"",$B345&amp;""&lt;&gt;$A345&amp;"",COUNTIF($A$2:$A$501,$B345)&gt;0),"Dependent SSN also appears as an Employee SSN elsewhere; confirm dual-employee coverage is intentional; ","")&amp;IF(AND($B345&lt;&gt;"",COUNTIF($B$2:$B$501,$B345)&gt;COUNTIFS($A$2:$A$501,$A345,$B$2:$B$501,$B345)),"Dependent SSN appears under more than one employee; confirm duplicate family coverage is intentional; ","")&amp;IF(AND(ROW()&gt;2,$A345&lt;&gt;"",$A345&lt;&gt;$A344,COUNTIF($A$2:$A344,$A345)&gt;0),"This household appears in more than one section of the census; keep the family together; ","")&amp;IF(OR(AND($C345&lt;&gt;"",LEN($C345&amp;"")&lt;&gt;LEN(TRIM($C345&amp;""))),AND($D345&lt;&gt;"",LEN($D345&amp;"")&lt;&gt;LEN(TRIM($D345&amp;""))),AND($E345&lt;&gt;"",LEN($E345&amp;"")&lt;&gt;LEN(TRIM($E345&amp;""))),AND($F345&lt;&gt;"",LEN($F345&amp;"")&lt;&gt;LEN(TRIM($F345&amp;""))),AND($G345&lt;&gt;"",LEN($G345&amp;"")&lt;&gt;LEN(TRIM($G345&amp;""))),AND($H345&lt;&gt;"",LEN($H345&amp;"")&lt;&gt;LEN(TRIM($H345&amp;""))),AND($I345&lt;&gt;"",LEN($I345&amp;"")&lt;&gt;LEN(TRIM($I345&amp;""))),AND($J345&lt;&gt;"",LEN($J345&amp;"")&lt;&gt;LEN(TRIM($J345&amp;""))),AND($K345&lt;&gt;"",LEN($K345&amp;"")&lt;&gt;LEN(TRIM($K345&amp;""))),AND($M345&lt;&gt;"",LEN($M345&amp;"")&lt;&gt;LEN(TRIM($M345&amp;""))),AND($N345&lt;&gt;"",LEN($N345&amp;"")&lt;&gt;LEN(TRIM($N345&amp;""))),AND($O345&lt;&gt;"",LEN($O345&amp;"")&lt;&gt;LEN(TRIM($O345&amp;""))),AND($R345&lt;&gt;"",LEN($R345&amp;"")&lt;&gt;LEN(TRIM($R345&amp;""))),AND($S345&lt;&gt;"",LEN($S345&amp;"")&lt;&gt;LEN(TRIM($S345&amp;""))),AND($T345&lt;&gt;"",LEN($T345&amp;"")&lt;&gt;LEN(TRIM($T345&amp;"")))),"Remove leading or trailing spaces from text fields; ","")&amp;IF(OR(AND(LEN($C345)&gt;1,OR(EXACT($C345,UPPER($C345)),EXACT($C345,LOWER($C345)))),AND(LEN($D345)&gt;1,OR(EXACT($D345,UPPER($D345)),EXACT($D345,LOWER($D345)))),AND(LEN($H345)&gt;1,OR(EXACT($H345,UPPER($H345)),EXACT($H345,LOWER($H345))))),"Review capitalization in First Name, Last Name, or City; ","")&amp;IF(AND($N345&lt;&gt;"",NOT(EXACT($N345,LOWER($N345)))),"Email will be standardized to lowercase in the clean output; ","")&amp;IF(AND(OR('START HERE'!$C$8="Initial Enrollment",'START HERE'!$C$8="Open Enrollment"),$R345="Terminated"),"A terminated row is included in an initial or open enrollment file; confirm this is intentional; ",""))</f>
        <v/>
      </c>
      <c r="AE345">
        <f>IF(COUNTA($A345:$U345)=0,"",IF(OR($A345="",AND($A345&lt;&gt;"",NOT(IFERROR(AND(LEN($A345&amp;"")=9,ISNUMBER(--($A345&amp;""))),FALSE))),AND($A345&lt;&gt;"",OR($A345="123456789",$A345="987654321",$A345="012345678",$A345=REPT(LEFT($A345&amp;"",1),9)))),"Employee SSN, ","")&amp;IF(OR(AND($O345&lt;&gt;"",$B345=""),AND($B345&lt;&gt;"",OR(NOT(IFERROR(AND(LEN($B345&amp;"")=9,ISNUMBER(--($B345&amp;""))),FALSE)),$B345=$A345,$B345="123456789",$B345="987654321",$B345="012345678",$B345=REPT(LEFT($B345&amp;"",1),9)))),"Dependent SSN, ","")&amp;IF(OR($C345="",LEN($C345)&gt;19,AND($C345&lt;&gt;"",SUMPRODUCT(--(ROW($1:$19)&lt;=LEN($C345&amp;"")),--ISERROR(FIND(MID($C345&amp;"",ROW($1:$19),1),"ABCDEFGHIJKLMNOPQRSTUVWXYZabcdefghijklmnopqrstuvwxyz .,")))&gt;0)),"First Name, ","")&amp;IF(OR($D345="",LEN($D345)&gt;26,AND($D345&lt;&gt;"",SUMPRODUCT(--(ROW($1:$26)&lt;=LEN($D345&amp;"")),--ISERROR(FIND(MID($D345&amp;"",ROW($1:$26),1),"ABCDEFGHIJKLMNOPQRSTUVWXYZabcdefghijklmnopqrstuvwxyz .,")))&gt;0)),"Last Name, ","")&amp;IF(OR(LEN($E345)&gt;1,AND($E345&lt;&gt;"",SUMPRODUCT(--(ROW($1:$1)&lt;=LEN($E345&amp;"")),--ISERROR(FIND(MID($E345&amp;"",ROW($1:$1),1),"ABCDEFGHIJKLMNOPQRSTUVWXYZabcdefghijklmnopqrstuvwxyz .,")))&gt;0)),"Middle Initial, ","")&amp;IF(OR($F345="",LEN($F345)&gt;75),"Address, ","")&amp;IF(OR($H345="",LEN($H345)&gt;30),"City, ","")&amp;IF(AND($K345="US",OR($I345="",LEN($I345)&lt;&gt;2)),"State, ","")&amp;IF($J345="","ZIP, ","")&amp;IF(OR($K345="",AND($K345&lt;&gt;"US",$K345&lt;&gt;"CA")),"Country, ","")&amp;IF(OR($L345="",AND($L345&lt;&gt;"",OR(NOT(ISNUMBER($L345)),$L345&lt;=DATE(1900,1,1),$L345&gt;TODAY()))),"Birthdate, ","")&amp;IF(AND($N345&lt;&gt;"",NOT(IFERROR(AND(ISNUMBER(SEARCH("@",$N345)),ISNUMBER(SEARCH(".",$N345,SEARCH("@",$N345)+2))),FALSE))),"Email, ","")&amp;IF(OR(AND($B345&lt;&gt;"",$O345=""),AND($O345&lt;&gt;"",$O345&lt;&gt;"Spouse or Common Law Spouse",$O345&lt;&gt;"Domestic Partner",$O345&lt;&gt;"Child",$O345&lt;&gt;"Other",$O345&lt;&gt;"Estate",$O345&lt;&gt;"Unknown")),"Dependent Relationship, ","")&amp;IF($AA345&lt;&gt;"","Household, ","")&amp;IF(OR($P345="",AND($P345&lt;&gt;"",OR(NOT(ISNUMBER($P345)),$P345&lt;=DATE(1900,1,1)))),"Eligibility Date, ","")&amp;IF(OR(AND($R345="Terminated",$Q345=""),AND($Q345&lt;&gt;"",OR(NOT(ISNUMBER($Q345)),$Q345&lt;=DATE(1900,1,1))),AND(ISNUMBER($P345),ISNUMBER($Q345),$Q345&lt;$P345)),"Termination Date, ","")&amp;IF(OR($R345="",AND($R345&lt;&gt;"Active",$R345&lt;&gt;"Terminated"),AND('START HERE'!$C$8="Terminations Only",$R345&lt;&gt;"Terminated")),"Status, ","")&amp;IF($S345="","Plan Name, ","")&amp;IF($T345="","Coverage Level, ","")&amp;IF(AND($U345&lt;&gt;"",OR(NOT(ISNUMBER($U345)),$U345&lt;0)),"Funding, ","")&amp;IF(AND($A345&lt;&gt;"",$S345&lt;&gt;"",COUNTIFS($A$2:$A$501,$A345,$B$2:$B$501,$B345,$S$2:$S$501,$S345)&gt;1),"Duplicate Row, ",""))</f>
        <v/>
      </c>
      <c r="AF345">
        <f>IF(COUNTA($A345:$U345)=0,"",$Y345&amp;$Z345&amp;$AA345&amp;$AB345&amp;$AC345)</f>
        <v/>
      </c>
      <c r="AG345">
        <f>IF($N345="","",LOWER(TRIM($N345)))</f>
        <v/>
      </c>
      <c r="AH345">
        <f>IF($A345="","",COUNTIFS($A$2:$A$501,$A345,$AI$2:$AI$501,1))</f>
        <v/>
      </c>
      <c r="AI345">
        <f>IF(COUNTA($A345:$U345)=0,"",--($AF345&lt;&gt;""))</f>
        <v/>
      </c>
      <c r="AJ345">
        <f>IF(COUNTA($A345:$U345)=0,"",--($AD345&lt;&gt;""))</f>
        <v/>
      </c>
    </row>
    <row r="346" ht="20" customHeight="1">
      <c r="A346" s="80" t="n"/>
      <c r="B346" s="80" t="n"/>
      <c r="C346" s="81" t="n"/>
      <c r="D346" s="81" t="n"/>
      <c r="E346" s="80" t="n"/>
      <c r="F346" s="81" t="n"/>
      <c r="G346" s="81" t="n"/>
      <c r="H346" s="81" t="n"/>
      <c r="I346" s="80" t="n"/>
      <c r="J346" s="80" t="n"/>
      <c r="K346" s="80" t="n"/>
      <c r="L346" s="82" t="n"/>
      <c r="M346" s="80" t="n"/>
      <c r="N346" s="80" t="n"/>
      <c r="O346" s="80" t="n"/>
      <c r="P346" s="82" t="n"/>
      <c r="Q346" s="82" t="n"/>
      <c r="R346" s="80" t="n"/>
      <c r="S346" s="80" t="n"/>
      <c r="T346" s="80" t="n"/>
      <c r="U346" s="83" t="n"/>
      <c r="V346">
        <f>IF($A346="","",IF($A346=$A345,$V345,IF($V345="",0,1-$V345)))</f>
        <v/>
      </c>
      <c r="W346">
        <f>IF($B346&lt;&gt;"",$B346,$A346)</f>
        <v/>
      </c>
      <c r="X346">
        <f>IF(COUNTA($A346:$U346)=0,"",IF(OR($B346&lt;&gt;"",$O346&lt;&gt;""),"Dependent","Employee"))</f>
        <v/>
      </c>
      <c r="Y346">
        <f>IF(COUNTA($A346:$U346)=0,"",IF($A346="","Employee SSN is required; ","")&amp;IF($C346="","First Name is required; ","")&amp;IF(LEN($C346&amp;"")&gt;19,"First Name exceeds 19 characters; ","")&amp;IF(AND($C346&lt;&gt;"",SUMPRODUCT(--(ROW($1:$19)&lt;=LEN($C346&amp;"")),--ISERROR(FIND(MID($C346&amp;"",ROW($1:$19),1),"ABCDEFGHIJKLMNOPQRSTUVWXYZabcdefghijklmnopqrstuvwxyz .,")))&gt;0),"First Name contains unsupported or encoded characters; use plain A-Z letters only; ","")&amp;IF($D346="","Last Name is required; ","")&amp;IF(LEN($D346&amp;"")&gt;26,"Last Name exceeds 26 characters; ","")&amp;IF(AND($D346&lt;&gt;"",SUMPRODUCT(--(ROW($1:$26)&lt;=LEN($D346&amp;"")),--ISERROR(FIND(MID($D346&amp;"",ROW($1:$26),1),"ABCDEFGHIJKLMNOPQRSTUVWXYZabcdefghijklmnopqrstuvwxyz .,")))&gt;0),"Last Name contains unsupported or encoded characters; use plain A-Z letters only; ","")&amp;IF(LEN($E346&amp;"")&gt;1,"Middle Initial may contain only one character; ","")&amp;IF(AND($E346&lt;&gt;"",SUMPRODUCT(--(ROW($1:$1)&lt;=LEN($E346&amp;"")),--ISERROR(FIND(MID($E346&amp;"",ROW($1:$1),1),"ABCDEFGHIJKLMNOPQRSTUVWXYZabcdefghijklmnopqrstuvwxyz .,")))&gt;0),"Middle Initial must be a plain A-Z letter; ","")&amp;IF($F346="","Address is required; ","")&amp;IF(LEN($F346&amp;"")&gt;75,"Address exceeds 75 characters; ","")&amp;IF(LEN($G346&amp;"")&gt;75,"Address 2 exceeds 75 characters; ","")&amp;IF($H346="","City is required; ","")&amp;IF(LEN($H346&amp;"")&gt;30,"City exceeds 30 characters; ","")&amp;IF($K346="","Country is required; ","")&amp;IF(AND($K346&lt;&gt;"",$K346&lt;&gt;"US",$K346&lt;&gt;"CA"),"Country must be US or CA; ","")&amp;IF(AND($K346="US",OR($I346="",LEN($I346&amp;"")&lt;&gt;2)),"Use a 2-letter state code; ","")&amp;IF($J346="","ZIP or postal code is required; ","")&amp;IF(AND($K346="US",$J346&lt;&gt;"",NOT(IFERROR(OR(AND(LEN($J346&amp;"")=5,ISNUMBER(--($J346&amp;""))),AND(LEN($J346&amp;"")=9,ISNUMBER(--($J346&amp;""))),AND(LEN($J346&amp;"")=10,MID($J346&amp;"",6,1)="-",ISNUMBER(--SUBSTITUTE($J346&amp;"","-","")))),FALSE))),"US ZIP must be 5 or 9 digits, with an optional ZIP+4 hyphen; ","")&amp;IF(AND($N346&lt;&gt;"",NOT(IFERROR(AND(ISNUMBER(SEARCH("@",$N346)),ISNUMBER(SEARCH(".",$N346,SEARCH("@",$N346)+2))),FALSE))),"Email format appears invalid; ","")&amp;IF(AND($O346&lt;&gt;"",$B346=""),"Dependent SSN is required for every dependent; ","")&amp;IF(AND($B346&lt;&gt;"",$O346=""),"Dependent Relationship is required when Dependent SSN is entered; ","")&amp;IF(AND($O346&lt;&gt;"",$O346&lt;&gt;"Spouse or Common Law Spouse",$O346&lt;&gt;"Domestic Partner",$O346&lt;&gt;"Child",$O346&lt;&gt;"Other",$O346&lt;&gt;"Estate",$O346&lt;&gt;"Unknown"),"Dependent Relationship must use one of the approved options; ",""))</f>
        <v/>
      </c>
      <c r="Z346">
        <f>IF(COUNTA($A346:$U346)=0,"",IF(AND($A346&lt;&gt;"",NOT(IFERROR(AND(LEN($A346&amp;"")=9,ISNUMBER(--($A346&amp;""))),FALSE))),"Employee SSN must contain exactly 9 digits; ","")&amp;IF(AND($A346&lt;&gt;"",OR($A346="123456789",$A346="987654321",$A346="012345678",$A346=REPT(LEFT($A346&amp;"",1),9))),"Employee SSN appears to be a placeholder; ","")&amp;IF(AND($B346&lt;&gt;"",NOT(IFERROR(AND(LEN($B346&amp;"")=9,ISNUMBER(--($B346&amp;""))),FALSE))),"Dependent SSN must contain exactly 9 digits; ","")&amp;IF(AND($B346&lt;&gt;"",OR($B346="123456789",$B346="987654321",$B346="012345678",$B346=REPT(LEFT($B346&amp;"",1),9))),"Dependent SSN appears to be a placeholder; ","")&amp;IF(AND($A346&lt;&gt;"",$B346&lt;&gt;"",$A346&amp;""=$B346&amp;""),"Dependent SSN cannot match Employee SSN; ","")&amp;IF(AND($W346&lt;&gt;"",OR(COUNTIFS($W$2:$W$501,$W346,$C$2:$C$501,"&lt;&gt;"&amp;$C346)&gt;0,COUNTIFS($W$2:$W$501,$W346,$D$2:$D$501,"&lt;&gt;"&amp;$D346)&gt;0,COUNTIFS($W$2:$W$501,$W346,$L$2:$L$501,"&lt;&gt;"&amp;$L346)&gt;0)),"The same SSN is associated with a different name or birthdate; ",""))</f>
        <v/>
      </c>
      <c r="AA346">
        <f>IF(COUNTA($A346:$U346)=0,"",IF(AND($A346&lt;&gt;"",$S346&lt;&gt;"",COUNTIFS($A$2:$A$501,$A346,$S$2:$S$501,$S346,$B$2:$B$501,"",$O$2:$O$501,"")=0),"Add an employee row for this household and plan; ","")&amp;IF(AND($X346="Dependent",COUNTIFS($A$2:$A346,$A346,$S$2:$S346,$S346,$B$2:$B346,"",$O$2:$O346,"")=0),"Place the employee row before dependent rows for this plan; ","")&amp;IF(AND($X346="Dependent",COUNTIFS($A$2:$A$501,$A346,$S$2:$S$501,$S346,$B$2:$B$501,"",$O$2:$O$501,"")&gt;0,IFERROR(OR($P346&lt;&gt;LOOKUP(2,1/(($A$2:$A$501=$A346)*($S$2:$S$501=$S346)*($B$2:$B$501="")*($O$2:$O$501="")),$P$2:$P$501),$Q346&lt;&gt;LOOKUP(2,1/(($A$2:$A$501=$A346)*($S$2:$S$501=$S346)*($B$2:$B$501="")*($O$2:$O$501="")),$Q$2:$Q$501),$R346&lt;&gt;LOOKUP(2,1/(($A$2:$A$501=$A346)*($S$2:$S$501=$S346)*($B$2:$B$501="")*($O$2:$O$501="")),$R$2:$R$501),$T346&lt;&gt;LOOKUP(2,1/(($A$2:$A$501=$A346)*($S$2:$S$501=$S346)*($B$2:$B$501="")*($O$2:$O$501="")),$T$2:$T$501),$U346&lt;&gt;LOOKUP(2,1/(($A$2:$A$501=$A346)*($S$2:$S$501=$S346)*($B$2:$B$501="")*($O$2:$O$501="")),$U$2:$U$501)),FALSE)),"Dependent row does not match the employee row for eligibility, status, coverage level, or funding; ",""))</f>
        <v/>
      </c>
      <c r="AB346">
        <f>IF(COUNTA($A346:$U346)=0,"",IF($L346="","Birthdate is required; ","")&amp;IF(AND($L346&lt;&gt;"",OR(NOT(ISNUMBER($L346)),$L346&lt;=DATE(1900,1,1),$L346&gt;TODAY())),"Birthdate must be an exact valid past date; ","")&amp;IF($P346="","Eligibility Date is required; ","")&amp;IF(AND($P346&lt;&gt;"",OR(NOT(ISNUMBER($P346)),$P346&lt;=DATE(1900,1,1))),"Eligibility Date must be a valid date; ","")&amp;IF(AND($R346="Terminated",$Q346=""),"Termination Date is required when Status is Terminated; ","")&amp;IF(AND($Q346&lt;&gt;"",OR(NOT(ISNUMBER($Q346)),$Q346&lt;=DATE(1900,1,1))),"Termination Date must be a valid date; ","")&amp;IF(AND(ISNUMBER($P346),ISNUMBER($Q346),$Q346&lt;$P346),"Termination Date cannot be before Eligibility Date; ","")&amp;IF($R346="","Status is required; ","")&amp;IF(AND($R346&lt;&gt;"",$R346&lt;&gt;"Active",$R346&lt;&gt;"Terminated"),"Status must be Active or Terminated; ","")&amp;IF(AND('START HERE'!$C$8="Terminations Only",$R346&lt;&gt;"Terminated"),"Terminations Only files must contain terminated records; ",""))</f>
        <v/>
      </c>
      <c r="AC346">
        <f>IF(COUNTA($A346:$U346)=0,"",IF($S346="","Plan Name is required; ","")&amp;IF($T346="","Benefit Coverage Level is required; ","")&amp;IF(AND($U346&lt;&gt;"",OR(NOT(ISNUMBER($U346)),$U346&lt;0)),"Plan Funding Amount must be a nonnegative number; ","")&amp;IF(AND($A346&lt;&gt;"",$S346&lt;&gt;"",COUNTIFS($A$2:$A$501,$A346,$B$2:$B$501,$B346,$S$2:$S$501,$S346)&gt;1),"Duplicate participant and plan row; ",""))</f>
        <v/>
      </c>
      <c r="AD346">
        <f>IF(COUNTA($A346:$U346)=0,"",IF(AND($X346="Employee",$M346="",$N346=""),"No employee phone or email provided; ","")&amp;IF(AND($R346="Active",$Q346&lt;&gt;""),"Active record includes a Termination Date; confirm this is intentional; ","")&amp;IF(AND($B346&lt;&gt;"",$B346&amp;""&lt;&gt;$A346&amp;"",COUNTIF($A$2:$A$501,$B346)&gt;0),"Dependent SSN also appears as an Employee SSN elsewhere; confirm dual-employee coverage is intentional; ","")&amp;IF(AND($B346&lt;&gt;"",COUNTIF($B$2:$B$501,$B346)&gt;COUNTIFS($A$2:$A$501,$A346,$B$2:$B$501,$B346)),"Dependent SSN appears under more than one employee; confirm duplicate family coverage is intentional; ","")&amp;IF(AND(ROW()&gt;2,$A346&lt;&gt;"",$A346&lt;&gt;$A345,COUNTIF($A$2:$A345,$A346)&gt;0),"This household appears in more than one section of the census; keep the family together; ","")&amp;IF(OR(AND($C346&lt;&gt;"",LEN($C346&amp;"")&lt;&gt;LEN(TRIM($C346&amp;""))),AND($D346&lt;&gt;"",LEN($D346&amp;"")&lt;&gt;LEN(TRIM($D346&amp;""))),AND($E346&lt;&gt;"",LEN($E346&amp;"")&lt;&gt;LEN(TRIM($E346&amp;""))),AND($F346&lt;&gt;"",LEN($F346&amp;"")&lt;&gt;LEN(TRIM($F346&amp;""))),AND($G346&lt;&gt;"",LEN($G346&amp;"")&lt;&gt;LEN(TRIM($G346&amp;""))),AND($H346&lt;&gt;"",LEN($H346&amp;"")&lt;&gt;LEN(TRIM($H346&amp;""))),AND($I346&lt;&gt;"",LEN($I346&amp;"")&lt;&gt;LEN(TRIM($I346&amp;""))),AND($J346&lt;&gt;"",LEN($J346&amp;"")&lt;&gt;LEN(TRIM($J346&amp;""))),AND($K346&lt;&gt;"",LEN($K346&amp;"")&lt;&gt;LEN(TRIM($K346&amp;""))),AND($M346&lt;&gt;"",LEN($M346&amp;"")&lt;&gt;LEN(TRIM($M346&amp;""))),AND($N346&lt;&gt;"",LEN($N346&amp;"")&lt;&gt;LEN(TRIM($N346&amp;""))),AND($O346&lt;&gt;"",LEN($O346&amp;"")&lt;&gt;LEN(TRIM($O346&amp;""))),AND($R346&lt;&gt;"",LEN($R346&amp;"")&lt;&gt;LEN(TRIM($R346&amp;""))),AND($S346&lt;&gt;"",LEN($S346&amp;"")&lt;&gt;LEN(TRIM($S346&amp;""))),AND($T346&lt;&gt;"",LEN($T346&amp;"")&lt;&gt;LEN(TRIM($T346&amp;"")))),"Remove leading or trailing spaces from text fields; ","")&amp;IF(OR(AND(LEN($C346)&gt;1,OR(EXACT($C346,UPPER($C346)),EXACT($C346,LOWER($C346)))),AND(LEN($D346)&gt;1,OR(EXACT($D346,UPPER($D346)),EXACT($D346,LOWER($D346)))),AND(LEN($H346)&gt;1,OR(EXACT($H346,UPPER($H346)),EXACT($H346,LOWER($H346))))),"Review capitalization in First Name, Last Name, or City; ","")&amp;IF(AND($N346&lt;&gt;"",NOT(EXACT($N346,LOWER($N346)))),"Email will be standardized to lowercase in the clean output; ","")&amp;IF(AND(OR('START HERE'!$C$8="Initial Enrollment",'START HERE'!$C$8="Open Enrollment"),$R346="Terminated"),"A terminated row is included in an initial or open enrollment file; confirm this is intentional; ",""))</f>
        <v/>
      </c>
      <c r="AE346">
        <f>IF(COUNTA($A346:$U346)=0,"",IF(OR($A346="",AND($A346&lt;&gt;"",NOT(IFERROR(AND(LEN($A346&amp;"")=9,ISNUMBER(--($A346&amp;""))),FALSE))),AND($A346&lt;&gt;"",OR($A346="123456789",$A346="987654321",$A346="012345678",$A346=REPT(LEFT($A346&amp;"",1),9)))),"Employee SSN, ","")&amp;IF(OR(AND($O346&lt;&gt;"",$B346=""),AND($B346&lt;&gt;"",OR(NOT(IFERROR(AND(LEN($B346&amp;"")=9,ISNUMBER(--($B346&amp;""))),FALSE)),$B346=$A346,$B346="123456789",$B346="987654321",$B346="012345678",$B346=REPT(LEFT($B346&amp;"",1),9)))),"Dependent SSN, ","")&amp;IF(OR($C346="",LEN($C346)&gt;19,AND($C346&lt;&gt;"",SUMPRODUCT(--(ROW($1:$19)&lt;=LEN($C346&amp;"")),--ISERROR(FIND(MID($C346&amp;"",ROW($1:$19),1),"ABCDEFGHIJKLMNOPQRSTUVWXYZabcdefghijklmnopqrstuvwxyz .,")))&gt;0)),"First Name, ","")&amp;IF(OR($D346="",LEN($D346)&gt;26,AND($D346&lt;&gt;"",SUMPRODUCT(--(ROW($1:$26)&lt;=LEN($D346&amp;"")),--ISERROR(FIND(MID($D346&amp;"",ROW($1:$26),1),"ABCDEFGHIJKLMNOPQRSTUVWXYZabcdefghijklmnopqrstuvwxyz .,")))&gt;0)),"Last Name, ","")&amp;IF(OR(LEN($E346)&gt;1,AND($E346&lt;&gt;"",SUMPRODUCT(--(ROW($1:$1)&lt;=LEN($E346&amp;"")),--ISERROR(FIND(MID($E346&amp;"",ROW($1:$1),1),"ABCDEFGHIJKLMNOPQRSTUVWXYZabcdefghijklmnopqrstuvwxyz .,")))&gt;0)),"Middle Initial, ","")&amp;IF(OR($F346="",LEN($F346)&gt;75),"Address, ","")&amp;IF(OR($H346="",LEN($H346)&gt;30),"City, ","")&amp;IF(AND($K346="US",OR($I346="",LEN($I346)&lt;&gt;2)),"State, ","")&amp;IF($J346="","ZIP, ","")&amp;IF(OR($K346="",AND($K346&lt;&gt;"US",$K346&lt;&gt;"CA")),"Country, ","")&amp;IF(OR($L346="",AND($L346&lt;&gt;"",OR(NOT(ISNUMBER($L346)),$L346&lt;=DATE(1900,1,1),$L346&gt;TODAY()))),"Birthdate, ","")&amp;IF(AND($N346&lt;&gt;"",NOT(IFERROR(AND(ISNUMBER(SEARCH("@",$N346)),ISNUMBER(SEARCH(".",$N346,SEARCH("@",$N346)+2))),FALSE))),"Email, ","")&amp;IF(OR(AND($B346&lt;&gt;"",$O346=""),AND($O346&lt;&gt;"",$O346&lt;&gt;"Spouse or Common Law Spouse",$O346&lt;&gt;"Domestic Partner",$O346&lt;&gt;"Child",$O346&lt;&gt;"Other",$O346&lt;&gt;"Estate",$O346&lt;&gt;"Unknown")),"Dependent Relationship, ","")&amp;IF($AA346&lt;&gt;"","Household, ","")&amp;IF(OR($P346="",AND($P346&lt;&gt;"",OR(NOT(ISNUMBER($P346)),$P346&lt;=DATE(1900,1,1)))),"Eligibility Date, ","")&amp;IF(OR(AND($R346="Terminated",$Q346=""),AND($Q346&lt;&gt;"",OR(NOT(ISNUMBER($Q346)),$Q346&lt;=DATE(1900,1,1))),AND(ISNUMBER($P346),ISNUMBER($Q346),$Q346&lt;$P346)),"Termination Date, ","")&amp;IF(OR($R346="",AND($R346&lt;&gt;"Active",$R346&lt;&gt;"Terminated"),AND('START HERE'!$C$8="Terminations Only",$R346&lt;&gt;"Terminated")),"Status, ","")&amp;IF($S346="","Plan Name, ","")&amp;IF($T346="","Coverage Level, ","")&amp;IF(AND($U346&lt;&gt;"",OR(NOT(ISNUMBER($U346)),$U346&lt;0)),"Funding, ","")&amp;IF(AND($A346&lt;&gt;"",$S346&lt;&gt;"",COUNTIFS($A$2:$A$501,$A346,$B$2:$B$501,$B346,$S$2:$S$501,$S346)&gt;1),"Duplicate Row, ",""))</f>
        <v/>
      </c>
      <c r="AF346">
        <f>IF(COUNTA($A346:$U346)=0,"",$Y346&amp;$Z346&amp;$AA346&amp;$AB346&amp;$AC346)</f>
        <v/>
      </c>
      <c r="AG346">
        <f>IF($N346="","",LOWER(TRIM($N346)))</f>
        <v/>
      </c>
      <c r="AH346">
        <f>IF($A346="","",COUNTIFS($A$2:$A$501,$A346,$AI$2:$AI$501,1))</f>
        <v/>
      </c>
      <c r="AI346">
        <f>IF(COUNTA($A346:$U346)=0,"",--($AF346&lt;&gt;""))</f>
        <v/>
      </c>
      <c r="AJ346">
        <f>IF(COUNTA($A346:$U346)=0,"",--($AD346&lt;&gt;""))</f>
        <v/>
      </c>
    </row>
    <row r="347" ht="20" customHeight="1">
      <c r="A347" s="80" t="n"/>
      <c r="B347" s="80" t="n"/>
      <c r="C347" s="81" t="n"/>
      <c r="D347" s="81" t="n"/>
      <c r="E347" s="80" t="n"/>
      <c r="F347" s="81" t="n"/>
      <c r="G347" s="81" t="n"/>
      <c r="H347" s="81" t="n"/>
      <c r="I347" s="80" t="n"/>
      <c r="J347" s="80" t="n"/>
      <c r="K347" s="80" t="n"/>
      <c r="L347" s="82" t="n"/>
      <c r="M347" s="80" t="n"/>
      <c r="N347" s="80" t="n"/>
      <c r="O347" s="80" t="n"/>
      <c r="P347" s="82" t="n"/>
      <c r="Q347" s="82" t="n"/>
      <c r="R347" s="80" t="n"/>
      <c r="S347" s="80" t="n"/>
      <c r="T347" s="80" t="n"/>
      <c r="U347" s="83" t="n"/>
      <c r="V347">
        <f>IF($A347="","",IF($A347=$A346,$V346,IF($V346="",0,1-$V346)))</f>
        <v/>
      </c>
      <c r="W347">
        <f>IF($B347&lt;&gt;"",$B347,$A347)</f>
        <v/>
      </c>
      <c r="X347">
        <f>IF(COUNTA($A347:$U347)=0,"",IF(OR($B347&lt;&gt;"",$O347&lt;&gt;""),"Dependent","Employee"))</f>
        <v/>
      </c>
      <c r="Y347">
        <f>IF(COUNTA($A347:$U347)=0,"",IF($A347="","Employee SSN is required; ","")&amp;IF($C347="","First Name is required; ","")&amp;IF(LEN($C347&amp;"")&gt;19,"First Name exceeds 19 characters; ","")&amp;IF(AND($C347&lt;&gt;"",SUMPRODUCT(--(ROW($1:$19)&lt;=LEN($C347&amp;"")),--ISERROR(FIND(MID($C347&amp;"",ROW($1:$19),1),"ABCDEFGHIJKLMNOPQRSTUVWXYZabcdefghijklmnopqrstuvwxyz .,")))&gt;0),"First Name contains unsupported or encoded characters; use plain A-Z letters only; ","")&amp;IF($D347="","Last Name is required; ","")&amp;IF(LEN($D347&amp;"")&gt;26,"Last Name exceeds 26 characters; ","")&amp;IF(AND($D347&lt;&gt;"",SUMPRODUCT(--(ROW($1:$26)&lt;=LEN($D347&amp;"")),--ISERROR(FIND(MID($D347&amp;"",ROW($1:$26),1),"ABCDEFGHIJKLMNOPQRSTUVWXYZabcdefghijklmnopqrstuvwxyz .,")))&gt;0),"Last Name contains unsupported or encoded characters; use plain A-Z letters only; ","")&amp;IF(LEN($E347&amp;"")&gt;1,"Middle Initial may contain only one character; ","")&amp;IF(AND($E347&lt;&gt;"",SUMPRODUCT(--(ROW($1:$1)&lt;=LEN($E347&amp;"")),--ISERROR(FIND(MID($E347&amp;"",ROW($1:$1),1),"ABCDEFGHIJKLMNOPQRSTUVWXYZabcdefghijklmnopqrstuvwxyz .,")))&gt;0),"Middle Initial must be a plain A-Z letter; ","")&amp;IF($F347="","Address is required; ","")&amp;IF(LEN($F347&amp;"")&gt;75,"Address exceeds 75 characters; ","")&amp;IF(LEN($G347&amp;"")&gt;75,"Address 2 exceeds 75 characters; ","")&amp;IF($H347="","City is required; ","")&amp;IF(LEN($H347&amp;"")&gt;30,"City exceeds 30 characters; ","")&amp;IF($K347="","Country is required; ","")&amp;IF(AND($K347&lt;&gt;"",$K347&lt;&gt;"US",$K347&lt;&gt;"CA"),"Country must be US or CA; ","")&amp;IF(AND($K347="US",OR($I347="",LEN($I347&amp;"")&lt;&gt;2)),"Use a 2-letter state code; ","")&amp;IF($J347="","ZIP or postal code is required; ","")&amp;IF(AND($K347="US",$J347&lt;&gt;"",NOT(IFERROR(OR(AND(LEN($J347&amp;"")=5,ISNUMBER(--($J347&amp;""))),AND(LEN($J347&amp;"")=9,ISNUMBER(--($J347&amp;""))),AND(LEN($J347&amp;"")=10,MID($J347&amp;"",6,1)="-",ISNUMBER(--SUBSTITUTE($J347&amp;"","-","")))),FALSE))),"US ZIP must be 5 or 9 digits, with an optional ZIP+4 hyphen; ","")&amp;IF(AND($N347&lt;&gt;"",NOT(IFERROR(AND(ISNUMBER(SEARCH("@",$N347)),ISNUMBER(SEARCH(".",$N347,SEARCH("@",$N347)+2))),FALSE))),"Email format appears invalid; ","")&amp;IF(AND($O347&lt;&gt;"",$B347=""),"Dependent SSN is required for every dependent; ","")&amp;IF(AND($B347&lt;&gt;"",$O347=""),"Dependent Relationship is required when Dependent SSN is entered; ","")&amp;IF(AND($O347&lt;&gt;"",$O347&lt;&gt;"Spouse or Common Law Spouse",$O347&lt;&gt;"Domestic Partner",$O347&lt;&gt;"Child",$O347&lt;&gt;"Other",$O347&lt;&gt;"Estate",$O347&lt;&gt;"Unknown"),"Dependent Relationship must use one of the approved options; ",""))</f>
        <v/>
      </c>
      <c r="Z347">
        <f>IF(COUNTA($A347:$U347)=0,"",IF(AND($A347&lt;&gt;"",NOT(IFERROR(AND(LEN($A347&amp;"")=9,ISNUMBER(--($A347&amp;""))),FALSE))),"Employee SSN must contain exactly 9 digits; ","")&amp;IF(AND($A347&lt;&gt;"",OR($A347="123456789",$A347="987654321",$A347="012345678",$A347=REPT(LEFT($A347&amp;"",1),9))),"Employee SSN appears to be a placeholder; ","")&amp;IF(AND($B347&lt;&gt;"",NOT(IFERROR(AND(LEN($B347&amp;"")=9,ISNUMBER(--($B347&amp;""))),FALSE))),"Dependent SSN must contain exactly 9 digits; ","")&amp;IF(AND($B347&lt;&gt;"",OR($B347="123456789",$B347="987654321",$B347="012345678",$B347=REPT(LEFT($B347&amp;"",1),9))),"Dependent SSN appears to be a placeholder; ","")&amp;IF(AND($A347&lt;&gt;"",$B347&lt;&gt;"",$A347&amp;""=$B347&amp;""),"Dependent SSN cannot match Employee SSN; ","")&amp;IF(AND($W347&lt;&gt;"",OR(COUNTIFS($W$2:$W$501,$W347,$C$2:$C$501,"&lt;&gt;"&amp;$C347)&gt;0,COUNTIFS($W$2:$W$501,$W347,$D$2:$D$501,"&lt;&gt;"&amp;$D347)&gt;0,COUNTIFS($W$2:$W$501,$W347,$L$2:$L$501,"&lt;&gt;"&amp;$L347)&gt;0)),"The same SSN is associated with a different name or birthdate; ",""))</f>
        <v/>
      </c>
      <c r="AA347">
        <f>IF(COUNTA($A347:$U347)=0,"",IF(AND($A347&lt;&gt;"",$S347&lt;&gt;"",COUNTIFS($A$2:$A$501,$A347,$S$2:$S$501,$S347,$B$2:$B$501,"",$O$2:$O$501,"")=0),"Add an employee row for this household and plan; ","")&amp;IF(AND($X347="Dependent",COUNTIFS($A$2:$A347,$A347,$S$2:$S347,$S347,$B$2:$B347,"",$O$2:$O347,"")=0),"Place the employee row before dependent rows for this plan; ","")&amp;IF(AND($X347="Dependent",COUNTIFS($A$2:$A$501,$A347,$S$2:$S$501,$S347,$B$2:$B$501,"",$O$2:$O$501,"")&gt;0,IFERROR(OR($P347&lt;&gt;LOOKUP(2,1/(($A$2:$A$501=$A347)*($S$2:$S$501=$S347)*($B$2:$B$501="")*($O$2:$O$501="")),$P$2:$P$501),$Q347&lt;&gt;LOOKUP(2,1/(($A$2:$A$501=$A347)*($S$2:$S$501=$S347)*($B$2:$B$501="")*($O$2:$O$501="")),$Q$2:$Q$501),$R347&lt;&gt;LOOKUP(2,1/(($A$2:$A$501=$A347)*($S$2:$S$501=$S347)*($B$2:$B$501="")*($O$2:$O$501="")),$R$2:$R$501),$T347&lt;&gt;LOOKUP(2,1/(($A$2:$A$501=$A347)*($S$2:$S$501=$S347)*($B$2:$B$501="")*($O$2:$O$501="")),$T$2:$T$501),$U347&lt;&gt;LOOKUP(2,1/(($A$2:$A$501=$A347)*($S$2:$S$501=$S347)*($B$2:$B$501="")*($O$2:$O$501="")),$U$2:$U$501)),FALSE)),"Dependent row does not match the employee row for eligibility, status, coverage level, or funding; ",""))</f>
        <v/>
      </c>
      <c r="AB347">
        <f>IF(COUNTA($A347:$U347)=0,"",IF($L347="","Birthdate is required; ","")&amp;IF(AND($L347&lt;&gt;"",OR(NOT(ISNUMBER($L347)),$L347&lt;=DATE(1900,1,1),$L347&gt;TODAY())),"Birthdate must be an exact valid past date; ","")&amp;IF($P347="","Eligibility Date is required; ","")&amp;IF(AND($P347&lt;&gt;"",OR(NOT(ISNUMBER($P347)),$P347&lt;=DATE(1900,1,1))),"Eligibility Date must be a valid date; ","")&amp;IF(AND($R347="Terminated",$Q347=""),"Termination Date is required when Status is Terminated; ","")&amp;IF(AND($Q347&lt;&gt;"",OR(NOT(ISNUMBER($Q347)),$Q347&lt;=DATE(1900,1,1))),"Termination Date must be a valid date; ","")&amp;IF(AND(ISNUMBER($P347),ISNUMBER($Q347),$Q347&lt;$P347),"Termination Date cannot be before Eligibility Date; ","")&amp;IF($R347="","Status is required; ","")&amp;IF(AND($R347&lt;&gt;"",$R347&lt;&gt;"Active",$R347&lt;&gt;"Terminated"),"Status must be Active or Terminated; ","")&amp;IF(AND('START HERE'!$C$8="Terminations Only",$R347&lt;&gt;"Terminated"),"Terminations Only files must contain terminated records; ",""))</f>
        <v/>
      </c>
      <c r="AC347">
        <f>IF(COUNTA($A347:$U347)=0,"",IF($S347="","Plan Name is required; ","")&amp;IF($T347="","Benefit Coverage Level is required; ","")&amp;IF(AND($U347&lt;&gt;"",OR(NOT(ISNUMBER($U347)),$U347&lt;0)),"Plan Funding Amount must be a nonnegative number; ","")&amp;IF(AND($A347&lt;&gt;"",$S347&lt;&gt;"",COUNTIFS($A$2:$A$501,$A347,$B$2:$B$501,$B347,$S$2:$S$501,$S347)&gt;1),"Duplicate participant and plan row; ",""))</f>
        <v/>
      </c>
      <c r="AD347">
        <f>IF(COUNTA($A347:$U347)=0,"",IF(AND($X347="Employee",$M347="",$N347=""),"No employee phone or email provided; ","")&amp;IF(AND($R347="Active",$Q347&lt;&gt;""),"Active record includes a Termination Date; confirm this is intentional; ","")&amp;IF(AND($B347&lt;&gt;"",$B347&amp;""&lt;&gt;$A347&amp;"",COUNTIF($A$2:$A$501,$B347)&gt;0),"Dependent SSN also appears as an Employee SSN elsewhere; confirm dual-employee coverage is intentional; ","")&amp;IF(AND($B347&lt;&gt;"",COUNTIF($B$2:$B$501,$B347)&gt;COUNTIFS($A$2:$A$501,$A347,$B$2:$B$501,$B347)),"Dependent SSN appears under more than one employee; confirm duplicate family coverage is intentional; ","")&amp;IF(AND(ROW()&gt;2,$A347&lt;&gt;"",$A347&lt;&gt;$A346,COUNTIF($A$2:$A346,$A347)&gt;0),"This household appears in more than one section of the census; keep the family together; ","")&amp;IF(OR(AND($C347&lt;&gt;"",LEN($C347&amp;"")&lt;&gt;LEN(TRIM($C347&amp;""))),AND($D347&lt;&gt;"",LEN($D347&amp;"")&lt;&gt;LEN(TRIM($D347&amp;""))),AND($E347&lt;&gt;"",LEN($E347&amp;"")&lt;&gt;LEN(TRIM($E347&amp;""))),AND($F347&lt;&gt;"",LEN($F347&amp;"")&lt;&gt;LEN(TRIM($F347&amp;""))),AND($G347&lt;&gt;"",LEN($G347&amp;"")&lt;&gt;LEN(TRIM($G347&amp;""))),AND($H347&lt;&gt;"",LEN($H347&amp;"")&lt;&gt;LEN(TRIM($H347&amp;""))),AND($I347&lt;&gt;"",LEN($I347&amp;"")&lt;&gt;LEN(TRIM($I347&amp;""))),AND($J347&lt;&gt;"",LEN($J347&amp;"")&lt;&gt;LEN(TRIM($J347&amp;""))),AND($K347&lt;&gt;"",LEN($K347&amp;"")&lt;&gt;LEN(TRIM($K347&amp;""))),AND($M347&lt;&gt;"",LEN($M347&amp;"")&lt;&gt;LEN(TRIM($M347&amp;""))),AND($N347&lt;&gt;"",LEN($N347&amp;"")&lt;&gt;LEN(TRIM($N347&amp;""))),AND($O347&lt;&gt;"",LEN($O347&amp;"")&lt;&gt;LEN(TRIM($O347&amp;""))),AND($R347&lt;&gt;"",LEN($R347&amp;"")&lt;&gt;LEN(TRIM($R347&amp;""))),AND($S347&lt;&gt;"",LEN($S347&amp;"")&lt;&gt;LEN(TRIM($S347&amp;""))),AND($T347&lt;&gt;"",LEN($T347&amp;"")&lt;&gt;LEN(TRIM($T347&amp;"")))),"Remove leading or trailing spaces from text fields; ","")&amp;IF(OR(AND(LEN($C347)&gt;1,OR(EXACT($C347,UPPER($C347)),EXACT($C347,LOWER($C347)))),AND(LEN($D347)&gt;1,OR(EXACT($D347,UPPER($D347)),EXACT($D347,LOWER($D347)))),AND(LEN($H347)&gt;1,OR(EXACT($H347,UPPER($H347)),EXACT($H347,LOWER($H347))))),"Review capitalization in First Name, Last Name, or City; ","")&amp;IF(AND($N347&lt;&gt;"",NOT(EXACT($N347,LOWER($N347)))),"Email will be standardized to lowercase in the clean output; ","")&amp;IF(AND(OR('START HERE'!$C$8="Initial Enrollment",'START HERE'!$C$8="Open Enrollment"),$R347="Terminated"),"A terminated row is included in an initial or open enrollment file; confirm this is intentional; ",""))</f>
        <v/>
      </c>
      <c r="AE347">
        <f>IF(COUNTA($A347:$U347)=0,"",IF(OR($A347="",AND($A347&lt;&gt;"",NOT(IFERROR(AND(LEN($A347&amp;"")=9,ISNUMBER(--($A347&amp;""))),FALSE))),AND($A347&lt;&gt;"",OR($A347="123456789",$A347="987654321",$A347="012345678",$A347=REPT(LEFT($A347&amp;"",1),9)))),"Employee SSN, ","")&amp;IF(OR(AND($O347&lt;&gt;"",$B347=""),AND($B347&lt;&gt;"",OR(NOT(IFERROR(AND(LEN($B347&amp;"")=9,ISNUMBER(--($B347&amp;""))),FALSE)),$B347=$A347,$B347="123456789",$B347="987654321",$B347="012345678",$B347=REPT(LEFT($B347&amp;"",1),9)))),"Dependent SSN, ","")&amp;IF(OR($C347="",LEN($C347)&gt;19,AND($C347&lt;&gt;"",SUMPRODUCT(--(ROW($1:$19)&lt;=LEN($C347&amp;"")),--ISERROR(FIND(MID($C347&amp;"",ROW($1:$19),1),"ABCDEFGHIJKLMNOPQRSTUVWXYZabcdefghijklmnopqrstuvwxyz .,")))&gt;0)),"First Name, ","")&amp;IF(OR($D347="",LEN($D347)&gt;26,AND($D347&lt;&gt;"",SUMPRODUCT(--(ROW($1:$26)&lt;=LEN($D347&amp;"")),--ISERROR(FIND(MID($D347&amp;"",ROW($1:$26),1),"ABCDEFGHIJKLMNOPQRSTUVWXYZabcdefghijklmnopqrstuvwxyz .,")))&gt;0)),"Last Name, ","")&amp;IF(OR(LEN($E347)&gt;1,AND($E347&lt;&gt;"",SUMPRODUCT(--(ROW($1:$1)&lt;=LEN($E347&amp;"")),--ISERROR(FIND(MID($E347&amp;"",ROW($1:$1),1),"ABCDEFGHIJKLMNOPQRSTUVWXYZabcdefghijklmnopqrstuvwxyz .,")))&gt;0)),"Middle Initial, ","")&amp;IF(OR($F347="",LEN($F347)&gt;75),"Address, ","")&amp;IF(OR($H347="",LEN($H347)&gt;30),"City, ","")&amp;IF(AND($K347="US",OR($I347="",LEN($I347)&lt;&gt;2)),"State, ","")&amp;IF($J347="","ZIP, ","")&amp;IF(OR($K347="",AND($K347&lt;&gt;"US",$K347&lt;&gt;"CA")),"Country, ","")&amp;IF(OR($L347="",AND($L347&lt;&gt;"",OR(NOT(ISNUMBER($L347)),$L347&lt;=DATE(1900,1,1),$L347&gt;TODAY()))),"Birthdate, ","")&amp;IF(AND($N347&lt;&gt;"",NOT(IFERROR(AND(ISNUMBER(SEARCH("@",$N347)),ISNUMBER(SEARCH(".",$N347,SEARCH("@",$N347)+2))),FALSE))),"Email, ","")&amp;IF(OR(AND($B347&lt;&gt;"",$O347=""),AND($O347&lt;&gt;"",$O347&lt;&gt;"Spouse or Common Law Spouse",$O347&lt;&gt;"Domestic Partner",$O347&lt;&gt;"Child",$O347&lt;&gt;"Other",$O347&lt;&gt;"Estate",$O347&lt;&gt;"Unknown")),"Dependent Relationship, ","")&amp;IF($AA347&lt;&gt;"","Household, ","")&amp;IF(OR($P347="",AND($P347&lt;&gt;"",OR(NOT(ISNUMBER($P347)),$P347&lt;=DATE(1900,1,1)))),"Eligibility Date, ","")&amp;IF(OR(AND($R347="Terminated",$Q347=""),AND($Q347&lt;&gt;"",OR(NOT(ISNUMBER($Q347)),$Q347&lt;=DATE(1900,1,1))),AND(ISNUMBER($P347),ISNUMBER($Q347),$Q347&lt;$P347)),"Termination Date, ","")&amp;IF(OR($R347="",AND($R347&lt;&gt;"Active",$R347&lt;&gt;"Terminated"),AND('START HERE'!$C$8="Terminations Only",$R347&lt;&gt;"Terminated")),"Status, ","")&amp;IF($S347="","Plan Name, ","")&amp;IF($T347="","Coverage Level, ","")&amp;IF(AND($U347&lt;&gt;"",OR(NOT(ISNUMBER($U347)),$U347&lt;0)),"Funding, ","")&amp;IF(AND($A347&lt;&gt;"",$S347&lt;&gt;"",COUNTIFS($A$2:$A$501,$A347,$B$2:$B$501,$B347,$S$2:$S$501,$S347)&gt;1),"Duplicate Row, ",""))</f>
        <v/>
      </c>
      <c r="AF347">
        <f>IF(COUNTA($A347:$U347)=0,"",$Y347&amp;$Z347&amp;$AA347&amp;$AB347&amp;$AC347)</f>
        <v/>
      </c>
      <c r="AG347">
        <f>IF($N347="","",LOWER(TRIM($N347)))</f>
        <v/>
      </c>
      <c r="AH347">
        <f>IF($A347="","",COUNTIFS($A$2:$A$501,$A347,$AI$2:$AI$501,1))</f>
        <v/>
      </c>
      <c r="AI347">
        <f>IF(COUNTA($A347:$U347)=0,"",--($AF347&lt;&gt;""))</f>
        <v/>
      </c>
      <c r="AJ347">
        <f>IF(COUNTA($A347:$U347)=0,"",--($AD347&lt;&gt;""))</f>
        <v/>
      </c>
    </row>
    <row r="348" ht="20" customHeight="1">
      <c r="A348" s="80" t="n"/>
      <c r="B348" s="80" t="n"/>
      <c r="C348" s="81" t="n"/>
      <c r="D348" s="81" t="n"/>
      <c r="E348" s="80" t="n"/>
      <c r="F348" s="81" t="n"/>
      <c r="G348" s="81" t="n"/>
      <c r="H348" s="81" t="n"/>
      <c r="I348" s="80" t="n"/>
      <c r="J348" s="80" t="n"/>
      <c r="K348" s="80" t="n"/>
      <c r="L348" s="82" t="n"/>
      <c r="M348" s="80" t="n"/>
      <c r="N348" s="80" t="n"/>
      <c r="O348" s="80" t="n"/>
      <c r="P348" s="82" t="n"/>
      <c r="Q348" s="82" t="n"/>
      <c r="R348" s="80" t="n"/>
      <c r="S348" s="80" t="n"/>
      <c r="T348" s="80" t="n"/>
      <c r="U348" s="83" t="n"/>
      <c r="V348">
        <f>IF($A348="","",IF($A348=$A347,$V347,IF($V347="",0,1-$V347)))</f>
        <v/>
      </c>
      <c r="W348">
        <f>IF($B348&lt;&gt;"",$B348,$A348)</f>
        <v/>
      </c>
      <c r="X348">
        <f>IF(COUNTA($A348:$U348)=0,"",IF(OR($B348&lt;&gt;"",$O348&lt;&gt;""),"Dependent","Employee"))</f>
        <v/>
      </c>
      <c r="Y348">
        <f>IF(COUNTA($A348:$U348)=0,"",IF($A348="","Employee SSN is required; ","")&amp;IF($C348="","First Name is required; ","")&amp;IF(LEN($C348&amp;"")&gt;19,"First Name exceeds 19 characters; ","")&amp;IF(AND($C348&lt;&gt;"",SUMPRODUCT(--(ROW($1:$19)&lt;=LEN($C348&amp;"")),--ISERROR(FIND(MID($C348&amp;"",ROW($1:$19),1),"ABCDEFGHIJKLMNOPQRSTUVWXYZabcdefghijklmnopqrstuvwxyz .,")))&gt;0),"First Name contains unsupported or encoded characters; use plain A-Z letters only; ","")&amp;IF($D348="","Last Name is required; ","")&amp;IF(LEN($D348&amp;"")&gt;26,"Last Name exceeds 26 characters; ","")&amp;IF(AND($D348&lt;&gt;"",SUMPRODUCT(--(ROW($1:$26)&lt;=LEN($D348&amp;"")),--ISERROR(FIND(MID($D348&amp;"",ROW($1:$26),1),"ABCDEFGHIJKLMNOPQRSTUVWXYZabcdefghijklmnopqrstuvwxyz .,")))&gt;0),"Last Name contains unsupported or encoded characters; use plain A-Z letters only; ","")&amp;IF(LEN($E348&amp;"")&gt;1,"Middle Initial may contain only one character; ","")&amp;IF(AND($E348&lt;&gt;"",SUMPRODUCT(--(ROW($1:$1)&lt;=LEN($E348&amp;"")),--ISERROR(FIND(MID($E348&amp;"",ROW($1:$1),1),"ABCDEFGHIJKLMNOPQRSTUVWXYZabcdefghijklmnopqrstuvwxyz .,")))&gt;0),"Middle Initial must be a plain A-Z letter; ","")&amp;IF($F348="","Address is required; ","")&amp;IF(LEN($F348&amp;"")&gt;75,"Address exceeds 75 characters; ","")&amp;IF(LEN($G348&amp;"")&gt;75,"Address 2 exceeds 75 characters; ","")&amp;IF($H348="","City is required; ","")&amp;IF(LEN($H348&amp;"")&gt;30,"City exceeds 30 characters; ","")&amp;IF($K348="","Country is required; ","")&amp;IF(AND($K348&lt;&gt;"",$K348&lt;&gt;"US",$K348&lt;&gt;"CA"),"Country must be US or CA; ","")&amp;IF(AND($K348="US",OR($I348="",LEN($I348&amp;"")&lt;&gt;2)),"Use a 2-letter state code; ","")&amp;IF($J348="","ZIP or postal code is required; ","")&amp;IF(AND($K348="US",$J348&lt;&gt;"",NOT(IFERROR(OR(AND(LEN($J348&amp;"")=5,ISNUMBER(--($J348&amp;""))),AND(LEN($J348&amp;"")=9,ISNUMBER(--($J348&amp;""))),AND(LEN($J348&amp;"")=10,MID($J348&amp;"",6,1)="-",ISNUMBER(--SUBSTITUTE($J348&amp;"","-","")))),FALSE))),"US ZIP must be 5 or 9 digits, with an optional ZIP+4 hyphen; ","")&amp;IF(AND($N348&lt;&gt;"",NOT(IFERROR(AND(ISNUMBER(SEARCH("@",$N348)),ISNUMBER(SEARCH(".",$N348,SEARCH("@",$N348)+2))),FALSE))),"Email format appears invalid; ","")&amp;IF(AND($O348&lt;&gt;"",$B348=""),"Dependent SSN is required for every dependent; ","")&amp;IF(AND($B348&lt;&gt;"",$O348=""),"Dependent Relationship is required when Dependent SSN is entered; ","")&amp;IF(AND($O348&lt;&gt;"",$O348&lt;&gt;"Spouse or Common Law Spouse",$O348&lt;&gt;"Domestic Partner",$O348&lt;&gt;"Child",$O348&lt;&gt;"Other",$O348&lt;&gt;"Estate",$O348&lt;&gt;"Unknown"),"Dependent Relationship must use one of the approved options; ",""))</f>
        <v/>
      </c>
      <c r="Z348">
        <f>IF(COUNTA($A348:$U348)=0,"",IF(AND($A348&lt;&gt;"",NOT(IFERROR(AND(LEN($A348&amp;"")=9,ISNUMBER(--($A348&amp;""))),FALSE))),"Employee SSN must contain exactly 9 digits; ","")&amp;IF(AND($A348&lt;&gt;"",OR($A348="123456789",$A348="987654321",$A348="012345678",$A348=REPT(LEFT($A348&amp;"",1),9))),"Employee SSN appears to be a placeholder; ","")&amp;IF(AND($B348&lt;&gt;"",NOT(IFERROR(AND(LEN($B348&amp;"")=9,ISNUMBER(--($B348&amp;""))),FALSE))),"Dependent SSN must contain exactly 9 digits; ","")&amp;IF(AND($B348&lt;&gt;"",OR($B348="123456789",$B348="987654321",$B348="012345678",$B348=REPT(LEFT($B348&amp;"",1),9))),"Dependent SSN appears to be a placeholder; ","")&amp;IF(AND($A348&lt;&gt;"",$B348&lt;&gt;"",$A348&amp;""=$B348&amp;""),"Dependent SSN cannot match Employee SSN; ","")&amp;IF(AND($W348&lt;&gt;"",OR(COUNTIFS($W$2:$W$501,$W348,$C$2:$C$501,"&lt;&gt;"&amp;$C348)&gt;0,COUNTIFS($W$2:$W$501,$W348,$D$2:$D$501,"&lt;&gt;"&amp;$D348)&gt;0,COUNTIFS($W$2:$W$501,$W348,$L$2:$L$501,"&lt;&gt;"&amp;$L348)&gt;0)),"The same SSN is associated with a different name or birthdate; ",""))</f>
        <v/>
      </c>
      <c r="AA348">
        <f>IF(COUNTA($A348:$U348)=0,"",IF(AND($A348&lt;&gt;"",$S348&lt;&gt;"",COUNTIFS($A$2:$A$501,$A348,$S$2:$S$501,$S348,$B$2:$B$501,"",$O$2:$O$501,"")=0),"Add an employee row for this household and plan; ","")&amp;IF(AND($X348="Dependent",COUNTIFS($A$2:$A348,$A348,$S$2:$S348,$S348,$B$2:$B348,"",$O$2:$O348,"")=0),"Place the employee row before dependent rows for this plan; ","")&amp;IF(AND($X348="Dependent",COUNTIFS($A$2:$A$501,$A348,$S$2:$S$501,$S348,$B$2:$B$501,"",$O$2:$O$501,"")&gt;0,IFERROR(OR($P348&lt;&gt;LOOKUP(2,1/(($A$2:$A$501=$A348)*($S$2:$S$501=$S348)*($B$2:$B$501="")*($O$2:$O$501="")),$P$2:$P$501),$Q348&lt;&gt;LOOKUP(2,1/(($A$2:$A$501=$A348)*($S$2:$S$501=$S348)*($B$2:$B$501="")*($O$2:$O$501="")),$Q$2:$Q$501),$R348&lt;&gt;LOOKUP(2,1/(($A$2:$A$501=$A348)*($S$2:$S$501=$S348)*($B$2:$B$501="")*($O$2:$O$501="")),$R$2:$R$501),$T348&lt;&gt;LOOKUP(2,1/(($A$2:$A$501=$A348)*($S$2:$S$501=$S348)*($B$2:$B$501="")*($O$2:$O$501="")),$T$2:$T$501),$U348&lt;&gt;LOOKUP(2,1/(($A$2:$A$501=$A348)*($S$2:$S$501=$S348)*($B$2:$B$501="")*($O$2:$O$501="")),$U$2:$U$501)),FALSE)),"Dependent row does not match the employee row for eligibility, status, coverage level, or funding; ",""))</f>
        <v/>
      </c>
      <c r="AB348">
        <f>IF(COUNTA($A348:$U348)=0,"",IF($L348="","Birthdate is required; ","")&amp;IF(AND($L348&lt;&gt;"",OR(NOT(ISNUMBER($L348)),$L348&lt;=DATE(1900,1,1),$L348&gt;TODAY())),"Birthdate must be an exact valid past date; ","")&amp;IF($P348="","Eligibility Date is required; ","")&amp;IF(AND($P348&lt;&gt;"",OR(NOT(ISNUMBER($P348)),$P348&lt;=DATE(1900,1,1))),"Eligibility Date must be a valid date; ","")&amp;IF(AND($R348="Terminated",$Q348=""),"Termination Date is required when Status is Terminated; ","")&amp;IF(AND($Q348&lt;&gt;"",OR(NOT(ISNUMBER($Q348)),$Q348&lt;=DATE(1900,1,1))),"Termination Date must be a valid date; ","")&amp;IF(AND(ISNUMBER($P348),ISNUMBER($Q348),$Q348&lt;$P348),"Termination Date cannot be before Eligibility Date; ","")&amp;IF($R348="","Status is required; ","")&amp;IF(AND($R348&lt;&gt;"",$R348&lt;&gt;"Active",$R348&lt;&gt;"Terminated"),"Status must be Active or Terminated; ","")&amp;IF(AND('START HERE'!$C$8="Terminations Only",$R348&lt;&gt;"Terminated"),"Terminations Only files must contain terminated records; ",""))</f>
        <v/>
      </c>
      <c r="AC348">
        <f>IF(COUNTA($A348:$U348)=0,"",IF($S348="","Plan Name is required; ","")&amp;IF($T348="","Benefit Coverage Level is required; ","")&amp;IF(AND($U348&lt;&gt;"",OR(NOT(ISNUMBER($U348)),$U348&lt;0)),"Plan Funding Amount must be a nonnegative number; ","")&amp;IF(AND($A348&lt;&gt;"",$S348&lt;&gt;"",COUNTIFS($A$2:$A$501,$A348,$B$2:$B$501,$B348,$S$2:$S$501,$S348)&gt;1),"Duplicate participant and plan row; ",""))</f>
        <v/>
      </c>
      <c r="AD348">
        <f>IF(COUNTA($A348:$U348)=0,"",IF(AND($X348="Employee",$M348="",$N348=""),"No employee phone or email provided; ","")&amp;IF(AND($R348="Active",$Q348&lt;&gt;""),"Active record includes a Termination Date; confirm this is intentional; ","")&amp;IF(AND($B348&lt;&gt;"",$B348&amp;""&lt;&gt;$A348&amp;"",COUNTIF($A$2:$A$501,$B348)&gt;0),"Dependent SSN also appears as an Employee SSN elsewhere; confirm dual-employee coverage is intentional; ","")&amp;IF(AND($B348&lt;&gt;"",COUNTIF($B$2:$B$501,$B348)&gt;COUNTIFS($A$2:$A$501,$A348,$B$2:$B$501,$B348)),"Dependent SSN appears under more than one employee; confirm duplicate family coverage is intentional; ","")&amp;IF(AND(ROW()&gt;2,$A348&lt;&gt;"",$A348&lt;&gt;$A347,COUNTIF($A$2:$A347,$A348)&gt;0),"This household appears in more than one section of the census; keep the family together; ","")&amp;IF(OR(AND($C348&lt;&gt;"",LEN($C348&amp;"")&lt;&gt;LEN(TRIM($C348&amp;""))),AND($D348&lt;&gt;"",LEN($D348&amp;"")&lt;&gt;LEN(TRIM($D348&amp;""))),AND($E348&lt;&gt;"",LEN($E348&amp;"")&lt;&gt;LEN(TRIM($E348&amp;""))),AND($F348&lt;&gt;"",LEN($F348&amp;"")&lt;&gt;LEN(TRIM($F348&amp;""))),AND($G348&lt;&gt;"",LEN($G348&amp;"")&lt;&gt;LEN(TRIM($G348&amp;""))),AND($H348&lt;&gt;"",LEN($H348&amp;"")&lt;&gt;LEN(TRIM($H348&amp;""))),AND($I348&lt;&gt;"",LEN($I348&amp;"")&lt;&gt;LEN(TRIM($I348&amp;""))),AND($J348&lt;&gt;"",LEN($J348&amp;"")&lt;&gt;LEN(TRIM($J348&amp;""))),AND($K348&lt;&gt;"",LEN($K348&amp;"")&lt;&gt;LEN(TRIM($K348&amp;""))),AND($M348&lt;&gt;"",LEN($M348&amp;"")&lt;&gt;LEN(TRIM($M348&amp;""))),AND($N348&lt;&gt;"",LEN($N348&amp;"")&lt;&gt;LEN(TRIM($N348&amp;""))),AND($O348&lt;&gt;"",LEN($O348&amp;"")&lt;&gt;LEN(TRIM($O348&amp;""))),AND($R348&lt;&gt;"",LEN($R348&amp;"")&lt;&gt;LEN(TRIM($R348&amp;""))),AND($S348&lt;&gt;"",LEN($S348&amp;"")&lt;&gt;LEN(TRIM($S348&amp;""))),AND($T348&lt;&gt;"",LEN($T348&amp;"")&lt;&gt;LEN(TRIM($T348&amp;"")))),"Remove leading or trailing spaces from text fields; ","")&amp;IF(OR(AND(LEN($C348)&gt;1,OR(EXACT($C348,UPPER($C348)),EXACT($C348,LOWER($C348)))),AND(LEN($D348)&gt;1,OR(EXACT($D348,UPPER($D348)),EXACT($D348,LOWER($D348)))),AND(LEN($H348)&gt;1,OR(EXACT($H348,UPPER($H348)),EXACT($H348,LOWER($H348))))),"Review capitalization in First Name, Last Name, or City; ","")&amp;IF(AND($N348&lt;&gt;"",NOT(EXACT($N348,LOWER($N348)))),"Email will be standardized to lowercase in the clean output; ","")&amp;IF(AND(OR('START HERE'!$C$8="Initial Enrollment",'START HERE'!$C$8="Open Enrollment"),$R348="Terminated"),"A terminated row is included in an initial or open enrollment file; confirm this is intentional; ",""))</f>
        <v/>
      </c>
      <c r="AE348">
        <f>IF(COUNTA($A348:$U348)=0,"",IF(OR($A348="",AND($A348&lt;&gt;"",NOT(IFERROR(AND(LEN($A348&amp;"")=9,ISNUMBER(--($A348&amp;""))),FALSE))),AND($A348&lt;&gt;"",OR($A348="123456789",$A348="987654321",$A348="012345678",$A348=REPT(LEFT($A348&amp;"",1),9)))),"Employee SSN, ","")&amp;IF(OR(AND($O348&lt;&gt;"",$B348=""),AND($B348&lt;&gt;"",OR(NOT(IFERROR(AND(LEN($B348&amp;"")=9,ISNUMBER(--($B348&amp;""))),FALSE)),$B348=$A348,$B348="123456789",$B348="987654321",$B348="012345678",$B348=REPT(LEFT($B348&amp;"",1),9)))),"Dependent SSN, ","")&amp;IF(OR($C348="",LEN($C348)&gt;19,AND($C348&lt;&gt;"",SUMPRODUCT(--(ROW($1:$19)&lt;=LEN($C348&amp;"")),--ISERROR(FIND(MID($C348&amp;"",ROW($1:$19),1),"ABCDEFGHIJKLMNOPQRSTUVWXYZabcdefghijklmnopqrstuvwxyz .,")))&gt;0)),"First Name, ","")&amp;IF(OR($D348="",LEN($D348)&gt;26,AND($D348&lt;&gt;"",SUMPRODUCT(--(ROW($1:$26)&lt;=LEN($D348&amp;"")),--ISERROR(FIND(MID($D348&amp;"",ROW($1:$26),1),"ABCDEFGHIJKLMNOPQRSTUVWXYZabcdefghijklmnopqrstuvwxyz .,")))&gt;0)),"Last Name, ","")&amp;IF(OR(LEN($E348)&gt;1,AND($E348&lt;&gt;"",SUMPRODUCT(--(ROW($1:$1)&lt;=LEN($E348&amp;"")),--ISERROR(FIND(MID($E348&amp;"",ROW($1:$1),1),"ABCDEFGHIJKLMNOPQRSTUVWXYZabcdefghijklmnopqrstuvwxyz .,")))&gt;0)),"Middle Initial, ","")&amp;IF(OR($F348="",LEN($F348)&gt;75),"Address, ","")&amp;IF(OR($H348="",LEN($H348)&gt;30),"City, ","")&amp;IF(AND($K348="US",OR($I348="",LEN($I348)&lt;&gt;2)),"State, ","")&amp;IF($J348="","ZIP, ","")&amp;IF(OR($K348="",AND($K348&lt;&gt;"US",$K348&lt;&gt;"CA")),"Country, ","")&amp;IF(OR($L348="",AND($L348&lt;&gt;"",OR(NOT(ISNUMBER($L348)),$L348&lt;=DATE(1900,1,1),$L348&gt;TODAY()))),"Birthdate, ","")&amp;IF(AND($N348&lt;&gt;"",NOT(IFERROR(AND(ISNUMBER(SEARCH("@",$N348)),ISNUMBER(SEARCH(".",$N348,SEARCH("@",$N348)+2))),FALSE))),"Email, ","")&amp;IF(OR(AND($B348&lt;&gt;"",$O348=""),AND($O348&lt;&gt;"",$O348&lt;&gt;"Spouse or Common Law Spouse",$O348&lt;&gt;"Domestic Partner",$O348&lt;&gt;"Child",$O348&lt;&gt;"Other",$O348&lt;&gt;"Estate",$O348&lt;&gt;"Unknown")),"Dependent Relationship, ","")&amp;IF($AA348&lt;&gt;"","Household, ","")&amp;IF(OR($P348="",AND($P348&lt;&gt;"",OR(NOT(ISNUMBER($P348)),$P348&lt;=DATE(1900,1,1)))),"Eligibility Date, ","")&amp;IF(OR(AND($R348="Terminated",$Q348=""),AND($Q348&lt;&gt;"",OR(NOT(ISNUMBER($Q348)),$Q348&lt;=DATE(1900,1,1))),AND(ISNUMBER($P348),ISNUMBER($Q348),$Q348&lt;$P348)),"Termination Date, ","")&amp;IF(OR($R348="",AND($R348&lt;&gt;"Active",$R348&lt;&gt;"Terminated"),AND('START HERE'!$C$8="Terminations Only",$R348&lt;&gt;"Terminated")),"Status, ","")&amp;IF($S348="","Plan Name, ","")&amp;IF($T348="","Coverage Level, ","")&amp;IF(AND($U348&lt;&gt;"",OR(NOT(ISNUMBER($U348)),$U348&lt;0)),"Funding, ","")&amp;IF(AND($A348&lt;&gt;"",$S348&lt;&gt;"",COUNTIFS($A$2:$A$501,$A348,$B$2:$B$501,$B348,$S$2:$S$501,$S348)&gt;1),"Duplicate Row, ",""))</f>
        <v/>
      </c>
      <c r="AF348">
        <f>IF(COUNTA($A348:$U348)=0,"",$Y348&amp;$Z348&amp;$AA348&amp;$AB348&amp;$AC348)</f>
        <v/>
      </c>
      <c r="AG348">
        <f>IF($N348="","",LOWER(TRIM($N348)))</f>
        <v/>
      </c>
      <c r="AH348">
        <f>IF($A348="","",COUNTIFS($A$2:$A$501,$A348,$AI$2:$AI$501,1))</f>
        <v/>
      </c>
      <c r="AI348">
        <f>IF(COUNTA($A348:$U348)=0,"",--($AF348&lt;&gt;""))</f>
        <v/>
      </c>
      <c r="AJ348">
        <f>IF(COUNTA($A348:$U348)=0,"",--($AD348&lt;&gt;""))</f>
        <v/>
      </c>
    </row>
    <row r="349" ht="20" customHeight="1">
      <c r="A349" s="80" t="n"/>
      <c r="B349" s="80" t="n"/>
      <c r="C349" s="81" t="n"/>
      <c r="D349" s="81" t="n"/>
      <c r="E349" s="80" t="n"/>
      <c r="F349" s="81" t="n"/>
      <c r="G349" s="81" t="n"/>
      <c r="H349" s="81" t="n"/>
      <c r="I349" s="80" t="n"/>
      <c r="J349" s="80" t="n"/>
      <c r="K349" s="80" t="n"/>
      <c r="L349" s="82" t="n"/>
      <c r="M349" s="80" t="n"/>
      <c r="N349" s="80" t="n"/>
      <c r="O349" s="80" t="n"/>
      <c r="P349" s="82" t="n"/>
      <c r="Q349" s="82" t="n"/>
      <c r="R349" s="80" t="n"/>
      <c r="S349" s="80" t="n"/>
      <c r="T349" s="80" t="n"/>
      <c r="U349" s="83" t="n"/>
      <c r="V349">
        <f>IF($A349="","",IF($A349=$A348,$V348,IF($V348="",0,1-$V348)))</f>
        <v/>
      </c>
      <c r="W349">
        <f>IF($B349&lt;&gt;"",$B349,$A349)</f>
        <v/>
      </c>
      <c r="X349">
        <f>IF(COUNTA($A349:$U349)=0,"",IF(OR($B349&lt;&gt;"",$O349&lt;&gt;""),"Dependent","Employee"))</f>
        <v/>
      </c>
      <c r="Y349">
        <f>IF(COUNTA($A349:$U349)=0,"",IF($A349="","Employee SSN is required; ","")&amp;IF($C349="","First Name is required; ","")&amp;IF(LEN($C349&amp;"")&gt;19,"First Name exceeds 19 characters; ","")&amp;IF(AND($C349&lt;&gt;"",SUMPRODUCT(--(ROW($1:$19)&lt;=LEN($C349&amp;"")),--ISERROR(FIND(MID($C349&amp;"",ROW($1:$19),1),"ABCDEFGHIJKLMNOPQRSTUVWXYZabcdefghijklmnopqrstuvwxyz .,")))&gt;0),"First Name contains unsupported or encoded characters; use plain A-Z letters only; ","")&amp;IF($D349="","Last Name is required; ","")&amp;IF(LEN($D349&amp;"")&gt;26,"Last Name exceeds 26 characters; ","")&amp;IF(AND($D349&lt;&gt;"",SUMPRODUCT(--(ROW($1:$26)&lt;=LEN($D349&amp;"")),--ISERROR(FIND(MID($D349&amp;"",ROW($1:$26),1),"ABCDEFGHIJKLMNOPQRSTUVWXYZabcdefghijklmnopqrstuvwxyz .,")))&gt;0),"Last Name contains unsupported or encoded characters; use plain A-Z letters only; ","")&amp;IF(LEN($E349&amp;"")&gt;1,"Middle Initial may contain only one character; ","")&amp;IF(AND($E349&lt;&gt;"",SUMPRODUCT(--(ROW($1:$1)&lt;=LEN($E349&amp;"")),--ISERROR(FIND(MID($E349&amp;"",ROW($1:$1),1),"ABCDEFGHIJKLMNOPQRSTUVWXYZabcdefghijklmnopqrstuvwxyz .,")))&gt;0),"Middle Initial must be a plain A-Z letter; ","")&amp;IF($F349="","Address is required; ","")&amp;IF(LEN($F349&amp;"")&gt;75,"Address exceeds 75 characters; ","")&amp;IF(LEN($G349&amp;"")&gt;75,"Address 2 exceeds 75 characters; ","")&amp;IF($H349="","City is required; ","")&amp;IF(LEN($H349&amp;"")&gt;30,"City exceeds 30 characters; ","")&amp;IF($K349="","Country is required; ","")&amp;IF(AND($K349&lt;&gt;"",$K349&lt;&gt;"US",$K349&lt;&gt;"CA"),"Country must be US or CA; ","")&amp;IF(AND($K349="US",OR($I349="",LEN($I349&amp;"")&lt;&gt;2)),"Use a 2-letter state code; ","")&amp;IF($J349="","ZIP or postal code is required; ","")&amp;IF(AND($K349="US",$J349&lt;&gt;"",NOT(IFERROR(OR(AND(LEN($J349&amp;"")=5,ISNUMBER(--($J349&amp;""))),AND(LEN($J349&amp;"")=9,ISNUMBER(--($J349&amp;""))),AND(LEN($J349&amp;"")=10,MID($J349&amp;"",6,1)="-",ISNUMBER(--SUBSTITUTE($J349&amp;"","-","")))),FALSE))),"US ZIP must be 5 or 9 digits, with an optional ZIP+4 hyphen; ","")&amp;IF(AND($N349&lt;&gt;"",NOT(IFERROR(AND(ISNUMBER(SEARCH("@",$N349)),ISNUMBER(SEARCH(".",$N349,SEARCH("@",$N349)+2))),FALSE))),"Email format appears invalid; ","")&amp;IF(AND($O349&lt;&gt;"",$B349=""),"Dependent SSN is required for every dependent; ","")&amp;IF(AND($B349&lt;&gt;"",$O349=""),"Dependent Relationship is required when Dependent SSN is entered; ","")&amp;IF(AND($O349&lt;&gt;"",$O349&lt;&gt;"Spouse or Common Law Spouse",$O349&lt;&gt;"Domestic Partner",$O349&lt;&gt;"Child",$O349&lt;&gt;"Other",$O349&lt;&gt;"Estate",$O349&lt;&gt;"Unknown"),"Dependent Relationship must use one of the approved options; ",""))</f>
        <v/>
      </c>
      <c r="Z349">
        <f>IF(COUNTA($A349:$U349)=0,"",IF(AND($A349&lt;&gt;"",NOT(IFERROR(AND(LEN($A349&amp;"")=9,ISNUMBER(--($A349&amp;""))),FALSE))),"Employee SSN must contain exactly 9 digits; ","")&amp;IF(AND($A349&lt;&gt;"",OR($A349="123456789",$A349="987654321",$A349="012345678",$A349=REPT(LEFT($A349&amp;"",1),9))),"Employee SSN appears to be a placeholder; ","")&amp;IF(AND($B349&lt;&gt;"",NOT(IFERROR(AND(LEN($B349&amp;"")=9,ISNUMBER(--($B349&amp;""))),FALSE))),"Dependent SSN must contain exactly 9 digits; ","")&amp;IF(AND($B349&lt;&gt;"",OR($B349="123456789",$B349="987654321",$B349="012345678",$B349=REPT(LEFT($B349&amp;"",1),9))),"Dependent SSN appears to be a placeholder; ","")&amp;IF(AND($A349&lt;&gt;"",$B349&lt;&gt;"",$A349&amp;""=$B349&amp;""),"Dependent SSN cannot match Employee SSN; ","")&amp;IF(AND($W349&lt;&gt;"",OR(COUNTIFS($W$2:$W$501,$W349,$C$2:$C$501,"&lt;&gt;"&amp;$C349)&gt;0,COUNTIFS($W$2:$W$501,$W349,$D$2:$D$501,"&lt;&gt;"&amp;$D349)&gt;0,COUNTIFS($W$2:$W$501,$W349,$L$2:$L$501,"&lt;&gt;"&amp;$L349)&gt;0)),"The same SSN is associated with a different name or birthdate; ",""))</f>
        <v/>
      </c>
      <c r="AA349">
        <f>IF(COUNTA($A349:$U349)=0,"",IF(AND($A349&lt;&gt;"",$S349&lt;&gt;"",COUNTIFS($A$2:$A$501,$A349,$S$2:$S$501,$S349,$B$2:$B$501,"",$O$2:$O$501,"")=0),"Add an employee row for this household and plan; ","")&amp;IF(AND($X349="Dependent",COUNTIFS($A$2:$A349,$A349,$S$2:$S349,$S349,$B$2:$B349,"",$O$2:$O349,"")=0),"Place the employee row before dependent rows for this plan; ","")&amp;IF(AND($X349="Dependent",COUNTIFS($A$2:$A$501,$A349,$S$2:$S$501,$S349,$B$2:$B$501,"",$O$2:$O$501,"")&gt;0,IFERROR(OR($P349&lt;&gt;LOOKUP(2,1/(($A$2:$A$501=$A349)*($S$2:$S$501=$S349)*($B$2:$B$501="")*($O$2:$O$501="")),$P$2:$P$501),$Q349&lt;&gt;LOOKUP(2,1/(($A$2:$A$501=$A349)*($S$2:$S$501=$S349)*($B$2:$B$501="")*($O$2:$O$501="")),$Q$2:$Q$501),$R349&lt;&gt;LOOKUP(2,1/(($A$2:$A$501=$A349)*($S$2:$S$501=$S349)*($B$2:$B$501="")*($O$2:$O$501="")),$R$2:$R$501),$T349&lt;&gt;LOOKUP(2,1/(($A$2:$A$501=$A349)*($S$2:$S$501=$S349)*($B$2:$B$501="")*($O$2:$O$501="")),$T$2:$T$501),$U349&lt;&gt;LOOKUP(2,1/(($A$2:$A$501=$A349)*($S$2:$S$501=$S349)*($B$2:$B$501="")*($O$2:$O$501="")),$U$2:$U$501)),FALSE)),"Dependent row does not match the employee row for eligibility, status, coverage level, or funding; ",""))</f>
        <v/>
      </c>
      <c r="AB349">
        <f>IF(COUNTA($A349:$U349)=0,"",IF($L349="","Birthdate is required; ","")&amp;IF(AND($L349&lt;&gt;"",OR(NOT(ISNUMBER($L349)),$L349&lt;=DATE(1900,1,1),$L349&gt;TODAY())),"Birthdate must be an exact valid past date; ","")&amp;IF($P349="","Eligibility Date is required; ","")&amp;IF(AND($P349&lt;&gt;"",OR(NOT(ISNUMBER($P349)),$P349&lt;=DATE(1900,1,1))),"Eligibility Date must be a valid date; ","")&amp;IF(AND($R349="Terminated",$Q349=""),"Termination Date is required when Status is Terminated; ","")&amp;IF(AND($Q349&lt;&gt;"",OR(NOT(ISNUMBER($Q349)),$Q349&lt;=DATE(1900,1,1))),"Termination Date must be a valid date; ","")&amp;IF(AND(ISNUMBER($P349),ISNUMBER($Q349),$Q349&lt;$P349),"Termination Date cannot be before Eligibility Date; ","")&amp;IF($R349="","Status is required; ","")&amp;IF(AND($R349&lt;&gt;"",$R349&lt;&gt;"Active",$R349&lt;&gt;"Terminated"),"Status must be Active or Terminated; ","")&amp;IF(AND('START HERE'!$C$8="Terminations Only",$R349&lt;&gt;"Terminated"),"Terminations Only files must contain terminated records; ",""))</f>
        <v/>
      </c>
      <c r="AC349">
        <f>IF(COUNTA($A349:$U349)=0,"",IF($S349="","Plan Name is required; ","")&amp;IF($T349="","Benefit Coverage Level is required; ","")&amp;IF(AND($U349&lt;&gt;"",OR(NOT(ISNUMBER($U349)),$U349&lt;0)),"Plan Funding Amount must be a nonnegative number; ","")&amp;IF(AND($A349&lt;&gt;"",$S349&lt;&gt;"",COUNTIFS($A$2:$A$501,$A349,$B$2:$B$501,$B349,$S$2:$S$501,$S349)&gt;1),"Duplicate participant and plan row; ",""))</f>
        <v/>
      </c>
      <c r="AD349">
        <f>IF(COUNTA($A349:$U349)=0,"",IF(AND($X349="Employee",$M349="",$N349=""),"No employee phone or email provided; ","")&amp;IF(AND($R349="Active",$Q349&lt;&gt;""),"Active record includes a Termination Date; confirm this is intentional; ","")&amp;IF(AND($B349&lt;&gt;"",$B349&amp;""&lt;&gt;$A349&amp;"",COUNTIF($A$2:$A$501,$B349)&gt;0),"Dependent SSN also appears as an Employee SSN elsewhere; confirm dual-employee coverage is intentional; ","")&amp;IF(AND($B349&lt;&gt;"",COUNTIF($B$2:$B$501,$B349)&gt;COUNTIFS($A$2:$A$501,$A349,$B$2:$B$501,$B349)),"Dependent SSN appears under more than one employee; confirm duplicate family coverage is intentional; ","")&amp;IF(AND(ROW()&gt;2,$A349&lt;&gt;"",$A349&lt;&gt;$A348,COUNTIF($A$2:$A348,$A349)&gt;0),"This household appears in more than one section of the census; keep the family together; ","")&amp;IF(OR(AND($C349&lt;&gt;"",LEN($C349&amp;"")&lt;&gt;LEN(TRIM($C349&amp;""))),AND($D349&lt;&gt;"",LEN($D349&amp;"")&lt;&gt;LEN(TRIM($D349&amp;""))),AND($E349&lt;&gt;"",LEN($E349&amp;"")&lt;&gt;LEN(TRIM($E349&amp;""))),AND($F349&lt;&gt;"",LEN($F349&amp;"")&lt;&gt;LEN(TRIM($F349&amp;""))),AND($G349&lt;&gt;"",LEN($G349&amp;"")&lt;&gt;LEN(TRIM($G349&amp;""))),AND($H349&lt;&gt;"",LEN($H349&amp;"")&lt;&gt;LEN(TRIM($H349&amp;""))),AND($I349&lt;&gt;"",LEN($I349&amp;"")&lt;&gt;LEN(TRIM($I349&amp;""))),AND($J349&lt;&gt;"",LEN($J349&amp;"")&lt;&gt;LEN(TRIM($J349&amp;""))),AND($K349&lt;&gt;"",LEN($K349&amp;"")&lt;&gt;LEN(TRIM($K349&amp;""))),AND($M349&lt;&gt;"",LEN($M349&amp;"")&lt;&gt;LEN(TRIM($M349&amp;""))),AND($N349&lt;&gt;"",LEN($N349&amp;"")&lt;&gt;LEN(TRIM($N349&amp;""))),AND($O349&lt;&gt;"",LEN($O349&amp;"")&lt;&gt;LEN(TRIM($O349&amp;""))),AND($R349&lt;&gt;"",LEN($R349&amp;"")&lt;&gt;LEN(TRIM($R349&amp;""))),AND($S349&lt;&gt;"",LEN($S349&amp;"")&lt;&gt;LEN(TRIM($S349&amp;""))),AND($T349&lt;&gt;"",LEN($T349&amp;"")&lt;&gt;LEN(TRIM($T349&amp;"")))),"Remove leading or trailing spaces from text fields; ","")&amp;IF(OR(AND(LEN($C349)&gt;1,OR(EXACT($C349,UPPER($C349)),EXACT($C349,LOWER($C349)))),AND(LEN($D349)&gt;1,OR(EXACT($D349,UPPER($D349)),EXACT($D349,LOWER($D349)))),AND(LEN($H349)&gt;1,OR(EXACT($H349,UPPER($H349)),EXACT($H349,LOWER($H349))))),"Review capitalization in First Name, Last Name, or City; ","")&amp;IF(AND($N349&lt;&gt;"",NOT(EXACT($N349,LOWER($N349)))),"Email will be standardized to lowercase in the clean output; ","")&amp;IF(AND(OR('START HERE'!$C$8="Initial Enrollment",'START HERE'!$C$8="Open Enrollment"),$R349="Terminated"),"A terminated row is included in an initial or open enrollment file; confirm this is intentional; ",""))</f>
        <v/>
      </c>
      <c r="AE349">
        <f>IF(COUNTA($A349:$U349)=0,"",IF(OR($A349="",AND($A349&lt;&gt;"",NOT(IFERROR(AND(LEN($A349&amp;"")=9,ISNUMBER(--($A349&amp;""))),FALSE))),AND($A349&lt;&gt;"",OR($A349="123456789",$A349="987654321",$A349="012345678",$A349=REPT(LEFT($A349&amp;"",1),9)))),"Employee SSN, ","")&amp;IF(OR(AND($O349&lt;&gt;"",$B349=""),AND($B349&lt;&gt;"",OR(NOT(IFERROR(AND(LEN($B349&amp;"")=9,ISNUMBER(--($B349&amp;""))),FALSE)),$B349=$A349,$B349="123456789",$B349="987654321",$B349="012345678",$B349=REPT(LEFT($B349&amp;"",1),9)))),"Dependent SSN, ","")&amp;IF(OR($C349="",LEN($C349)&gt;19,AND($C349&lt;&gt;"",SUMPRODUCT(--(ROW($1:$19)&lt;=LEN($C349&amp;"")),--ISERROR(FIND(MID($C349&amp;"",ROW($1:$19),1),"ABCDEFGHIJKLMNOPQRSTUVWXYZabcdefghijklmnopqrstuvwxyz .,")))&gt;0)),"First Name, ","")&amp;IF(OR($D349="",LEN($D349)&gt;26,AND($D349&lt;&gt;"",SUMPRODUCT(--(ROW($1:$26)&lt;=LEN($D349&amp;"")),--ISERROR(FIND(MID($D349&amp;"",ROW($1:$26),1),"ABCDEFGHIJKLMNOPQRSTUVWXYZabcdefghijklmnopqrstuvwxyz .,")))&gt;0)),"Last Name, ","")&amp;IF(OR(LEN($E349)&gt;1,AND($E349&lt;&gt;"",SUMPRODUCT(--(ROW($1:$1)&lt;=LEN($E349&amp;"")),--ISERROR(FIND(MID($E349&amp;"",ROW($1:$1),1),"ABCDEFGHIJKLMNOPQRSTUVWXYZabcdefghijklmnopqrstuvwxyz .,")))&gt;0)),"Middle Initial, ","")&amp;IF(OR($F349="",LEN($F349)&gt;75),"Address, ","")&amp;IF(OR($H349="",LEN($H349)&gt;30),"City, ","")&amp;IF(AND($K349="US",OR($I349="",LEN($I349)&lt;&gt;2)),"State, ","")&amp;IF($J349="","ZIP, ","")&amp;IF(OR($K349="",AND($K349&lt;&gt;"US",$K349&lt;&gt;"CA")),"Country, ","")&amp;IF(OR($L349="",AND($L349&lt;&gt;"",OR(NOT(ISNUMBER($L349)),$L349&lt;=DATE(1900,1,1),$L349&gt;TODAY()))),"Birthdate, ","")&amp;IF(AND($N349&lt;&gt;"",NOT(IFERROR(AND(ISNUMBER(SEARCH("@",$N349)),ISNUMBER(SEARCH(".",$N349,SEARCH("@",$N349)+2))),FALSE))),"Email, ","")&amp;IF(OR(AND($B349&lt;&gt;"",$O349=""),AND($O349&lt;&gt;"",$O349&lt;&gt;"Spouse or Common Law Spouse",$O349&lt;&gt;"Domestic Partner",$O349&lt;&gt;"Child",$O349&lt;&gt;"Other",$O349&lt;&gt;"Estate",$O349&lt;&gt;"Unknown")),"Dependent Relationship, ","")&amp;IF($AA349&lt;&gt;"","Household, ","")&amp;IF(OR($P349="",AND($P349&lt;&gt;"",OR(NOT(ISNUMBER($P349)),$P349&lt;=DATE(1900,1,1)))),"Eligibility Date, ","")&amp;IF(OR(AND($R349="Terminated",$Q349=""),AND($Q349&lt;&gt;"",OR(NOT(ISNUMBER($Q349)),$Q349&lt;=DATE(1900,1,1))),AND(ISNUMBER($P349),ISNUMBER($Q349),$Q349&lt;$P349)),"Termination Date, ","")&amp;IF(OR($R349="",AND($R349&lt;&gt;"Active",$R349&lt;&gt;"Terminated"),AND('START HERE'!$C$8="Terminations Only",$R349&lt;&gt;"Terminated")),"Status, ","")&amp;IF($S349="","Plan Name, ","")&amp;IF($T349="","Coverage Level, ","")&amp;IF(AND($U349&lt;&gt;"",OR(NOT(ISNUMBER($U349)),$U349&lt;0)),"Funding, ","")&amp;IF(AND($A349&lt;&gt;"",$S349&lt;&gt;"",COUNTIFS($A$2:$A$501,$A349,$B$2:$B$501,$B349,$S$2:$S$501,$S349)&gt;1),"Duplicate Row, ",""))</f>
        <v/>
      </c>
      <c r="AF349">
        <f>IF(COUNTA($A349:$U349)=0,"",$Y349&amp;$Z349&amp;$AA349&amp;$AB349&amp;$AC349)</f>
        <v/>
      </c>
      <c r="AG349">
        <f>IF($N349="","",LOWER(TRIM($N349)))</f>
        <v/>
      </c>
      <c r="AH349">
        <f>IF($A349="","",COUNTIFS($A$2:$A$501,$A349,$AI$2:$AI$501,1))</f>
        <v/>
      </c>
      <c r="AI349">
        <f>IF(COUNTA($A349:$U349)=0,"",--($AF349&lt;&gt;""))</f>
        <v/>
      </c>
      <c r="AJ349">
        <f>IF(COUNTA($A349:$U349)=0,"",--($AD349&lt;&gt;""))</f>
        <v/>
      </c>
    </row>
    <row r="350" ht="20" customHeight="1">
      <c r="A350" s="80" t="n"/>
      <c r="B350" s="80" t="n"/>
      <c r="C350" s="81" t="n"/>
      <c r="D350" s="81" t="n"/>
      <c r="E350" s="80" t="n"/>
      <c r="F350" s="81" t="n"/>
      <c r="G350" s="81" t="n"/>
      <c r="H350" s="81" t="n"/>
      <c r="I350" s="80" t="n"/>
      <c r="J350" s="80" t="n"/>
      <c r="K350" s="80" t="n"/>
      <c r="L350" s="82" t="n"/>
      <c r="M350" s="80" t="n"/>
      <c r="N350" s="80" t="n"/>
      <c r="O350" s="80" t="n"/>
      <c r="P350" s="82" t="n"/>
      <c r="Q350" s="82" t="n"/>
      <c r="R350" s="80" t="n"/>
      <c r="S350" s="80" t="n"/>
      <c r="T350" s="80" t="n"/>
      <c r="U350" s="83" t="n"/>
      <c r="V350">
        <f>IF($A350="","",IF($A350=$A349,$V349,IF($V349="",0,1-$V349)))</f>
        <v/>
      </c>
      <c r="W350">
        <f>IF($B350&lt;&gt;"",$B350,$A350)</f>
        <v/>
      </c>
      <c r="X350">
        <f>IF(COUNTA($A350:$U350)=0,"",IF(OR($B350&lt;&gt;"",$O350&lt;&gt;""),"Dependent","Employee"))</f>
        <v/>
      </c>
      <c r="Y350">
        <f>IF(COUNTA($A350:$U350)=0,"",IF($A350="","Employee SSN is required; ","")&amp;IF($C350="","First Name is required; ","")&amp;IF(LEN($C350&amp;"")&gt;19,"First Name exceeds 19 characters; ","")&amp;IF(AND($C350&lt;&gt;"",SUMPRODUCT(--(ROW($1:$19)&lt;=LEN($C350&amp;"")),--ISERROR(FIND(MID($C350&amp;"",ROW($1:$19),1),"ABCDEFGHIJKLMNOPQRSTUVWXYZabcdefghijklmnopqrstuvwxyz .,")))&gt;0),"First Name contains unsupported or encoded characters; use plain A-Z letters only; ","")&amp;IF($D350="","Last Name is required; ","")&amp;IF(LEN($D350&amp;"")&gt;26,"Last Name exceeds 26 characters; ","")&amp;IF(AND($D350&lt;&gt;"",SUMPRODUCT(--(ROW($1:$26)&lt;=LEN($D350&amp;"")),--ISERROR(FIND(MID($D350&amp;"",ROW($1:$26),1),"ABCDEFGHIJKLMNOPQRSTUVWXYZabcdefghijklmnopqrstuvwxyz .,")))&gt;0),"Last Name contains unsupported or encoded characters; use plain A-Z letters only; ","")&amp;IF(LEN($E350&amp;"")&gt;1,"Middle Initial may contain only one character; ","")&amp;IF(AND($E350&lt;&gt;"",SUMPRODUCT(--(ROW($1:$1)&lt;=LEN($E350&amp;"")),--ISERROR(FIND(MID($E350&amp;"",ROW($1:$1),1),"ABCDEFGHIJKLMNOPQRSTUVWXYZabcdefghijklmnopqrstuvwxyz .,")))&gt;0),"Middle Initial must be a plain A-Z letter; ","")&amp;IF($F350="","Address is required; ","")&amp;IF(LEN($F350&amp;"")&gt;75,"Address exceeds 75 characters; ","")&amp;IF(LEN($G350&amp;"")&gt;75,"Address 2 exceeds 75 characters; ","")&amp;IF($H350="","City is required; ","")&amp;IF(LEN($H350&amp;"")&gt;30,"City exceeds 30 characters; ","")&amp;IF($K350="","Country is required; ","")&amp;IF(AND($K350&lt;&gt;"",$K350&lt;&gt;"US",$K350&lt;&gt;"CA"),"Country must be US or CA; ","")&amp;IF(AND($K350="US",OR($I350="",LEN($I350&amp;"")&lt;&gt;2)),"Use a 2-letter state code; ","")&amp;IF($J350="","ZIP or postal code is required; ","")&amp;IF(AND($K350="US",$J350&lt;&gt;"",NOT(IFERROR(OR(AND(LEN($J350&amp;"")=5,ISNUMBER(--($J350&amp;""))),AND(LEN($J350&amp;"")=9,ISNUMBER(--($J350&amp;""))),AND(LEN($J350&amp;"")=10,MID($J350&amp;"",6,1)="-",ISNUMBER(--SUBSTITUTE($J350&amp;"","-","")))),FALSE))),"US ZIP must be 5 or 9 digits, with an optional ZIP+4 hyphen; ","")&amp;IF(AND($N350&lt;&gt;"",NOT(IFERROR(AND(ISNUMBER(SEARCH("@",$N350)),ISNUMBER(SEARCH(".",$N350,SEARCH("@",$N350)+2))),FALSE))),"Email format appears invalid; ","")&amp;IF(AND($O350&lt;&gt;"",$B350=""),"Dependent SSN is required for every dependent; ","")&amp;IF(AND($B350&lt;&gt;"",$O350=""),"Dependent Relationship is required when Dependent SSN is entered; ","")&amp;IF(AND($O350&lt;&gt;"",$O350&lt;&gt;"Spouse or Common Law Spouse",$O350&lt;&gt;"Domestic Partner",$O350&lt;&gt;"Child",$O350&lt;&gt;"Other",$O350&lt;&gt;"Estate",$O350&lt;&gt;"Unknown"),"Dependent Relationship must use one of the approved options; ",""))</f>
        <v/>
      </c>
      <c r="Z350">
        <f>IF(COUNTA($A350:$U350)=0,"",IF(AND($A350&lt;&gt;"",NOT(IFERROR(AND(LEN($A350&amp;"")=9,ISNUMBER(--($A350&amp;""))),FALSE))),"Employee SSN must contain exactly 9 digits; ","")&amp;IF(AND($A350&lt;&gt;"",OR($A350="123456789",$A350="987654321",$A350="012345678",$A350=REPT(LEFT($A350&amp;"",1),9))),"Employee SSN appears to be a placeholder; ","")&amp;IF(AND($B350&lt;&gt;"",NOT(IFERROR(AND(LEN($B350&amp;"")=9,ISNUMBER(--($B350&amp;""))),FALSE))),"Dependent SSN must contain exactly 9 digits; ","")&amp;IF(AND($B350&lt;&gt;"",OR($B350="123456789",$B350="987654321",$B350="012345678",$B350=REPT(LEFT($B350&amp;"",1),9))),"Dependent SSN appears to be a placeholder; ","")&amp;IF(AND($A350&lt;&gt;"",$B350&lt;&gt;"",$A350&amp;""=$B350&amp;""),"Dependent SSN cannot match Employee SSN; ","")&amp;IF(AND($W350&lt;&gt;"",OR(COUNTIFS($W$2:$W$501,$W350,$C$2:$C$501,"&lt;&gt;"&amp;$C350)&gt;0,COUNTIFS($W$2:$W$501,$W350,$D$2:$D$501,"&lt;&gt;"&amp;$D350)&gt;0,COUNTIFS($W$2:$W$501,$W350,$L$2:$L$501,"&lt;&gt;"&amp;$L350)&gt;0)),"The same SSN is associated with a different name or birthdate; ",""))</f>
        <v/>
      </c>
      <c r="AA350">
        <f>IF(COUNTA($A350:$U350)=0,"",IF(AND($A350&lt;&gt;"",$S350&lt;&gt;"",COUNTIFS($A$2:$A$501,$A350,$S$2:$S$501,$S350,$B$2:$B$501,"",$O$2:$O$501,"")=0),"Add an employee row for this household and plan; ","")&amp;IF(AND($X350="Dependent",COUNTIFS($A$2:$A350,$A350,$S$2:$S350,$S350,$B$2:$B350,"",$O$2:$O350,"")=0),"Place the employee row before dependent rows for this plan; ","")&amp;IF(AND($X350="Dependent",COUNTIFS($A$2:$A$501,$A350,$S$2:$S$501,$S350,$B$2:$B$501,"",$O$2:$O$501,"")&gt;0,IFERROR(OR($P350&lt;&gt;LOOKUP(2,1/(($A$2:$A$501=$A350)*($S$2:$S$501=$S350)*($B$2:$B$501="")*($O$2:$O$501="")),$P$2:$P$501),$Q350&lt;&gt;LOOKUP(2,1/(($A$2:$A$501=$A350)*($S$2:$S$501=$S350)*($B$2:$B$501="")*($O$2:$O$501="")),$Q$2:$Q$501),$R350&lt;&gt;LOOKUP(2,1/(($A$2:$A$501=$A350)*($S$2:$S$501=$S350)*($B$2:$B$501="")*($O$2:$O$501="")),$R$2:$R$501),$T350&lt;&gt;LOOKUP(2,1/(($A$2:$A$501=$A350)*($S$2:$S$501=$S350)*($B$2:$B$501="")*($O$2:$O$501="")),$T$2:$T$501),$U350&lt;&gt;LOOKUP(2,1/(($A$2:$A$501=$A350)*($S$2:$S$501=$S350)*($B$2:$B$501="")*($O$2:$O$501="")),$U$2:$U$501)),FALSE)),"Dependent row does not match the employee row for eligibility, status, coverage level, or funding; ",""))</f>
        <v/>
      </c>
      <c r="AB350">
        <f>IF(COUNTA($A350:$U350)=0,"",IF($L350="","Birthdate is required; ","")&amp;IF(AND($L350&lt;&gt;"",OR(NOT(ISNUMBER($L350)),$L350&lt;=DATE(1900,1,1),$L350&gt;TODAY())),"Birthdate must be an exact valid past date; ","")&amp;IF($P350="","Eligibility Date is required; ","")&amp;IF(AND($P350&lt;&gt;"",OR(NOT(ISNUMBER($P350)),$P350&lt;=DATE(1900,1,1))),"Eligibility Date must be a valid date; ","")&amp;IF(AND($R350="Terminated",$Q350=""),"Termination Date is required when Status is Terminated; ","")&amp;IF(AND($Q350&lt;&gt;"",OR(NOT(ISNUMBER($Q350)),$Q350&lt;=DATE(1900,1,1))),"Termination Date must be a valid date; ","")&amp;IF(AND(ISNUMBER($P350),ISNUMBER($Q350),$Q350&lt;$P350),"Termination Date cannot be before Eligibility Date; ","")&amp;IF($R350="","Status is required; ","")&amp;IF(AND($R350&lt;&gt;"",$R350&lt;&gt;"Active",$R350&lt;&gt;"Terminated"),"Status must be Active or Terminated; ","")&amp;IF(AND('START HERE'!$C$8="Terminations Only",$R350&lt;&gt;"Terminated"),"Terminations Only files must contain terminated records; ",""))</f>
        <v/>
      </c>
      <c r="AC350">
        <f>IF(COUNTA($A350:$U350)=0,"",IF($S350="","Plan Name is required; ","")&amp;IF($T350="","Benefit Coverage Level is required; ","")&amp;IF(AND($U350&lt;&gt;"",OR(NOT(ISNUMBER($U350)),$U350&lt;0)),"Plan Funding Amount must be a nonnegative number; ","")&amp;IF(AND($A350&lt;&gt;"",$S350&lt;&gt;"",COUNTIFS($A$2:$A$501,$A350,$B$2:$B$501,$B350,$S$2:$S$501,$S350)&gt;1),"Duplicate participant and plan row; ",""))</f>
        <v/>
      </c>
      <c r="AD350">
        <f>IF(COUNTA($A350:$U350)=0,"",IF(AND($X350="Employee",$M350="",$N350=""),"No employee phone or email provided; ","")&amp;IF(AND($R350="Active",$Q350&lt;&gt;""),"Active record includes a Termination Date; confirm this is intentional; ","")&amp;IF(AND($B350&lt;&gt;"",$B350&amp;""&lt;&gt;$A350&amp;"",COUNTIF($A$2:$A$501,$B350)&gt;0),"Dependent SSN also appears as an Employee SSN elsewhere; confirm dual-employee coverage is intentional; ","")&amp;IF(AND($B350&lt;&gt;"",COUNTIF($B$2:$B$501,$B350)&gt;COUNTIFS($A$2:$A$501,$A350,$B$2:$B$501,$B350)),"Dependent SSN appears under more than one employee; confirm duplicate family coverage is intentional; ","")&amp;IF(AND(ROW()&gt;2,$A350&lt;&gt;"",$A350&lt;&gt;$A349,COUNTIF($A$2:$A349,$A350)&gt;0),"This household appears in more than one section of the census; keep the family together; ","")&amp;IF(OR(AND($C350&lt;&gt;"",LEN($C350&amp;"")&lt;&gt;LEN(TRIM($C350&amp;""))),AND($D350&lt;&gt;"",LEN($D350&amp;"")&lt;&gt;LEN(TRIM($D350&amp;""))),AND($E350&lt;&gt;"",LEN($E350&amp;"")&lt;&gt;LEN(TRIM($E350&amp;""))),AND($F350&lt;&gt;"",LEN($F350&amp;"")&lt;&gt;LEN(TRIM($F350&amp;""))),AND($G350&lt;&gt;"",LEN($G350&amp;"")&lt;&gt;LEN(TRIM($G350&amp;""))),AND($H350&lt;&gt;"",LEN($H350&amp;"")&lt;&gt;LEN(TRIM($H350&amp;""))),AND($I350&lt;&gt;"",LEN($I350&amp;"")&lt;&gt;LEN(TRIM($I350&amp;""))),AND($J350&lt;&gt;"",LEN($J350&amp;"")&lt;&gt;LEN(TRIM($J350&amp;""))),AND($K350&lt;&gt;"",LEN($K350&amp;"")&lt;&gt;LEN(TRIM($K350&amp;""))),AND($M350&lt;&gt;"",LEN($M350&amp;"")&lt;&gt;LEN(TRIM($M350&amp;""))),AND($N350&lt;&gt;"",LEN($N350&amp;"")&lt;&gt;LEN(TRIM($N350&amp;""))),AND($O350&lt;&gt;"",LEN($O350&amp;"")&lt;&gt;LEN(TRIM($O350&amp;""))),AND($R350&lt;&gt;"",LEN($R350&amp;"")&lt;&gt;LEN(TRIM($R350&amp;""))),AND($S350&lt;&gt;"",LEN($S350&amp;"")&lt;&gt;LEN(TRIM($S350&amp;""))),AND($T350&lt;&gt;"",LEN($T350&amp;"")&lt;&gt;LEN(TRIM($T350&amp;"")))),"Remove leading or trailing spaces from text fields; ","")&amp;IF(OR(AND(LEN($C350)&gt;1,OR(EXACT($C350,UPPER($C350)),EXACT($C350,LOWER($C350)))),AND(LEN($D350)&gt;1,OR(EXACT($D350,UPPER($D350)),EXACT($D350,LOWER($D350)))),AND(LEN($H350)&gt;1,OR(EXACT($H350,UPPER($H350)),EXACT($H350,LOWER($H350))))),"Review capitalization in First Name, Last Name, or City; ","")&amp;IF(AND($N350&lt;&gt;"",NOT(EXACT($N350,LOWER($N350)))),"Email will be standardized to lowercase in the clean output; ","")&amp;IF(AND(OR('START HERE'!$C$8="Initial Enrollment",'START HERE'!$C$8="Open Enrollment"),$R350="Terminated"),"A terminated row is included in an initial or open enrollment file; confirm this is intentional; ",""))</f>
        <v/>
      </c>
      <c r="AE350">
        <f>IF(COUNTA($A350:$U350)=0,"",IF(OR($A350="",AND($A350&lt;&gt;"",NOT(IFERROR(AND(LEN($A350&amp;"")=9,ISNUMBER(--($A350&amp;""))),FALSE))),AND($A350&lt;&gt;"",OR($A350="123456789",$A350="987654321",$A350="012345678",$A350=REPT(LEFT($A350&amp;"",1),9)))),"Employee SSN, ","")&amp;IF(OR(AND($O350&lt;&gt;"",$B350=""),AND($B350&lt;&gt;"",OR(NOT(IFERROR(AND(LEN($B350&amp;"")=9,ISNUMBER(--($B350&amp;""))),FALSE)),$B350=$A350,$B350="123456789",$B350="987654321",$B350="012345678",$B350=REPT(LEFT($B350&amp;"",1),9)))),"Dependent SSN, ","")&amp;IF(OR($C350="",LEN($C350)&gt;19,AND($C350&lt;&gt;"",SUMPRODUCT(--(ROW($1:$19)&lt;=LEN($C350&amp;"")),--ISERROR(FIND(MID($C350&amp;"",ROW($1:$19),1),"ABCDEFGHIJKLMNOPQRSTUVWXYZabcdefghijklmnopqrstuvwxyz .,")))&gt;0)),"First Name, ","")&amp;IF(OR($D350="",LEN($D350)&gt;26,AND($D350&lt;&gt;"",SUMPRODUCT(--(ROW($1:$26)&lt;=LEN($D350&amp;"")),--ISERROR(FIND(MID($D350&amp;"",ROW($1:$26),1),"ABCDEFGHIJKLMNOPQRSTUVWXYZabcdefghijklmnopqrstuvwxyz .,")))&gt;0)),"Last Name, ","")&amp;IF(OR(LEN($E350)&gt;1,AND($E350&lt;&gt;"",SUMPRODUCT(--(ROW($1:$1)&lt;=LEN($E350&amp;"")),--ISERROR(FIND(MID($E350&amp;"",ROW($1:$1),1),"ABCDEFGHIJKLMNOPQRSTUVWXYZabcdefghijklmnopqrstuvwxyz .,")))&gt;0)),"Middle Initial, ","")&amp;IF(OR($F350="",LEN($F350)&gt;75),"Address, ","")&amp;IF(OR($H350="",LEN($H350)&gt;30),"City, ","")&amp;IF(AND($K350="US",OR($I350="",LEN($I350)&lt;&gt;2)),"State, ","")&amp;IF($J350="","ZIP, ","")&amp;IF(OR($K350="",AND($K350&lt;&gt;"US",$K350&lt;&gt;"CA")),"Country, ","")&amp;IF(OR($L350="",AND($L350&lt;&gt;"",OR(NOT(ISNUMBER($L350)),$L350&lt;=DATE(1900,1,1),$L350&gt;TODAY()))),"Birthdate, ","")&amp;IF(AND($N350&lt;&gt;"",NOT(IFERROR(AND(ISNUMBER(SEARCH("@",$N350)),ISNUMBER(SEARCH(".",$N350,SEARCH("@",$N350)+2))),FALSE))),"Email, ","")&amp;IF(OR(AND($B350&lt;&gt;"",$O350=""),AND($O350&lt;&gt;"",$O350&lt;&gt;"Spouse or Common Law Spouse",$O350&lt;&gt;"Domestic Partner",$O350&lt;&gt;"Child",$O350&lt;&gt;"Other",$O350&lt;&gt;"Estate",$O350&lt;&gt;"Unknown")),"Dependent Relationship, ","")&amp;IF($AA350&lt;&gt;"","Household, ","")&amp;IF(OR($P350="",AND($P350&lt;&gt;"",OR(NOT(ISNUMBER($P350)),$P350&lt;=DATE(1900,1,1)))),"Eligibility Date, ","")&amp;IF(OR(AND($R350="Terminated",$Q350=""),AND($Q350&lt;&gt;"",OR(NOT(ISNUMBER($Q350)),$Q350&lt;=DATE(1900,1,1))),AND(ISNUMBER($P350),ISNUMBER($Q350),$Q350&lt;$P350)),"Termination Date, ","")&amp;IF(OR($R350="",AND($R350&lt;&gt;"Active",$R350&lt;&gt;"Terminated"),AND('START HERE'!$C$8="Terminations Only",$R350&lt;&gt;"Terminated")),"Status, ","")&amp;IF($S350="","Plan Name, ","")&amp;IF($T350="","Coverage Level, ","")&amp;IF(AND($U350&lt;&gt;"",OR(NOT(ISNUMBER($U350)),$U350&lt;0)),"Funding, ","")&amp;IF(AND($A350&lt;&gt;"",$S350&lt;&gt;"",COUNTIFS($A$2:$A$501,$A350,$B$2:$B$501,$B350,$S$2:$S$501,$S350)&gt;1),"Duplicate Row, ",""))</f>
        <v/>
      </c>
      <c r="AF350">
        <f>IF(COUNTA($A350:$U350)=0,"",$Y350&amp;$Z350&amp;$AA350&amp;$AB350&amp;$AC350)</f>
        <v/>
      </c>
      <c r="AG350">
        <f>IF($N350="","",LOWER(TRIM($N350)))</f>
        <v/>
      </c>
      <c r="AH350">
        <f>IF($A350="","",COUNTIFS($A$2:$A$501,$A350,$AI$2:$AI$501,1))</f>
        <v/>
      </c>
      <c r="AI350">
        <f>IF(COUNTA($A350:$U350)=0,"",--($AF350&lt;&gt;""))</f>
        <v/>
      </c>
      <c r="AJ350">
        <f>IF(COUNTA($A350:$U350)=0,"",--($AD350&lt;&gt;""))</f>
        <v/>
      </c>
    </row>
    <row r="351" ht="20" customHeight="1">
      <c r="A351" s="80" t="n"/>
      <c r="B351" s="80" t="n"/>
      <c r="C351" s="81" t="n"/>
      <c r="D351" s="81" t="n"/>
      <c r="E351" s="80" t="n"/>
      <c r="F351" s="81" t="n"/>
      <c r="G351" s="81" t="n"/>
      <c r="H351" s="81" t="n"/>
      <c r="I351" s="80" t="n"/>
      <c r="J351" s="80" t="n"/>
      <c r="K351" s="80" t="n"/>
      <c r="L351" s="82" t="n"/>
      <c r="M351" s="80" t="n"/>
      <c r="N351" s="80" t="n"/>
      <c r="O351" s="80" t="n"/>
      <c r="P351" s="82" t="n"/>
      <c r="Q351" s="82" t="n"/>
      <c r="R351" s="80" t="n"/>
      <c r="S351" s="80" t="n"/>
      <c r="T351" s="80" t="n"/>
      <c r="U351" s="83" t="n"/>
      <c r="V351">
        <f>IF($A351="","",IF($A351=$A350,$V350,IF($V350="",0,1-$V350)))</f>
        <v/>
      </c>
      <c r="W351">
        <f>IF($B351&lt;&gt;"",$B351,$A351)</f>
        <v/>
      </c>
      <c r="X351">
        <f>IF(COUNTA($A351:$U351)=0,"",IF(OR($B351&lt;&gt;"",$O351&lt;&gt;""),"Dependent","Employee"))</f>
        <v/>
      </c>
      <c r="Y351">
        <f>IF(COUNTA($A351:$U351)=0,"",IF($A351="","Employee SSN is required; ","")&amp;IF($C351="","First Name is required; ","")&amp;IF(LEN($C351&amp;"")&gt;19,"First Name exceeds 19 characters; ","")&amp;IF(AND($C351&lt;&gt;"",SUMPRODUCT(--(ROW($1:$19)&lt;=LEN($C351&amp;"")),--ISERROR(FIND(MID($C351&amp;"",ROW($1:$19),1),"ABCDEFGHIJKLMNOPQRSTUVWXYZabcdefghijklmnopqrstuvwxyz .,")))&gt;0),"First Name contains unsupported or encoded characters; use plain A-Z letters only; ","")&amp;IF($D351="","Last Name is required; ","")&amp;IF(LEN($D351&amp;"")&gt;26,"Last Name exceeds 26 characters; ","")&amp;IF(AND($D351&lt;&gt;"",SUMPRODUCT(--(ROW($1:$26)&lt;=LEN($D351&amp;"")),--ISERROR(FIND(MID($D351&amp;"",ROW($1:$26),1),"ABCDEFGHIJKLMNOPQRSTUVWXYZabcdefghijklmnopqrstuvwxyz .,")))&gt;0),"Last Name contains unsupported or encoded characters; use plain A-Z letters only; ","")&amp;IF(LEN($E351&amp;"")&gt;1,"Middle Initial may contain only one character; ","")&amp;IF(AND($E351&lt;&gt;"",SUMPRODUCT(--(ROW($1:$1)&lt;=LEN($E351&amp;"")),--ISERROR(FIND(MID($E351&amp;"",ROW($1:$1),1),"ABCDEFGHIJKLMNOPQRSTUVWXYZabcdefghijklmnopqrstuvwxyz .,")))&gt;0),"Middle Initial must be a plain A-Z letter; ","")&amp;IF($F351="","Address is required; ","")&amp;IF(LEN($F351&amp;"")&gt;75,"Address exceeds 75 characters; ","")&amp;IF(LEN($G351&amp;"")&gt;75,"Address 2 exceeds 75 characters; ","")&amp;IF($H351="","City is required; ","")&amp;IF(LEN($H351&amp;"")&gt;30,"City exceeds 30 characters; ","")&amp;IF($K351="","Country is required; ","")&amp;IF(AND($K351&lt;&gt;"",$K351&lt;&gt;"US",$K351&lt;&gt;"CA"),"Country must be US or CA; ","")&amp;IF(AND($K351="US",OR($I351="",LEN($I351&amp;"")&lt;&gt;2)),"Use a 2-letter state code; ","")&amp;IF($J351="","ZIP or postal code is required; ","")&amp;IF(AND($K351="US",$J351&lt;&gt;"",NOT(IFERROR(OR(AND(LEN($J351&amp;"")=5,ISNUMBER(--($J351&amp;""))),AND(LEN($J351&amp;"")=9,ISNUMBER(--($J351&amp;""))),AND(LEN($J351&amp;"")=10,MID($J351&amp;"",6,1)="-",ISNUMBER(--SUBSTITUTE($J351&amp;"","-","")))),FALSE))),"US ZIP must be 5 or 9 digits, with an optional ZIP+4 hyphen; ","")&amp;IF(AND($N351&lt;&gt;"",NOT(IFERROR(AND(ISNUMBER(SEARCH("@",$N351)),ISNUMBER(SEARCH(".",$N351,SEARCH("@",$N351)+2))),FALSE))),"Email format appears invalid; ","")&amp;IF(AND($O351&lt;&gt;"",$B351=""),"Dependent SSN is required for every dependent; ","")&amp;IF(AND($B351&lt;&gt;"",$O351=""),"Dependent Relationship is required when Dependent SSN is entered; ","")&amp;IF(AND($O351&lt;&gt;"",$O351&lt;&gt;"Spouse or Common Law Spouse",$O351&lt;&gt;"Domestic Partner",$O351&lt;&gt;"Child",$O351&lt;&gt;"Other",$O351&lt;&gt;"Estate",$O351&lt;&gt;"Unknown"),"Dependent Relationship must use one of the approved options; ",""))</f>
        <v/>
      </c>
      <c r="Z351">
        <f>IF(COUNTA($A351:$U351)=0,"",IF(AND($A351&lt;&gt;"",NOT(IFERROR(AND(LEN($A351&amp;"")=9,ISNUMBER(--($A351&amp;""))),FALSE))),"Employee SSN must contain exactly 9 digits; ","")&amp;IF(AND($A351&lt;&gt;"",OR($A351="123456789",$A351="987654321",$A351="012345678",$A351=REPT(LEFT($A351&amp;"",1),9))),"Employee SSN appears to be a placeholder; ","")&amp;IF(AND($B351&lt;&gt;"",NOT(IFERROR(AND(LEN($B351&amp;"")=9,ISNUMBER(--($B351&amp;""))),FALSE))),"Dependent SSN must contain exactly 9 digits; ","")&amp;IF(AND($B351&lt;&gt;"",OR($B351="123456789",$B351="987654321",$B351="012345678",$B351=REPT(LEFT($B351&amp;"",1),9))),"Dependent SSN appears to be a placeholder; ","")&amp;IF(AND($A351&lt;&gt;"",$B351&lt;&gt;"",$A351&amp;""=$B351&amp;""),"Dependent SSN cannot match Employee SSN; ","")&amp;IF(AND($W351&lt;&gt;"",OR(COUNTIFS($W$2:$W$501,$W351,$C$2:$C$501,"&lt;&gt;"&amp;$C351)&gt;0,COUNTIFS($W$2:$W$501,$W351,$D$2:$D$501,"&lt;&gt;"&amp;$D351)&gt;0,COUNTIFS($W$2:$W$501,$W351,$L$2:$L$501,"&lt;&gt;"&amp;$L351)&gt;0)),"The same SSN is associated with a different name or birthdate; ",""))</f>
        <v/>
      </c>
      <c r="AA351">
        <f>IF(COUNTA($A351:$U351)=0,"",IF(AND($A351&lt;&gt;"",$S351&lt;&gt;"",COUNTIFS($A$2:$A$501,$A351,$S$2:$S$501,$S351,$B$2:$B$501,"",$O$2:$O$501,"")=0),"Add an employee row for this household and plan; ","")&amp;IF(AND($X351="Dependent",COUNTIFS($A$2:$A351,$A351,$S$2:$S351,$S351,$B$2:$B351,"",$O$2:$O351,"")=0),"Place the employee row before dependent rows for this plan; ","")&amp;IF(AND($X351="Dependent",COUNTIFS($A$2:$A$501,$A351,$S$2:$S$501,$S351,$B$2:$B$501,"",$O$2:$O$501,"")&gt;0,IFERROR(OR($P351&lt;&gt;LOOKUP(2,1/(($A$2:$A$501=$A351)*($S$2:$S$501=$S351)*($B$2:$B$501="")*($O$2:$O$501="")),$P$2:$P$501),$Q351&lt;&gt;LOOKUP(2,1/(($A$2:$A$501=$A351)*($S$2:$S$501=$S351)*($B$2:$B$501="")*($O$2:$O$501="")),$Q$2:$Q$501),$R351&lt;&gt;LOOKUP(2,1/(($A$2:$A$501=$A351)*($S$2:$S$501=$S351)*($B$2:$B$501="")*($O$2:$O$501="")),$R$2:$R$501),$T351&lt;&gt;LOOKUP(2,1/(($A$2:$A$501=$A351)*($S$2:$S$501=$S351)*($B$2:$B$501="")*($O$2:$O$501="")),$T$2:$T$501),$U351&lt;&gt;LOOKUP(2,1/(($A$2:$A$501=$A351)*($S$2:$S$501=$S351)*($B$2:$B$501="")*($O$2:$O$501="")),$U$2:$U$501)),FALSE)),"Dependent row does not match the employee row for eligibility, status, coverage level, or funding; ",""))</f>
        <v/>
      </c>
      <c r="AB351">
        <f>IF(COUNTA($A351:$U351)=0,"",IF($L351="","Birthdate is required; ","")&amp;IF(AND($L351&lt;&gt;"",OR(NOT(ISNUMBER($L351)),$L351&lt;=DATE(1900,1,1),$L351&gt;TODAY())),"Birthdate must be an exact valid past date; ","")&amp;IF($P351="","Eligibility Date is required; ","")&amp;IF(AND($P351&lt;&gt;"",OR(NOT(ISNUMBER($P351)),$P351&lt;=DATE(1900,1,1))),"Eligibility Date must be a valid date; ","")&amp;IF(AND($R351="Terminated",$Q351=""),"Termination Date is required when Status is Terminated; ","")&amp;IF(AND($Q351&lt;&gt;"",OR(NOT(ISNUMBER($Q351)),$Q351&lt;=DATE(1900,1,1))),"Termination Date must be a valid date; ","")&amp;IF(AND(ISNUMBER($P351),ISNUMBER($Q351),$Q351&lt;$P351),"Termination Date cannot be before Eligibility Date; ","")&amp;IF($R351="","Status is required; ","")&amp;IF(AND($R351&lt;&gt;"",$R351&lt;&gt;"Active",$R351&lt;&gt;"Terminated"),"Status must be Active or Terminated; ","")&amp;IF(AND('START HERE'!$C$8="Terminations Only",$R351&lt;&gt;"Terminated"),"Terminations Only files must contain terminated records; ",""))</f>
        <v/>
      </c>
      <c r="AC351">
        <f>IF(COUNTA($A351:$U351)=0,"",IF($S351="","Plan Name is required; ","")&amp;IF($T351="","Benefit Coverage Level is required; ","")&amp;IF(AND($U351&lt;&gt;"",OR(NOT(ISNUMBER($U351)),$U351&lt;0)),"Plan Funding Amount must be a nonnegative number; ","")&amp;IF(AND($A351&lt;&gt;"",$S351&lt;&gt;"",COUNTIFS($A$2:$A$501,$A351,$B$2:$B$501,$B351,$S$2:$S$501,$S351)&gt;1),"Duplicate participant and plan row; ",""))</f>
        <v/>
      </c>
      <c r="AD351">
        <f>IF(COUNTA($A351:$U351)=0,"",IF(AND($X351="Employee",$M351="",$N351=""),"No employee phone or email provided; ","")&amp;IF(AND($R351="Active",$Q351&lt;&gt;""),"Active record includes a Termination Date; confirm this is intentional; ","")&amp;IF(AND($B351&lt;&gt;"",$B351&amp;""&lt;&gt;$A351&amp;"",COUNTIF($A$2:$A$501,$B351)&gt;0),"Dependent SSN also appears as an Employee SSN elsewhere; confirm dual-employee coverage is intentional; ","")&amp;IF(AND($B351&lt;&gt;"",COUNTIF($B$2:$B$501,$B351)&gt;COUNTIFS($A$2:$A$501,$A351,$B$2:$B$501,$B351)),"Dependent SSN appears under more than one employee; confirm duplicate family coverage is intentional; ","")&amp;IF(AND(ROW()&gt;2,$A351&lt;&gt;"",$A351&lt;&gt;$A350,COUNTIF($A$2:$A350,$A351)&gt;0),"This household appears in more than one section of the census; keep the family together; ","")&amp;IF(OR(AND($C351&lt;&gt;"",LEN($C351&amp;"")&lt;&gt;LEN(TRIM($C351&amp;""))),AND($D351&lt;&gt;"",LEN($D351&amp;"")&lt;&gt;LEN(TRIM($D351&amp;""))),AND($E351&lt;&gt;"",LEN($E351&amp;"")&lt;&gt;LEN(TRIM($E351&amp;""))),AND($F351&lt;&gt;"",LEN($F351&amp;"")&lt;&gt;LEN(TRIM($F351&amp;""))),AND($G351&lt;&gt;"",LEN($G351&amp;"")&lt;&gt;LEN(TRIM($G351&amp;""))),AND($H351&lt;&gt;"",LEN($H351&amp;"")&lt;&gt;LEN(TRIM($H351&amp;""))),AND($I351&lt;&gt;"",LEN($I351&amp;"")&lt;&gt;LEN(TRIM($I351&amp;""))),AND($J351&lt;&gt;"",LEN($J351&amp;"")&lt;&gt;LEN(TRIM($J351&amp;""))),AND($K351&lt;&gt;"",LEN($K351&amp;"")&lt;&gt;LEN(TRIM($K351&amp;""))),AND($M351&lt;&gt;"",LEN($M351&amp;"")&lt;&gt;LEN(TRIM($M351&amp;""))),AND($N351&lt;&gt;"",LEN($N351&amp;"")&lt;&gt;LEN(TRIM($N351&amp;""))),AND($O351&lt;&gt;"",LEN($O351&amp;"")&lt;&gt;LEN(TRIM($O351&amp;""))),AND($R351&lt;&gt;"",LEN($R351&amp;"")&lt;&gt;LEN(TRIM($R351&amp;""))),AND($S351&lt;&gt;"",LEN($S351&amp;"")&lt;&gt;LEN(TRIM($S351&amp;""))),AND($T351&lt;&gt;"",LEN($T351&amp;"")&lt;&gt;LEN(TRIM($T351&amp;"")))),"Remove leading or trailing spaces from text fields; ","")&amp;IF(OR(AND(LEN($C351)&gt;1,OR(EXACT($C351,UPPER($C351)),EXACT($C351,LOWER($C351)))),AND(LEN($D351)&gt;1,OR(EXACT($D351,UPPER($D351)),EXACT($D351,LOWER($D351)))),AND(LEN($H351)&gt;1,OR(EXACT($H351,UPPER($H351)),EXACT($H351,LOWER($H351))))),"Review capitalization in First Name, Last Name, or City; ","")&amp;IF(AND($N351&lt;&gt;"",NOT(EXACT($N351,LOWER($N351)))),"Email will be standardized to lowercase in the clean output; ","")&amp;IF(AND(OR('START HERE'!$C$8="Initial Enrollment",'START HERE'!$C$8="Open Enrollment"),$R351="Terminated"),"A terminated row is included in an initial or open enrollment file; confirm this is intentional; ",""))</f>
        <v/>
      </c>
      <c r="AE351">
        <f>IF(COUNTA($A351:$U351)=0,"",IF(OR($A351="",AND($A351&lt;&gt;"",NOT(IFERROR(AND(LEN($A351&amp;"")=9,ISNUMBER(--($A351&amp;""))),FALSE))),AND($A351&lt;&gt;"",OR($A351="123456789",$A351="987654321",$A351="012345678",$A351=REPT(LEFT($A351&amp;"",1),9)))),"Employee SSN, ","")&amp;IF(OR(AND($O351&lt;&gt;"",$B351=""),AND($B351&lt;&gt;"",OR(NOT(IFERROR(AND(LEN($B351&amp;"")=9,ISNUMBER(--($B351&amp;""))),FALSE)),$B351=$A351,$B351="123456789",$B351="987654321",$B351="012345678",$B351=REPT(LEFT($B351&amp;"",1),9)))),"Dependent SSN, ","")&amp;IF(OR($C351="",LEN($C351)&gt;19,AND($C351&lt;&gt;"",SUMPRODUCT(--(ROW($1:$19)&lt;=LEN($C351&amp;"")),--ISERROR(FIND(MID($C351&amp;"",ROW($1:$19),1),"ABCDEFGHIJKLMNOPQRSTUVWXYZabcdefghijklmnopqrstuvwxyz .,")))&gt;0)),"First Name, ","")&amp;IF(OR($D351="",LEN($D351)&gt;26,AND($D351&lt;&gt;"",SUMPRODUCT(--(ROW($1:$26)&lt;=LEN($D351&amp;"")),--ISERROR(FIND(MID($D351&amp;"",ROW($1:$26),1),"ABCDEFGHIJKLMNOPQRSTUVWXYZabcdefghijklmnopqrstuvwxyz .,")))&gt;0)),"Last Name, ","")&amp;IF(OR(LEN($E351)&gt;1,AND($E351&lt;&gt;"",SUMPRODUCT(--(ROW($1:$1)&lt;=LEN($E351&amp;"")),--ISERROR(FIND(MID($E351&amp;"",ROW($1:$1),1),"ABCDEFGHIJKLMNOPQRSTUVWXYZabcdefghijklmnopqrstuvwxyz .,")))&gt;0)),"Middle Initial, ","")&amp;IF(OR($F351="",LEN($F351)&gt;75),"Address, ","")&amp;IF(OR($H351="",LEN($H351)&gt;30),"City, ","")&amp;IF(AND($K351="US",OR($I351="",LEN($I351)&lt;&gt;2)),"State, ","")&amp;IF($J351="","ZIP, ","")&amp;IF(OR($K351="",AND($K351&lt;&gt;"US",$K351&lt;&gt;"CA")),"Country, ","")&amp;IF(OR($L351="",AND($L351&lt;&gt;"",OR(NOT(ISNUMBER($L351)),$L351&lt;=DATE(1900,1,1),$L351&gt;TODAY()))),"Birthdate, ","")&amp;IF(AND($N351&lt;&gt;"",NOT(IFERROR(AND(ISNUMBER(SEARCH("@",$N351)),ISNUMBER(SEARCH(".",$N351,SEARCH("@",$N351)+2))),FALSE))),"Email, ","")&amp;IF(OR(AND($B351&lt;&gt;"",$O351=""),AND($O351&lt;&gt;"",$O351&lt;&gt;"Spouse or Common Law Spouse",$O351&lt;&gt;"Domestic Partner",$O351&lt;&gt;"Child",$O351&lt;&gt;"Other",$O351&lt;&gt;"Estate",$O351&lt;&gt;"Unknown")),"Dependent Relationship, ","")&amp;IF($AA351&lt;&gt;"","Household, ","")&amp;IF(OR($P351="",AND($P351&lt;&gt;"",OR(NOT(ISNUMBER($P351)),$P351&lt;=DATE(1900,1,1)))),"Eligibility Date, ","")&amp;IF(OR(AND($R351="Terminated",$Q351=""),AND($Q351&lt;&gt;"",OR(NOT(ISNUMBER($Q351)),$Q351&lt;=DATE(1900,1,1))),AND(ISNUMBER($P351),ISNUMBER($Q351),$Q351&lt;$P351)),"Termination Date, ","")&amp;IF(OR($R351="",AND($R351&lt;&gt;"Active",$R351&lt;&gt;"Terminated"),AND('START HERE'!$C$8="Terminations Only",$R351&lt;&gt;"Terminated")),"Status, ","")&amp;IF($S351="","Plan Name, ","")&amp;IF($T351="","Coverage Level, ","")&amp;IF(AND($U351&lt;&gt;"",OR(NOT(ISNUMBER($U351)),$U351&lt;0)),"Funding, ","")&amp;IF(AND($A351&lt;&gt;"",$S351&lt;&gt;"",COUNTIFS($A$2:$A$501,$A351,$B$2:$B$501,$B351,$S$2:$S$501,$S351)&gt;1),"Duplicate Row, ",""))</f>
        <v/>
      </c>
      <c r="AF351">
        <f>IF(COUNTA($A351:$U351)=0,"",$Y351&amp;$Z351&amp;$AA351&amp;$AB351&amp;$AC351)</f>
        <v/>
      </c>
      <c r="AG351">
        <f>IF($N351="","",LOWER(TRIM($N351)))</f>
        <v/>
      </c>
      <c r="AH351">
        <f>IF($A351="","",COUNTIFS($A$2:$A$501,$A351,$AI$2:$AI$501,1))</f>
        <v/>
      </c>
      <c r="AI351">
        <f>IF(COUNTA($A351:$U351)=0,"",--($AF351&lt;&gt;""))</f>
        <v/>
      </c>
      <c r="AJ351">
        <f>IF(COUNTA($A351:$U351)=0,"",--($AD351&lt;&gt;""))</f>
        <v/>
      </c>
    </row>
    <row r="352" ht="20" customHeight="1">
      <c r="A352" s="80" t="n"/>
      <c r="B352" s="80" t="n"/>
      <c r="C352" s="81" t="n"/>
      <c r="D352" s="81" t="n"/>
      <c r="E352" s="80" t="n"/>
      <c r="F352" s="81" t="n"/>
      <c r="G352" s="81" t="n"/>
      <c r="H352" s="81" t="n"/>
      <c r="I352" s="80" t="n"/>
      <c r="J352" s="80" t="n"/>
      <c r="K352" s="80" t="n"/>
      <c r="L352" s="82" t="n"/>
      <c r="M352" s="80" t="n"/>
      <c r="N352" s="80" t="n"/>
      <c r="O352" s="80" t="n"/>
      <c r="P352" s="82" t="n"/>
      <c r="Q352" s="82" t="n"/>
      <c r="R352" s="80" t="n"/>
      <c r="S352" s="80" t="n"/>
      <c r="T352" s="80" t="n"/>
      <c r="U352" s="83" t="n"/>
      <c r="V352">
        <f>IF($A352="","",IF($A352=$A351,$V351,IF($V351="",0,1-$V351)))</f>
        <v/>
      </c>
      <c r="W352">
        <f>IF($B352&lt;&gt;"",$B352,$A352)</f>
        <v/>
      </c>
      <c r="X352">
        <f>IF(COUNTA($A352:$U352)=0,"",IF(OR($B352&lt;&gt;"",$O352&lt;&gt;""),"Dependent","Employee"))</f>
        <v/>
      </c>
      <c r="Y352">
        <f>IF(COUNTA($A352:$U352)=0,"",IF($A352="","Employee SSN is required; ","")&amp;IF($C352="","First Name is required; ","")&amp;IF(LEN($C352&amp;"")&gt;19,"First Name exceeds 19 characters; ","")&amp;IF(AND($C352&lt;&gt;"",SUMPRODUCT(--(ROW($1:$19)&lt;=LEN($C352&amp;"")),--ISERROR(FIND(MID($C352&amp;"",ROW($1:$19),1),"ABCDEFGHIJKLMNOPQRSTUVWXYZabcdefghijklmnopqrstuvwxyz .,")))&gt;0),"First Name contains unsupported or encoded characters; use plain A-Z letters only; ","")&amp;IF($D352="","Last Name is required; ","")&amp;IF(LEN($D352&amp;"")&gt;26,"Last Name exceeds 26 characters; ","")&amp;IF(AND($D352&lt;&gt;"",SUMPRODUCT(--(ROW($1:$26)&lt;=LEN($D352&amp;"")),--ISERROR(FIND(MID($D352&amp;"",ROW($1:$26),1),"ABCDEFGHIJKLMNOPQRSTUVWXYZabcdefghijklmnopqrstuvwxyz .,")))&gt;0),"Last Name contains unsupported or encoded characters; use plain A-Z letters only; ","")&amp;IF(LEN($E352&amp;"")&gt;1,"Middle Initial may contain only one character; ","")&amp;IF(AND($E352&lt;&gt;"",SUMPRODUCT(--(ROW($1:$1)&lt;=LEN($E352&amp;"")),--ISERROR(FIND(MID($E352&amp;"",ROW($1:$1),1),"ABCDEFGHIJKLMNOPQRSTUVWXYZabcdefghijklmnopqrstuvwxyz .,")))&gt;0),"Middle Initial must be a plain A-Z letter; ","")&amp;IF($F352="","Address is required; ","")&amp;IF(LEN($F352&amp;"")&gt;75,"Address exceeds 75 characters; ","")&amp;IF(LEN($G352&amp;"")&gt;75,"Address 2 exceeds 75 characters; ","")&amp;IF($H352="","City is required; ","")&amp;IF(LEN($H352&amp;"")&gt;30,"City exceeds 30 characters; ","")&amp;IF($K352="","Country is required; ","")&amp;IF(AND($K352&lt;&gt;"",$K352&lt;&gt;"US",$K352&lt;&gt;"CA"),"Country must be US or CA; ","")&amp;IF(AND($K352="US",OR($I352="",LEN($I352&amp;"")&lt;&gt;2)),"Use a 2-letter state code; ","")&amp;IF($J352="","ZIP or postal code is required; ","")&amp;IF(AND($K352="US",$J352&lt;&gt;"",NOT(IFERROR(OR(AND(LEN($J352&amp;"")=5,ISNUMBER(--($J352&amp;""))),AND(LEN($J352&amp;"")=9,ISNUMBER(--($J352&amp;""))),AND(LEN($J352&amp;"")=10,MID($J352&amp;"",6,1)="-",ISNUMBER(--SUBSTITUTE($J352&amp;"","-","")))),FALSE))),"US ZIP must be 5 or 9 digits, with an optional ZIP+4 hyphen; ","")&amp;IF(AND($N352&lt;&gt;"",NOT(IFERROR(AND(ISNUMBER(SEARCH("@",$N352)),ISNUMBER(SEARCH(".",$N352,SEARCH("@",$N352)+2))),FALSE))),"Email format appears invalid; ","")&amp;IF(AND($O352&lt;&gt;"",$B352=""),"Dependent SSN is required for every dependent; ","")&amp;IF(AND($B352&lt;&gt;"",$O352=""),"Dependent Relationship is required when Dependent SSN is entered; ","")&amp;IF(AND($O352&lt;&gt;"",$O352&lt;&gt;"Spouse or Common Law Spouse",$O352&lt;&gt;"Domestic Partner",$O352&lt;&gt;"Child",$O352&lt;&gt;"Other",$O352&lt;&gt;"Estate",$O352&lt;&gt;"Unknown"),"Dependent Relationship must use one of the approved options; ",""))</f>
        <v/>
      </c>
      <c r="Z352">
        <f>IF(COUNTA($A352:$U352)=0,"",IF(AND($A352&lt;&gt;"",NOT(IFERROR(AND(LEN($A352&amp;"")=9,ISNUMBER(--($A352&amp;""))),FALSE))),"Employee SSN must contain exactly 9 digits; ","")&amp;IF(AND($A352&lt;&gt;"",OR($A352="123456789",$A352="987654321",$A352="012345678",$A352=REPT(LEFT($A352&amp;"",1),9))),"Employee SSN appears to be a placeholder; ","")&amp;IF(AND($B352&lt;&gt;"",NOT(IFERROR(AND(LEN($B352&amp;"")=9,ISNUMBER(--($B352&amp;""))),FALSE))),"Dependent SSN must contain exactly 9 digits; ","")&amp;IF(AND($B352&lt;&gt;"",OR($B352="123456789",$B352="987654321",$B352="012345678",$B352=REPT(LEFT($B352&amp;"",1),9))),"Dependent SSN appears to be a placeholder; ","")&amp;IF(AND($A352&lt;&gt;"",$B352&lt;&gt;"",$A352&amp;""=$B352&amp;""),"Dependent SSN cannot match Employee SSN; ","")&amp;IF(AND($W352&lt;&gt;"",OR(COUNTIFS($W$2:$W$501,$W352,$C$2:$C$501,"&lt;&gt;"&amp;$C352)&gt;0,COUNTIFS($W$2:$W$501,$W352,$D$2:$D$501,"&lt;&gt;"&amp;$D352)&gt;0,COUNTIFS($W$2:$W$501,$W352,$L$2:$L$501,"&lt;&gt;"&amp;$L352)&gt;0)),"The same SSN is associated with a different name or birthdate; ",""))</f>
        <v/>
      </c>
      <c r="AA352">
        <f>IF(COUNTA($A352:$U352)=0,"",IF(AND($A352&lt;&gt;"",$S352&lt;&gt;"",COUNTIFS($A$2:$A$501,$A352,$S$2:$S$501,$S352,$B$2:$B$501,"",$O$2:$O$501,"")=0),"Add an employee row for this household and plan; ","")&amp;IF(AND($X352="Dependent",COUNTIFS($A$2:$A352,$A352,$S$2:$S352,$S352,$B$2:$B352,"",$O$2:$O352,"")=0),"Place the employee row before dependent rows for this plan; ","")&amp;IF(AND($X352="Dependent",COUNTIFS($A$2:$A$501,$A352,$S$2:$S$501,$S352,$B$2:$B$501,"",$O$2:$O$501,"")&gt;0,IFERROR(OR($P352&lt;&gt;LOOKUP(2,1/(($A$2:$A$501=$A352)*($S$2:$S$501=$S352)*($B$2:$B$501="")*($O$2:$O$501="")),$P$2:$P$501),$Q352&lt;&gt;LOOKUP(2,1/(($A$2:$A$501=$A352)*($S$2:$S$501=$S352)*($B$2:$B$501="")*($O$2:$O$501="")),$Q$2:$Q$501),$R352&lt;&gt;LOOKUP(2,1/(($A$2:$A$501=$A352)*($S$2:$S$501=$S352)*($B$2:$B$501="")*($O$2:$O$501="")),$R$2:$R$501),$T352&lt;&gt;LOOKUP(2,1/(($A$2:$A$501=$A352)*($S$2:$S$501=$S352)*($B$2:$B$501="")*($O$2:$O$501="")),$T$2:$T$501),$U352&lt;&gt;LOOKUP(2,1/(($A$2:$A$501=$A352)*($S$2:$S$501=$S352)*($B$2:$B$501="")*($O$2:$O$501="")),$U$2:$U$501)),FALSE)),"Dependent row does not match the employee row for eligibility, status, coverage level, or funding; ",""))</f>
        <v/>
      </c>
      <c r="AB352">
        <f>IF(COUNTA($A352:$U352)=0,"",IF($L352="","Birthdate is required; ","")&amp;IF(AND($L352&lt;&gt;"",OR(NOT(ISNUMBER($L352)),$L352&lt;=DATE(1900,1,1),$L352&gt;TODAY())),"Birthdate must be an exact valid past date; ","")&amp;IF($P352="","Eligibility Date is required; ","")&amp;IF(AND($P352&lt;&gt;"",OR(NOT(ISNUMBER($P352)),$P352&lt;=DATE(1900,1,1))),"Eligibility Date must be a valid date; ","")&amp;IF(AND($R352="Terminated",$Q352=""),"Termination Date is required when Status is Terminated; ","")&amp;IF(AND($Q352&lt;&gt;"",OR(NOT(ISNUMBER($Q352)),$Q352&lt;=DATE(1900,1,1))),"Termination Date must be a valid date; ","")&amp;IF(AND(ISNUMBER($P352),ISNUMBER($Q352),$Q352&lt;$P352),"Termination Date cannot be before Eligibility Date; ","")&amp;IF($R352="","Status is required; ","")&amp;IF(AND($R352&lt;&gt;"",$R352&lt;&gt;"Active",$R352&lt;&gt;"Terminated"),"Status must be Active or Terminated; ","")&amp;IF(AND('START HERE'!$C$8="Terminations Only",$R352&lt;&gt;"Terminated"),"Terminations Only files must contain terminated records; ",""))</f>
        <v/>
      </c>
      <c r="AC352">
        <f>IF(COUNTA($A352:$U352)=0,"",IF($S352="","Plan Name is required; ","")&amp;IF($T352="","Benefit Coverage Level is required; ","")&amp;IF(AND($U352&lt;&gt;"",OR(NOT(ISNUMBER($U352)),$U352&lt;0)),"Plan Funding Amount must be a nonnegative number; ","")&amp;IF(AND($A352&lt;&gt;"",$S352&lt;&gt;"",COUNTIFS($A$2:$A$501,$A352,$B$2:$B$501,$B352,$S$2:$S$501,$S352)&gt;1),"Duplicate participant and plan row; ",""))</f>
        <v/>
      </c>
      <c r="AD352">
        <f>IF(COUNTA($A352:$U352)=0,"",IF(AND($X352="Employee",$M352="",$N352=""),"No employee phone or email provided; ","")&amp;IF(AND($R352="Active",$Q352&lt;&gt;""),"Active record includes a Termination Date; confirm this is intentional; ","")&amp;IF(AND($B352&lt;&gt;"",$B352&amp;""&lt;&gt;$A352&amp;"",COUNTIF($A$2:$A$501,$B352)&gt;0),"Dependent SSN also appears as an Employee SSN elsewhere; confirm dual-employee coverage is intentional; ","")&amp;IF(AND($B352&lt;&gt;"",COUNTIF($B$2:$B$501,$B352)&gt;COUNTIFS($A$2:$A$501,$A352,$B$2:$B$501,$B352)),"Dependent SSN appears under more than one employee; confirm duplicate family coverage is intentional; ","")&amp;IF(AND(ROW()&gt;2,$A352&lt;&gt;"",$A352&lt;&gt;$A351,COUNTIF($A$2:$A351,$A352)&gt;0),"This household appears in more than one section of the census; keep the family together; ","")&amp;IF(OR(AND($C352&lt;&gt;"",LEN($C352&amp;"")&lt;&gt;LEN(TRIM($C352&amp;""))),AND($D352&lt;&gt;"",LEN($D352&amp;"")&lt;&gt;LEN(TRIM($D352&amp;""))),AND($E352&lt;&gt;"",LEN($E352&amp;"")&lt;&gt;LEN(TRIM($E352&amp;""))),AND($F352&lt;&gt;"",LEN($F352&amp;"")&lt;&gt;LEN(TRIM($F352&amp;""))),AND($G352&lt;&gt;"",LEN($G352&amp;"")&lt;&gt;LEN(TRIM($G352&amp;""))),AND($H352&lt;&gt;"",LEN($H352&amp;"")&lt;&gt;LEN(TRIM($H352&amp;""))),AND($I352&lt;&gt;"",LEN($I352&amp;"")&lt;&gt;LEN(TRIM($I352&amp;""))),AND($J352&lt;&gt;"",LEN($J352&amp;"")&lt;&gt;LEN(TRIM($J352&amp;""))),AND($K352&lt;&gt;"",LEN($K352&amp;"")&lt;&gt;LEN(TRIM($K352&amp;""))),AND($M352&lt;&gt;"",LEN($M352&amp;"")&lt;&gt;LEN(TRIM($M352&amp;""))),AND($N352&lt;&gt;"",LEN($N352&amp;"")&lt;&gt;LEN(TRIM($N352&amp;""))),AND($O352&lt;&gt;"",LEN($O352&amp;"")&lt;&gt;LEN(TRIM($O352&amp;""))),AND($R352&lt;&gt;"",LEN($R352&amp;"")&lt;&gt;LEN(TRIM($R352&amp;""))),AND($S352&lt;&gt;"",LEN($S352&amp;"")&lt;&gt;LEN(TRIM($S352&amp;""))),AND($T352&lt;&gt;"",LEN($T352&amp;"")&lt;&gt;LEN(TRIM($T352&amp;"")))),"Remove leading or trailing spaces from text fields; ","")&amp;IF(OR(AND(LEN($C352)&gt;1,OR(EXACT($C352,UPPER($C352)),EXACT($C352,LOWER($C352)))),AND(LEN($D352)&gt;1,OR(EXACT($D352,UPPER($D352)),EXACT($D352,LOWER($D352)))),AND(LEN($H352)&gt;1,OR(EXACT($H352,UPPER($H352)),EXACT($H352,LOWER($H352))))),"Review capitalization in First Name, Last Name, or City; ","")&amp;IF(AND($N352&lt;&gt;"",NOT(EXACT($N352,LOWER($N352)))),"Email will be standardized to lowercase in the clean output; ","")&amp;IF(AND(OR('START HERE'!$C$8="Initial Enrollment",'START HERE'!$C$8="Open Enrollment"),$R352="Terminated"),"A terminated row is included in an initial or open enrollment file; confirm this is intentional; ",""))</f>
        <v/>
      </c>
      <c r="AE352">
        <f>IF(COUNTA($A352:$U352)=0,"",IF(OR($A352="",AND($A352&lt;&gt;"",NOT(IFERROR(AND(LEN($A352&amp;"")=9,ISNUMBER(--($A352&amp;""))),FALSE))),AND($A352&lt;&gt;"",OR($A352="123456789",$A352="987654321",$A352="012345678",$A352=REPT(LEFT($A352&amp;"",1),9)))),"Employee SSN, ","")&amp;IF(OR(AND($O352&lt;&gt;"",$B352=""),AND($B352&lt;&gt;"",OR(NOT(IFERROR(AND(LEN($B352&amp;"")=9,ISNUMBER(--($B352&amp;""))),FALSE)),$B352=$A352,$B352="123456789",$B352="987654321",$B352="012345678",$B352=REPT(LEFT($B352&amp;"",1),9)))),"Dependent SSN, ","")&amp;IF(OR($C352="",LEN($C352)&gt;19,AND($C352&lt;&gt;"",SUMPRODUCT(--(ROW($1:$19)&lt;=LEN($C352&amp;"")),--ISERROR(FIND(MID($C352&amp;"",ROW($1:$19),1),"ABCDEFGHIJKLMNOPQRSTUVWXYZabcdefghijklmnopqrstuvwxyz .,")))&gt;0)),"First Name, ","")&amp;IF(OR($D352="",LEN($D352)&gt;26,AND($D352&lt;&gt;"",SUMPRODUCT(--(ROW($1:$26)&lt;=LEN($D352&amp;"")),--ISERROR(FIND(MID($D352&amp;"",ROW($1:$26),1),"ABCDEFGHIJKLMNOPQRSTUVWXYZabcdefghijklmnopqrstuvwxyz .,")))&gt;0)),"Last Name, ","")&amp;IF(OR(LEN($E352)&gt;1,AND($E352&lt;&gt;"",SUMPRODUCT(--(ROW($1:$1)&lt;=LEN($E352&amp;"")),--ISERROR(FIND(MID($E352&amp;"",ROW($1:$1),1),"ABCDEFGHIJKLMNOPQRSTUVWXYZabcdefghijklmnopqrstuvwxyz .,")))&gt;0)),"Middle Initial, ","")&amp;IF(OR($F352="",LEN($F352)&gt;75),"Address, ","")&amp;IF(OR($H352="",LEN($H352)&gt;30),"City, ","")&amp;IF(AND($K352="US",OR($I352="",LEN($I352)&lt;&gt;2)),"State, ","")&amp;IF($J352="","ZIP, ","")&amp;IF(OR($K352="",AND($K352&lt;&gt;"US",$K352&lt;&gt;"CA")),"Country, ","")&amp;IF(OR($L352="",AND($L352&lt;&gt;"",OR(NOT(ISNUMBER($L352)),$L352&lt;=DATE(1900,1,1),$L352&gt;TODAY()))),"Birthdate, ","")&amp;IF(AND($N352&lt;&gt;"",NOT(IFERROR(AND(ISNUMBER(SEARCH("@",$N352)),ISNUMBER(SEARCH(".",$N352,SEARCH("@",$N352)+2))),FALSE))),"Email, ","")&amp;IF(OR(AND($B352&lt;&gt;"",$O352=""),AND($O352&lt;&gt;"",$O352&lt;&gt;"Spouse or Common Law Spouse",$O352&lt;&gt;"Domestic Partner",$O352&lt;&gt;"Child",$O352&lt;&gt;"Other",$O352&lt;&gt;"Estate",$O352&lt;&gt;"Unknown")),"Dependent Relationship, ","")&amp;IF($AA352&lt;&gt;"","Household, ","")&amp;IF(OR($P352="",AND($P352&lt;&gt;"",OR(NOT(ISNUMBER($P352)),$P352&lt;=DATE(1900,1,1)))),"Eligibility Date, ","")&amp;IF(OR(AND($R352="Terminated",$Q352=""),AND($Q352&lt;&gt;"",OR(NOT(ISNUMBER($Q352)),$Q352&lt;=DATE(1900,1,1))),AND(ISNUMBER($P352),ISNUMBER($Q352),$Q352&lt;$P352)),"Termination Date, ","")&amp;IF(OR($R352="",AND($R352&lt;&gt;"Active",$R352&lt;&gt;"Terminated"),AND('START HERE'!$C$8="Terminations Only",$R352&lt;&gt;"Terminated")),"Status, ","")&amp;IF($S352="","Plan Name, ","")&amp;IF($T352="","Coverage Level, ","")&amp;IF(AND($U352&lt;&gt;"",OR(NOT(ISNUMBER($U352)),$U352&lt;0)),"Funding, ","")&amp;IF(AND($A352&lt;&gt;"",$S352&lt;&gt;"",COUNTIFS($A$2:$A$501,$A352,$B$2:$B$501,$B352,$S$2:$S$501,$S352)&gt;1),"Duplicate Row, ",""))</f>
        <v/>
      </c>
      <c r="AF352">
        <f>IF(COUNTA($A352:$U352)=0,"",$Y352&amp;$Z352&amp;$AA352&amp;$AB352&amp;$AC352)</f>
        <v/>
      </c>
      <c r="AG352">
        <f>IF($N352="","",LOWER(TRIM($N352)))</f>
        <v/>
      </c>
      <c r="AH352">
        <f>IF($A352="","",COUNTIFS($A$2:$A$501,$A352,$AI$2:$AI$501,1))</f>
        <v/>
      </c>
      <c r="AI352">
        <f>IF(COUNTA($A352:$U352)=0,"",--($AF352&lt;&gt;""))</f>
        <v/>
      </c>
      <c r="AJ352">
        <f>IF(COUNTA($A352:$U352)=0,"",--($AD352&lt;&gt;""))</f>
        <v/>
      </c>
    </row>
    <row r="353" ht="20" customHeight="1">
      <c r="A353" s="80" t="n"/>
      <c r="B353" s="80" t="n"/>
      <c r="C353" s="81" t="n"/>
      <c r="D353" s="81" t="n"/>
      <c r="E353" s="80" t="n"/>
      <c r="F353" s="81" t="n"/>
      <c r="G353" s="81" t="n"/>
      <c r="H353" s="81" t="n"/>
      <c r="I353" s="80" t="n"/>
      <c r="J353" s="80" t="n"/>
      <c r="K353" s="80" t="n"/>
      <c r="L353" s="82" t="n"/>
      <c r="M353" s="80" t="n"/>
      <c r="N353" s="80" t="n"/>
      <c r="O353" s="80" t="n"/>
      <c r="P353" s="82" t="n"/>
      <c r="Q353" s="82" t="n"/>
      <c r="R353" s="80" t="n"/>
      <c r="S353" s="80" t="n"/>
      <c r="T353" s="80" t="n"/>
      <c r="U353" s="83" t="n"/>
      <c r="V353">
        <f>IF($A353="","",IF($A353=$A352,$V352,IF($V352="",0,1-$V352)))</f>
        <v/>
      </c>
      <c r="W353">
        <f>IF($B353&lt;&gt;"",$B353,$A353)</f>
        <v/>
      </c>
      <c r="X353">
        <f>IF(COUNTA($A353:$U353)=0,"",IF(OR($B353&lt;&gt;"",$O353&lt;&gt;""),"Dependent","Employee"))</f>
        <v/>
      </c>
      <c r="Y353">
        <f>IF(COUNTA($A353:$U353)=0,"",IF($A353="","Employee SSN is required; ","")&amp;IF($C353="","First Name is required; ","")&amp;IF(LEN($C353&amp;"")&gt;19,"First Name exceeds 19 characters; ","")&amp;IF(AND($C353&lt;&gt;"",SUMPRODUCT(--(ROW($1:$19)&lt;=LEN($C353&amp;"")),--ISERROR(FIND(MID($C353&amp;"",ROW($1:$19),1),"ABCDEFGHIJKLMNOPQRSTUVWXYZabcdefghijklmnopqrstuvwxyz .,")))&gt;0),"First Name contains unsupported or encoded characters; use plain A-Z letters only; ","")&amp;IF($D353="","Last Name is required; ","")&amp;IF(LEN($D353&amp;"")&gt;26,"Last Name exceeds 26 characters; ","")&amp;IF(AND($D353&lt;&gt;"",SUMPRODUCT(--(ROW($1:$26)&lt;=LEN($D353&amp;"")),--ISERROR(FIND(MID($D353&amp;"",ROW($1:$26),1),"ABCDEFGHIJKLMNOPQRSTUVWXYZabcdefghijklmnopqrstuvwxyz .,")))&gt;0),"Last Name contains unsupported or encoded characters; use plain A-Z letters only; ","")&amp;IF(LEN($E353&amp;"")&gt;1,"Middle Initial may contain only one character; ","")&amp;IF(AND($E353&lt;&gt;"",SUMPRODUCT(--(ROW($1:$1)&lt;=LEN($E353&amp;"")),--ISERROR(FIND(MID($E353&amp;"",ROW($1:$1),1),"ABCDEFGHIJKLMNOPQRSTUVWXYZabcdefghijklmnopqrstuvwxyz .,")))&gt;0),"Middle Initial must be a plain A-Z letter; ","")&amp;IF($F353="","Address is required; ","")&amp;IF(LEN($F353&amp;"")&gt;75,"Address exceeds 75 characters; ","")&amp;IF(LEN($G353&amp;"")&gt;75,"Address 2 exceeds 75 characters; ","")&amp;IF($H353="","City is required; ","")&amp;IF(LEN($H353&amp;"")&gt;30,"City exceeds 30 characters; ","")&amp;IF($K353="","Country is required; ","")&amp;IF(AND($K353&lt;&gt;"",$K353&lt;&gt;"US",$K353&lt;&gt;"CA"),"Country must be US or CA; ","")&amp;IF(AND($K353="US",OR($I353="",LEN($I353&amp;"")&lt;&gt;2)),"Use a 2-letter state code; ","")&amp;IF($J353="","ZIP or postal code is required; ","")&amp;IF(AND($K353="US",$J353&lt;&gt;"",NOT(IFERROR(OR(AND(LEN($J353&amp;"")=5,ISNUMBER(--($J353&amp;""))),AND(LEN($J353&amp;"")=9,ISNUMBER(--($J353&amp;""))),AND(LEN($J353&amp;"")=10,MID($J353&amp;"",6,1)="-",ISNUMBER(--SUBSTITUTE($J353&amp;"","-","")))),FALSE))),"US ZIP must be 5 or 9 digits, with an optional ZIP+4 hyphen; ","")&amp;IF(AND($N353&lt;&gt;"",NOT(IFERROR(AND(ISNUMBER(SEARCH("@",$N353)),ISNUMBER(SEARCH(".",$N353,SEARCH("@",$N353)+2))),FALSE))),"Email format appears invalid; ","")&amp;IF(AND($O353&lt;&gt;"",$B353=""),"Dependent SSN is required for every dependent; ","")&amp;IF(AND($B353&lt;&gt;"",$O353=""),"Dependent Relationship is required when Dependent SSN is entered; ","")&amp;IF(AND($O353&lt;&gt;"",$O353&lt;&gt;"Spouse or Common Law Spouse",$O353&lt;&gt;"Domestic Partner",$O353&lt;&gt;"Child",$O353&lt;&gt;"Other",$O353&lt;&gt;"Estate",$O353&lt;&gt;"Unknown"),"Dependent Relationship must use one of the approved options; ",""))</f>
        <v/>
      </c>
      <c r="Z353">
        <f>IF(COUNTA($A353:$U353)=0,"",IF(AND($A353&lt;&gt;"",NOT(IFERROR(AND(LEN($A353&amp;"")=9,ISNUMBER(--($A353&amp;""))),FALSE))),"Employee SSN must contain exactly 9 digits; ","")&amp;IF(AND($A353&lt;&gt;"",OR($A353="123456789",$A353="987654321",$A353="012345678",$A353=REPT(LEFT($A353&amp;"",1),9))),"Employee SSN appears to be a placeholder; ","")&amp;IF(AND($B353&lt;&gt;"",NOT(IFERROR(AND(LEN($B353&amp;"")=9,ISNUMBER(--($B353&amp;""))),FALSE))),"Dependent SSN must contain exactly 9 digits; ","")&amp;IF(AND($B353&lt;&gt;"",OR($B353="123456789",$B353="987654321",$B353="012345678",$B353=REPT(LEFT($B353&amp;"",1),9))),"Dependent SSN appears to be a placeholder; ","")&amp;IF(AND($A353&lt;&gt;"",$B353&lt;&gt;"",$A353&amp;""=$B353&amp;""),"Dependent SSN cannot match Employee SSN; ","")&amp;IF(AND($W353&lt;&gt;"",OR(COUNTIFS($W$2:$W$501,$W353,$C$2:$C$501,"&lt;&gt;"&amp;$C353)&gt;0,COUNTIFS($W$2:$W$501,$W353,$D$2:$D$501,"&lt;&gt;"&amp;$D353)&gt;0,COUNTIFS($W$2:$W$501,$W353,$L$2:$L$501,"&lt;&gt;"&amp;$L353)&gt;0)),"The same SSN is associated with a different name or birthdate; ",""))</f>
        <v/>
      </c>
      <c r="AA353">
        <f>IF(COUNTA($A353:$U353)=0,"",IF(AND($A353&lt;&gt;"",$S353&lt;&gt;"",COUNTIFS($A$2:$A$501,$A353,$S$2:$S$501,$S353,$B$2:$B$501,"",$O$2:$O$501,"")=0),"Add an employee row for this household and plan; ","")&amp;IF(AND($X353="Dependent",COUNTIFS($A$2:$A353,$A353,$S$2:$S353,$S353,$B$2:$B353,"",$O$2:$O353,"")=0),"Place the employee row before dependent rows for this plan; ","")&amp;IF(AND($X353="Dependent",COUNTIFS($A$2:$A$501,$A353,$S$2:$S$501,$S353,$B$2:$B$501,"",$O$2:$O$501,"")&gt;0,IFERROR(OR($P353&lt;&gt;LOOKUP(2,1/(($A$2:$A$501=$A353)*($S$2:$S$501=$S353)*($B$2:$B$501="")*($O$2:$O$501="")),$P$2:$P$501),$Q353&lt;&gt;LOOKUP(2,1/(($A$2:$A$501=$A353)*($S$2:$S$501=$S353)*($B$2:$B$501="")*($O$2:$O$501="")),$Q$2:$Q$501),$R353&lt;&gt;LOOKUP(2,1/(($A$2:$A$501=$A353)*($S$2:$S$501=$S353)*($B$2:$B$501="")*($O$2:$O$501="")),$R$2:$R$501),$T353&lt;&gt;LOOKUP(2,1/(($A$2:$A$501=$A353)*($S$2:$S$501=$S353)*($B$2:$B$501="")*($O$2:$O$501="")),$T$2:$T$501),$U353&lt;&gt;LOOKUP(2,1/(($A$2:$A$501=$A353)*($S$2:$S$501=$S353)*($B$2:$B$501="")*($O$2:$O$501="")),$U$2:$U$501)),FALSE)),"Dependent row does not match the employee row for eligibility, status, coverage level, or funding; ",""))</f>
        <v/>
      </c>
      <c r="AB353">
        <f>IF(COUNTA($A353:$U353)=0,"",IF($L353="","Birthdate is required; ","")&amp;IF(AND($L353&lt;&gt;"",OR(NOT(ISNUMBER($L353)),$L353&lt;=DATE(1900,1,1),$L353&gt;TODAY())),"Birthdate must be an exact valid past date; ","")&amp;IF($P353="","Eligibility Date is required; ","")&amp;IF(AND($P353&lt;&gt;"",OR(NOT(ISNUMBER($P353)),$P353&lt;=DATE(1900,1,1))),"Eligibility Date must be a valid date; ","")&amp;IF(AND($R353="Terminated",$Q353=""),"Termination Date is required when Status is Terminated; ","")&amp;IF(AND($Q353&lt;&gt;"",OR(NOT(ISNUMBER($Q353)),$Q353&lt;=DATE(1900,1,1))),"Termination Date must be a valid date; ","")&amp;IF(AND(ISNUMBER($P353),ISNUMBER($Q353),$Q353&lt;$P353),"Termination Date cannot be before Eligibility Date; ","")&amp;IF($R353="","Status is required; ","")&amp;IF(AND($R353&lt;&gt;"",$R353&lt;&gt;"Active",$R353&lt;&gt;"Terminated"),"Status must be Active or Terminated; ","")&amp;IF(AND('START HERE'!$C$8="Terminations Only",$R353&lt;&gt;"Terminated"),"Terminations Only files must contain terminated records; ",""))</f>
        <v/>
      </c>
      <c r="AC353">
        <f>IF(COUNTA($A353:$U353)=0,"",IF($S353="","Plan Name is required; ","")&amp;IF($T353="","Benefit Coverage Level is required; ","")&amp;IF(AND($U353&lt;&gt;"",OR(NOT(ISNUMBER($U353)),$U353&lt;0)),"Plan Funding Amount must be a nonnegative number; ","")&amp;IF(AND($A353&lt;&gt;"",$S353&lt;&gt;"",COUNTIFS($A$2:$A$501,$A353,$B$2:$B$501,$B353,$S$2:$S$501,$S353)&gt;1),"Duplicate participant and plan row; ",""))</f>
        <v/>
      </c>
      <c r="AD353">
        <f>IF(COUNTA($A353:$U353)=0,"",IF(AND($X353="Employee",$M353="",$N353=""),"No employee phone or email provided; ","")&amp;IF(AND($R353="Active",$Q353&lt;&gt;""),"Active record includes a Termination Date; confirm this is intentional; ","")&amp;IF(AND($B353&lt;&gt;"",$B353&amp;""&lt;&gt;$A353&amp;"",COUNTIF($A$2:$A$501,$B353)&gt;0),"Dependent SSN also appears as an Employee SSN elsewhere; confirm dual-employee coverage is intentional; ","")&amp;IF(AND($B353&lt;&gt;"",COUNTIF($B$2:$B$501,$B353)&gt;COUNTIFS($A$2:$A$501,$A353,$B$2:$B$501,$B353)),"Dependent SSN appears under more than one employee; confirm duplicate family coverage is intentional; ","")&amp;IF(AND(ROW()&gt;2,$A353&lt;&gt;"",$A353&lt;&gt;$A352,COUNTIF($A$2:$A352,$A353)&gt;0),"This household appears in more than one section of the census; keep the family together; ","")&amp;IF(OR(AND($C353&lt;&gt;"",LEN($C353&amp;"")&lt;&gt;LEN(TRIM($C353&amp;""))),AND($D353&lt;&gt;"",LEN($D353&amp;"")&lt;&gt;LEN(TRIM($D353&amp;""))),AND($E353&lt;&gt;"",LEN($E353&amp;"")&lt;&gt;LEN(TRIM($E353&amp;""))),AND($F353&lt;&gt;"",LEN($F353&amp;"")&lt;&gt;LEN(TRIM($F353&amp;""))),AND($G353&lt;&gt;"",LEN($G353&amp;"")&lt;&gt;LEN(TRIM($G353&amp;""))),AND($H353&lt;&gt;"",LEN($H353&amp;"")&lt;&gt;LEN(TRIM($H353&amp;""))),AND($I353&lt;&gt;"",LEN($I353&amp;"")&lt;&gt;LEN(TRIM($I353&amp;""))),AND($J353&lt;&gt;"",LEN($J353&amp;"")&lt;&gt;LEN(TRIM($J353&amp;""))),AND($K353&lt;&gt;"",LEN($K353&amp;"")&lt;&gt;LEN(TRIM($K353&amp;""))),AND($M353&lt;&gt;"",LEN($M353&amp;"")&lt;&gt;LEN(TRIM($M353&amp;""))),AND($N353&lt;&gt;"",LEN($N353&amp;"")&lt;&gt;LEN(TRIM($N353&amp;""))),AND($O353&lt;&gt;"",LEN($O353&amp;"")&lt;&gt;LEN(TRIM($O353&amp;""))),AND($R353&lt;&gt;"",LEN($R353&amp;"")&lt;&gt;LEN(TRIM($R353&amp;""))),AND($S353&lt;&gt;"",LEN($S353&amp;"")&lt;&gt;LEN(TRIM($S353&amp;""))),AND($T353&lt;&gt;"",LEN($T353&amp;"")&lt;&gt;LEN(TRIM($T353&amp;"")))),"Remove leading or trailing spaces from text fields; ","")&amp;IF(OR(AND(LEN($C353)&gt;1,OR(EXACT($C353,UPPER($C353)),EXACT($C353,LOWER($C353)))),AND(LEN($D353)&gt;1,OR(EXACT($D353,UPPER($D353)),EXACT($D353,LOWER($D353)))),AND(LEN($H353)&gt;1,OR(EXACT($H353,UPPER($H353)),EXACT($H353,LOWER($H353))))),"Review capitalization in First Name, Last Name, or City; ","")&amp;IF(AND($N353&lt;&gt;"",NOT(EXACT($N353,LOWER($N353)))),"Email will be standardized to lowercase in the clean output; ","")&amp;IF(AND(OR('START HERE'!$C$8="Initial Enrollment",'START HERE'!$C$8="Open Enrollment"),$R353="Terminated"),"A terminated row is included in an initial or open enrollment file; confirm this is intentional; ",""))</f>
        <v/>
      </c>
      <c r="AE353">
        <f>IF(COUNTA($A353:$U353)=0,"",IF(OR($A353="",AND($A353&lt;&gt;"",NOT(IFERROR(AND(LEN($A353&amp;"")=9,ISNUMBER(--($A353&amp;""))),FALSE))),AND($A353&lt;&gt;"",OR($A353="123456789",$A353="987654321",$A353="012345678",$A353=REPT(LEFT($A353&amp;"",1),9)))),"Employee SSN, ","")&amp;IF(OR(AND($O353&lt;&gt;"",$B353=""),AND($B353&lt;&gt;"",OR(NOT(IFERROR(AND(LEN($B353&amp;"")=9,ISNUMBER(--($B353&amp;""))),FALSE)),$B353=$A353,$B353="123456789",$B353="987654321",$B353="012345678",$B353=REPT(LEFT($B353&amp;"",1),9)))),"Dependent SSN, ","")&amp;IF(OR($C353="",LEN($C353)&gt;19,AND($C353&lt;&gt;"",SUMPRODUCT(--(ROW($1:$19)&lt;=LEN($C353&amp;"")),--ISERROR(FIND(MID($C353&amp;"",ROW($1:$19),1),"ABCDEFGHIJKLMNOPQRSTUVWXYZabcdefghijklmnopqrstuvwxyz .,")))&gt;0)),"First Name, ","")&amp;IF(OR($D353="",LEN($D353)&gt;26,AND($D353&lt;&gt;"",SUMPRODUCT(--(ROW($1:$26)&lt;=LEN($D353&amp;"")),--ISERROR(FIND(MID($D353&amp;"",ROW($1:$26),1),"ABCDEFGHIJKLMNOPQRSTUVWXYZabcdefghijklmnopqrstuvwxyz .,")))&gt;0)),"Last Name, ","")&amp;IF(OR(LEN($E353)&gt;1,AND($E353&lt;&gt;"",SUMPRODUCT(--(ROW($1:$1)&lt;=LEN($E353&amp;"")),--ISERROR(FIND(MID($E353&amp;"",ROW($1:$1),1),"ABCDEFGHIJKLMNOPQRSTUVWXYZabcdefghijklmnopqrstuvwxyz .,")))&gt;0)),"Middle Initial, ","")&amp;IF(OR($F353="",LEN($F353)&gt;75),"Address, ","")&amp;IF(OR($H353="",LEN($H353)&gt;30),"City, ","")&amp;IF(AND($K353="US",OR($I353="",LEN($I353)&lt;&gt;2)),"State, ","")&amp;IF($J353="","ZIP, ","")&amp;IF(OR($K353="",AND($K353&lt;&gt;"US",$K353&lt;&gt;"CA")),"Country, ","")&amp;IF(OR($L353="",AND($L353&lt;&gt;"",OR(NOT(ISNUMBER($L353)),$L353&lt;=DATE(1900,1,1),$L353&gt;TODAY()))),"Birthdate, ","")&amp;IF(AND($N353&lt;&gt;"",NOT(IFERROR(AND(ISNUMBER(SEARCH("@",$N353)),ISNUMBER(SEARCH(".",$N353,SEARCH("@",$N353)+2))),FALSE))),"Email, ","")&amp;IF(OR(AND($B353&lt;&gt;"",$O353=""),AND($O353&lt;&gt;"",$O353&lt;&gt;"Spouse or Common Law Spouse",$O353&lt;&gt;"Domestic Partner",$O353&lt;&gt;"Child",$O353&lt;&gt;"Other",$O353&lt;&gt;"Estate",$O353&lt;&gt;"Unknown")),"Dependent Relationship, ","")&amp;IF($AA353&lt;&gt;"","Household, ","")&amp;IF(OR($P353="",AND($P353&lt;&gt;"",OR(NOT(ISNUMBER($P353)),$P353&lt;=DATE(1900,1,1)))),"Eligibility Date, ","")&amp;IF(OR(AND($R353="Terminated",$Q353=""),AND($Q353&lt;&gt;"",OR(NOT(ISNUMBER($Q353)),$Q353&lt;=DATE(1900,1,1))),AND(ISNUMBER($P353),ISNUMBER($Q353),$Q353&lt;$P353)),"Termination Date, ","")&amp;IF(OR($R353="",AND($R353&lt;&gt;"Active",$R353&lt;&gt;"Terminated"),AND('START HERE'!$C$8="Terminations Only",$R353&lt;&gt;"Terminated")),"Status, ","")&amp;IF($S353="","Plan Name, ","")&amp;IF($T353="","Coverage Level, ","")&amp;IF(AND($U353&lt;&gt;"",OR(NOT(ISNUMBER($U353)),$U353&lt;0)),"Funding, ","")&amp;IF(AND($A353&lt;&gt;"",$S353&lt;&gt;"",COUNTIFS($A$2:$A$501,$A353,$B$2:$B$501,$B353,$S$2:$S$501,$S353)&gt;1),"Duplicate Row, ",""))</f>
        <v/>
      </c>
      <c r="AF353">
        <f>IF(COUNTA($A353:$U353)=0,"",$Y353&amp;$Z353&amp;$AA353&amp;$AB353&amp;$AC353)</f>
        <v/>
      </c>
      <c r="AG353">
        <f>IF($N353="","",LOWER(TRIM($N353)))</f>
        <v/>
      </c>
      <c r="AH353">
        <f>IF($A353="","",COUNTIFS($A$2:$A$501,$A353,$AI$2:$AI$501,1))</f>
        <v/>
      </c>
      <c r="AI353">
        <f>IF(COUNTA($A353:$U353)=0,"",--($AF353&lt;&gt;""))</f>
        <v/>
      </c>
      <c r="AJ353">
        <f>IF(COUNTA($A353:$U353)=0,"",--($AD353&lt;&gt;""))</f>
        <v/>
      </c>
    </row>
    <row r="354" ht="20" customHeight="1">
      <c r="A354" s="80" t="n"/>
      <c r="B354" s="80" t="n"/>
      <c r="C354" s="81" t="n"/>
      <c r="D354" s="81" t="n"/>
      <c r="E354" s="80" t="n"/>
      <c r="F354" s="81" t="n"/>
      <c r="G354" s="81" t="n"/>
      <c r="H354" s="81" t="n"/>
      <c r="I354" s="80" t="n"/>
      <c r="J354" s="80" t="n"/>
      <c r="K354" s="80" t="n"/>
      <c r="L354" s="82" t="n"/>
      <c r="M354" s="80" t="n"/>
      <c r="N354" s="80" t="n"/>
      <c r="O354" s="80" t="n"/>
      <c r="P354" s="82" t="n"/>
      <c r="Q354" s="82" t="n"/>
      <c r="R354" s="80" t="n"/>
      <c r="S354" s="80" t="n"/>
      <c r="T354" s="80" t="n"/>
      <c r="U354" s="83" t="n"/>
      <c r="V354">
        <f>IF($A354="","",IF($A354=$A353,$V353,IF($V353="",0,1-$V353)))</f>
        <v/>
      </c>
      <c r="W354">
        <f>IF($B354&lt;&gt;"",$B354,$A354)</f>
        <v/>
      </c>
      <c r="X354">
        <f>IF(COUNTA($A354:$U354)=0,"",IF(OR($B354&lt;&gt;"",$O354&lt;&gt;""),"Dependent","Employee"))</f>
        <v/>
      </c>
      <c r="Y354">
        <f>IF(COUNTA($A354:$U354)=0,"",IF($A354="","Employee SSN is required; ","")&amp;IF($C354="","First Name is required; ","")&amp;IF(LEN($C354&amp;"")&gt;19,"First Name exceeds 19 characters; ","")&amp;IF(AND($C354&lt;&gt;"",SUMPRODUCT(--(ROW($1:$19)&lt;=LEN($C354&amp;"")),--ISERROR(FIND(MID($C354&amp;"",ROW($1:$19),1),"ABCDEFGHIJKLMNOPQRSTUVWXYZabcdefghijklmnopqrstuvwxyz .,")))&gt;0),"First Name contains unsupported or encoded characters; use plain A-Z letters only; ","")&amp;IF($D354="","Last Name is required; ","")&amp;IF(LEN($D354&amp;"")&gt;26,"Last Name exceeds 26 characters; ","")&amp;IF(AND($D354&lt;&gt;"",SUMPRODUCT(--(ROW($1:$26)&lt;=LEN($D354&amp;"")),--ISERROR(FIND(MID($D354&amp;"",ROW($1:$26),1),"ABCDEFGHIJKLMNOPQRSTUVWXYZabcdefghijklmnopqrstuvwxyz .,")))&gt;0),"Last Name contains unsupported or encoded characters; use plain A-Z letters only; ","")&amp;IF(LEN($E354&amp;"")&gt;1,"Middle Initial may contain only one character; ","")&amp;IF(AND($E354&lt;&gt;"",SUMPRODUCT(--(ROW($1:$1)&lt;=LEN($E354&amp;"")),--ISERROR(FIND(MID($E354&amp;"",ROW($1:$1),1),"ABCDEFGHIJKLMNOPQRSTUVWXYZabcdefghijklmnopqrstuvwxyz .,")))&gt;0),"Middle Initial must be a plain A-Z letter; ","")&amp;IF($F354="","Address is required; ","")&amp;IF(LEN($F354&amp;"")&gt;75,"Address exceeds 75 characters; ","")&amp;IF(LEN($G354&amp;"")&gt;75,"Address 2 exceeds 75 characters; ","")&amp;IF($H354="","City is required; ","")&amp;IF(LEN($H354&amp;"")&gt;30,"City exceeds 30 characters; ","")&amp;IF($K354="","Country is required; ","")&amp;IF(AND($K354&lt;&gt;"",$K354&lt;&gt;"US",$K354&lt;&gt;"CA"),"Country must be US or CA; ","")&amp;IF(AND($K354="US",OR($I354="",LEN($I354&amp;"")&lt;&gt;2)),"Use a 2-letter state code; ","")&amp;IF($J354="","ZIP or postal code is required; ","")&amp;IF(AND($K354="US",$J354&lt;&gt;"",NOT(IFERROR(OR(AND(LEN($J354&amp;"")=5,ISNUMBER(--($J354&amp;""))),AND(LEN($J354&amp;"")=9,ISNUMBER(--($J354&amp;""))),AND(LEN($J354&amp;"")=10,MID($J354&amp;"",6,1)="-",ISNUMBER(--SUBSTITUTE($J354&amp;"","-","")))),FALSE))),"US ZIP must be 5 or 9 digits, with an optional ZIP+4 hyphen; ","")&amp;IF(AND($N354&lt;&gt;"",NOT(IFERROR(AND(ISNUMBER(SEARCH("@",$N354)),ISNUMBER(SEARCH(".",$N354,SEARCH("@",$N354)+2))),FALSE))),"Email format appears invalid; ","")&amp;IF(AND($O354&lt;&gt;"",$B354=""),"Dependent SSN is required for every dependent; ","")&amp;IF(AND($B354&lt;&gt;"",$O354=""),"Dependent Relationship is required when Dependent SSN is entered; ","")&amp;IF(AND($O354&lt;&gt;"",$O354&lt;&gt;"Spouse or Common Law Spouse",$O354&lt;&gt;"Domestic Partner",$O354&lt;&gt;"Child",$O354&lt;&gt;"Other",$O354&lt;&gt;"Estate",$O354&lt;&gt;"Unknown"),"Dependent Relationship must use one of the approved options; ",""))</f>
        <v/>
      </c>
      <c r="Z354">
        <f>IF(COUNTA($A354:$U354)=0,"",IF(AND($A354&lt;&gt;"",NOT(IFERROR(AND(LEN($A354&amp;"")=9,ISNUMBER(--($A354&amp;""))),FALSE))),"Employee SSN must contain exactly 9 digits; ","")&amp;IF(AND($A354&lt;&gt;"",OR($A354="123456789",$A354="987654321",$A354="012345678",$A354=REPT(LEFT($A354&amp;"",1),9))),"Employee SSN appears to be a placeholder; ","")&amp;IF(AND($B354&lt;&gt;"",NOT(IFERROR(AND(LEN($B354&amp;"")=9,ISNUMBER(--($B354&amp;""))),FALSE))),"Dependent SSN must contain exactly 9 digits; ","")&amp;IF(AND($B354&lt;&gt;"",OR($B354="123456789",$B354="987654321",$B354="012345678",$B354=REPT(LEFT($B354&amp;"",1),9))),"Dependent SSN appears to be a placeholder; ","")&amp;IF(AND($A354&lt;&gt;"",$B354&lt;&gt;"",$A354&amp;""=$B354&amp;""),"Dependent SSN cannot match Employee SSN; ","")&amp;IF(AND($W354&lt;&gt;"",OR(COUNTIFS($W$2:$W$501,$W354,$C$2:$C$501,"&lt;&gt;"&amp;$C354)&gt;0,COUNTIFS($W$2:$W$501,$W354,$D$2:$D$501,"&lt;&gt;"&amp;$D354)&gt;0,COUNTIFS($W$2:$W$501,$W354,$L$2:$L$501,"&lt;&gt;"&amp;$L354)&gt;0)),"The same SSN is associated with a different name or birthdate; ",""))</f>
        <v/>
      </c>
      <c r="AA354">
        <f>IF(COUNTA($A354:$U354)=0,"",IF(AND($A354&lt;&gt;"",$S354&lt;&gt;"",COUNTIFS($A$2:$A$501,$A354,$S$2:$S$501,$S354,$B$2:$B$501,"",$O$2:$O$501,"")=0),"Add an employee row for this household and plan; ","")&amp;IF(AND($X354="Dependent",COUNTIFS($A$2:$A354,$A354,$S$2:$S354,$S354,$B$2:$B354,"",$O$2:$O354,"")=0),"Place the employee row before dependent rows for this plan; ","")&amp;IF(AND($X354="Dependent",COUNTIFS($A$2:$A$501,$A354,$S$2:$S$501,$S354,$B$2:$B$501,"",$O$2:$O$501,"")&gt;0,IFERROR(OR($P354&lt;&gt;LOOKUP(2,1/(($A$2:$A$501=$A354)*($S$2:$S$501=$S354)*($B$2:$B$501="")*($O$2:$O$501="")),$P$2:$P$501),$Q354&lt;&gt;LOOKUP(2,1/(($A$2:$A$501=$A354)*($S$2:$S$501=$S354)*($B$2:$B$501="")*($O$2:$O$501="")),$Q$2:$Q$501),$R354&lt;&gt;LOOKUP(2,1/(($A$2:$A$501=$A354)*($S$2:$S$501=$S354)*($B$2:$B$501="")*($O$2:$O$501="")),$R$2:$R$501),$T354&lt;&gt;LOOKUP(2,1/(($A$2:$A$501=$A354)*($S$2:$S$501=$S354)*($B$2:$B$501="")*($O$2:$O$501="")),$T$2:$T$501),$U354&lt;&gt;LOOKUP(2,1/(($A$2:$A$501=$A354)*($S$2:$S$501=$S354)*($B$2:$B$501="")*($O$2:$O$501="")),$U$2:$U$501)),FALSE)),"Dependent row does not match the employee row for eligibility, status, coverage level, or funding; ",""))</f>
        <v/>
      </c>
      <c r="AB354">
        <f>IF(COUNTA($A354:$U354)=0,"",IF($L354="","Birthdate is required; ","")&amp;IF(AND($L354&lt;&gt;"",OR(NOT(ISNUMBER($L354)),$L354&lt;=DATE(1900,1,1),$L354&gt;TODAY())),"Birthdate must be an exact valid past date; ","")&amp;IF($P354="","Eligibility Date is required; ","")&amp;IF(AND($P354&lt;&gt;"",OR(NOT(ISNUMBER($P354)),$P354&lt;=DATE(1900,1,1))),"Eligibility Date must be a valid date; ","")&amp;IF(AND($R354="Terminated",$Q354=""),"Termination Date is required when Status is Terminated; ","")&amp;IF(AND($Q354&lt;&gt;"",OR(NOT(ISNUMBER($Q354)),$Q354&lt;=DATE(1900,1,1))),"Termination Date must be a valid date; ","")&amp;IF(AND(ISNUMBER($P354),ISNUMBER($Q354),$Q354&lt;$P354),"Termination Date cannot be before Eligibility Date; ","")&amp;IF($R354="","Status is required; ","")&amp;IF(AND($R354&lt;&gt;"",$R354&lt;&gt;"Active",$R354&lt;&gt;"Terminated"),"Status must be Active or Terminated; ","")&amp;IF(AND('START HERE'!$C$8="Terminations Only",$R354&lt;&gt;"Terminated"),"Terminations Only files must contain terminated records; ",""))</f>
        <v/>
      </c>
      <c r="AC354">
        <f>IF(COUNTA($A354:$U354)=0,"",IF($S354="","Plan Name is required; ","")&amp;IF($T354="","Benefit Coverage Level is required; ","")&amp;IF(AND($U354&lt;&gt;"",OR(NOT(ISNUMBER($U354)),$U354&lt;0)),"Plan Funding Amount must be a nonnegative number; ","")&amp;IF(AND($A354&lt;&gt;"",$S354&lt;&gt;"",COUNTIFS($A$2:$A$501,$A354,$B$2:$B$501,$B354,$S$2:$S$501,$S354)&gt;1),"Duplicate participant and plan row; ",""))</f>
        <v/>
      </c>
      <c r="AD354">
        <f>IF(COUNTA($A354:$U354)=0,"",IF(AND($X354="Employee",$M354="",$N354=""),"No employee phone or email provided; ","")&amp;IF(AND($R354="Active",$Q354&lt;&gt;""),"Active record includes a Termination Date; confirm this is intentional; ","")&amp;IF(AND($B354&lt;&gt;"",$B354&amp;""&lt;&gt;$A354&amp;"",COUNTIF($A$2:$A$501,$B354)&gt;0),"Dependent SSN also appears as an Employee SSN elsewhere; confirm dual-employee coverage is intentional; ","")&amp;IF(AND($B354&lt;&gt;"",COUNTIF($B$2:$B$501,$B354)&gt;COUNTIFS($A$2:$A$501,$A354,$B$2:$B$501,$B354)),"Dependent SSN appears under more than one employee; confirm duplicate family coverage is intentional; ","")&amp;IF(AND(ROW()&gt;2,$A354&lt;&gt;"",$A354&lt;&gt;$A353,COUNTIF($A$2:$A353,$A354)&gt;0),"This household appears in more than one section of the census; keep the family together; ","")&amp;IF(OR(AND($C354&lt;&gt;"",LEN($C354&amp;"")&lt;&gt;LEN(TRIM($C354&amp;""))),AND($D354&lt;&gt;"",LEN($D354&amp;"")&lt;&gt;LEN(TRIM($D354&amp;""))),AND($E354&lt;&gt;"",LEN($E354&amp;"")&lt;&gt;LEN(TRIM($E354&amp;""))),AND($F354&lt;&gt;"",LEN($F354&amp;"")&lt;&gt;LEN(TRIM($F354&amp;""))),AND($G354&lt;&gt;"",LEN($G354&amp;"")&lt;&gt;LEN(TRIM($G354&amp;""))),AND($H354&lt;&gt;"",LEN($H354&amp;"")&lt;&gt;LEN(TRIM($H354&amp;""))),AND($I354&lt;&gt;"",LEN($I354&amp;"")&lt;&gt;LEN(TRIM($I354&amp;""))),AND($J354&lt;&gt;"",LEN($J354&amp;"")&lt;&gt;LEN(TRIM($J354&amp;""))),AND($K354&lt;&gt;"",LEN($K354&amp;"")&lt;&gt;LEN(TRIM($K354&amp;""))),AND($M354&lt;&gt;"",LEN($M354&amp;"")&lt;&gt;LEN(TRIM($M354&amp;""))),AND($N354&lt;&gt;"",LEN($N354&amp;"")&lt;&gt;LEN(TRIM($N354&amp;""))),AND($O354&lt;&gt;"",LEN($O354&amp;"")&lt;&gt;LEN(TRIM($O354&amp;""))),AND($R354&lt;&gt;"",LEN($R354&amp;"")&lt;&gt;LEN(TRIM($R354&amp;""))),AND($S354&lt;&gt;"",LEN($S354&amp;"")&lt;&gt;LEN(TRIM($S354&amp;""))),AND($T354&lt;&gt;"",LEN($T354&amp;"")&lt;&gt;LEN(TRIM($T354&amp;"")))),"Remove leading or trailing spaces from text fields; ","")&amp;IF(OR(AND(LEN($C354)&gt;1,OR(EXACT($C354,UPPER($C354)),EXACT($C354,LOWER($C354)))),AND(LEN($D354)&gt;1,OR(EXACT($D354,UPPER($D354)),EXACT($D354,LOWER($D354)))),AND(LEN($H354)&gt;1,OR(EXACT($H354,UPPER($H354)),EXACT($H354,LOWER($H354))))),"Review capitalization in First Name, Last Name, or City; ","")&amp;IF(AND($N354&lt;&gt;"",NOT(EXACT($N354,LOWER($N354)))),"Email will be standardized to lowercase in the clean output; ","")&amp;IF(AND(OR('START HERE'!$C$8="Initial Enrollment",'START HERE'!$C$8="Open Enrollment"),$R354="Terminated"),"A terminated row is included in an initial or open enrollment file; confirm this is intentional; ",""))</f>
        <v/>
      </c>
      <c r="AE354">
        <f>IF(COUNTA($A354:$U354)=0,"",IF(OR($A354="",AND($A354&lt;&gt;"",NOT(IFERROR(AND(LEN($A354&amp;"")=9,ISNUMBER(--($A354&amp;""))),FALSE))),AND($A354&lt;&gt;"",OR($A354="123456789",$A354="987654321",$A354="012345678",$A354=REPT(LEFT($A354&amp;"",1),9)))),"Employee SSN, ","")&amp;IF(OR(AND($O354&lt;&gt;"",$B354=""),AND($B354&lt;&gt;"",OR(NOT(IFERROR(AND(LEN($B354&amp;"")=9,ISNUMBER(--($B354&amp;""))),FALSE)),$B354=$A354,$B354="123456789",$B354="987654321",$B354="012345678",$B354=REPT(LEFT($B354&amp;"",1),9)))),"Dependent SSN, ","")&amp;IF(OR($C354="",LEN($C354)&gt;19,AND($C354&lt;&gt;"",SUMPRODUCT(--(ROW($1:$19)&lt;=LEN($C354&amp;"")),--ISERROR(FIND(MID($C354&amp;"",ROW($1:$19),1),"ABCDEFGHIJKLMNOPQRSTUVWXYZabcdefghijklmnopqrstuvwxyz .,")))&gt;0)),"First Name, ","")&amp;IF(OR($D354="",LEN($D354)&gt;26,AND($D354&lt;&gt;"",SUMPRODUCT(--(ROW($1:$26)&lt;=LEN($D354&amp;"")),--ISERROR(FIND(MID($D354&amp;"",ROW($1:$26),1),"ABCDEFGHIJKLMNOPQRSTUVWXYZabcdefghijklmnopqrstuvwxyz .,")))&gt;0)),"Last Name, ","")&amp;IF(OR(LEN($E354)&gt;1,AND($E354&lt;&gt;"",SUMPRODUCT(--(ROW($1:$1)&lt;=LEN($E354&amp;"")),--ISERROR(FIND(MID($E354&amp;"",ROW($1:$1),1),"ABCDEFGHIJKLMNOPQRSTUVWXYZabcdefghijklmnopqrstuvwxyz .,")))&gt;0)),"Middle Initial, ","")&amp;IF(OR($F354="",LEN($F354)&gt;75),"Address, ","")&amp;IF(OR($H354="",LEN($H354)&gt;30),"City, ","")&amp;IF(AND($K354="US",OR($I354="",LEN($I354)&lt;&gt;2)),"State, ","")&amp;IF($J354="","ZIP, ","")&amp;IF(OR($K354="",AND($K354&lt;&gt;"US",$K354&lt;&gt;"CA")),"Country, ","")&amp;IF(OR($L354="",AND($L354&lt;&gt;"",OR(NOT(ISNUMBER($L354)),$L354&lt;=DATE(1900,1,1),$L354&gt;TODAY()))),"Birthdate, ","")&amp;IF(AND($N354&lt;&gt;"",NOT(IFERROR(AND(ISNUMBER(SEARCH("@",$N354)),ISNUMBER(SEARCH(".",$N354,SEARCH("@",$N354)+2))),FALSE))),"Email, ","")&amp;IF(OR(AND($B354&lt;&gt;"",$O354=""),AND($O354&lt;&gt;"",$O354&lt;&gt;"Spouse or Common Law Spouse",$O354&lt;&gt;"Domestic Partner",$O354&lt;&gt;"Child",$O354&lt;&gt;"Other",$O354&lt;&gt;"Estate",$O354&lt;&gt;"Unknown")),"Dependent Relationship, ","")&amp;IF($AA354&lt;&gt;"","Household, ","")&amp;IF(OR($P354="",AND($P354&lt;&gt;"",OR(NOT(ISNUMBER($P354)),$P354&lt;=DATE(1900,1,1)))),"Eligibility Date, ","")&amp;IF(OR(AND($R354="Terminated",$Q354=""),AND($Q354&lt;&gt;"",OR(NOT(ISNUMBER($Q354)),$Q354&lt;=DATE(1900,1,1))),AND(ISNUMBER($P354),ISNUMBER($Q354),$Q354&lt;$P354)),"Termination Date, ","")&amp;IF(OR($R354="",AND($R354&lt;&gt;"Active",$R354&lt;&gt;"Terminated"),AND('START HERE'!$C$8="Terminations Only",$R354&lt;&gt;"Terminated")),"Status, ","")&amp;IF($S354="","Plan Name, ","")&amp;IF($T354="","Coverage Level, ","")&amp;IF(AND($U354&lt;&gt;"",OR(NOT(ISNUMBER($U354)),$U354&lt;0)),"Funding, ","")&amp;IF(AND($A354&lt;&gt;"",$S354&lt;&gt;"",COUNTIFS($A$2:$A$501,$A354,$B$2:$B$501,$B354,$S$2:$S$501,$S354)&gt;1),"Duplicate Row, ",""))</f>
        <v/>
      </c>
      <c r="AF354">
        <f>IF(COUNTA($A354:$U354)=0,"",$Y354&amp;$Z354&amp;$AA354&amp;$AB354&amp;$AC354)</f>
        <v/>
      </c>
      <c r="AG354">
        <f>IF($N354="","",LOWER(TRIM($N354)))</f>
        <v/>
      </c>
      <c r="AH354">
        <f>IF($A354="","",COUNTIFS($A$2:$A$501,$A354,$AI$2:$AI$501,1))</f>
        <v/>
      </c>
      <c r="AI354">
        <f>IF(COUNTA($A354:$U354)=0,"",--($AF354&lt;&gt;""))</f>
        <v/>
      </c>
      <c r="AJ354">
        <f>IF(COUNTA($A354:$U354)=0,"",--($AD354&lt;&gt;""))</f>
        <v/>
      </c>
    </row>
    <row r="355" ht="20" customHeight="1">
      <c r="A355" s="80" t="n"/>
      <c r="B355" s="80" t="n"/>
      <c r="C355" s="81" t="n"/>
      <c r="D355" s="81" t="n"/>
      <c r="E355" s="80" t="n"/>
      <c r="F355" s="81" t="n"/>
      <c r="G355" s="81" t="n"/>
      <c r="H355" s="81" t="n"/>
      <c r="I355" s="80" t="n"/>
      <c r="J355" s="80" t="n"/>
      <c r="K355" s="80" t="n"/>
      <c r="L355" s="82" t="n"/>
      <c r="M355" s="80" t="n"/>
      <c r="N355" s="80" t="n"/>
      <c r="O355" s="80" t="n"/>
      <c r="P355" s="82" t="n"/>
      <c r="Q355" s="82" t="n"/>
      <c r="R355" s="80" t="n"/>
      <c r="S355" s="80" t="n"/>
      <c r="T355" s="80" t="n"/>
      <c r="U355" s="83" t="n"/>
      <c r="V355">
        <f>IF($A355="","",IF($A355=$A354,$V354,IF($V354="",0,1-$V354)))</f>
        <v/>
      </c>
      <c r="W355">
        <f>IF($B355&lt;&gt;"",$B355,$A355)</f>
        <v/>
      </c>
      <c r="X355">
        <f>IF(COUNTA($A355:$U355)=0,"",IF(OR($B355&lt;&gt;"",$O355&lt;&gt;""),"Dependent","Employee"))</f>
        <v/>
      </c>
      <c r="Y355">
        <f>IF(COUNTA($A355:$U355)=0,"",IF($A355="","Employee SSN is required; ","")&amp;IF($C355="","First Name is required; ","")&amp;IF(LEN($C355&amp;"")&gt;19,"First Name exceeds 19 characters; ","")&amp;IF(AND($C355&lt;&gt;"",SUMPRODUCT(--(ROW($1:$19)&lt;=LEN($C355&amp;"")),--ISERROR(FIND(MID($C355&amp;"",ROW($1:$19),1),"ABCDEFGHIJKLMNOPQRSTUVWXYZabcdefghijklmnopqrstuvwxyz .,")))&gt;0),"First Name contains unsupported or encoded characters; use plain A-Z letters only; ","")&amp;IF($D355="","Last Name is required; ","")&amp;IF(LEN($D355&amp;"")&gt;26,"Last Name exceeds 26 characters; ","")&amp;IF(AND($D355&lt;&gt;"",SUMPRODUCT(--(ROW($1:$26)&lt;=LEN($D355&amp;"")),--ISERROR(FIND(MID($D355&amp;"",ROW($1:$26),1),"ABCDEFGHIJKLMNOPQRSTUVWXYZabcdefghijklmnopqrstuvwxyz .,")))&gt;0),"Last Name contains unsupported or encoded characters; use plain A-Z letters only; ","")&amp;IF(LEN($E355&amp;"")&gt;1,"Middle Initial may contain only one character; ","")&amp;IF(AND($E355&lt;&gt;"",SUMPRODUCT(--(ROW($1:$1)&lt;=LEN($E355&amp;"")),--ISERROR(FIND(MID($E355&amp;"",ROW($1:$1),1),"ABCDEFGHIJKLMNOPQRSTUVWXYZabcdefghijklmnopqrstuvwxyz .,")))&gt;0),"Middle Initial must be a plain A-Z letter; ","")&amp;IF($F355="","Address is required; ","")&amp;IF(LEN($F355&amp;"")&gt;75,"Address exceeds 75 characters; ","")&amp;IF(LEN($G355&amp;"")&gt;75,"Address 2 exceeds 75 characters; ","")&amp;IF($H355="","City is required; ","")&amp;IF(LEN($H355&amp;"")&gt;30,"City exceeds 30 characters; ","")&amp;IF($K355="","Country is required; ","")&amp;IF(AND($K355&lt;&gt;"",$K355&lt;&gt;"US",$K355&lt;&gt;"CA"),"Country must be US or CA; ","")&amp;IF(AND($K355="US",OR($I355="",LEN($I355&amp;"")&lt;&gt;2)),"Use a 2-letter state code; ","")&amp;IF($J355="","ZIP or postal code is required; ","")&amp;IF(AND($K355="US",$J355&lt;&gt;"",NOT(IFERROR(OR(AND(LEN($J355&amp;"")=5,ISNUMBER(--($J355&amp;""))),AND(LEN($J355&amp;"")=9,ISNUMBER(--($J355&amp;""))),AND(LEN($J355&amp;"")=10,MID($J355&amp;"",6,1)="-",ISNUMBER(--SUBSTITUTE($J355&amp;"","-","")))),FALSE))),"US ZIP must be 5 or 9 digits, with an optional ZIP+4 hyphen; ","")&amp;IF(AND($N355&lt;&gt;"",NOT(IFERROR(AND(ISNUMBER(SEARCH("@",$N355)),ISNUMBER(SEARCH(".",$N355,SEARCH("@",$N355)+2))),FALSE))),"Email format appears invalid; ","")&amp;IF(AND($O355&lt;&gt;"",$B355=""),"Dependent SSN is required for every dependent; ","")&amp;IF(AND($B355&lt;&gt;"",$O355=""),"Dependent Relationship is required when Dependent SSN is entered; ","")&amp;IF(AND($O355&lt;&gt;"",$O355&lt;&gt;"Spouse or Common Law Spouse",$O355&lt;&gt;"Domestic Partner",$O355&lt;&gt;"Child",$O355&lt;&gt;"Other",$O355&lt;&gt;"Estate",$O355&lt;&gt;"Unknown"),"Dependent Relationship must use one of the approved options; ",""))</f>
        <v/>
      </c>
      <c r="Z355">
        <f>IF(COUNTA($A355:$U355)=0,"",IF(AND($A355&lt;&gt;"",NOT(IFERROR(AND(LEN($A355&amp;"")=9,ISNUMBER(--($A355&amp;""))),FALSE))),"Employee SSN must contain exactly 9 digits; ","")&amp;IF(AND($A355&lt;&gt;"",OR($A355="123456789",$A355="987654321",$A355="012345678",$A355=REPT(LEFT($A355&amp;"",1),9))),"Employee SSN appears to be a placeholder; ","")&amp;IF(AND($B355&lt;&gt;"",NOT(IFERROR(AND(LEN($B355&amp;"")=9,ISNUMBER(--($B355&amp;""))),FALSE))),"Dependent SSN must contain exactly 9 digits; ","")&amp;IF(AND($B355&lt;&gt;"",OR($B355="123456789",$B355="987654321",$B355="012345678",$B355=REPT(LEFT($B355&amp;"",1),9))),"Dependent SSN appears to be a placeholder; ","")&amp;IF(AND($A355&lt;&gt;"",$B355&lt;&gt;"",$A355&amp;""=$B355&amp;""),"Dependent SSN cannot match Employee SSN; ","")&amp;IF(AND($W355&lt;&gt;"",OR(COUNTIFS($W$2:$W$501,$W355,$C$2:$C$501,"&lt;&gt;"&amp;$C355)&gt;0,COUNTIFS($W$2:$W$501,$W355,$D$2:$D$501,"&lt;&gt;"&amp;$D355)&gt;0,COUNTIFS($W$2:$W$501,$W355,$L$2:$L$501,"&lt;&gt;"&amp;$L355)&gt;0)),"The same SSN is associated with a different name or birthdate; ",""))</f>
        <v/>
      </c>
      <c r="AA355">
        <f>IF(COUNTA($A355:$U355)=0,"",IF(AND($A355&lt;&gt;"",$S355&lt;&gt;"",COUNTIFS($A$2:$A$501,$A355,$S$2:$S$501,$S355,$B$2:$B$501,"",$O$2:$O$501,"")=0),"Add an employee row for this household and plan; ","")&amp;IF(AND($X355="Dependent",COUNTIFS($A$2:$A355,$A355,$S$2:$S355,$S355,$B$2:$B355,"",$O$2:$O355,"")=0),"Place the employee row before dependent rows for this plan; ","")&amp;IF(AND($X355="Dependent",COUNTIFS($A$2:$A$501,$A355,$S$2:$S$501,$S355,$B$2:$B$501,"",$O$2:$O$501,"")&gt;0,IFERROR(OR($P355&lt;&gt;LOOKUP(2,1/(($A$2:$A$501=$A355)*($S$2:$S$501=$S355)*($B$2:$B$501="")*($O$2:$O$501="")),$P$2:$P$501),$Q355&lt;&gt;LOOKUP(2,1/(($A$2:$A$501=$A355)*($S$2:$S$501=$S355)*($B$2:$B$501="")*($O$2:$O$501="")),$Q$2:$Q$501),$R355&lt;&gt;LOOKUP(2,1/(($A$2:$A$501=$A355)*($S$2:$S$501=$S355)*($B$2:$B$501="")*($O$2:$O$501="")),$R$2:$R$501),$T355&lt;&gt;LOOKUP(2,1/(($A$2:$A$501=$A355)*($S$2:$S$501=$S355)*($B$2:$B$501="")*($O$2:$O$501="")),$T$2:$T$501),$U355&lt;&gt;LOOKUP(2,1/(($A$2:$A$501=$A355)*($S$2:$S$501=$S355)*($B$2:$B$501="")*($O$2:$O$501="")),$U$2:$U$501)),FALSE)),"Dependent row does not match the employee row for eligibility, status, coverage level, or funding; ",""))</f>
        <v/>
      </c>
      <c r="AB355">
        <f>IF(COUNTA($A355:$U355)=0,"",IF($L355="","Birthdate is required; ","")&amp;IF(AND($L355&lt;&gt;"",OR(NOT(ISNUMBER($L355)),$L355&lt;=DATE(1900,1,1),$L355&gt;TODAY())),"Birthdate must be an exact valid past date; ","")&amp;IF($P355="","Eligibility Date is required; ","")&amp;IF(AND($P355&lt;&gt;"",OR(NOT(ISNUMBER($P355)),$P355&lt;=DATE(1900,1,1))),"Eligibility Date must be a valid date; ","")&amp;IF(AND($R355="Terminated",$Q355=""),"Termination Date is required when Status is Terminated; ","")&amp;IF(AND($Q355&lt;&gt;"",OR(NOT(ISNUMBER($Q355)),$Q355&lt;=DATE(1900,1,1))),"Termination Date must be a valid date; ","")&amp;IF(AND(ISNUMBER($P355),ISNUMBER($Q355),$Q355&lt;$P355),"Termination Date cannot be before Eligibility Date; ","")&amp;IF($R355="","Status is required; ","")&amp;IF(AND($R355&lt;&gt;"",$R355&lt;&gt;"Active",$R355&lt;&gt;"Terminated"),"Status must be Active or Terminated; ","")&amp;IF(AND('START HERE'!$C$8="Terminations Only",$R355&lt;&gt;"Terminated"),"Terminations Only files must contain terminated records; ",""))</f>
        <v/>
      </c>
      <c r="AC355">
        <f>IF(COUNTA($A355:$U355)=0,"",IF($S355="","Plan Name is required; ","")&amp;IF($T355="","Benefit Coverage Level is required; ","")&amp;IF(AND($U355&lt;&gt;"",OR(NOT(ISNUMBER($U355)),$U355&lt;0)),"Plan Funding Amount must be a nonnegative number; ","")&amp;IF(AND($A355&lt;&gt;"",$S355&lt;&gt;"",COUNTIFS($A$2:$A$501,$A355,$B$2:$B$501,$B355,$S$2:$S$501,$S355)&gt;1),"Duplicate participant and plan row; ",""))</f>
        <v/>
      </c>
      <c r="AD355">
        <f>IF(COUNTA($A355:$U355)=0,"",IF(AND($X355="Employee",$M355="",$N355=""),"No employee phone or email provided; ","")&amp;IF(AND($R355="Active",$Q355&lt;&gt;""),"Active record includes a Termination Date; confirm this is intentional; ","")&amp;IF(AND($B355&lt;&gt;"",$B355&amp;""&lt;&gt;$A355&amp;"",COUNTIF($A$2:$A$501,$B355)&gt;0),"Dependent SSN also appears as an Employee SSN elsewhere; confirm dual-employee coverage is intentional; ","")&amp;IF(AND($B355&lt;&gt;"",COUNTIF($B$2:$B$501,$B355)&gt;COUNTIFS($A$2:$A$501,$A355,$B$2:$B$501,$B355)),"Dependent SSN appears under more than one employee; confirm duplicate family coverage is intentional; ","")&amp;IF(AND(ROW()&gt;2,$A355&lt;&gt;"",$A355&lt;&gt;$A354,COUNTIF($A$2:$A354,$A355)&gt;0),"This household appears in more than one section of the census; keep the family together; ","")&amp;IF(OR(AND($C355&lt;&gt;"",LEN($C355&amp;"")&lt;&gt;LEN(TRIM($C355&amp;""))),AND($D355&lt;&gt;"",LEN($D355&amp;"")&lt;&gt;LEN(TRIM($D355&amp;""))),AND($E355&lt;&gt;"",LEN($E355&amp;"")&lt;&gt;LEN(TRIM($E355&amp;""))),AND($F355&lt;&gt;"",LEN($F355&amp;"")&lt;&gt;LEN(TRIM($F355&amp;""))),AND($G355&lt;&gt;"",LEN($G355&amp;"")&lt;&gt;LEN(TRIM($G355&amp;""))),AND($H355&lt;&gt;"",LEN($H355&amp;"")&lt;&gt;LEN(TRIM($H355&amp;""))),AND($I355&lt;&gt;"",LEN($I355&amp;"")&lt;&gt;LEN(TRIM($I355&amp;""))),AND($J355&lt;&gt;"",LEN($J355&amp;"")&lt;&gt;LEN(TRIM($J355&amp;""))),AND($K355&lt;&gt;"",LEN($K355&amp;"")&lt;&gt;LEN(TRIM($K355&amp;""))),AND($M355&lt;&gt;"",LEN($M355&amp;"")&lt;&gt;LEN(TRIM($M355&amp;""))),AND($N355&lt;&gt;"",LEN($N355&amp;"")&lt;&gt;LEN(TRIM($N355&amp;""))),AND($O355&lt;&gt;"",LEN($O355&amp;"")&lt;&gt;LEN(TRIM($O355&amp;""))),AND($R355&lt;&gt;"",LEN($R355&amp;"")&lt;&gt;LEN(TRIM($R355&amp;""))),AND($S355&lt;&gt;"",LEN($S355&amp;"")&lt;&gt;LEN(TRIM($S355&amp;""))),AND($T355&lt;&gt;"",LEN($T355&amp;"")&lt;&gt;LEN(TRIM($T355&amp;"")))),"Remove leading or trailing spaces from text fields; ","")&amp;IF(OR(AND(LEN($C355)&gt;1,OR(EXACT($C355,UPPER($C355)),EXACT($C355,LOWER($C355)))),AND(LEN($D355)&gt;1,OR(EXACT($D355,UPPER($D355)),EXACT($D355,LOWER($D355)))),AND(LEN($H355)&gt;1,OR(EXACT($H355,UPPER($H355)),EXACT($H355,LOWER($H355))))),"Review capitalization in First Name, Last Name, or City; ","")&amp;IF(AND($N355&lt;&gt;"",NOT(EXACT($N355,LOWER($N355)))),"Email will be standardized to lowercase in the clean output; ","")&amp;IF(AND(OR('START HERE'!$C$8="Initial Enrollment",'START HERE'!$C$8="Open Enrollment"),$R355="Terminated"),"A terminated row is included in an initial or open enrollment file; confirm this is intentional; ",""))</f>
        <v/>
      </c>
      <c r="AE355">
        <f>IF(COUNTA($A355:$U355)=0,"",IF(OR($A355="",AND($A355&lt;&gt;"",NOT(IFERROR(AND(LEN($A355&amp;"")=9,ISNUMBER(--($A355&amp;""))),FALSE))),AND($A355&lt;&gt;"",OR($A355="123456789",$A355="987654321",$A355="012345678",$A355=REPT(LEFT($A355&amp;"",1),9)))),"Employee SSN, ","")&amp;IF(OR(AND($O355&lt;&gt;"",$B355=""),AND($B355&lt;&gt;"",OR(NOT(IFERROR(AND(LEN($B355&amp;"")=9,ISNUMBER(--($B355&amp;""))),FALSE)),$B355=$A355,$B355="123456789",$B355="987654321",$B355="012345678",$B355=REPT(LEFT($B355&amp;"",1),9)))),"Dependent SSN, ","")&amp;IF(OR($C355="",LEN($C355)&gt;19,AND($C355&lt;&gt;"",SUMPRODUCT(--(ROW($1:$19)&lt;=LEN($C355&amp;"")),--ISERROR(FIND(MID($C355&amp;"",ROW($1:$19),1),"ABCDEFGHIJKLMNOPQRSTUVWXYZabcdefghijklmnopqrstuvwxyz .,")))&gt;0)),"First Name, ","")&amp;IF(OR($D355="",LEN($D355)&gt;26,AND($D355&lt;&gt;"",SUMPRODUCT(--(ROW($1:$26)&lt;=LEN($D355&amp;"")),--ISERROR(FIND(MID($D355&amp;"",ROW($1:$26),1),"ABCDEFGHIJKLMNOPQRSTUVWXYZabcdefghijklmnopqrstuvwxyz .,")))&gt;0)),"Last Name, ","")&amp;IF(OR(LEN($E355)&gt;1,AND($E355&lt;&gt;"",SUMPRODUCT(--(ROW($1:$1)&lt;=LEN($E355&amp;"")),--ISERROR(FIND(MID($E355&amp;"",ROW($1:$1),1),"ABCDEFGHIJKLMNOPQRSTUVWXYZabcdefghijklmnopqrstuvwxyz .,")))&gt;0)),"Middle Initial, ","")&amp;IF(OR($F355="",LEN($F355)&gt;75),"Address, ","")&amp;IF(OR($H355="",LEN($H355)&gt;30),"City, ","")&amp;IF(AND($K355="US",OR($I355="",LEN($I355)&lt;&gt;2)),"State, ","")&amp;IF($J355="","ZIP, ","")&amp;IF(OR($K355="",AND($K355&lt;&gt;"US",$K355&lt;&gt;"CA")),"Country, ","")&amp;IF(OR($L355="",AND($L355&lt;&gt;"",OR(NOT(ISNUMBER($L355)),$L355&lt;=DATE(1900,1,1),$L355&gt;TODAY()))),"Birthdate, ","")&amp;IF(AND($N355&lt;&gt;"",NOT(IFERROR(AND(ISNUMBER(SEARCH("@",$N355)),ISNUMBER(SEARCH(".",$N355,SEARCH("@",$N355)+2))),FALSE))),"Email, ","")&amp;IF(OR(AND($B355&lt;&gt;"",$O355=""),AND($O355&lt;&gt;"",$O355&lt;&gt;"Spouse or Common Law Spouse",$O355&lt;&gt;"Domestic Partner",$O355&lt;&gt;"Child",$O355&lt;&gt;"Other",$O355&lt;&gt;"Estate",$O355&lt;&gt;"Unknown")),"Dependent Relationship, ","")&amp;IF($AA355&lt;&gt;"","Household, ","")&amp;IF(OR($P355="",AND($P355&lt;&gt;"",OR(NOT(ISNUMBER($P355)),$P355&lt;=DATE(1900,1,1)))),"Eligibility Date, ","")&amp;IF(OR(AND($R355="Terminated",$Q355=""),AND($Q355&lt;&gt;"",OR(NOT(ISNUMBER($Q355)),$Q355&lt;=DATE(1900,1,1))),AND(ISNUMBER($P355),ISNUMBER($Q355),$Q355&lt;$P355)),"Termination Date, ","")&amp;IF(OR($R355="",AND($R355&lt;&gt;"Active",$R355&lt;&gt;"Terminated"),AND('START HERE'!$C$8="Terminations Only",$R355&lt;&gt;"Terminated")),"Status, ","")&amp;IF($S355="","Plan Name, ","")&amp;IF($T355="","Coverage Level, ","")&amp;IF(AND($U355&lt;&gt;"",OR(NOT(ISNUMBER($U355)),$U355&lt;0)),"Funding, ","")&amp;IF(AND($A355&lt;&gt;"",$S355&lt;&gt;"",COUNTIFS($A$2:$A$501,$A355,$B$2:$B$501,$B355,$S$2:$S$501,$S355)&gt;1),"Duplicate Row, ",""))</f>
        <v/>
      </c>
      <c r="AF355">
        <f>IF(COUNTA($A355:$U355)=0,"",$Y355&amp;$Z355&amp;$AA355&amp;$AB355&amp;$AC355)</f>
        <v/>
      </c>
      <c r="AG355">
        <f>IF($N355="","",LOWER(TRIM($N355)))</f>
        <v/>
      </c>
      <c r="AH355">
        <f>IF($A355="","",COUNTIFS($A$2:$A$501,$A355,$AI$2:$AI$501,1))</f>
        <v/>
      </c>
      <c r="AI355">
        <f>IF(COUNTA($A355:$U355)=0,"",--($AF355&lt;&gt;""))</f>
        <v/>
      </c>
      <c r="AJ355">
        <f>IF(COUNTA($A355:$U355)=0,"",--($AD355&lt;&gt;""))</f>
        <v/>
      </c>
    </row>
    <row r="356" ht="20" customHeight="1">
      <c r="A356" s="80" t="n"/>
      <c r="B356" s="80" t="n"/>
      <c r="C356" s="81" t="n"/>
      <c r="D356" s="81" t="n"/>
      <c r="E356" s="80" t="n"/>
      <c r="F356" s="81" t="n"/>
      <c r="G356" s="81" t="n"/>
      <c r="H356" s="81" t="n"/>
      <c r="I356" s="80" t="n"/>
      <c r="J356" s="80" t="n"/>
      <c r="K356" s="80" t="n"/>
      <c r="L356" s="82" t="n"/>
      <c r="M356" s="80" t="n"/>
      <c r="N356" s="80" t="n"/>
      <c r="O356" s="80" t="n"/>
      <c r="P356" s="82" t="n"/>
      <c r="Q356" s="82" t="n"/>
      <c r="R356" s="80" t="n"/>
      <c r="S356" s="80" t="n"/>
      <c r="T356" s="80" t="n"/>
      <c r="U356" s="83" t="n"/>
      <c r="V356">
        <f>IF($A356="","",IF($A356=$A355,$V355,IF($V355="",0,1-$V355)))</f>
        <v/>
      </c>
      <c r="W356">
        <f>IF($B356&lt;&gt;"",$B356,$A356)</f>
        <v/>
      </c>
      <c r="X356">
        <f>IF(COUNTA($A356:$U356)=0,"",IF(OR($B356&lt;&gt;"",$O356&lt;&gt;""),"Dependent","Employee"))</f>
        <v/>
      </c>
      <c r="Y356">
        <f>IF(COUNTA($A356:$U356)=0,"",IF($A356="","Employee SSN is required; ","")&amp;IF($C356="","First Name is required; ","")&amp;IF(LEN($C356&amp;"")&gt;19,"First Name exceeds 19 characters; ","")&amp;IF(AND($C356&lt;&gt;"",SUMPRODUCT(--(ROW($1:$19)&lt;=LEN($C356&amp;"")),--ISERROR(FIND(MID($C356&amp;"",ROW($1:$19),1),"ABCDEFGHIJKLMNOPQRSTUVWXYZabcdefghijklmnopqrstuvwxyz .,")))&gt;0),"First Name contains unsupported or encoded characters; use plain A-Z letters only; ","")&amp;IF($D356="","Last Name is required; ","")&amp;IF(LEN($D356&amp;"")&gt;26,"Last Name exceeds 26 characters; ","")&amp;IF(AND($D356&lt;&gt;"",SUMPRODUCT(--(ROW($1:$26)&lt;=LEN($D356&amp;"")),--ISERROR(FIND(MID($D356&amp;"",ROW($1:$26),1),"ABCDEFGHIJKLMNOPQRSTUVWXYZabcdefghijklmnopqrstuvwxyz .,")))&gt;0),"Last Name contains unsupported or encoded characters; use plain A-Z letters only; ","")&amp;IF(LEN($E356&amp;"")&gt;1,"Middle Initial may contain only one character; ","")&amp;IF(AND($E356&lt;&gt;"",SUMPRODUCT(--(ROW($1:$1)&lt;=LEN($E356&amp;"")),--ISERROR(FIND(MID($E356&amp;"",ROW($1:$1),1),"ABCDEFGHIJKLMNOPQRSTUVWXYZabcdefghijklmnopqrstuvwxyz .,")))&gt;0),"Middle Initial must be a plain A-Z letter; ","")&amp;IF($F356="","Address is required; ","")&amp;IF(LEN($F356&amp;"")&gt;75,"Address exceeds 75 characters; ","")&amp;IF(LEN($G356&amp;"")&gt;75,"Address 2 exceeds 75 characters; ","")&amp;IF($H356="","City is required; ","")&amp;IF(LEN($H356&amp;"")&gt;30,"City exceeds 30 characters; ","")&amp;IF($K356="","Country is required; ","")&amp;IF(AND($K356&lt;&gt;"",$K356&lt;&gt;"US",$K356&lt;&gt;"CA"),"Country must be US or CA; ","")&amp;IF(AND($K356="US",OR($I356="",LEN($I356&amp;"")&lt;&gt;2)),"Use a 2-letter state code; ","")&amp;IF($J356="","ZIP or postal code is required; ","")&amp;IF(AND($K356="US",$J356&lt;&gt;"",NOT(IFERROR(OR(AND(LEN($J356&amp;"")=5,ISNUMBER(--($J356&amp;""))),AND(LEN($J356&amp;"")=9,ISNUMBER(--($J356&amp;""))),AND(LEN($J356&amp;"")=10,MID($J356&amp;"",6,1)="-",ISNUMBER(--SUBSTITUTE($J356&amp;"","-","")))),FALSE))),"US ZIP must be 5 or 9 digits, with an optional ZIP+4 hyphen; ","")&amp;IF(AND($N356&lt;&gt;"",NOT(IFERROR(AND(ISNUMBER(SEARCH("@",$N356)),ISNUMBER(SEARCH(".",$N356,SEARCH("@",$N356)+2))),FALSE))),"Email format appears invalid; ","")&amp;IF(AND($O356&lt;&gt;"",$B356=""),"Dependent SSN is required for every dependent; ","")&amp;IF(AND($B356&lt;&gt;"",$O356=""),"Dependent Relationship is required when Dependent SSN is entered; ","")&amp;IF(AND($O356&lt;&gt;"",$O356&lt;&gt;"Spouse or Common Law Spouse",$O356&lt;&gt;"Domestic Partner",$O356&lt;&gt;"Child",$O356&lt;&gt;"Other",$O356&lt;&gt;"Estate",$O356&lt;&gt;"Unknown"),"Dependent Relationship must use one of the approved options; ",""))</f>
        <v/>
      </c>
      <c r="Z356">
        <f>IF(COUNTA($A356:$U356)=0,"",IF(AND($A356&lt;&gt;"",NOT(IFERROR(AND(LEN($A356&amp;"")=9,ISNUMBER(--($A356&amp;""))),FALSE))),"Employee SSN must contain exactly 9 digits; ","")&amp;IF(AND($A356&lt;&gt;"",OR($A356="123456789",$A356="987654321",$A356="012345678",$A356=REPT(LEFT($A356&amp;"",1),9))),"Employee SSN appears to be a placeholder; ","")&amp;IF(AND($B356&lt;&gt;"",NOT(IFERROR(AND(LEN($B356&amp;"")=9,ISNUMBER(--($B356&amp;""))),FALSE))),"Dependent SSN must contain exactly 9 digits; ","")&amp;IF(AND($B356&lt;&gt;"",OR($B356="123456789",$B356="987654321",$B356="012345678",$B356=REPT(LEFT($B356&amp;"",1),9))),"Dependent SSN appears to be a placeholder; ","")&amp;IF(AND($A356&lt;&gt;"",$B356&lt;&gt;"",$A356&amp;""=$B356&amp;""),"Dependent SSN cannot match Employee SSN; ","")&amp;IF(AND($W356&lt;&gt;"",OR(COUNTIFS($W$2:$W$501,$W356,$C$2:$C$501,"&lt;&gt;"&amp;$C356)&gt;0,COUNTIFS($W$2:$W$501,$W356,$D$2:$D$501,"&lt;&gt;"&amp;$D356)&gt;0,COUNTIFS($W$2:$W$501,$W356,$L$2:$L$501,"&lt;&gt;"&amp;$L356)&gt;0)),"The same SSN is associated with a different name or birthdate; ",""))</f>
        <v/>
      </c>
      <c r="AA356">
        <f>IF(COUNTA($A356:$U356)=0,"",IF(AND($A356&lt;&gt;"",$S356&lt;&gt;"",COUNTIFS($A$2:$A$501,$A356,$S$2:$S$501,$S356,$B$2:$B$501,"",$O$2:$O$501,"")=0),"Add an employee row for this household and plan; ","")&amp;IF(AND($X356="Dependent",COUNTIFS($A$2:$A356,$A356,$S$2:$S356,$S356,$B$2:$B356,"",$O$2:$O356,"")=0),"Place the employee row before dependent rows for this plan; ","")&amp;IF(AND($X356="Dependent",COUNTIFS($A$2:$A$501,$A356,$S$2:$S$501,$S356,$B$2:$B$501,"",$O$2:$O$501,"")&gt;0,IFERROR(OR($P356&lt;&gt;LOOKUP(2,1/(($A$2:$A$501=$A356)*($S$2:$S$501=$S356)*($B$2:$B$501="")*($O$2:$O$501="")),$P$2:$P$501),$Q356&lt;&gt;LOOKUP(2,1/(($A$2:$A$501=$A356)*($S$2:$S$501=$S356)*($B$2:$B$501="")*($O$2:$O$501="")),$Q$2:$Q$501),$R356&lt;&gt;LOOKUP(2,1/(($A$2:$A$501=$A356)*($S$2:$S$501=$S356)*($B$2:$B$501="")*($O$2:$O$501="")),$R$2:$R$501),$T356&lt;&gt;LOOKUP(2,1/(($A$2:$A$501=$A356)*($S$2:$S$501=$S356)*($B$2:$B$501="")*($O$2:$O$501="")),$T$2:$T$501),$U356&lt;&gt;LOOKUP(2,1/(($A$2:$A$501=$A356)*($S$2:$S$501=$S356)*($B$2:$B$501="")*($O$2:$O$501="")),$U$2:$U$501)),FALSE)),"Dependent row does not match the employee row for eligibility, status, coverage level, or funding; ",""))</f>
        <v/>
      </c>
      <c r="AB356">
        <f>IF(COUNTA($A356:$U356)=0,"",IF($L356="","Birthdate is required; ","")&amp;IF(AND($L356&lt;&gt;"",OR(NOT(ISNUMBER($L356)),$L356&lt;=DATE(1900,1,1),$L356&gt;TODAY())),"Birthdate must be an exact valid past date; ","")&amp;IF($P356="","Eligibility Date is required; ","")&amp;IF(AND($P356&lt;&gt;"",OR(NOT(ISNUMBER($P356)),$P356&lt;=DATE(1900,1,1))),"Eligibility Date must be a valid date; ","")&amp;IF(AND($R356="Terminated",$Q356=""),"Termination Date is required when Status is Terminated; ","")&amp;IF(AND($Q356&lt;&gt;"",OR(NOT(ISNUMBER($Q356)),$Q356&lt;=DATE(1900,1,1))),"Termination Date must be a valid date; ","")&amp;IF(AND(ISNUMBER($P356),ISNUMBER($Q356),$Q356&lt;$P356),"Termination Date cannot be before Eligibility Date; ","")&amp;IF($R356="","Status is required; ","")&amp;IF(AND($R356&lt;&gt;"",$R356&lt;&gt;"Active",$R356&lt;&gt;"Terminated"),"Status must be Active or Terminated; ","")&amp;IF(AND('START HERE'!$C$8="Terminations Only",$R356&lt;&gt;"Terminated"),"Terminations Only files must contain terminated records; ",""))</f>
        <v/>
      </c>
      <c r="AC356">
        <f>IF(COUNTA($A356:$U356)=0,"",IF($S356="","Plan Name is required; ","")&amp;IF($T356="","Benefit Coverage Level is required; ","")&amp;IF(AND($U356&lt;&gt;"",OR(NOT(ISNUMBER($U356)),$U356&lt;0)),"Plan Funding Amount must be a nonnegative number; ","")&amp;IF(AND($A356&lt;&gt;"",$S356&lt;&gt;"",COUNTIFS($A$2:$A$501,$A356,$B$2:$B$501,$B356,$S$2:$S$501,$S356)&gt;1),"Duplicate participant and plan row; ",""))</f>
        <v/>
      </c>
      <c r="AD356">
        <f>IF(COUNTA($A356:$U356)=0,"",IF(AND($X356="Employee",$M356="",$N356=""),"No employee phone or email provided; ","")&amp;IF(AND($R356="Active",$Q356&lt;&gt;""),"Active record includes a Termination Date; confirm this is intentional; ","")&amp;IF(AND($B356&lt;&gt;"",$B356&amp;""&lt;&gt;$A356&amp;"",COUNTIF($A$2:$A$501,$B356)&gt;0),"Dependent SSN also appears as an Employee SSN elsewhere; confirm dual-employee coverage is intentional; ","")&amp;IF(AND($B356&lt;&gt;"",COUNTIF($B$2:$B$501,$B356)&gt;COUNTIFS($A$2:$A$501,$A356,$B$2:$B$501,$B356)),"Dependent SSN appears under more than one employee; confirm duplicate family coverage is intentional; ","")&amp;IF(AND(ROW()&gt;2,$A356&lt;&gt;"",$A356&lt;&gt;$A355,COUNTIF($A$2:$A355,$A356)&gt;0),"This household appears in more than one section of the census; keep the family together; ","")&amp;IF(OR(AND($C356&lt;&gt;"",LEN($C356&amp;"")&lt;&gt;LEN(TRIM($C356&amp;""))),AND($D356&lt;&gt;"",LEN($D356&amp;"")&lt;&gt;LEN(TRIM($D356&amp;""))),AND($E356&lt;&gt;"",LEN($E356&amp;"")&lt;&gt;LEN(TRIM($E356&amp;""))),AND($F356&lt;&gt;"",LEN($F356&amp;"")&lt;&gt;LEN(TRIM($F356&amp;""))),AND($G356&lt;&gt;"",LEN($G356&amp;"")&lt;&gt;LEN(TRIM($G356&amp;""))),AND($H356&lt;&gt;"",LEN($H356&amp;"")&lt;&gt;LEN(TRIM($H356&amp;""))),AND($I356&lt;&gt;"",LEN($I356&amp;"")&lt;&gt;LEN(TRIM($I356&amp;""))),AND($J356&lt;&gt;"",LEN($J356&amp;"")&lt;&gt;LEN(TRIM($J356&amp;""))),AND($K356&lt;&gt;"",LEN($K356&amp;"")&lt;&gt;LEN(TRIM($K356&amp;""))),AND($M356&lt;&gt;"",LEN($M356&amp;"")&lt;&gt;LEN(TRIM($M356&amp;""))),AND($N356&lt;&gt;"",LEN($N356&amp;"")&lt;&gt;LEN(TRIM($N356&amp;""))),AND($O356&lt;&gt;"",LEN($O356&amp;"")&lt;&gt;LEN(TRIM($O356&amp;""))),AND($R356&lt;&gt;"",LEN($R356&amp;"")&lt;&gt;LEN(TRIM($R356&amp;""))),AND($S356&lt;&gt;"",LEN($S356&amp;"")&lt;&gt;LEN(TRIM($S356&amp;""))),AND($T356&lt;&gt;"",LEN($T356&amp;"")&lt;&gt;LEN(TRIM($T356&amp;"")))),"Remove leading or trailing spaces from text fields; ","")&amp;IF(OR(AND(LEN($C356)&gt;1,OR(EXACT($C356,UPPER($C356)),EXACT($C356,LOWER($C356)))),AND(LEN($D356)&gt;1,OR(EXACT($D356,UPPER($D356)),EXACT($D356,LOWER($D356)))),AND(LEN($H356)&gt;1,OR(EXACT($H356,UPPER($H356)),EXACT($H356,LOWER($H356))))),"Review capitalization in First Name, Last Name, or City; ","")&amp;IF(AND($N356&lt;&gt;"",NOT(EXACT($N356,LOWER($N356)))),"Email will be standardized to lowercase in the clean output; ","")&amp;IF(AND(OR('START HERE'!$C$8="Initial Enrollment",'START HERE'!$C$8="Open Enrollment"),$R356="Terminated"),"A terminated row is included in an initial or open enrollment file; confirm this is intentional; ",""))</f>
        <v/>
      </c>
      <c r="AE356">
        <f>IF(COUNTA($A356:$U356)=0,"",IF(OR($A356="",AND($A356&lt;&gt;"",NOT(IFERROR(AND(LEN($A356&amp;"")=9,ISNUMBER(--($A356&amp;""))),FALSE))),AND($A356&lt;&gt;"",OR($A356="123456789",$A356="987654321",$A356="012345678",$A356=REPT(LEFT($A356&amp;"",1),9)))),"Employee SSN, ","")&amp;IF(OR(AND($O356&lt;&gt;"",$B356=""),AND($B356&lt;&gt;"",OR(NOT(IFERROR(AND(LEN($B356&amp;"")=9,ISNUMBER(--($B356&amp;""))),FALSE)),$B356=$A356,$B356="123456789",$B356="987654321",$B356="012345678",$B356=REPT(LEFT($B356&amp;"",1),9)))),"Dependent SSN, ","")&amp;IF(OR($C356="",LEN($C356)&gt;19,AND($C356&lt;&gt;"",SUMPRODUCT(--(ROW($1:$19)&lt;=LEN($C356&amp;"")),--ISERROR(FIND(MID($C356&amp;"",ROW($1:$19),1),"ABCDEFGHIJKLMNOPQRSTUVWXYZabcdefghijklmnopqrstuvwxyz .,")))&gt;0)),"First Name, ","")&amp;IF(OR($D356="",LEN($D356)&gt;26,AND($D356&lt;&gt;"",SUMPRODUCT(--(ROW($1:$26)&lt;=LEN($D356&amp;"")),--ISERROR(FIND(MID($D356&amp;"",ROW($1:$26),1),"ABCDEFGHIJKLMNOPQRSTUVWXYZabcdefghijklmnopqrstuvwxyz .,")))&gt;0)),"Last Name, ","")&amp;IF(OR(LEN($E356)&gt;1,AND($E356&lt;&gt;"",SUMPRODUCT(--(ROW($1:$1)&lt;=LEN($E356&amp;"")),--ISERROR(FIND(MID($E356&amp;"",ROW($1:$1),1),"ABCDEFGHIJKLMNOPQRSTUVWXYZabcdefghijklmnopqrstuvwxyz .,")))&gt;0)),"Middle Initial, ","")&amp;IF(OR($F356="",LEN($F356)&gt;75),"Address, ","")&amp;IF(OR($H356="",LEN($H356)&gt;30),"City, ","")&amp;IF(AND($K356="US",OR($I356="",LEN($I356)&lt;&gt;2)),"State, ","")&amp;IF($J356="","ZIP, ","")&amp;IF(OR($K356="",AND($K356&lt;&gt;"US",$K356&lt;&gt;"CA")),"Country, ","")&amp;IF(OR($L356="",AND($L356&lt;&gt;"",OR(NOT(ISNUMBER($L356)),$L356&lt;=DATE(1900,1,1),$L356&gt;TODAY()))),"Birthdate, ","")&amp;IF(AND($N356&lt;&gt;"",NOT(IFERROR(AND(ISNUMBER(SEARCH("@",$N356)),ISNUMBER(SEARCH(".",$N356,SEARCH("@",$N356)+2))),FALSE))),"Email, ","")&amp;IF(OR(AND($B356&lt;&gt;"",$O356=""),AND($O356&lt;&gt;"",$O356&lt;&gt;"Spouse or Common Law Spouse",$O356&lt;&gt;"Domestic Partner",$O356&lt;&gt;"Child",$O356&lt;&gt;"Other",$O356&lt;&gt;"Estate",$O356&lt;&gt;"Unknown")),"Dependent Relationship, ","")&amp;IF($AA356&lt;&gt;"","Household, ","")&amp;IF(OR($P356="",AND($P356&lt;&gt;"",OR(NOT(ISNUMBER($P356)),$P356&lt;=DATE(1900,1,1)))),"Eligibility Date, ","")&amp;IF(OR(AND($R356="Terminated",$Q356=""),AND($Q356&lt;&gt;"",OR(NOT(ISNUMBER($Q356)),$Q356&lt;=DATE(1900,1,1))),AND(ISNUMBER($P356),ISNUMBER($Q356),$Q356&lt;$P356)),"Termination Date, ","")&amp;IF(OR($R356="",AND($R356&lt;&gt;"Active",$R356&lt;&gt;"Terminated"),AND('START HERE'!$C$8="Terminations Only",$R356&lt;&gt;"Terminated")),"Status, ","")&amp;IF($S356="","Plan Name, ","")&amp;IF($T356="","Coverage Level, ","")&amp;IF(AND($U356&lt;&gt;"",OR(NOT(ISNUMBER($U356)),$U356&lt;0)),"Funding, ","")&amp;IF(AND($A356&lt;&gt;"",$S356&lt;&gt;"",COUNTIFS($A$2:$A$501,$A356,$B$2:$B$501,$B356,$S$2:$S$501,$S356)&gt;1),"Duplicate Row, ",""))</f>
        <v/>
      </c>
      <c r="AF356">
        <f>IF(COUNTA($A356:$U356)=0,"",$Y356&amp;$Z356&amp;$AA356&amp;$AB356&amp;$AC356)</f>
        <v/>
      </c>
      <c r="AG356">
        <f>IF($N356="","",LOWER(TRIM($N356)))</f>
        <v/>
      </c>
      <c r="AH356">
        <f>IF($A356="","",COUNTIFS($A$2:$A$501,$A356,$AI$2:$AI$501,1))</f>
        <v/>
      </c>
      <c r="AI356">
        <f>IF(COUNTA($A356:$U356)=0,"",--($AF356&lt;&gt;""))</f>
        <v/>
      </c>
      <c r="AJ356">
        <f>IF(COUNTA($A356:$U356)=0,"",--($AD356&lt;&gt;""))</f>
        <v/>
      </c>
    </row>
    <row r="357" ht="20" customHeight="1">
      <c r="A357" s="80" t="n"/>
      <c r="B357" s="80" t="n"/>
      <c r="C357" s="81" t="n"/>
      <c r="D357" s="81" t="n"/>
      <c r="E357" s="80" t="n"/>
      <c r="F357" s="81" t="n"/>
      <c r="G357" s="81" t="n"/>
      <c r="H357" s="81" t="n"/>
      <c r="I357" s="80" t="n"/>
      <c r="J357" s="80" t="n"/>
      <c r="K357" s="80" t="n"/>
      <c r="L357" s="82" t="n"/>
      <c r="M357" s="80" t="n"/>
      <c r="N357" s="80" t="n"/>
      <c r="O357" s="80" t="n"/>
      <c r="P357" s="82" t="n"/>
      <c r="Q357" s="82" t="n"/>
      <c r="R357" s="80" t="n"/>
      <c r="S357" s="80" t="n"/>
      <c r="T357" s="80" t="n"/>
      <c r="U357" s="83" t="n"/>
      <c r="V357">
        <f>IF($A357="","",IF($A357=$A356,$V356,IF($V356="",0,1-$V356)))</f>
        <v/>
      </c>
      <c r="W357">
        <f>IF($B357&lt;&gt;"",$B357,$A357)</f>
        <v/>
      </c>
      <c r="X357">
        <f>IF(COUNTA($A357:$U357)=0,"",IF(OR($B357&lt;&gt;"",$O357&lt;&gt;""),"Dependent","Employee"))</f>
        <v/>
      </c>
      <c r="Y357">
        <f>IF(COUNTA($A357:$U357)=0,"",IF($A357="","Employee SSN is required; ","")&amp;IF($C357="","First Name is required; ","")&amp;IF(LEN($C357&amp;"")&gt;19,"First Name exceeds 19 characters; ","")&amp;IF(AND($C357&lt;&gt;"",SUMPRODUCT(--(ROW($1:$19)&lt;=LEN($C357&amp;"")),--ISERROR(FIND(MID($C357&amp;"",ROW($1:$19),1),"ABCDEFGHIJKLMNOPQRSTUVWXYZabcdefghijklmnopqrstuvwxyz .,")))&gt;0),"First Name contains unsupported or encoded characters; use plain A-Z letters only; ","")&amp;IF($D357="","Last Name is required; ","")&amp;IF(LEN($D357&amp;"")&gt;26,"Last Name exceeds 26 characters; ","")&amp;IF(AND($D357&lt;&gt;"",SUMPRODUCT(--(ROW($1:$26)&lt;=LEN($D357&amp;"")),--ISERROR(FIND(MID($D357&amp;"",ROW($1:$26),1),"ABCDEFGHIJKLMNOPQRSTUVWXYZabcdefghijklmnopqrstuvwxyz .,")))&gt;0),"Last Name contains unsupported or encoded characters; use plain A-Z letters only; ","")&amp;IF(LEN($E357&amp;"")&gt;1,"Middle Initial may contain only one character; ","")&amp;IF(AND($E357&lt;&gt;"",SUMPRODUCT(--(ROW($1:$1)&lt;=LEN($E357&amp;"")),--ISERROR(FIND(MID($E357&amp;"",ROW($1:$1),1),"ABCDEFGHIJKLMNOPQRSTUVWXYZabcdefghijklmnopqrstuvwxyz .,")))&gt;0),"Middle Initial must be a plain A-Z letter; ","")&amp;IF($F357="","Address is required; ","")&amp;IF(LEN($F357&amp;"")&gt;75,"Address exceeds 75 characters; ","")&amp;IF(LEN($G357&amp;"")&gt;75,"Address 2 exceeds 75 characters; ","")&amp;IF($H357="","City is required; ","")&amp;IF(LEN($H357&amp;"")&gt;30,"City exceeds 30 characters; ","")&amp;IF($K357="","Country is required; ","")&amp;IF(AND($K357&lt;&gt;"",$K357&lt;&gt;"US",$K357&lt;&gt;"CA"),"Country must be US or CA; ","")&amp;IF(AND($K357="US",OR($I357="",LEN($I357&amp;"")&lt;&gt;2)),"Use a 2-letter state code; ","")&amp;IF($J357="","ZIP or postal code is required; ","")&amp;IF(AND($K357="US",$J357&lt;&gt;"",NOT(IFERROR(OR(AND(LEN($J357&amp;"")=5,ISNUMBER(--($J357&amp;""))),AND(LEN($J357&amp;"")=9,ISNUMBER(--($J357&amp;""))),AND(LEN($J357&amp;"")=10,MID($J357&amp;"",6,1)="-",ISNUMBER(--SUBSTITUTE($J357&amp;"","-","")))),FALSE))),"US ZIP must be 5 or 9 digits, with an optional ZIP+4 hyphen; ","")&amp;IF(AND($N357&lt;&gt;"",NOT(IFERROR(AND(ISNUMBER(SEARCH("@",$N357)),ISNUMBER(SEARCH(".",$N357,SEARCH("@",$N357)+2))),FALSE))),"Email format appears invalid; ","")&amp;IF(AND($O357&lt;&gt;"",$B357=""),"Dependent SSN is required for every dependent; ","")&amp;IF(AND($B357&lt;&gt;"",$O357=""),"Dependent Relationship is required when Dependent SSN is entered; ","")&amp;IF(AND($O357&lt;&gt;"",$O357&lt;&gt;"Spouse or Common Law Spouse",$O357&lt;&gt;"Domestic Partner",$O357&lt;&gt;"Child",$O357&lt;&gt;"Other",$O357&lt;&gt;"Estate",$O357&lt;&gt;"Unknown"),"Dependent Relationship must use one of the approved options; ",""))</f>
        <v/>
      </c>
      <c r="Z357">
        <f>IF(COUNTA($A357:$U357)=0,"",IF(AND($A357&lt;&gt;"",NOT(IFERROR(AND(LEN($A357&amp;"")=9,ISNUMBER(--($A357&amp;""))),FALSE))),"Employee SSN must contain exactly 9 digits; ","")&amp;IF(AND($A357&lt;&gt;"",OR($A357="123456789",$A357="987654321",$A357="012345678",$A357=REPT(LEFT($A357&amp;"",1),9))),"Employee SSN appears to be a placeholder; ","")&amp;IF(AND($B357&lt;&gt;"",NOT(IFERROR(AND(LEN($B357&amp;"")=9,ISNUMBER(--($B357&amp;""))),FALSE))),"Dependent SSN must contain exactly 9 digits; ","")&amp;IF(AND($B357&lt;&gt;"",OR($B357="123456789",$B357="987654321",$B357="012345678",$B357=REPT(LEFT($B357&amp;"",1),9))),"Dependent SSN appears to be a placeholder; ","")&amp;IF(AND($A357&lt;&gt;"",$B357&lt;&gt;"",$A357&amp;""=$B357&amp;""),"Dependent SSN cannot match Employee SSN; ","")&amp;IF(AND($W357&lt;&gt;"",OR(COUNTIFS($W$2:$W$501,$W357,$C$2:$C$501,"&lt;&gt;"&amp;$C357)&gt;0,COUNTIFS($W$2:$W$501,$W357,$D$2:$D$501,"&lt;&gt;"&amp;$D357)&gt;0,COUNTIFS($W$2:$W$501,$W357,$L$2:$L$501,"&lt;&gt;"&amp;$L357)&gt;0)),"The same SSN is associated with a different name or birthdate; ",""))</f>
        <v/>
      </c>
      <c r="AA357">
        <f>IF(COUNTA($A357:$U357)=0,"",IF(AND($A357&lt;&gt;"",$S357&lt;&gt;"",COUNTIFS($A$2:$A$501,$A357,$S$2:$S$501,$S357,$B$2:$B$501,"",$O$2:$O$501,"")=0),"Add an employee row for this household and plan; ","")&amp;IF(AND($X357="Dependent",COUNTIFS($A$2:$A357,$A357,$S$2:$S357,$S357,$B$2:$B357,"",$O$2:$O357,"")=0),"Place the employee row before dependent rows for this plan; ","")&amp;IF(AND($X357="Dependent",COUNTIFS($A$2:$A$501,$A357,$S$2:$S$501,$S357,$B$2:$B$501,"",$O$2:$O$501,"")&gt;0,IFERROR(OR($P357&lt;&gt;LOOKUP(2,1/(($A$2:$A$501=$A357)*($S$2:$S$501=$S357)*($B$2:$B$501="")*($O$2:$O$501="")),$P$2:$P$501),$Q357&lt;&gt;LOOKUP(2,1/(($A$2:$A$501=$A357)*($S$2:$S$501=$S357)*($B$2:$B$501="")*($O$2:$O$501="")),$Q$2:$Q$501),$R357&lt;&gt;LOOKUP(2,1/(($A$2:$A$501=$A357)*($S$2:$S$501=$S357)*($B$2:$B$501="")*($O$2:$O$501="")),$R$2:$R$501),$T357&lt;&gt;LOOKUP(2,1/(($A$2:$A$501=$A357)*($S$2:$S$501=$S357)*($B$2:$B$501="")*($O$2:$O$501="")),$T$2:$T$501),$U357&lt;&gt;LOOKUP(2,1/(($A$2:$A$501=$A357)*($S$2:$S$501=$S357)*($B$2:$B$501="")*($O$2:$O$501="")),$U$2:$U$501)),FALSE)),"Dependent row does not match the employee row for eligibility, status, coverage level, or funding; ",""))</f>
        <v/>
      </c>
      <c r="AB357">
        <f>IF(COUNTA($A357:$U357)=0,"",IF($L357="","Birthdate is required; ","")&amp;IF(AND($L357&lt;&gt;"",OR(NOT(ISNUMBER($L357)),$L357&lt;=DATE(1900,1,1),$L357&gt;TODAY())),"Birthdate must be an exact valid past date; ","")&amp;IF($P357="","Eligibility Date is required; ","")&amp;IF(AND($P357&lt;&gt;"",OR(NOT(ISNUMBER($P357)),$P357&lt;=DATE(1900,1,1))),"Eligibility Date must be a valid date; ","")&amp;IF(AND($R357="Terminated",$Q357=""),"Termination Date is required when Status is Terminated; ","")&amp;IF(AND($Q357&lt;&gt;"",OR(NOT(ISNUMBER($Q357)),$Q357&lt;=DATE(1900,1,1))),"Termination Date must be a valid date; ","")&amp;IF(AND(ISNUMBER($P357),ISNUMBER($Q357),$Q357&lt;$P357),"Termination Date cannot be before Eligibility Date; ","")&amp;IF($R357="","Status is required; ","")&amp;IF(AND($R357&lt;&gt;"",$R357&lt;&gt;"Active",$R357&lt;&gt;"Terminated"),"Status must be Active or Terminated; ","")&amp;IF(AND('START HERE'!$C$8="Terminations Only",$R357&lt;&gt;"Terminated"),"Terminations Only files must contain terminated records; ",""))</f>
        <v/>
      </c>
      <c r="AC357">
        <f>IF(COUNTA($A357:$U357)=0,"",IF($S357="","Plan Name is required; ","")&amp;IF($T357="","Benefit Coverage Level is required; ","")&amp;IF(AND($U357&lt;&gt;"",OR(NOT(ISNUMBER($U357)),$U357&lt;0)),"Plan Funding Amount must be a nonnegative number; ","")&amp;IF(AND($A357&lt;&gt;"",$S357&lt;&gt;"",COUNTIFS($A$2:$A$501,$A357,$B$2:$B$501,$B357,$S$2:$S$501,$S357)&gt;1),"Duplicate participant and plan row; ",""))</f>
        <v/>
      </c>
      <c r="AD357">
        <f>IF(COUNTA($A357:$U357)=0,"",IF(AND($X357="Employee",$M357="",$N357=""),"No employee phone or email provided; ","")&amp;IF(AND($R357="Active",$Q357&lt;&gt;""),"Active record includes a Termination Date; confirm this is intentional; ","")&amp;IF(AND($B357&lt;&gt;"",$B357&amp;""&lt;&gt;$A357&amp;"",COUNTIF($A$2:$A$501,$B357)&gt;0),"Dependent SSN also appears as an Employee SSN elsewhere; confirm dual-employee coverage is intentional; ","")&amp;IF(AND($B357&lt;&gt;"",COUNTIF($B$2:$B$501,$B357)&gt;COUNTIFS($A$2:$A$501,$A357,$B$2:$B$501,$B357)),"Dependent SSN appears under more than one employee; confirm duplicate family coverage is intentional; ","")&amp;IF(AND(ROW()&gt;2,$A357&lt;&gt;"",$A357&lt;&gt;$A356,COUNTIF($A$2:$A356,$A357)&gt;0),"This household appears in more than one section of the census; keep the family together; ","")&amp;IF(OR(AND($C357&lt;&gt;"",LEN($C357&amp;"")&lt;&gt;LEN(TRIM($C357&amp;""))),AND($D357&lt;&gt;"",LEN($D357&amp;"")&lt;&gt;LEN(TRIM($D357&amp;""))),AND($E357&lt;&gt;"",LEN($E357&amp;"")&lt;&gt;LEN(TRIM($E357&amp;""))),AND($F357&lt;&gt;"",LEN($F357&amp;"")&lt;&gt;LEN(TRIM($F357&amp;""))),AND($G357&lt;&gt;"",LEN($G357&amp;"")&lt;&gt;LEN(TRIM($G357&amp;""))),AND($H357&lt;&gt;"",LEN($H357&amp;"")&lt;&gt;LEN(TRIM($H357&amp;""))),AND($I357&lt;&gt;"",LEN($I357&amp;"")&lt;&gt;LEN(TRIM($I357&amp;""))),AND($J357&lt;&gt;"",LEN($J357&amp;"")&lt;&gt;LEN(TRIM($J357&amp;""))),AND($K357&lt;&gt;"",LEN($K357&amp;"")&lt;&gt;LEN(TRIM($K357&amp;""))),AND($M357&lt;&gt;"",LEN($M357&amp;"")&lt;&gt;LEN(TRIM($M357&amp;""))),AND($N357&lt;&gt;"",LEN($N357&amp;"")&lt;&gt;LEN(TRIM($N357&amp;""))),AND($O357&lt;&gt;"",LEN($O357&amp;"")&lt;&gt;LEN(TRIM($O357&amp;""))),AND($R357&lt;&gt;"",LEN($R357&amp;"")&lt;&gt;LEN(TRIM($R357&amp;""))),AND($S357&lt;&gt;"",LEN($S357&amp;"")&lt;&gt;LEN(TRIM($S357&amp;""))),AND($T357&lt;&gt;"",LEN($T357&amp;"")&lt;&gt;LEN(TRIM($T357&amp;"")))),"Remove leading or trailing spaces from text fields; ","")&amp;IF(OR(AND(LEN($C357)&gt;1,OR(EXACT($C357,UPPER($C357)),EXACT($C357,LOWER($C357)))),AND(LEN($D357)&gt;1,OR(EXACT($D357,UPPER($D357)),EXACT($D357,LOWER($D357)))),AND(LEN($H357)&gt;1,OR(EXACT($H357,UPPER($H357)),EXACT($H357,LOWER($H357))))),"Review capitalization in First Name, Last Name, or City; ","")&amp;IF(AND($N357&lt;&gt;"",NOT(EXACT($N357,LOWER($N357)))),"Email will be standardized to lowercase in the clean output; ","")&amp;IF(AND(OR('START HERE'!$C$8="Initial Enrollment",'START HERE'!$C$8="Open Enrollment"),$R357="Terminated"),"A terminated row is included in an initial or open enrollment file; confirm this is intentional; ",""))</f>
        <v/>
      </c>
      <c r="AE357">
        <f>IF(COUNTA($A357:$U357)=0,"",IF(OR($A357="",AND($A357&lt;&gt;"",NOT(IFERROR(AND(LEN($A357&amp;"")=9,ISNUMBER(--($A357&amp;""))),FALSE))),AND($A357&lt;&gt;"",OR($A357="123456789",$A357="987654321",$A357="012345678",$A357=REPT(LEFT($A357&amp;"",1),9)))),"Employee SSN, ","")&amp;IF(OR(AND($O357&lt;&gt;"",$B357=""),AND($B357&lt;&gt;"",OR(NOT(IFERROR(AND(LEN($B357&amp;"")=9,ISNUMBER(--($B357&amp;""))),FALSE)),$B357=$A357,$B357="123456789",$B357="987654321",$B357="012345678",$B357=REPT(LEFT($B357&amp;"",1),9)))),"Dependent SSN, ","")&amp;IF(OR($C357="",LEN($C357)&gt;19,AND($C357&lt;&gt;"",SUMPRODUCT(--(ROW($1:$19)&lt;=LEN($C357&amp;"")),--ISERROR(FIND(MID($C357&amp;"",ROW($1:$19),1),"ABCDEFGHIJKLMNOPQRSTUVWXYZabcdefghijklmnopqrstuvwxyz .,")))&gt;0)),"First Name, ","")&amp;IF(OR($D357="",LEN($D357)&gt;26,AND($D357&lt;&gt;"",SUMPRODUCT(--(ROW($1:$26)&lt;=LEN($D357&amp;"")),--ISERROR(FIND(MID($D357&amp;"",ROW($1:$26),1),"ABCDEFGHIJKLMNOPQRSTUVWXYZabcdefghijklmnopqrstuvwxyz .,")))&gt;0)),"Last Name, ","")&amp;IF(OR(LEN($E357)&gt;1,AND($E357&lt;&gt;"",SUMPRODUCT(--(ROW($1:$1)&lt;=LEN($E357&amp;"")),--ISERROR(FIND(MID($E357&amp;"",ROW($1:$1),1),"ABCDEFGHIJKLMNOPQRSTUVWXYZabcdefghijklmnopqrstuvwxyz .,")))&gt;0)),"Middle Initial, ","")&amp;IF(OR($F357="",LEN($F357)&gt;75),"Address, ","")&amp;IF(OR($H357="",LEN($H357)&gt;30),"City, ","")&amp;IF(AND($K357="US",OR($I357="",LEN($I357)&lt;&gt;2)),"State, ","")&amp;IF($J357="","ZIP, ","")&amp;IF(OR($K357="",AND($K357&lt;&gt;"US",$K357&lt;&gt;"CA")),"Country, ","")&amp;IF(OR($L357="",AND($L357&lt;&gt;"",OR(NOT(ISNUMBER($L357)),$L357&lt;=DATE(1900,1,1),$L357&gt;TODAY()))),"Birthdate, ","")&amp;IF(AND($N357&lt;&gt;"",NOT(IFERROR(AND(ISNUMBER(SEARCH("@",$N357)),ISNUMBER(SEARCH(".",$N357,SEARCH("@",$N357)+2))),FALSE))),"Email, ","")&amp;IF(OR(AND($B357&lt;&gt;"",$O357=""),AND($O357&lt;&gt;"",$O357&lt;&gt;"Spouse or Common Law Spouse",$O357&lt;&gt;"Domestic Partner",$O357&lt;&gt;"Child",$O357&lt;&gt;"Other",$O357&lt;&gt;"Estate",$O357&lt;&gt;"Unknown")),"Dependent Relationship, ","")&amp;IF($AA357&lt;&gt;"","Household, ","")&amp;IF(OR($P357="",AND($P357&lt;&gt;"",OR(NOT(ISNUMBER($P357)),$P357&lt;=DATE(1900,1,1)))),"Eligibility Date, ","")&amp;IF(OR(AND($R357="Terminated",$Q357=""),AND($Q357&lt;&gt;"",OR(NOT(ISNUMBER($Q357)),$Q357&lt;=DATE(1900,1,1))),AND(ISNUMBER($P357),ISNUMBER($Q357),$Q357&lt;$P357)),"Termination Date, ","")&amp;IF(OR($R357="",AND($R357&lt;&gt;"Active",$R357&lt;&gt;"Terminated"),AND('START HERE'!$C$8="Terminations Only",$R357&lt;&gt;"Terminated")),"Status, ","")&amp;IF($S357="","Plan Name, ","")&amp;IF($T357="","Coverage Level, ","")&amp;IF(AND($U357&lt;&gt;"",OR(NOT(ISNUMBER($U357)),$U357&lt;0)),"Funding, ","")&amp;IF(AND($A357&lt;&gt;"",$S357&lt;&gt;"",COUNTIFS($A$2:$A$501,$A357,$B$2:$B$501,$B357,$S$2:$S$501,$S357)&gt;1),"Duplicate Row, ",""))</f>
        <v/>
      </c>
      <c r="AF357">
        <f>IF(COUNTA($A357:$U357)=0,"",$Y357&amp;$Z357&amp;$AA357&amp;$AB357&amp;$AC357)</f>
        <v/>
      </c>
      <c r="AG357">
        <f>IF($N357="","",LOWER(TRIM($N357)))</f>
        <v/>
      </c>
      <c r="AH357">
        <f>IF($A357="","",COUNTIFS($A$2:$A$501,$A357,$AI$2:$AI$501,1))</f>
        <v/>
      </c>
      <c r="AI357">
        <f>IF(COUNTA($A357:$U357)=0,"",--($AF357&lt;&gt;""))</f>
        <v/>
      </c>
      <c r="AJ357">
        <f>IF(COUNTA($A357:$U357)=0,"",--($AD357&lt;&gt;""))</f>
        <v/>
      </c>
    </row>
    <row r="358" ht="20" customHeight="1">
      <c r="A358" s="80" t="n"/>
      <c r="B358" s="80" t="n"/>
      <c r="C358" s="81" t="n"/>
      <c r="D358" s="81" t="n"/>
      <c r="E358" s="80" t="n"/>
      <c r="F358" s="81" t="n"/>
      <c r="G358" s="81" t="n"/>
      <c r="H358" s="81" t="n"/>
      <c r="I358" s="80" t="n"/>
      <c r="J358" s="80" t="n"/>
      <c r="K358" s="80" t="n"/>
      <c r="L358" s="82" t="n"/>
      <c r="M358" s="80" t="n"/>
      <c r="N358" s="80" t="n"/>
      <c r="O358" s="80" t="n"/>
      <c r="P358" s="82" t="n"/>
      <c r="Q358" s="82" t="n"/>
      <c r="R358" s="80" t="n"/>
      <c r="S358" s="80" t="n"/>
      <c r="T358" s="80" t="n"/>
      <c r="U358" s="83" t="n"/>
      <c r="V358">
        <f>IF($A358="","",IF($A358=$A357,$V357,IF($V357="",0,1-$V357)))</f>
        <v/>
      </c>
      <c r="W358">
        <f>IF($B358&lt;&gt;"",$B358,$A358)</f>
        <v/>
      </c>
      <c r="X358">
        <f>IF(COUNTA($A358:$U358)=0,"",IF(OR($B358&lt;&gt;"",$O358&lt;&gt;""),"Dependent","Employee"))</f>
        <v/>
      </c>
      <c r="Y358">
        <f>IF(COUNTA($A358:$U358)=0,"",IF($A358="","Employee SSN is required; ","")&amp;IF($C358="","First Name is required; ","")&amp;IF(LEN($C358&amp;"")&gt;19,"First Name exceeds 19 characters; ","")&amp;IF(AND($C358&lt;&gt;"",SUMPRODUCT(--(ROW($1:$19)&lt;=LEN($C358&amp;"")),--ISERROR(FIND(MID($C358&amp;"",ROW($1:$19),1),"ABCDEFGHIJKLMNOPQRSTUVWXYZabcdefghijklmnopqrstuvwxyz .,")))&gt;0),"First Name contains unsupported or encoded characters; use plain A-Z letters only; ","")&amp;IF($D358="","Last Name is required; ","")&amp;IF(LEN($D358&amp;"")&gt;26,"Last Name exceeds 26 characters; ","")&amp;IF(AND($D358&lt;&gt;"",SUMPRODUCT(--(ROW($1:$26)&lt;=LEN($D358&amp;"")),--ISERROR(FIND(MID($D358&amp;"",ROW($1:$26),1),"ABCDEFGHIJKLMNOPQRSTUVWXYZabcdefghijklmnopqrstuvwxyz .,")))&gt;0),"Last Name contains unsupported or encoded characters; use plain A-Z letters only; ","")&amp;IF(LEN($E358&amp;"")&gt;1,"Middle Initial may contain only one character; ","")&amp;IF(AND($E358&lt;&gt;"",SUMPRODUCT(--(ROW($1:$1)&lt;=LEN($E358&amp;"")),--ISERROR(FIND(MID($E358&amp;"",ROW($1:$1),1),"ABCDEFGHIJKLMNOPQRSTUVWXYZabcdefghijklmnopqrstuvwxyz .,")))&gt;0),"Middle Initial must be a plain A-Z letter; ","")&amp;IF($F358="","Address is required; ","")&amp;IF(LEN($F358&amp;"")&gt;75,"Address exceeds 75 characters; ","")&amp;IF(LEN($G358&amp;"")&gt;75,"Address 2 exceeds 75 characters; ","")&amp;IF($H358="","City is required; ","")&amp;IF(LEN($H358&amp;"")&gt;30,"City exceeds 30 characters; ","")&amp;IF($K358="","Country is required; ","")&amp;IF(AND($K358&lt;&gt;"",$K358&lt;&gt;"US",$K358&lt;&gt;"CA"),"Country must be US or CA; ","")&amp;IF(AND($K358="US",OR($I358="",LEN($I358&amp;"")&lt;&gt;2)),"Use a 2-letter state code; ","")&amp;IF($J358="","ZIP or postal code is required; ","")&amp;IF(AND($K358="US",$J358&lt;&gt;"",NOT(IFERROR(OR(AND(LEN($J358&amp;"")=5,ISNUMBER(--($J358&amp;""))),AND(LEN($J358&amp;"")=9,ISNUMBER(--($J358&amp;""))),AND(LEN($J358&amp;"")=10,MID($J358&amp;"",6,1)="-",ISNUMBER(--SUBSTITUTE($J358&amp;"","-","")))),FALSE))),"US ZIP must be 5 or 9 digits, with an optional ZIP+4 hyphen; ","")&amp;IF(AND($N358&lt;&gt;"",NOT(IFERROR(AND(ISNUMBER(SEARCH("@",$N358)),ISNUMBER(SEARCH(".",$N358,SEARCH("@",$N358)+2))),FALSE))),"Email format appears invalid; ","")&amp;IF(AND($O358&lt;&gt;"",$B358=""),"Dependent SSN is required for every dependent; ","")&amp;IF(AND($B358&lt;&gt;"",$O358=""),"Dependent Relationship is required when Dependent SSN is entered; ","")&amp;IF(AND($O358&lt;&gt;"",$O358&lt;&gt;"Spouse or Common Law Spouse",$O358&lt;&gt;"Domestic Partner",$O358&lt;&gt;"Child",$O358&lt;&gt;"Other",$O358&lt;&gt;"Estate",$O358&lt;&gt;"Unknown"),"Dependent Relationship must use one of the approved options; ",""))</f>
        <v/>
      </c>
      <c r="Z358">
        <f>IF(COUNTA($A358:$U358)=0,"",IF(AND($A358&lt;&gt;"",NOT(IFERROR(AND(LEN($A358&amp;"")=9,ISNUMBER(--($A358&amp;""))),FALSE))),"Employee SSN must contain exactly 9 digits; ","")&amp;IF(AND($A358&lt;&gt;"",OR($A358="123456789",$A358="987654321",$A358="012345678",$A358=REPT(LEFT($A358&amp;"",1),9))),"Employee SSN appears to be a placeholder; ","")&amp;IF(AND($B358&lt;&gt;"",NOT(IFERROR(AND(LEN($B358&amp;"")=9,ISNUMBER(--($B358&amp;""))),FALSE))),"Dependent SSN must contain exactly 9 digits; ","")&amp;IF(AND($B358&lt;&gt;"",OR($B358="123456789",$B358="987654321",$B358="012345678",$B358=REPT(LEFT($B358&amp;"",1),9))),"Dependent SSN appears to be a placeholder; ","")&amp;IF(AND($A358&lt;&gt;"",$B358&lt;&gt;"",$A358&amp;""=$B358&amp;""),"Dependent SSN cannot match Employee SSN; ","")&amp;IF(AND($W358&lt;&gt;"",OR(COUNTIFS($W$2:$W$501,$W358,$C$2:$C$501,"&lt;&gt;"&amp;$C358)&gt;0,COUNTIFS($W$2:$W$501,$W358,$D$2:$D$501,"&lt;&gt;"&amp;$D358)&gt;0,COUNTIFS($W$2:$W$501,$W358,$L$2:$L$501,"&lt;&gt;"&amp;$L358)&gt;0)),"The same SSN is associated with a different name or birthdate; ",""))</f>
        <v/>
      </c>
      <c r="AA358">
        <f>IF(COUNTA($A358:$U358)=0,"",IF(AND($A358&lt;&gt;"",$S358&lt;&gt;"",COUNTIFS($A$2:$A$501,$A358,$S$2:$S$501,$S358,$B$2:$B$501,"",$O$2:$O$501,"")=0),"Add an employee row for this household and plan; ","")&amp;IF(AND($X358="Dependent",COUNTIFS($A$2:$A358,$A358,$S$2:$S358,$S358,$B$2:$B358,"",$O$2:$O358,"")=0),"Place the employee row before dependent rows for this plan; ","")&amp;IF(AND($X358="Dependent",COUNTIFS($A$2:$A$501,$A358,$S$2:$S$501,$S358,$B$2:$B$501,"",$O$2:$O$501,"")&gt;0,IFERROR(OR($P358&lt;&gt;LOOKUP(2,1/(($A$2:$A$501=$A358)*($S$2:$S$501=$S358)*($B$2:$B$501="")*($O$2:$O$501="")),$P$2:$P$501),$Q358&lt;&gt;LOOKUP(2,1/(($A$2:$A$501=$A358)*($S$2:$S$501=$S358)*($B$2:$B$501="")*($O$2:$O$501="")),$Q$2:$Q$501),$R358&lt;&gt;LOOKUP(2,1/(($A$2:$A$501=$A358)*($S$2:$S$501=$S358)*($B$2:$B$501="")*($O$2:$O$501="")),$R$2:$R$501),$T358&lt;&gt;LOOKUP(2,1/(($A$2:$A$501=$A358)*($S$2:$S$501=$S358)*($B$2:$B$501="")*($O$2:$O$501="")),$T$2:$T$501),$U358&lt;&gt;LOOKUP(2,1/(($A$2:$A$501=$A358)*($S$2:$S$501=$S358)*($B$2:$B$501="")*($O$2:$O$501="")),$U$2:$U$501)),FALSE)),"Dependent row does not match the employee row for eligibility, status, coverage level, or funding; ",""))</f>
        <v/>
      </c>
      <c r="AB358">
        <f>IF(COUNTA($A358:$U358)=0,"",IF($L358="","Birthdate is required; ","")&amp;IF(AND($L358&lt;&gt;"",OR(NOT(ISNUMBER($L358)),$L358&lt;=DATE(1900,1,1),$L358&gt;TODAY())),"Birthdate must be an exact valid past date; ","")&amp;IF($P358="","Eligibility Date is required; ","")&amp;IF(AND($P358&lt;&gt;"",OR(NOT(ISNUMBER($P358)),$P358&lt;=DATE(1900,1,1))),"Eligibility Date must be a valid date; ","")&amp;IF(AND($R358="Terminated",$Q358=""),"Termination Date is required when Status is Terminated; ","")&amp;IF(AND($Q358&lt;&gt;"",OR(NOT(ISNUMBER($Q358)),$Q358&lt;=DATE(1900,1,1))),"Termination Date must be a valid date; ","")&amp;IF(AND(ISNUMBER($P358),ISNUMBER($Q358),$Q358&lt;$P358),"Termination Date cannot be before Eligibility Date; ","")&amp;IF($R358="","Status is required; ","")&amp;IF(AND($R358&lt;&gt;"",$R358&lt;&gt;"Active",$R358&lt;&gt;"Terminated"),"Status must be Active or Terminated; ","")&amp;IF(AND('START HERE'!$C$8="Terminations Only",$R358&lt;&gt;"Terminated"),"Terminations Only files must contain terminated records; ",""))</f>
        <v/>
      </c>
      <c r="AC358">
        <f>IF(COUNTA($A358:$U358)=0,"",IF($S358="","Plan Name is required; ","")&amp;IF($T358="","Benefit Coverage Level is required; ","")&amp;IF(AND($U358&lt;&gt;"",OR(NOT(ISNUMBER($U358)),$U358&lt;0)),"Plan Funding Amount must be a nonnegative number; ","")&amp;IF(AND($A358&lt;&gt;"",$S358&lt;&gt;"",COUNTIFS($A$2:$A$501,$A358,$B$2:$B$501,$B358,$S$2:$S$501,$S358)&gt;1),"Duplicate participant and plan row; ",""))</f>
        <v/>
      </c>
      <c r="AD358">
        <f>IF(COUNTA($A358:$U358)=0,"",IF(AND($X358="Employee",$M358="",$N358=""),"No employee phone or email provided; ","")&amp;IF(AND($R358="Active",$Q358&lt;&gt;""),"Active record includes a Termination Date; confirm this is intentional; ","")&amp;IF(AND($B358&lt;&gt;"",$B358&amp;""&lt;&gt;$A358&amp;"",COUNTIF($A$2:$A$501,$B358)&gt;0),"Dependent SSN also appears as an Employee SSN elsewhere; confirm dual-employee coverage is intentional; ","")&amp;IF(AND($B358&lt;&gt;"",COUNTIF($B$2:$B$501,$B358)&gt;COUNTIFS($A$2:$A$501,$A358,$B$2:$B$501,$B358)),"Dependent SSN appears under more than one employee; confirm duplicate family coverage is intentional; ","")&amp;IF(AND(ROW()&gt;2,$A358&lt;&gt;"",$A358&lt;&gt;$A357,COUNTIF($A$2:$A357,$A358)&gt;0),"This household appears in more than one section of the census; keep the family together; ","")&amp;IF(OR(AND($C358&lt;&gt;"",LEN($C358&amp;"")&lt;&gt;LEN(TRIM($C358&amp;""))),AND($D358&lt;&gt;"",LEN($D358&amp;"")&lt;&gt;LEN(TRIM($D358&amp;""))),AND($E358&lt;&gt;"",LEN($E358&amp;"")&lt;&gt;LEN(TRIM($E358&amp;""))),AND($F358&lt;&gt;"",LEN($F358&amp;"")&lt;&gt;LEN(TRIM($F358&amp;""))),AND($G358&lt;&gt;"",LEN($G358&amp;"")&lt;&gt;LEN(TRIM($G358&amp;""))),AND($H358&lt;&gt;"",LEN($H358&amp;"")&lt;&gt;LEN(TRIM($H358&amp;""))),AND($I358&lt;&gt;"",LEN($I358&amp;"")&lt;&gt;LEN(TRIM($I358&amp;""))),AND($J358&lt;&gt;"",LEN($J358&amp;"")&lt;&gt;LEN(TRIM($J358&amp;""))),AND($K358&lt;&gt;"",LEN($K358&amp;"")&lt;&gt;LEN(TRIM($K358&amp;""))),AND($M358&lt;&gt;"",LEN($M358&amp;"")&lt;&gt;LEN(TRIM($M358&amp;""))),AND($N358&lt;&gt;"",LEN($N358&amp;"")&lt;&gt;LEN(TRIM($N358&amp;""))),AND($O358&lt;&gt;"",LEN($O358&amp;"")&lt;&gt;LEN(TRIM($O358&amp;""))),AND($R358&lt;&gt;"",LEN($R358&amp;"")&lt;&gt;LEN(TRIM($R358&amp;""))),AND($S358&lt;&gt;"",LEN($S358&amp;"")&lt;&gt;LEN(TRIM($S358&amp;""))),AND($T358&lt;&gt;"",LEN($T358&amp;"")&lt;&gt;LEN(TRIM($T358&amp;"")))),"Remove leading or trailing spaces from text fields; ","")&amp;IF(OR(AND(LEN($C358)&gt;1,OR(EXACT($C358,UPPER($C358)),EXACT($C358,LOWER($C358)))),AND(LEN($D358)&gt;1,OR(EXACT($D358,UPPER($D358)),EXACT($D358,LOWER($D358)))),AND(LEN($H358)&gt;1,OR(EXACT($H358,UPPER($H358)),EXACT($H358,LOWER($H358))))),"Review capitalization in First Name, Last Name, or City; ","")&amp;IF(AND($N358&lt;&gt;"",NOT(EXACT($N358,LOWER($N358)))),"Email will be standardized to lowercase in the clean output; ","")&amp;IF(AND(OR('START HERE'!$C$8="Initial Enrollment",'START HERE'!$C$8="Open Enrollment"),$R358="Terminated"),"A terminated row is included in an initial or open enrollment file; confirm this is intentional; ",""))</f>
        <v/>
      </c>
      <c r="AE358">
        <f>IF(COUNTA($A358:$U358)=0,"",IF(OR($A358="",AND($A358&lt;&gt;"",NOT(IFERROR(AND(LEN($A358&amp;"")=9,ISNUMBER(--($A358&amp;""))),FALSE))),AND($A358&lt;&gt;"",OR($A358="123456789",$A358="987654321",$A358="012345678",$A358=REPT(LEFT($A358&amp;"",1),9)))),"Employee SSN, ","")&amp;IF(OR(AND($O358&lt;&gt;"",$B358=""),AND($B358&lt;&gt;"",OR(NOT(IFERROR(AND(LEN($B358&amp;"")=9,ISNUMBER(--($B358&amp;""))),FALSE)),$B358=$A358,$B358="123456789",$B358="987654321",$B358="012345678",$B358=REPT(LEFT($B358&amp;"",1),9)))),"Dependent SSN, ","")&amp;IF(OR($C358="",LEN($C358)&gt;19,AND($C358&lt;&gt;"",SUMPRODUCT(--(ROW($1:$19)&lt;=LEN($C358&amp;"")),--ISERROR(FIND(MID($C358&amp;"",ROW($1:$19),1),"ABCDEFGHIJKLMNOPQRSTUVWXYZabcdefghijklmnopqrstuvwxyz .,")))&gt;0)),"First Name, ","")&amp;IF(OR($D358="",LEN($D358)&gt;26,AND($D358&lt;&gt;"",SUMPRODUCT(--(ROW($1:$26)&lt;=LEN($D358&amp;"")),--ISERROR(FIND(MID($D358&amp;"",ROW($1:$26),1),"ABCDEFGHIJKLMNOPQRSTUVWXYZabcdefghijklmnopqrstuvwxyz .,")))&gt;0)),"Last Name, ","")&amp;IF(OR(LEN($E358)&gt;1,AND($E358&lt;&gt;"",SUMPRODUCT(--(ROW($1:$1)&lt;=LEN($E358&amp;"")),--ISERROR(FIND(MID($E358&amp;"",ROW($1:$1),1),"ABCDEFGHIJKLMNOPQRSTUVWXYZabcdefghijklmnopqrstuvwxyz .,")))&gt;0)),"Middle Initial, ","")&amp;IF(OR($F358="",LEN($F358)&gt;75),"Address, ","")&amp;IF(OR($H358="",LEN($H358)&gt;30),"City, ","")&amp;IF(AND($K358="US",OR($I358="",LEN($I358)&lt;&gt;2)),"State, ","")&amp;IF($J358="","ZIP, ","")&amp;IF(OR($K358="",AND($K358&lt;&gt;"US",$K358&lt;&gt;"CA")),"Country, ","")&amp;IF(OR($L358="",AND($L358&lt;&gt;"",OR(NOT(ISNUMBER($L358)),$L358&lt;=DATE(1900,1,1),$L358&gt;TODAY()))),"Birthdate, ","")&amp;IF(AND($N358&lt;&gt;"",NOT(IFERROR(AND(ISNUMBER(SEARCH("@",$N358)),ISNUMBER(SEARCH(".",$N358,SEARCH("@",$N358)+2))),FALSE))),"Email, ","")&amp;IF(OR(AND($B358&lt;&gt;"",$O358=""),AND($O358&lt;&gt;"",$O358&lt;&gt;"Spouse or Common Law Spouse",$O358&lt;&gt;"Domestic Partner",$O358&lt;&gt;"Child",$O358&lt;&gt;"Other",$O358&lt;&gt;"Estate",$O358&lt;&gt;"Unknown")),"Dependent Relationship, ","")&amp;IF($AA358&lt;&gt;"","Household, ","")&amp;IF(OR($P358="",AND($P358&lt;&gt;"",OR(NOT(ISNUMBER($P358)),$P358&lt;=DATE(1900,1,1)))),"Eligibility Date, ","")&amp;IF(OR(AND($R358="Terminated",$Q358=""),AND($Q358&lt;&gt;"",OR(NOT(ISNUMBER($Q358)),$Q358&lt;=DATE(1900,1,1))),AND(ISNUMBER($P358),ISNUMBER($Q358),$Q358&lt;$P358)),"Termination Date, ","")&amp;IF(OR($R358="",AND($R358&lt;&gt;"Active",$R358&lt;&gt;"Terminated"),AND('START HERE'!$C$8="Terminations Only",$R358&lt;&gt;"Terminated")),"Status, ","")&amp;IF($S358="","Plan Name, ","")&amp;IF($T358="","Coverage Level, ","")&amp;IF(AND($U358&lt;&gt;"",OR(NOT(ISNUMBER($U358)),$U358&lt;0)),"Funding, ","")&amp;IF(AND($A358&lt;&gt;"",$S358&lt;&gt;"",COUNTIFS($A$2:$A$501,$A358,$B$2:$B$501,$B358,$S$2:$S$501,$S358)&gt;1),"Duplicate Row, ",""))</f>
        <v/>
      </c>
      <c r="AF358">
        <f>IF(COUNTA($A358:$U358)=0,"",$Y358&amp;$Z358&amp;$AA358&amp;$AB358&amp;$AC358)</f>
        <v/>
      </c>
      <c r="AG358">
        <f>IF($N358="","",LOWER(TRIM($N358)))</f>
        <v/>
      </c>
      <c r="AH358">
        <f>IF($A358="","",COUNTIFS($A$2:$A$501,$A358,$AI$2:$AI$501,1))</f>
        <v/>
      </c>
      <c r="AI358">
        <f>IF(COUNTA($A358:$U358)=0,"",--($AF358&lt;&gt;""))</f>
        <v/>
      </c>
      <c r="AJ358">
        <f>IF(COUNTA($A358:$U358)=0,"",--($AD358&lt;&gt;""))</f>
        <v/>
      </c>
    </row>
    <row r="359" ht="20" customHeight="1">
      <c r="A359" s="80" t="n"/>
      <c r="B359" s="80" t="n"/>
      <c r="C359" s="81" t="n"/>
      <c r="D359" s="81" t="n"/>
      <c r="E359" s="80" t="n"/>
      <c r="F359" s="81" t="n"/>
      <c r="G359" s="81" t="n"/>
      <c r="H359" s="81" t="n"/>
      <c r="I359" s="80" t="n"/>
      <c r="J359" s="80" t="n"/>
      <c r="K359" s="80" t="n"/>
      <c r="L359" s="82" t="n"/>
      <c r="M359" s="80" t="n"/>
      <c r="N359" s="80" t="n"/>
      <c r="O359" s="80" t="n"/>
      <c r="P359" s="82" t="n"/>
      <c r="Q359" s="82" t="n"/>
      <c r="R359" s="80" t="n"/>
      <c r="S359" s="80" t="n"/>
      <c r="T359" s="80" t="n"/>
      <c r="U359" s="83" t="n"/>
      <c r="V359">
        <f>IF($A359="","",IF($A359=$A358,$V358,IF($V358="",0,1-$V358)))</f>
        <v/>
      </c>
      <c r="W359">
        <f>IF($B359&lt;&gt;"",$B359,$A359)</f>
        <v/>
      </c>
      <c r="X359">
        <f>IF(COUNTA($A359:$U359)=0,"",IF(OR($B359&lt;&gt;"",$O359&lt;&gt;""),"Dependent","Employee"))</f>
        <v/>
      </c>
      <c r="Y359">
        <f>IF(COUNTA($A359:$U359)=0,"",IF($A359="","Employee SSN is required; ","")&amp;IF($C359="","First Name is required; ","")&amp;IF(LEN($C359&amp;"")&gt;19,"First Name exceeds 19 characters; ","")&amp;IF(AND($C359&lt;&gt;"",SUMPRODUCT(--(ROW($1:$19)&lt;=LEN($C359&amp;"")),--ISERROR(FIND(MID($C359&amp;"",ROW($1:$19),1),"ABCDEFGHIJKLMNOPQRSTUVWXYZabcdefghijklmnopqrstuvwxyz .,")))&gt;0),"First Name contains unsupported or encoded characters; use plain A-Z letters only; ","")&amp;IF($D359="","Last Name is required; ","")&amp;IF(LEN($D359&amp;"")&gt;26,"Last Name exceeds 26 characters; ","")&amp;IF(AND($D359&lt;&gt;"",SUMPRODUCT(--(ROW($1:$26)&lt;=LEN($D359&amp;"")),--ISERROR(FIND(MID($D359&amp;"",ROW($1:$26),1),"ABCDEFGHIJKLMNOPQRSTUVWXYZabcdefghijklmnopqrstuvwxyz .,")))&gt;0),"Last Name contains unsupported or encoded characters; use plain A-Z letters only; ","")&amp;IF(LEN($E359&amp;"")&gt;1,"Middle Initial may contain only one character; ","")&amp;IF(AND($E359&lt;&gt;"",SUMPRODUCT(--(ROW($1:$1)&lt;=LEN($E359&amp;"")),--ISERROR(FIND(MID($E359&amp;"",ROW($1:$1),1),"ABCDEFGHIJKLMNOPQRSTUVWXYZabcdefghijklmnopqrstuvwxyz .,")))&gt;0),"Middle Initial must be a plain A-Z letter; ","")&amp;IF($F359="","Address is required; ","")&amp;IF(LEN($F359&amp;"")&gt;75,"Address exceeds 75 characters; ","")&amp;IF(LEN($G359&amp;"")&gt;75,"Address 2 exceeds 75 characters; ","")&amp;IF($H359="","City is required; ","")&amp;IF(LEN($H359&amp;"")&gt;30,"City exceeds 30 characters; ","")&amp;IF($K359="","Country is required; ","")&amp;IF(AND($K359&lt;&gt;"",$K359&lt;&gt;"US",$K359&lt;&gt;"CA"),"Country must be US or CA; ","")&amp;IF(AND($K359="US",OR($I359="",LEN($I359&amp;"")&lt;&gt;2)),"Use a 2-letter state code; ","")&amp;IF($J359="","ZIP or postal code is required; ","")&amp;IF(AND($K359="US",$J359&lt;&gt;"",NOT(IFERROR(OR(AND(LEN($J359&amp;"")=5,ISNUMBER(--($J359&amp;""))),AND(LEN($J359&amp;"")=9,ISNUMBER(--($J359&amp;""))),AND(LEN($J359&amp;"")=10,MID($J359&amp;"",6,1)="-",ISNUMBER(--SUBSTITUTE($J359&amp;"","-","")))),FALSE))),"US ZIP must be 5 or 9 digits, with an optional ZIP+4 hyphen; ","")&amp;IF(AND($N359&lt;&gt;"",NOT(IFERROR(AND(ISNUMBER(SEARCH("@",$N359)),ISNUMBER(SEARCH(".",$N359,SEARCH("@",$N359)+2))),FALSE))),"Email format appears invalid; ","")&amp;IF(AND($O359&lt;&gt;"",$B359=""),"Dependent SSN is required for every dependent; ","")&amp;IF(AND($B359&lt;&gt;"",$O359=""),"Dependent Relationship is required when Dependent SSN is entered; ","")&amp;IF(AND($O359&lt;&gt;"",$O359&lt;&gt;"Spouse or Common Law Spouse",$O359&lt;&gt;"Domestic Partner",$O359&lt;&gt;"Child",$O359&lt;&gt;"Other",$O359&lt;&gt;"Estate",$O359&lt;&gt;"Unknown"),"Dependent Relationship must use one of the approved options; ",""))</f>
        <v/>
      </c>
      <c r="Z359">
        <f>IF(COUNTA($A359:$U359)=0,"",IF(AND($A359&lt;&gt;"",NOT(IFERROR(AND(LEN($A359&amp;"")=9,ISNUMBER(--($A359&amp;""))),FALSE))),"Employee SSN must contain exactly 9 digits; ","")&amp;IF(AND($A359&lt;&gt;"",OR($A359="123456789",$A359="987654321",$A359="012345678",$A359=REPT(LEFT($A359&amp;"",1),9))),"Employee SSN appears to be a placeholder; ","")&amp;IF(AND($B359&lt;&gt;"",NOT(IFERROR(AND(LEN($B359&amp;"")=9,ISNUMBER(--($B359&amp;""))),FALSE))),"Dependent SSN must contain exactly 9 digits; ","")&amp;IF(AND($B359&lt;&gt;"",OR($B359="123456789",$B359="987654321",$B359="012345678",$B359=REPT(LEFT($B359&amp;"",1),9))),"Dependent SSN appears to be a placeholder; ","")&amp;IF(AND($A359&lt;&gt;"",$B359&lt;&gt;"",$A359&amp;""=$B359&amp;""),"Dependent SSN cannot match Employee SSN; ","")&amp;IF(AND($W359&lt;&gt;"",OR(COUNTIFS($W$2:$W$501,$W359,$C$2:$C$501,"&lt;&gt;"&amp;$C359)&gt;0,COUNTIFS($W$2:$W$501,$W359,$D$2:$D$501,"&lt;&gt;"&amp;$D359)&gt;0,COUNTIFS($W$2:$W$501,$W359,$L$2:$L$501,"&lt;&gt;"&amp;$L359)&gt;0)),"The same SSN is associated with a different name or birthdate; ",""))</f>
        <v/>
      </c>
      <c r="AA359">
        <f>IF(COUNTA($A359:$U359)=0,"",IF(AND($A359&lt;&gt;"",$S359&lt;&gt;"",COUNTIFS($A$2:$A$501,$A359,$S$2:$S$501,$S359,$B$2:$B$501,"",$O$2:$O$501,"")=0),"Add an employee row for this household and plan; ","")&amp;IF(AND($X359="Dependent",COUNTIFS($A$2:$A359,$A359,$S$2:$S359,$S359,$B$2:$B359,"",$O$2:$O359,"")=0),"Place the employee row before dependent rows for this plan; ","")&amp;IF(AND($X359="Dependent",COUNTIFS($A$2:$A$501,$A359,$S$2:$S$501,$S359,$B$2:$B$501,"",$O$2:$O$501,"")&gt;0,IFERROR(OR($P359&lt;&gt;LOOKUP(2,1/(($A$2:$A$501=$A359)*($S$2:$S$501=$S359)*($B$2:$B$501="")*($O$2:$O$501="")),$P$2:$P$501),$Q359&lt;&gt;LOOKUP(2,1/(($A$2:$A$501=$A359)*($S$2:$S$501=$S359)*($B$2:$B$501="")*($O$2:$O$501="")),$Q$2:$Q$501),$R359&lt;&gt;LOOKUP(2,1/(($A$2:$A$501=$A359)*($S$2:$S$501=$S359)*($B$2:$B$501="")*($O$2:$O$501="")),$R$2:$R$501),$T359&lt;&gt;LOOKUP(2,1/(($A$2:$A$501=$A359)*($S$2:$S$501=$S359)*($B$2:$B$501="")*($O$2:$O$501="")),$T$2:$T$501),$U359&lt;&gt;LOOKUP(2,1/(($A$2:$A$501=$A359)*($S$2:$S$501=$S359)*($B$2:$B$501="")*($O$2:$O$501="")),$U$2:$U$501)),FALSE)),"Dependent row does not match the employee row for eligibility, status, coverage level, or funding; ",""))</f>
        <v/>
      </c>
      <c r="AB359">
        <f>IF(COUNTA($A359:$U359)=0,"",IF($L359="","Birthdate is required; ","")&amp;IF(AND($L359&lt;&gt;"",OR(NOT(ISNUMBER($L359)),$L359&lt;=DATE(1900,1,1),$L359&gt;TODAY())),"Birthdate must be an exact valid past date; ","")&amp;IF($P359="","Eligibility Date is required; ","")&amp;IF(AND($P359&lt;&gt;"",OR(NOT(ISNUMBER($P359)),$P359&lt;=DATE(1900,1,1))),"Eligibility Date must be a valid date; ","")&amp;IF(AND($R359="Terminated",$Q359=""),"Termination Date is required when Status is Terminated; ","")&amp;IF(AND($Q359&lt;&gt;"",OR(NOT(ISNUMBER($Q359)),$Q359&lt;=DATE(1900,1,1))),"Termination Date must be a valid date; ","")&amp;IF(AND(ISNUMBER($P359),ISNUMBER($Q359),$Q359&lt;$P359),"Termination Date cannot be before Eligibility Date; ","")&amp;IF($R359="","Status is required; ","")&amp;IF(AND($R359&lt;&gt;"",$R359&lt;&gt;"Active",$R359&lt;&gt;"Terminated"),"Status must be Active or Terminated; ","")&amp;IF(AND('START HERE'!$C$8="Terminations Only",$R359&lt;&gt;"Terminated"),"Terminations Only files must contain terminated records; ",""))</f>
        <v/>
      </c>
      <c r="AC359">
        <f>IF(COUNTA($A359:$U359)=0,"",IF($S359="","Plan Name is required; ","")&amp;IF($T359="","Benefit Coverage Level is required; ","")&amp;IF(AND($U359&lt;&gt;"",OR(NOT(ISNUMBER($U359)),$U359&lt;0)),"Plan Funding Amount must be a nonnegative number; ","")&amp;IF(AND($A359&lt;&gt;"",$S359&lt;&gt;"",COUNTIFS($A$2:$A$501,$A359,$B$2:$B$501,$B359,$S$2:$S$501,$S359)&gt;1),"Duplicate participant and plan row; ",""))</f>
        <v/>
      </c>
      <c r="AD359">
        <f>IF(COUNTA($A359:$U359)=0,"",IF(AND($X359="Employee",$M359="",$N359=""),"No employee phone or email provided; ","")&amp;IF(AND($R359="Active",$Q359&lt;&gt;""),"Active record includes a Termination Date; confirm this is intentional; ","")&amp;IF(AND($B359&lt;&gt;"",$B359&amp;""&lt;&gt;$A359&amp;"",COUNTIF($A$2:$A$501,$B359)&gt;0),"Dependent SSN also appears as an Employee SSN elsewhere; confirm dual-employee coverage is intentional; ","")&amp;IF(AND($B359&lt;&gt;"",COUNTIF($B$2:$B$501,$B359)&gt;COUNTIFS($A$2:$A$501,$A359,$B$2:$B$501,$B359)),"Dependent SSN appears under more than one employee; confirm duplicate family coverage is intentional; ","")&amp;IF(AND(ROW()&gt;2,$A359&lt;&gt;"",$A359&lt;&gt;$A358,COUNTIF($A$2:$A358,$A359)&gt;0),"This household appears in more than one section of the census; keep the family together; ","")&amp;IF(OR(AND($C359&lt;&gt;"",LEN($C359&amp;"")&lt;&gt;LEN(TRIM($C359&amp;""))),AND($D359&lt;&gt;"",LEN($D359&amp;"")&lt;&gt;LEN(TRIM($D359&amp;""))),AND($E359&lt;&gt;"",LEN($E359&amp;"")&lt;&gt;LEN(TRIM($E359&amp;""))),AND($F359&lt;&gt;"",LEN($F359&amp;"")&lt;&gt;LEN(TRIM($F359&amp;""))),AND($G359&lt;&gt;"",LEN($G359&amp;"")&lt;&gt;LEN(TRIM($G359&amp;""))),AND($H359&lt;&gt;"",LEN($H359&amp;"")&lt;&gt;LEN(TRIM($H359&amp;""))),AND($I359&lt;&gt;"",LEN($I359&amp;"")&lt;&gt;LEN(TRIM($I359&amp;""))),AND($J359&lt;&gt;"",LEN($J359&amp;"")&lt;&gt;LEN(TRIM($J359&amp;""))),AND($K359&lt;&gt;"",LEN($K359&amp;"")&lt;&gt;LEN(TRIM($K359&amp;""))),AND($M359&lt;&gt;"",LEN($M359&amp;"")&lt;&gt;LEN(TRIM($M359&amp;""))),AND($N359&lt;&gt;"",LEN($N359&amp;"")&lt;&gt;LEN(TRIM($N359&amp;""))),AND($O359&lt;&gt;"",LEN($O359&amp;"")&lt;&gt;LEN(TRIM($O359&amp;""))),AND($R359&lt;&gt;"",LEN($R359&amp;"")&lt;&gt;LEN(TRIM($R359&amp;""))),AND($S359&lt;&gt;"",LEN($S359&amp;"")&lt;&gt;LEN(TRIM($S359&amp;""))),AND($T359&lt;&gt;"",LEN($T359&amp;"")&lt;&gt;LEN(TRIM($T359&amp;"")))),"Remove leading or trailing spaces from text fields; ","")&amp;IF(OR(AND(LEN($C359)&gt;1,OR(EXACT($C359,UPPER($C359)),EXACT($C359,LOWER($C359)))),AND(LEN($D359)&gt;1,OR(EXACT($D359,UPPER($D359)),EXACT($D359,LOWER($D359)))),AND(LEN($H359)&gt;1,OR(EXACT($H359,UPPER($H359)),EXACT($H359,LOWER($H359))))),"Review capitalization in First Name, Last Name, or City; ","")&amp;IF(AND($N359&lt;&gt;"",NOT(EXACT($N359,LOWER($N359)))),"Email will be standardized to lowercase in the clean output; ","")&amp;IF(AND(OR('START HERE'!$C$8="Initial Enrollment",'START HERE'!$C$8="Open Enrollment"),$R359="Terminated"),"A terminated row is included in an initial or open enrollment file; confirm this is intentional; ",""))</f>
        <v/>
      </c>
      <c r="AE359">
        <f>IF(COUNTA($A359:$U359)=0,"",IF(OR($A359="",AND($A359&lt;&gt;"",NOT(IFERROR(AND(LEN($A359&amp;"")=9,ISNUMBER(--($A359&amp;""))),FALSE))),AND($A359&lt;&gt;"",OR($A359="123456789",$A359="987654321",$A359="012345678",$A359=REPT(LEFT($A359&amp;"",1),9)))),"Employee SSN, ","")&amp;IF(OR(AND($O359&lt;&gt;"",$B359=""),AND($B359&lt;&gt;"",OR(NOT(IFERROR(AND(LEN($B359&amp;"")=9,ISNUMBER(--($B359&amp;""))),FALSE)),$B359=$A359,$B359="123456789",$B359="987654321",$B359="012345678",$B359=REPT(LEFT($B359&amp;"",1),9)))),"Dependent SSN, ","")&amp;IF(OR($C359="",LEN($C359)&gt;19,AND($C359&lt;&gt;"",SUMPRODUCT(--(ROW($1:$19)&lt;=LEN($C359&amp;"")),--ISERROR(FIND(MID($C359&amp;"",ROW($1:$19),1),"ABCDEFGHIJKLMNOPQRSTUVWXYZabcdefghijklmnopqrstuvwxyz .,")))&gt;0)),"First Name, ","")&amp;IF(OR($D359="",LEN($D359)&gt;26,AND($D359&lt;&gt;"",SUMPRODUCT(--(ROW($1:$26)&lt;=LEN($D359&amp;"")),--ISERROR(FIND(MID($D359&amp;"",ROW($1:$26),1),"ABCDEFGHIJKLMNOPQRSTUVWXYZabcdefghijklmnopqrstuvwxyz .,")))&gt;0)),"Last Name, ","")&amp;IF(OR(LEN($E359)&gt;1,AND($E359&lt;&gt;"",SUMPRODUCT(--(ROW($1:$1)&lt;=LEN($E359&amp;"")),--ISERROR(FIND(MID($E359&amp;"",ROW($1:$1),1),"ABCDEFGHIJKLMNOPQRSTUVWXYZabcdefghijklmnopqrstuvwxyz .,")))&gt;0)),"Middle Initial, ","")&amp;IF(OR($F359="",LEN($F359)&gt;75),"Address, ","")&amp;IF(OR($H359="",LEN($H359)&gt;30),"City, ","")&amp;IF(AND($K359="US",OR($I359="",LEN($I359)&lt;&gt;2)),"State, ","")&amp;IF($J359="","ZIP, ","")&amp;IF(OR($K359="",AND($K359&lt;&gt;"US",$K359&lt;&gt;"CA")),"Country, ","")&amp;IF(OR($L359="",AND($L359&lt;&gt;"",OR(NOT(ISNUMBER($L359)),$L359&lt;=DATE(1900,1,1),$L359&gt;TODAY()))),"Birthdate, ","")&amp;IF(AND($N359&lt;&gt;"",NOT(IFERROR(AND(ISNUMBER(SEARCH("@",$N359)),ISNUMBER(SEARCH(".",$N359,SEARCH("@",$N359)+2))),FALSE))),"Email, ","")&amp;IF(OR(AND($B359&lt;&gt;"",$O359=""),AND($O359&lt;&gt;"",$O359&lt;&gt;"Spouse or Common Law Spouse",$O359&lt;&gt;"Domestic Partner",$O359&lt;&gt;"Child",$O359&lt;&gt;"Other",$O359&lt;&gt;"Estate",$O359&lt;&gt;"Unknown")),"Dependent Relationship, ","")&amp;IF($AA359&lt;&gt;"","Household, ","")&amp;IF(OR($P359="",AND($P359&lt;&gt;"",OR(NOT(ISNUMBER($P359)),$P359&lt;=DATE(1900,1,1)))),"Eligibility Date, ","")&amp;IF(OR(AND($R359="Terminated",$Q359=""),AND($Q359&lt;&gt;"",OR(NOT(ISNUMBER($Q359)),$Q359&lt;=DATE(1900,1,1))),AND(ISNUMBER($P359),ISNUMBER($Q359),$Q359&lt;$P359)),"Termination Date, ","")&amp;IF(OR($R359="",AND($R359&lt;&gt;"Active",$R359&lt;&gt;"Terminated"),AND('START HERE'!$C$8="Terminations Only",$R359&lt;&gt;"Terminated")),"Status, ","")&amp;IF($S359="","Plan Name, ","")&amp;IF($T359="","Coverage Level, ","")&amp;IF(AND($U359&lt;&gt;"",OR(NOT(ISNUMBER($U359)),$U359&lt;0)),"Funding, ","")&amp;IF(AND($A359&lt;&gt;"",$S359&lt;&gt;"",COUNTIFS($A$2:$A$501,$A359,$B$2:$B$501,$B359,$S$2:$S$501,$S359)&gt;1),"Duplicate Row, ",""))</f>
        <v/>
      </c>
      <c r="AF359">
        <f>IF(COUNTA($A359:$U359)=0,"",$Y359&amp;$Z359&amp;$AA359&amp;$AB359&amp;$AC359)</f>
        <v/>
      </c>
      <c r="AG359">
        <f>IF($N359="","",LOWER(TRIM($N359)))</f>
        <v/>
      </c>
      <c r="AH359">
        <f>IF($A359="","",COUNTIFS($A$2:$A$501,$A359,$AI$2:$AI$501,1))</f>
        <v/>
      </c>
      <c r="AI359">
        <f>IF(COUNTA($A359:$U359)=0,"",--($AF359&lt;&gt;""))</f>
        <v/>
      </c>
      <c r="AJ359">
        <f>IF(COUNTA($A359:$U359)=0,"",--($AD359&lt;&gt;""))</f>
        <v/>
      </c>
    </row>
    <row r="360" ht="20" customHeight="1">
      <c r="A360" s="80" t="n"/>
      <c r="B360" s="80" t="n"/>
      <c r="C360" s="81" t="n"/>
      <c r="D360" s="81" t="n"/>
      <c r="E360" s="80" t="n"/>
      <c r="F360" s="81" t="n"/>
      <c r="G360" s="81" t="n"/>
      <c r="H360" s="81" t="n"/>
      <c r="I360" s="80" t="n"/>
      <c r="J360" s="80" t="n"/>
      <c r="K360" s="80" t="n"/>
      <c r="L360" s="82" t="n"/>
      <c r="M360" s="80" t="n"/>
      <c r="N360" s="80" t="n"/>
      <c r="O360" s="80" t="n"/>
      <c r="P360" s="82" t="n"/>
      <c r="Q360" s="82" t="n"/>
      <c r="R360" s="80" t="n"/>
      <c r="S360" s="80" t="n"/>
      <c r="T360" s="80" t="n"/>
      <c r="U360" s="83" t="n"/>
      <c r="V360">
        <f>IF($A360="","",IF($A360=$A359,$V359,IF($V359="",0,1-$V359)))</f>
        <v/>
      </c>
      <c r="W360">
        <f>IF($B360&lt;&gt;"",$B360,$A360)</f>
        <v/>
      </c>
      <c r="X360">
        <f>IF(COUNTA($A360:$U360)=0,"",IF(OR($B360&lt;&gt;"",$O360&lt;&gt;""),"Dependent","Employee"))</f>
        <v/>
      </c>
      <c r="Y360">
        <f>IF(COUNTA($A360:$U360)=0,"",IF($A360="","Employee SSN is required; ","")&amp;IF($C360="","First Name is required; ","")&amp;IF(LEN($C360&amp;"")&gt;19,"First Name exceeds 19 characters; ","")&amp;IF(AND($C360&lt;&gt;"",SUMPRODUCT(--(ROW($1:$19)&lt;=LEN($C360&amp;"")),--ISERROR(FIND(MID($C360&amp;"",ROW($1:$19),1),"ABCDEFGHIJKLMNOPQRSTUVWXYZabcdefghijklmnopqrstuvwxyz .,")))&gt;0),"First Name contains unsupported or encoded characters; use plain A-Z letters only; ","")&amp;IF($D360="","Last Name is required; ","")&amp;IF(LEN($D360&amp;"")&gt;26,"Last Name exceeds 26 characters; ","")&amp;IF(AND($D360&lt;&gt;"",SUMPRODUCT(--(ROW($1:$26)&lt;=LEN($D360&amp;"")),--ISERROR(FIND(MID($D360&amp;"",ROW($1:$26),1),"ABCDEFGHIJKLMNOPQRSTUVWXYZabcdefghijklmnopqrstuvwxyz .,")))&gt;0),"Last Name contains unsupported or encoded characters; use plain A-Z letters only; ","")&amp;IF(LEN($E360&amp;"")&gt;1,"Middle Initial may contain only one character; ","")&amp;IF(AND($E360&lt;&gt;"",SUMPRODUCT(--(ROW($1:$1)&lt;=LEN($E360&amp;"")),--ISERROR(FIND(MID($E360&amp;"",ROW($1:$1),1),"ABCDEFGHIJKLMNOPQRSTUVWXYZabcdefghijklmnopqrstuvwxyz .,")))&gt;0),"Middle Initial must be a plain A-Z letter; ","")&amp;IF($F360="","Address is required; ","")&amp;IF(LEN($F360&amp;"")&gt;75,"Address exceeds 75 characters; ","")&amp;IF(LEN($G360&amp;"")&gt;75,"Address 2 exceeds 75 characters; ","")&amp;IF($H360="","City is required; ","")&amp;IF(LEN($H360&amp;"")&gt;30,"City exceeds 30 characters; ","")&amp;IF($K360="","Country is required; ","")&amp;IF(AND($K360&lt;&gt;"",$K360&lt;&gt;"US",$K360&lt;&gt;"CA"),"Country must be US or CA; ","")&amp;IF(AND($K360="US",OR($I360="",LEN($I360&amp;"")&lt;&gt;2)),"Use a 2-letter state code; ","")&amp;IF($J360="","ZIP or postal code is required; ","")&amp;IF(AND($K360="US",$J360&lt;&gt;"",NOT(IFERROR(OR(AND(LEN($J360&amp;"")=5,ISNUMBER(--($J360&amp;""))),AND(LEN($J360&amp;"")=9,ISNUMBER(--($J360&amp;""))),AND(LEN($J360&amp;"")=10,MID($J360&amp;"",6,1)="-",ISNUMBER(--SUBSTITUTE($J360&amp;"","-","")))),FALSE))),"US ZIP must be 5 or 9 digits, with an optional ZIP+4 hyphen; ","")&amp;IF(AND($N360&lt;&gt;"",NOT(IFERROR(AND(ISNUMBER(SEARCH("@",$N360)),ISNUMBER(SEARCH(".",$N360,SEARCH("@",$N360)+2))),FALSE))),"Email format appears invalid; ","")&amp;IF(AND($O360&lt;&gt;"",$B360=""),"Dependent SSN is required for every dependent; ","")&amp;IF(AND($B360&lt;&gt;"",$O360=""),"Dependent Relationship is required when Dependent SSN is entered; ","")&amp;IF(AND($O360&lt;&gt;"",$O360&lt;&gt;"Spouse or Common Law Spouse",$O360&lt;&gt;"Domestic Partner",$O360&lt;&gt;"Child",$O360&lt;&gt;"Other",$O360&lt;&gt;"Estate",$O360&lt;&gt;"Unknown"),"Dependent Relationship must use one of the approved options; ",""))</f>
        <v/>
      </c>
      <c r="Z360">
        <f>IF(COUNTA($A360:$U360)=0,"",IF(AND($A360&lt;&gt;"",NOT(IFERROR(AND(LEN($A360&amp;"")=9,ISNUMBER(--($A360&amp;""))),FALSE))),"Employee SSN must contain exactly 9 digits; ","")&amp;IF(AND($A360&lt;&gt;"",OR($A360="123456789",$A360="987654321",$A360="012345678",$A360=REPT(LEFT($A360&amp;"",1),9))),"Employee SSN appears to be a placeholder; ","")&amp;IF(AND($B360&lt;&gt;"",NOT(IFERROR(AND(LEN($B360&amp;"")=9,ISNUMBER(--($B360&amp;""))),FALSE))),"Dependent SSN must contain exactly 9 digits; ","")&amp;IF(AND($B360&lt;&gt;"",OR($B360="123456789",$B360="987654321",$B360="012345678",$B360=REPT(LEFT($B360&amp;"",1),9))),"Dependent SSN appears to be a placeholder; ","")&amp;IF(AND($A360&lt;&gt;"",$B360&lt;&gt;"",$A360&amp;""=$B360&amp;""),"Dependent SSN cannot match Employee SSN; ","")&amp;IF(AND($W360&lt;&gt;"",OR(COUNTIFS($W$2:$W$501,$W360,$C$2:$C$501,"&lt;&gt;"&amp;$C360)&gt;0,COUNTIFS($W$2:$W$501,$W360,$D$2:$D$501,"&lt;&gt;"&amp;$D360)&gt;0,COUNTIFS($W$2:$W$501,$W360,$L$2:$L$501,"&lt;&gt;"&amp;$L360)&gt;0)),"The same SSN is associated with a different name or birthdate; ",""))</f>
        <v/>
      </c>
      <c r="AA360">
        <f>IF(COUNTA($A360:$U360)=0,"",IF(AND($A360&lt;&gt;"",$S360&lt;&gt;"",COUNTIFS($A$2:$A$501,$A360,$S$2:$S$501,$S360,$B$2:$B$501,"",$O$2:$O$501,"")=0),"Add an employee row for this household and plan; ","")&amp;IF(AND($X360="Dependent",COUNTIFS($A$2:$A360,$A360,$S$2:$S360,$S360,$B$2:$B360,"",$O$2:$O360,"")=0),"Place the employee row before dependent rows for this plan; ","")&amp;IF(AND($X360="Dependent",COUNTIFS($A$2:$A$501,$A360,$S$2:$S$501,$S360,$B$2:$B$501,"",$O$2:$O$501,"")&gt;0,IFERROR(OR($P360&lt;&gt;LOOKUP(2,1/(($A$2:$A$501=$A360)*($S$2:$S$501=$S360)*($B$2:$B$501="")*($O$2:$O$501="")),$P$2:$P$501),$Q360&lt;&gt;LOOKUP(2,1/(($A$2:$A$501=$A360)*($S$2:$S$501=$S360)*($B$2:$B$501="")*($O$2:$O$501="")),$Q$2:$Q$501),$R360&lt;&gt;LOOKUP(2,1/(($A$2:$A$501=$A360)*($S$2:$S$501=$S360)*($B$2:$B$501="")*($O$2:$O$501="")),$R$2:$R$501),$T360&lt;&gt;LOOKUP(2,1/(($A$2:$A$501=$A360)*($S$2:$S$501=$S360)*($B$2:$B$501="")*($O$2:$O$501="")),$T$2:$T$501),$U360&lt;&gt;LOOKUP(2,1/(($A$2:$A$501=$A360)*($S$2:$S$501=$S360)*($B$2:$B$501="")*($O$2:$O$501="")),$U$2:$U$501)),FALSE)),"Dependent row does not match the employee row for eligibility, status, coverage level, or funding; ",""))</f>
        <v/>
      </c>
      <c r="AB360">
        <f>IF(COUNTA($A360:$U360)=0,"",IF($L360="","Birthdate is required; ","")&amp;IF(AND($L360&lt;&gt;"",OR(NOT(ISNUMBER($L360)),$L360&lt;=DATE(1900,1,1),$L360&gt;TODAY())),"Birthdate must be an exact valid past date; ","")&amp;IF($P360="","Eligibility Date is required; ","")&amp;IF(AND($P360&lt;&gt;"",OR(NOT(ISNUMBER($P360)),$P360&lt;=DATE(1900,1,1))),"Eligibility Date must be a valid date; ","")&amp;IF(AND($R360="Terminated",$Q360=""),"Termination Date is required when Status is Terminated; ","")&amp;IF(AND($Q360&lt;&gt;"",OR(NOT(ISNUMBER($Q360)),$Q360&lt;=DATE(1900,1,1))),"Termination Date must be a valid date; ","")&amp;IF(AND(ISNUMBER($P360),ISNUMBER($Q360),$Q360&lt;$P360),"Termination Date cannot be before Eligibility Date; ","")&amp;IF($R360="","Status is required; ","")&amp;IF(AND($R360&lt;&gt;"",$R360&lt;&gt;"Active",$R360&lt;&gt;"Terminated"),"Status must be Active or Terminated; ","")&amp;IF(AND('START HERE'!$C$8="Terminations Only",$R360&lt;&gt;"Terminated"),"Terminations Only files must contain terminated records; ",""))</f>
        <v/>
      </c>
      <c r="AC360">
        <f>IF(COUNTA($A360:$U360)=0,"",IF($S360="","Plan Name is required; ","")&amp;IF($T360="","Benefit Coverage Level is required; ","")&amp;IF(AND($U360&lt;&gt;"",OR(NOT(ISNUMBER($U360)),$U360&lt;0)),"Plan Funding Amount must be a nonnegative number; ","")&amp;IF(AND($A360&lt;&gt;"",$S360&lt;&gt;"",COUNTIFS($A$2:$A$501,$A360,$B$2:$B$501,$B360,$S$2:$S$501,$S360)&gt;1),"Duplicate participant and plan row; ",""))</f>
        <v/>
      </c>
      <c r="AD360">
        <f>IF(COUNTA($A360:$U360)=0,"",IF(AND($X360="Employee",$M360="",$N360=""),"No employee phone or email provided; ","")&amp;IF(AND($R360="Active",$Q360&lt;&gt;""),"Active record includes a Termination Date; confirm this is intentional; ","")&amp;IF(AND($B360&lt;&gt;"",$B360&amp;""&lt;&gt;$A360&amp;"",COUNTIF($A$2:$A$501,$B360)&gt;0),"Dependent SSN also appears as an Employee SSN elsewhere; confirm dual-employee coverage is intentional; ","")&amp;IF(AND($B360&lt;&gt;"",COUNTIF($B$2:$B$501,$B360)&gt;COUNTIFS($A$2:$A$501,$A360,$B$2:$B$501,$B360)),"Dependent SSN appears under more than one employee; confirm duplicate family coverage is intentional; ","")&amp;IF(AND(ROW()&gt;2,$A360&lt;&gt;"",$A360&lt;&gt;$A359,COUNTIF($A$2:$A359,$A360)&gt;0),"This household appears in more than one section of the census; keep the family together; ","")&amp;IF(OR(AND($C360&lt;&gt;"",LEN($C360&amp;"")&lt;&gt;LEN(TRIM($C360&amp;""))),AND($D360&lt;&gt;"",LEN($D360&amp;"")&lt;&gt;LEN(TRIM($D360&amp;""))),AND($E360&lt;&gt;"",LEN($E360&amp;"")&lt;&gt;LEN(TRIM($E360&amp;""))),AND($F360&lt;&gt;"",LEN($F360&amp;"")&lt;&gt;LEN(TRIM($F360&amp;""))),AND($G360&lt;&gt;"",LEN($G360&amp;"")&lt;&gt;LEN(TRIM($G360&amp;""))),AND($H360&lt;&gt;"",LEN($H360&amp;"")&lt;&gt;LEN(TRIM($H360&amp;""))),AND($I360&lt;&gt;"",LEN($I360&amp;"")&lt;&gt;LEN(TRIM($I360&amp;""))),AND($J360&lt;&gt;"",LEN($J360&amp;"")&lt;&gt;LEN(TRIM($J360&amp;""))),AND($K360&lt;&gt;"",LEN($K360&amp;"")&lt;&gt;LEN(TRIM($K360&amp;""))),AND($M360&lt;&gt;"",LEN($M360&amp;"")&lt;&gt;LEN(TRIM($M360&amp;""))),AND($N360&lt;&gt;"",LEN($N360&amp;"")&lt;&gt;LEN(TRIM($N360&amp;""))),AND($O360&lt;&gt;"",LEN($O360&amp;"")&lt;&gt;LEN(TRIM($O360&amp;""))),AND($R360&lt;&gt;"",LEN($R360&amp;"")&lt;&gt;LEN(TRIM($R360&amp;""))),AND($S360&lt;&gt;"",LEN($S360&amp;"")&lt;&gt;LEN(TRIM($S360&amp;""))),AND($T360&lt;&gt;"",LEN($T360&amp;"")&lt;&gt;LEN(TRIM($T360&amp;"")))),"Remove leading or trailing spaces from text fields; ","")&amp;IF(OR(AND(LEN($C360)&gt;1,OR(EXACT($C360,UPPER($C360)),EXACT($C360,LOWER($C360)))),AND(LEN($D360)&gt;1,OR(EXACT($D360,UPPER($D360)),EXACT($D360,LOWER($D360)))),AND(LEN($H360)&gt;1,OR(EXACT($H360,UPPER($H360)),EXACT($H360,LOWER($H360))))),"Review capitalization in First Name, Last Name, or City; ","")&amp;IF(AND($N360&lt;&gt;"",NOT(EXACT($N360,LOWER($N360)))),"Email will be standardized to lowercase in the clean output; ","")&amp;IF(AND(OR('START HERE'!$C$8="Initial Enrollment",'START HERE'!$C$8="Open Enrollment"),$R360="Terminated"),"A terminated row is included in an initial or open enrollment file; confirm this is intentional; ",""))</f>
        <v/>
      </c>
      <c r="AE360">
        <f>IF(COUNTA($A360:$U360)=0,"",IF(OR($A360="",AND($A360&lt;&gt;"",NOT(IFERROR(AND(LEN($A360&amp;"")=9,ISNUMBER(--($A360&amp;""))),FALSE))),AND($A360&lt;&gt;"",OR($A360="123456789",$A360="987654321",$A360="012345678",$A360=REPT(LEFT($A360&amp;"",1),9)))),"Employee SSN, ","")&amp;IF(OR(AND($O360&lt;&gt;"",$B360=""),AND($B360&lt;&gt;"",OR(NOT(IFERROR(AND(LEN($B360&amp;"")=9,ISNUMBER(--($B360&amp;""))),FALSE)),$B360=$A360,$B360="123456789",$B360="987654321",$B360="012345678",$B360=REPT(LEFT($B360&amp;"",1),9)))),"Dependent SSN, ","")&amp;IF(OR($C360="",LEN($C360)&gt;19,AND($C360&lt;&gt;"",SUMPRODUCT(--(ROW($1:$19)&lt;=LEN($C360&amp;"")),--ISERROR(FIND(MID($C360&amp;"",ROW($1:$19),1),"ABCDEFGHIJKLMNOPQRSTUVWXYZabcdefghijklmnopqrstuvwxyz .,")))&gt;0)),"First Name, ","")&amp;IF(OR($D360="",LEN($D360)&gt;26,AND($D360&lt;&gt;"",SUMPRODUCT(--(ROW($1:$26)&lt;=LEN($D360&amp;"")),--ISERROR(FIND(MID($D360&amp;"",ROW($1:$26),1),"ABCDEFGHIJKLMNOPQRSTUVWXYZabcdefghijklmnopqrstuvwxyz .,")))&gt;0)),"Last Name, ","")&amp;IF(OR(LEN($E360)&gt;1,AND($E360&lt;&gt;"",SUMPRODUCT(--(ROW($1:$1)&lt;=LEN($E360&amp;"")),--ISERROR(FIND(MID($E360&amp;"",ROW($1:$1),1),"ABCDEFGHIJKLMNOPQRSTUVWXYZabcdefghijklmnopqrstuvwxyz .,")))&gt;0)),"Middle Initial, ","")&amp;IF(OR($F360="",LEN($F360)&gt;75),"Address, ","")&amp;IF(OR($H360="",LEN($H360)&gt;30),"City, ","")&amp;IF(AND($K360="US",OR($I360="",LEN($I360)&lt;&gt;2)),"State, ","")&amp;IF($J360="","ZIP, ","")&amp;IF(OR($K360="",AND($K360&lt;&gt;"US",$K360&lt;&gt;"CA")),"Country, ","")&amp;IF(OR($L360="",AND($L360&lt;&gt;"",OR(NOT(ISNUMBER($L360)),$L360&lt;=DATE(1900,1,1),$L360&gt;TODAY()))),"Birthdate, ","")&amp;IF(AND($N360&lt;&gt;"",NOT(IFERROR(AND(ISNUMBER(SEARCH("@",$N360)),ISNUMBER(SEARCH(".",$N360,SEARCH("@",$N360)+2))),FALSE))),"Email, ","")&amp;IF(OR(AND($B360&lt;&gt;"",$O360=""),AND($O360&lt;&gt;"",$O360&lt;&gt;"Spouse or Common Law Spouse",$O360&lt;&gt;"Domestic Partner",$O360&lt;&gt;"Child",$O360&lt;&gt;"Other",$O360&lt;&gt;"Estate",$O360&lt;&gt;"Unknown")),"Dependent Relationship, ","")&amp;IF($AA360&lt;&gt;"","Household, ","")&amp;IF(OR($P360="",AND($P360&lt;&gt;"",OR(NOT(ISNUMBER($P360)),$P360&lt;=DATE(1900,1,1)))),"Eligibility Date, ","")&amp;IF(OR(AND($R360="Terminated",$Q360=""),AND($Q360&lt;&gt;"",OR(NOT(ISNUMBER($Q360)),$Q360&lt;=DATE(1900,1,1))),AND(ISNUMBER($P360),ISNUMBER($Q360),$Q360&lt;$P360)),"Termination Date, ","")&amp;IF(OR($R360="",AND($R360&lt;&gt;"Active",$R360&lt;&gt;"Terminated"),AND('START HERE'!$C$8="Terminations Only",$R360&lt;&gt;"Terminated")),"Status, ","")&amp;IF($S360="","Plan Name, ","")&amp;IF($T360="","Coverage Level, ","")&amp;IF(AND($U360&lt;&gt;"",OR(NOT(ISNUMBER($U360)),$U360&lt;0)),"Funding, ","")&amp;IF(AND($A360&lt;&gt;"",$S360&lt;&gt;"",COUNTIFS($A$2:$A$501,$A360,$B$2:$B$501,$B360,$S$2:$S$501,$S360)&gt;1),"Duplicate Row, ",""))</f>
        <v/>
      </c>
      <c r="AF360">
        <f>IF(COUNTA($A360:$U360)=0,"",$Y360&amp;$Z360&amp;$AA360&amp;$AB360&amp;$AC360)</f>
        <v/>
      </c>
      <c r="AG360">
        <f>IF($N360="","",LOWER(TRIM($N360)))</f>
        <v/>
      </c>
      <c r="AH360">
        <f>IF($A360="","",COUNTIFS($A$2:$A$501,$A360,$AI$2:$AI$501,1))</f>
        <v/>
      </c>
      <c r="AI360">
        <f>IF(COUNTA($A360:$U360)=0,"",--($AF360&lt;&gt;""))</f>
        <v/>
      </c>
      <c r="AJ360">
        <f>IF(COUNTA($A360:$U360)=0,"",--($AD360&lt;&gt;""))</f>
        <v/>
      </c>
    </row>
    <row r="361" ht="20" customHeight="1">
      <c r="A361" s="80" t="n"/>
      <c r="B361" s="80" t="n"/>
      <c r="C361" s="81" t="n"/>
      <c r="D361" s="81" t="n"/>
      <c r="E361" s="80" t="n"/>
      <c r="F361" s="81" t="n"/>
      <c r="G361" s="81" t="n"/>
      <c r="H361" s="81" t="n"/>
      <c r="I361" s="80" t="n"/>
      <c r="J361" s="80" t="n"/>
      <c r="K361" s="80" t="n"/>
      <c r="L361" s="82" t="n"/>
      <c r="M361" s="80" t="n"/>
      <c r="N361" s="80" t="n"/>
      <c r="O361" s="80" t="n"/>
      <c r="P361" s="82" t="n"/>
      <c r="Q361" s="82" t="n"/>
      <c r="R361" s="80" t="n"/>
      <c r="S361" s="80" t="n"/>
      <c r="T361" s="80" t="n"/>
      <c r="U361" s="83" t="n"/>
      <c r="V361">
        <f>IF($A361="","",IF($A361=$A360,$V360,IF($V360="",0,1-$V360)))</f>
        <v/>
      </c>
      <c r="W361">
        <f>IF($B361&lt;&gt;"",$B361,$A361)</f>
        <v/>
      </c>
      <c r="X361">
        <f>IF(COUNTA($A361:$U361)=0,"",IF(OR($B361&lt;&gt;"",$O361&lt;&gt;""),"Dependent","Employee"))</f>
        <v/>
      </c>
      <c r="Y361">
        <f>IF(COUNTA($A361:$U361)=0,"",IF($A361="","Employee SSN is required; ","")&amp;IF($C361="","First Name is required; ","")&amp;IF(LEN($C361&amp;"")&gt;19,"First Name exceeds 19 characters; ","")&amp;IF(AND($C361&lt;&gt;"",SUMPRODUCT(--(ROW($1:$19)&lt;=LEN($C361&amp;"")),--ISERROR(FIND(MID($C361&amp;"",ROW($1:$19),1),"ABCDEFGHIJKLMNOPQRSTUVWXYZabcdefghijklmnopqrstuvwxyz .,")))&gt;0),"First Name contains unsupported or encoded characters; use plain A-Z letters only; ","")&amp;IF($D361="","Last Name is required; ","")&amp;IF(LEN($D361&amp;"")&gt;26,"Last Name exceeds 26 characters; ","")&amp;IF(AND($D361&lt;&gt;"",SUMPRODUCT(--(ROW($1:$26)&lt;=LEN($D361&amp;"")),--ISERROR(FIND(MID($D361&amp;"",ROW($1:$26),1),"ABCDEFGHIJKLMNOPQRSTUVWXYZabcdefghijklmnopqrstuvwxyz .,")))&gt;0),"Last Name contains unsupported or encoded characters; use plain A-Z letters only; ","")&amp;IF(LEN($E361&amp;"")&gt;1,"Middle Initial may contain only one character; ","")&amp;IF(AND($E361&lt;&gt;"",SUMPRODUCT(--(ROW($1:$1)&lt;=LEN($E361&amp;"")),--ISERROR(FIND(MID($E361&amp;"",ROW($1:$1),1),"ABCDEFGHIJKLMNOPQRSTUVWXYZabcdefghijklmnopqrstuvwxyz .,")))&gt;0),"Middle Initial must be a plain A-Z letter; ","")&amp;IF($F361="","Address is required; ","")&amp;IF(LEN($F361&amp;"")&gt;75,"Address exceeds 75 characters; ","")&amp;IF(LEN($G361&amp;"")&gt;75,"Address 2 exceeds 75 characters; ","")&amp;IF($H361="","City is required; ","")&amp;IF(LEN($H361&amp;"")&gt;30,"City exceeds 30 characters; ","")&amp;IF($K361="","Country is required; ","")&amp;IF(AND($K361&lt;&gt;"",$K361&lt;&gt;"US",$K361&lt;&gt;"CA"),"Country must be US or CA; ","")&amp;IF(AND($K361="US",OR($I361="",LEN($I361&amp;"")&lt;&gt;2)),"Use a 2-letter state code; ","")&amp;IF($J361="","ZIP or postal code is required; ","")&amp;IF(AND($K361="US",$J361&lt;&gt;"",NOT(IFERROR(OR(AND(LEN($J361&amp;"")=5,ISNUMBER(--($J361&amp;""))),AND(LEN($J361&amp;"")=9,ISNUMBER(--($J361&amp;""))),AND(LEN($J361&amp;"")=10,MID($J361&amp;"",6,1)="-",ISNUMBER(--SUBSTITUTE($J361&amp;"","-","")))),FALSE))),"US ZIP must be 5 or 9 digits, with an optional ZIP+4 hyphen; ","")&amp;IF(AND($N361&lt;&gt;"",NOT(IFERROR(AND(ISNUMBER(SEARCH("@",$N361)),ISNUMBER(SEARCH(".",$N361,SEARCH("@",$N361)+2))),FALSE))),"Email format appears invalid; ","")&amp;IF(AND($O361&lt;&gt;"",$B361=""),"Dependent SSN is required for every dependent; ","")&amp;IF(AND($B361&lt;&gt;"",$O361=""),"Dependent Relationship is required when Dependent SSN is entered; ","")&amp;IF(AND($O361&lt;&gt;"",$O361&lt;&gt;"Spouse or Common Law Spouse",$O361&lt;&gt;"Domestic Partner",$O361&lt;&gt;"Child",$O361&lt;&gt;"Other",$O361&lt;&gt;"Estate",$O361&lt;&gt;"Unknown"),"Dependent Relationship must use one of the approved options; ",""))</f>
        <v/>
      </c>
      <c r="Z361">
        <f>IF(COUNTA($A361:$U361)=0,"",IF(AND($A361&lt;&gt;"",NOT(IFERROR(AND(LEN($A361&amp;"")=9,ISNUMBER(--($A361&amp;""))),FALSE))),"Employee SSN must contain exactly 9 digits; ","")&amp;IF(AND($A361&lt;&gt;"",OR($A361="123456789",$A361="987654321",$A361="012345678",$A361=REPT(LEFT($A361&amp;"",1),9))),"Employee SSN appears to be a placeholder; ","")&amp;IF(AND($B361&lt;&gt;"",NOT(IFERROR(AND(LEN($B361&amp;"")=9,ISNUMBER(--($B361&amp;""))),FALSE))),"Dependent SSN must contain exactly 9 digits; ","")&amp;IF(AND($B361&lt;&gt;"",OR($B361="123456789",$B361="987654321",$B361="012345678",$B361=REPT(LEFT($B361&amp;"",1),9))),"Dependent SSN appears to be a placeholder; ","")&amp;IF(AND($A361&lt;&gt;"",$B361&lt;&gt;"",$A361&amp;""=$B361&amp;""),"Dependent SSN cannot match Employee SSN; ","")&amp;IF(AND($W361&lt;&gt;"",OR(COUNTIFS($W$2:$W$501,$W361,$C$2:$C$501,"&lt;&gt;"&amp;$C361)&gt;0,COUNTIFS($W$2:$W$501,$W361,$D$2:$D$501,"&lt;&gt;"&amp;$D361)&gt;0,COUNTIFS($W$2:$W$501,$W361,$L$2:$L$501,"&lt;&gt;"&amp;$L361)&gt;0)),"The same SSN is associated with a different name or birthdate; ",""))</f>
        <v/>
      </c>
      <c r="AA361">
        <f>IF(COUNTA($A361:$U361)=0,"",IF(AND($A361&lt;&gt;"",$S361&lt;&gt;"",COUNTIFS($A$2:$A$501,$A361,$S$2:$S$501,$S361,$B$2:$B$501,"",$O$2:$O$501,"")=0),"Add an employee row for this household and plan; ","")&amp;IF(AND($X361="Dependent",COUNTIFS($A$2:$A361,$A361,$S$2:$S361,$S361,$B$2:$B361,"",$O$2:$O361,"")=0),"Place the employee row before dependent rows for this plan; ","")&amp;IF(AND($X361="Dependent",COUNTIFS($A$2:$A$501,$A361,$S$2:$S$501,$S361,$B$2:$B$501,"",$O$2:$O$501,"")&gt;0,IFERROR(OR($P361&lt;&gt;LOOKUP(2,1/(($A$2:$A$501=$A361)*($S$2:$S$501=$S361)*($B$2:$B$501="")*($O$2:$O$501="")),$P$2:$P$501),$Q361&lt;&gt;LOOKUP(2,1/(($A$2:$A$501=$A361)*($S$2:$S$501=$S361)*($B$2:$B$501="")*($O$2:$O$501="")),$Q$2:$Q$501),$R361&lt;&gt;LOOKUP(2,1/(($A$2:$A$501=$A361)*($S$2:$S$501=$S361)*($B$2:$B$501="")*($O$2:$O$501="")),$R$2:$R$501),$T361&lt;&gt;LOOKUP(2,1/(($A$2:$A$501=$A361)*($S$2:$S$501=$S361)*($B$2:$B$501="")*($O$2:$O$501="")),$T$2:$T$501),$U361&lt;&gt;LOOKUP(2,1/(($A$2:$A$501=$A361)*($S$2:$S$501=$S361)*($B$2:$B$501="")*($O$2:$O$501="")),$U$2:$U$501)),FALSE)),"Dependent row does not match the employee row for eligibility, status, coverage level, or funding; ",""))</f>
        <v/>
      </c>
      <c r="AB361">
        <f>IF(COUNTA($A361:$U361)=0,"",IF($L361="","Birthdate is required; ","")&amp;IF(AND($L361&lt;&gt;"",OR(NOT(ISNUMBER($L361)),$L361&lt;=DATE(1900,1,1),$L361&gt;TODAY())),"Birthdate must be an exact valid past date; ","")&amp;IF($P361="","Eligibility Date is required; ","")&amp;IF(AND($P361&lt;&gt;"",OR(NOT(ISNUMBER($P361)),$P361&lt;=DATE(1900,1,1))),"Eligibility Date must be a valid date; ","")&amp;IF(AND($R361="Terminated",$Q361=""),"Termination Date is required when Status is Terminated; ","")&amp;IF(AND($Q361&lt;&gt;"",OR(NOT(ISNUMBER($Q361)),$Q361&lt;=DATE(1900,1,1))),"Termination Date must be a valid date; ","")&amp;IF(AND(ISNUMBER($P361),ISNUMBER($Q361),$Q361&lt;$P361),"Termination Date cannot be before Eligibility Date; ","")&amp;IF($R361="","Status is required; ","")&amp;IF(AND($R361&lt;&gt;"",$R361&lt;&gt;"Active",$R361&lt;&gt;"Terminated"),"Status must be Active or Terminated; ","")&amp;IF(AND('START HERE'!$C$8="Terminations Only",$R361&lt;&gt;"Terminated"),"Terminations Only files must contain terminated records; ",""))</f>
        <v/>
      </c>
      <c r="AC361">
        <f>IF(COUNTA($A361:$U361)=0,"",IF($S361="","Plan Name is required; ","")&amp;IF($T361="","Benefit Coverage Level is required; ","")&amp;IF(AND($U361&lt;&gt;"",OR(NOT(ISNUMBER($U361)),$U361&lt;0)),"Plan Funding Amount must be a nonnegative number; ","")&amp;IF(AND($A361&lt;&gt;"",$S361&lt;&gt;"",COUNTIFS($A$2:$A$501,$A361,$B$2:$B$501,$B361,$S$2:$S$501,$S361)&gt;1),"Duplicate participant and plan row; ",""))</f>
        <v/>
      </c>
      <c r="AD361">
        <f>IF(COUNTA($A361:$U361)=0,"",IF(AND($X361="Employee",$M361="",$N361=""),"No employee phone or email provided; ","")&amp;IF(AND($R361="Active",$Q361&lt;&gt;""),"Active record includes a Termination Date; confirm this is intentional; ","")&amp;IF(AND($B361&lt;&gt;"",$B361&amp;""&lt;&gt;$A361&amp;"",COUNTIF($A$2:$A$501,$B361)&gt;0),"Dependent SSN also appears as an Employee SSN elsewhere; confirm dual-employee coverage is intentional; ","")&amp;IF(AND($B361&lt;&gt;"",COUNTIF($B$2:$B$501,$B361)&gt;COUNTIFS($A$2:$A$501,$A361,$B$2:$B$501,$B361)),"Dependent SSN appears under more than one employee; confirm duplicate family coverage is intentional; ","")&amp;IF(AND(ROW()&gt;2,$A361&lt;&gt;"",$A361&lt;&gt;$A360,COUNTIF($A$2:$A360,$A361)&gt;0),"This household appears in more than one section of the census; keep the family together; ","")&amp;IF(OR(AND($C361&lt;&gt;"",LEN($C361&amp;"")&lt;&gt;LEN(TRIM($C361&amp;""))),AND($D361&lt;&gt;"",LEN($D361&amp;"")&lt;&gt;LEN(TRIM($D361&amp;""))),AND($E361&lt;&gt;"",LEN($E361&amp;"")&lt;&gt;LEN(TRIM($E361&amp;""))),AND($F361&lt;&gt;"",LEN($F361&amp;"")&lt;&gt;LEN(TRIM($F361&amp;""))),AND($G361&lt;&gt;"",LEN($G361&amp;"")&lt;&gt;LEN(TRIM($G361&amp;""))),AND($H361&lt;&gt;"",LEN($H361&amp;"")&lt;&gt;LEN(TRIM($H361&amp;""))),AND($I361&lt;&gt;"",LEN($I361&amp;"")&lt;&gt;LEN(TRIM($I361&amp;""))),AND($J361&lt;&gt;"",LEN($J361&amp;"")&lt;&gt;LEN(TRIM($J361&amp;""))),AND($K361&lt;&gt;"",LEN($K361&amp;"")&lt;&gt;LEN(TRIM($K361&amp;""))),AND($M361&lt;&gt;"",LEN($M361&amp;"")&lt;&gt;LEN(TRIM($M361&amp;""))),AND($N361&lt;&gt;"",LEN($N361&amp;"")&lt;&gt;LEN(TRIM($N361&amp;""))),AND($O361&lt;&gt;"",LEN($O361&amp;"")&lt;&gt;LEN(TRIM($O361&amp;""))),AND($R361&lt;&gt;"",LEN($R361&amp;"")&lt;&gt;LEN(TRIM($R361&amp;""))),AND($S361&lt;&gt;"",LEN($S361&amp;"")&lt;&gt;LEN(TRIM($S361&amp;""))),AND($T361&lt;&gt;"",LEN($T361&amp;"")&lt;&gt;LEN(TRIM($T361&amp;"")))),"Remove leading or trailing spaces from text fields; ","")&amp;IF(OR(AND(LEN($C361)&gt;1,OR(EXACT($C361,UPPER($C361)),EXACT($C361,LOWER($C361)))),AND(LEN($D361)&gt;1,OR(EXACT($D361,UPPER($D361)),EXACT($D361,LOWER($D361)))),AND(LEN($H361)&gt;1,OR(EXACT($H361,UPPER($H361)),EXACT($H361,LOWER($H361))))),"Review capitalization in First Name, Last Name, or City; ","")&amp;IF(AND($N361&lt;&gt;"",NOT(EXACT($N361,LOWER($N361)))),"Email will be standardized to lowercase in the clean output; ","")&amp;IF(AND(OR('START HERE'!$C$8="Initial Enrollment",'START HERE'!$C$8="Open Enrollment"),$R361="Terminated"),"A terminated row is included in an initial or open enrollment file; confirm this is intentional; ",""))</f>
        <v/>
      </c>
      <c r="AE361">
        <f>IF(COUNTA($A361:$U361)=0,"",IF(OR($A361="",AND($A361&lt;&gt;"",NOT(IFERROR(AND(LEN($A361&amp;"")=9,ISNUMBER(--($A361&amp;""))),FALSE))),AND($A361&lt;&gt;"",OR($A361="123456789",$A361="987654321",$A361="012345678",$A361=REPT(LEFT($A361&amp;"",1),9)))),"Employee SSN, ","")&amp;IF(OR(AND($O361&lt;&gt;"",$B361=""),AND($B361&lt;&gt;"",OR(NOT(IFERROR(AND(LEN($B361&amp;"")=9,ISNUMBER(--($B361&amp;""))),FALSE)),$B361=$A361,$B361="123456789",$B361="987654321",$B361="012345678",$B361=REPT(LEFT($B361&amp;"",1),9)))),"Dependent SSN, ","")&amp;IF(OR($C361="",LEN($C361)&gt;19,AND($C361&lt;&gt;"",SUMPRODUCT(--(ROW($1:$19)&lt;=LEN($C361&amp;"")),--ISERROR(FIND(MID($C361&amp;"",ROW($1:$19),1),"ABCDEFGHIJKLMNOPQRSTUVWXYZabcdefghijklmnopqrstuvwxyz .,")))&gt;0)),"First Name, ","")&amp;IF(OR($D361="",LEN($D361)&gt;26,AND($D361&lt;&gt;"",SUMPRODUCT(--(ROW($1:$26)&lt;=LEN($D361&amp;"")),--ISERROR(FIND(MID($D361&amp;"",ROW($1:$26),1),"ABCDEFGHIJKLMNOPQRSTUVWXYZabcdefghijklmnopqrstuvwxyz .,")))&gt;0)),"Last Name, ","")&amp;IF(OR(LEN($E361)&gt;1,AND($E361&lt;&gt;"",SUMPRODUCT(--(ROW($1:$1)&lt;=LEN($E361&amp;"")),--ISERROR(FIND(MID($E361&amp;"",ROW($1:$1),1),"ABCDEFGHIJKLMNOPQRSTUVWXYZabcdefghijklmnopqrstuvwxyz .,")))&gt;0)),"Middle Initial, ","")&amp;IF(OR($F361="",LEN($F361)&gt;75),"Address, ","")&amp;IF(OR($H361="",LEN($H361)&gt;30),"City, ","")&amp;IF(AND($K361="US",OR($I361="",LEN($I361)&lt;&gt;2)),"State, ","")&amp;IF($J361="","ZIP, ","")&amp;IF(OR($K361="",AND($K361&lt;&gt;"US",$K361&lt;&gt;"CA")),"Country, ","")&amp;IF(OR($L361="",AND($L361&lt;&gt;"",OR(NOT(ISNUMBER($L361)),$L361&lt;=DATE(1900,1,1),$L361&gt;TODAY()))),"Birthdate, ","")&amp;IF(AND($N361&lt;&gt;"",NOT(IFERROR(AND(ISNUMBER(SEARCH("@",$N361)),ISNUMBER(SEARCH(".",$N361,SEARCH("@",$N361)+2))),FALSE))),"Email, ","")&amp;IF(OR(AND($B361&lt;&gt;"",$O361=""),AND($O361&lt;&gt;"",$O361&lt;&gt;"Spouse or Common Law Spouse",$O361&lt;&gt;"Domestic Partner",$O361&lt;&gt;"Child",$O361&lt;&gt;"Other",$O361&lt;&gt;"Estate",$O361&lt;&gt;"Unknown")),"Dependent Relationship, ","")&amp;IF($AA361&lt;&gt;"","Household, ","")&amp;IF(OR($P361="",AND($P361&lt;&gt;"",OR(NOT(ISNUMBER($P361)),$P361&lt;=DATE(1900,1,1)))),"Eligibility Date, ","")&amp;IF(OR(AND($R361="Terminated",$Q361=""),AND($Q361&lt;&gt;"",OR(NOT(ISNUMBER($Q361)),$Q361&lt;=DATE(1900,1,1))),AND(ISNUMBER($P361),ISNUMBER($Q361),$Q361&lt;$P361)),"Termination Date, ","")&amp;IF(OR($R361="",AND($R361&lt;&gt;"Active",$R361&lt;&gt;"Terminated"),AND('START HERE'!$C$8="Terminations Only",$R361&lt;&gt;"Terminated")),"Status, ","")&amp;IF($S361="","Plan Name, ","")&amp;IF($T361="","Coverage Level, ","")&amp;IF(AND($U361&lt;&gt;"",OR(NOT(ISNUMBER($U361)),$U361&lt;0)),"Funding, ","")&amp;IF(AND($A361&lt;&gt;"",$S361&lt;&gt;"",COUNTIFS($A$2:$A$501,$A361,$B$2:$B$501,$B361,$S$2:$S$501,$S361)&gt;1),"Duplicate Row, ",""))</f>
        <v/>
      </c>
      <c r="AF361">
        <f>IF(COUNTA($A361:$U361)=0,"",$Y361&amp;$Z361&amp;$AA361&amp;$AB361&amp;$AC361)</f>
        <v/>
      </c>
      <c r="AG361">
        <f>IF($N361="","",LOWER(TRIM($N361)))</f>
        <v/>
      </c>
      <c r="AH361">
        <f>IF($A361="","",COUNTIFS($A$2:$A$501,$A361,$AI$2:$AI$501,1))</f>
        <v/>
      </c>
      <c r="AI361">
        <f>IF(COUNTA($A361:$U361)=0,"",--($AF361&lt;&gt;""))</f>
        <v/>
      </c>
      <c r="AJ361">
        <f>IF(COUNTA($A361:$U361)=0,"",--($AD361&lt;&gt;""))</f>
        <v/>
      </c>
    </row>
    <row r="362" ht="20" customHeight="1">
      <c r="A362" s="80" t="n"/>
      <c r="B362" s="80" t="n"/>
      <c r="C362" s="81" t="n"/>
      <c r="D362" s="81" t="n"/>
      <c r="E362" s="80" t="n"/>
      <c r="F362" s="81" t="n"/>
      <c r="G362" s="81" t="n"/>
      <c r="H362" s="81" t="n"/>
      <c r="I362" s="80" t="n"/>
      <c r="J362" s="80" t="n"/>
      <c r="K362" s="80" t="n"/>
      <c r="L362" s="82" t="n"/>
      <c r="M362" s="80" t="n"/>
      <c r="N362" s="80" t="n"/>
      <c r="O362" s="80" t="n"/>
      <c r="P362" s="82" t="n"/>
      <c r="Q362" s="82" t="n"/>
      <c r="R362" s="80" t="n"/>
      <c r="S362" s="80" t="n"/>
      <c r="T362" s="80" t="n"/>
      <c r="U362" s="83" t="n"/>
      <c r="V362">
        <f>IF($A362="","",IF($A362=$A361,$V361,IF($V361="",0,1-$V361)))</f>
        <v/>
      </c>
      <c r="W362">
        <f>IF($B362&lt;&gt;"",$B362,$A362)</f>
        <v/>
      </c>
      <c r="X362">
        <f>IF(COUNTA($A362:$U362)=0,"",IF(OR($B362&lt;&gt;"",$O362&lt;&gt;""),"Dependent","Employee"))</f>
        <v/>
      </c>
      <c r="Y362">
        <f>IF(COUNTA($A362:$U362)=0,"",IF($A362="","Employee SSN is required; ","")&amp;IF($C362="","First Name is required; ","")&amp;IF(LEN($C362&amp;"")&gt;19,"First Name exceeds 19 characters; ","")&amp;IF(AND($C362&lt;&gt;"",SUMPRODUCT(--(ROW($1:$19)&lt;=LEN($C362&amp;"")),--ISERROR(FIND(MID($C362&amp;"",ROW($1:$19),1),"ABCDEFGHIJKLMNOPQRSTUVWXYZabcdefghijklmnopqrstuvwxyz .,")))&gt;0),"First Name contains unsupported or encoded characters; use plain A-Z letters only; ","")&amp;IF($D362="","Last Name is required; ","")&amp;IF(LEN($D362&amp;"")&gt;26,"Last Name exceeds 26 characters; ","")&amp;IF(AND($D362&lt;&gt;"",SUMPRODUCT(--(ROW($1:$26)&lt;=LEN($D362&amp;"")),--ISERROR(FIND(MID($D362&amp;"",ROW($1:$26),1),"ABCDEFGHIJKLMNOPQRSTUVWXYZabcdefghijklmnopqrstuvwxyz .,")))&gt;0),"Last Name contains unsupported or encoded characters; use plain A-Z letters only; ","")&amp;IF(LEN($E362&amp;"")&gt;1,"Middle Initial may contain only one character; ","")&amp;IF(AND($E362&lt;&gt;"",SUMPRODUCT(--(ROW($1:$1)&lt;=LEN($E362&amp;"")),--ISERROR(FIND(MID($E362&amp;"",ROW($1:$1),1),"ABCDEFGHIJKLMNOPQRSTUVWXYZabcdefghijklmnopqrstuvwxyz .,")))&gt;0),"Middle Initial must be a plain A-Z letter; ","")&amp;IF($F362="","Address is required; ","")&amp;IF(LEN($F362&amp;"")&gt;75,"Address exceeds 75 characters; ","")&amp;IF(LEN($G362&amp;"")&gt;75,"Address 2 exceeds 75 characters; ","")&amp;IF($H362="","City is required; ","")&amp;IF(LEN($H362&amp;"")&gt;30,"City exceeds 30 characters; ","")&amp;IF($K362="","Country is required; ","")&amp;IF(AND($K362&lt;&gt;"",$K362&lt;&gt;"US",$K362&lt;&gt;"CA"),"Country must be US or CA; ","")&amp;IF(AND($K362="US",OR($I362="",LEN($I362&amp;"")&lt;&gt;2)),"Use a 2-letter state code; ","")&amp;IF($J362="","ZIP or postal code is required; ","")&amp;IF(AND($K362="US",$J362&lt;&gt;"",NOT(IFERROR(OR(AND(LEN($J362&amp;"")=5,ISNUMBER(--($J362&amp;""))),AND(LEN($J362&amp;"")=9,ISNUMBER(--($J362&amp;""))),AND(LEN($J362&amp;"")=10,MID($J362&amp;"",6,1)="-",ISNUMBER(--SUBSTITUTE($J362&amp;"","-","")))),FALSE))),"US ZIP must be 5 or 9 digits, with an optional ZIP+4 hyphen; ","")&amp;IF(AND($N362&lt;&gt;"",NOT(IFERROR(AND(ISNUMBER(SEARCH("@",$N362)),ISNUMBER(SEARCH(".",$N362,SEARCH("@",$N362)+2))),FALSE))),"Email format appears invalid; ","")&amp;IF(AND($O362&lt;&gt;"",$B362=""),"Dependent SSN is required for every dependent; ","")&amp;IF(AND($B362&lt;&gt;"",$O362=""),"Dependent Relationship is required when Dependent SSN is entered; ","")&amp;IF(AND($O362&lt;&gt;"",$O362&lt;&gt;"Spouse or Common Law Spouse",$O362&lt;&gt;"Domestic Partner",$O362&lt;&gt;"Child",$O362&lt;&gt;"Other",$O362&lt;&gt;"Estate",$O362&lt;&gt;"Unknown"),"Dependent Relationship must use one of the approved options; ",""))</f>
        <v/>
      </c>
      <c r="Z362">
        <f>IF(COUNTA($A362:$U362)=0,"",IF(AND($A362&lt;&gt;"",NOT(IFERROR(AND(LEN($A362&amp;"")=9,ISNUMBER(--($A362&amp;""))),FALSE))),"Employee SSN must contain exactly 9 digits; ","")&amp;IF(AND($A362&lt;&gt;"",OR($A362="123456789",$A362="987654321",$A362="012345678",$A362=REPT(LEFT($A362&amp;"",1),9))),"Employee SSN appears to be a placeholder; ","")&amp;IF(AND($B362&lt;&gt;"",NOT(IFERROR(AND(LEN($B362&amp;"")=9,ISNUMBER(--($B362&amp;""))),FALSE))),"Dependent SSN must contain exactly 9 digits; ","")&amp;IF(AND($B362&lt;&gt;"",OR($B362="123456789",$B362="987654321",$B362="012345678",$B362=REPT(LEFT($B362&amp;"",1),9))),"Dependent SSN appears to be a placeholder; ","")&amp;IF(AND($A362&lt;&gt;"",$B362&lt;&gt;"",$A362&amp;""=$B362&amp;""),"Dependent SSN cannot match Employee SSN; ","")&amp;IF(AND($W362&lt;&gt;"",OR(COUNTIFS($W$2:$W$501,$W362,$C$2:$C$501,"&lt;&gt;"&amp;$C362)&gt;0,COUNTIFS($W$2:$W$501,$W362,$D$2:$D$501,"&lt;&gt;"&amp;$D362)&gt;0,COUNTIFS($W$2:$W$501,$W362,$L$2:$L$501,"&lt;&gt;"&amp;$L362)&gt;0)),"The same SSN is associated with a different name or birthdate; ",""))</f>
        <v/>
      </c>
      <c r="AA362">
        <f>IF(COUNTA($A362:$U362)=0,"",IF(AND($A362&lt;&gt;"",$S362&lt;&gt;"",COUNTIFS($A$2:$A$501,$A362,$S$2:$S$501,$S362,$B$2:$B$501,"",$O$2:$O$501,"")=0),"Add an employee row for this household and plan; ","")&amp;IF(AND($X362="Dependent",COUNTIFS($A$2:$A362,$A362,$S$2:$S362,$S362,$B$2:$B362,"",$O$2:$O362,"")=0),"Place the employee row before dependent rows for this plan; ","")&amp;IF(AND($X362="Dependent",COUNTIFS($A$2:$A$501,$A362,$S$2:$S$501,$S362,$B$2:$B$501,"",$O$2:$O$501,"")&gt;0,IFERROR(OR($P362&lt;&gt;LOOKUP(2,1/(($A$2:$A$501=$A362)*($S$2:$S$501=$S362)*($B$2:$B$501="")*($O$2:$O$501="")),$P$2:$P$501),$Q362&lt;&gt;LOOKUP(2,1/(($A$2:$A$501=$A362)*($S$2:$S$501=$S362)*($B$2:$B$501="")*($O$2:$O$501="")),$Q$2:$Q$501),$R362&lt;&gt;LOOKUP(2,1/(($A$2:$A$501=$A362)*($S$2:$S$501=$S362)*($B$2:$B$501="")*($O$2:$O$501="")),$R$2:$R$501),$T362&lt;&gt;LOOKUP(2,1/(($A$2:$A$501=$A362)*($S$2:$S$501=$S362)*($B$2:$B$501="")*($O$2:$O$501="")),$T$2:$T$501),$U362&lt;&gt;LOOKUP(2,1/(($A$2:$A$501=$A362)*($S$2:$S$501=$S362)*($B$2:$B$501="")*($O$2:$O$501="")),$U$2:$U$501)),FALSE)),"Dependent row does not match the employee row for eligibility, status, coverage level, or funding; ",""))</f>
        <v/>
      </c>
      <c r="AB362">
        <f>IF(COUNTA($A362:$U362)=0,"",IF($L362="","Birthdate is required; ","")&amp;IF(AND($L362&lt;&gt;"",OR(NOT(ISNUMBER($L362)),$L362&lt;=DATE(1900,1,1),$L362&gt;TODAY())),"Birthdate must be an exact valid past date; ","")&amp;IF($P362="","Eligibility Date is required; ","")&amp;IF(AND($P362&lt;&gt;"",OR(NOT(ISNUMBER($P362)),$P362&lt;=DATE(1900,1,1))),"Eligibility Date must be a valid date; ","")&amp;IF(AND($R362="Terminated",$Q362=""),"Termination Date is required when Status is Terminated; ","")&amp;IF(AND($Q362&lt;&gt;"",OR(NOT(ISNUMBER($Q362)),$Q362&lt;=DATE(1900,1,1))),"Termination Date must be a valid date; ","")&amp;IF(AND(ISNUMBER($P362),ISNUMBER($Q362),$Q362&lt;$P362),"Termination Date cannot be before Eligibility Date; ","")&amp;IF($R362="","Status is required; ","")&amp;IF(AND($R362&lt;&gt;"",$R362&lt;&gt;"Active",$R362&lt;&gt;"Terminated"),"Status must be Active or Terminated; ","")&amp;IF(AND('START HERE'!$C$8="Terminations Only",$R362&lt;&gt;"Terminated"),"Terminations Only files must contain terminated records; ",""))</f>
        <v/>
      </c>
      <c r="AC362">
        <f>IF(COUNTA($A362:$U362)=0,"",IF($S362="","Plan Name is required; ","")&amp;IF($T362="","Benefit Coverage Level is required; ","")&amp;IF(AND($U362&lt;&gt;"",OR(NOT(ISNUMBER($U362)),$U362&lt;0)),"Plan Funding Amount must be a nonnegative number; ","")&amp;IF(AND($A362&lt;&gt;"",$S362&lt;&gt;"",COUNTIFS($A$2:$A$501,$A362,$B$2:$B$501,$B362,$S$2:$S$501,$S362)&gt;1),"Duplicate participant and plan row; ",""))</f>
        <v/>
      </c>
      <c r="AD362">
        <f>IF(COUNTA($A362:$U362)=0,"",IF(AND($X362="Employee",$M362="",$N362=""),"No employee phone or email provided; ","")&amp;IF(AND($R362="Active",$Q362&lt;&gt;""),"Active record includes a Termination Date; confirm this is intentional; ","")&amp;IF(AND($B362&lt;&gt;"",$B362&amp;""&lt;&gt;$A362&amp;"",COUNTIF($A$2:$A$501,$B362)&gt;0),"Dependent SSN also appears as an Employee SSN elsewhere; confirm dual-employee coverage is intentional; ","")&amp;IF(AND($B362&lt;&gt;"",COUNTIF($B$2:$B$501,$B362)&gt;COUNTIFS($A$2:$A$501,$A362,$B$2:$B$501,$B362)),"Dependent SSN appears under more than one employee; confirm duplicate family coverage is intentional; ","")&amp;IF(AND(ROW()&gt;2,$A362&lt;&gt;"",$A362&lt;&gt;$A361,COUNTIF($A$2:$A361,$A362)&gt;0),"This household appears in more than one section of the census; keep the family together; ","")&amp;IF(OR(AND($C362&lt;&gt;"",LEN($C362&amp;"")&lt;&gt;LEN(TRIM($C362&amp;""))),AND($D362&lt;&gt;"",LEN($D362&amp;"")&lt;&gt;LEN(TRIM($D362&amp;""))),AND($E362&lt;&gt;"",LEN($E362&amp;"")&lt;&gt;LEN(TRIM($E362&amp;""))),AND($F362&lt;&gt;"",LEN($F362&amp;"")&lt;&gt;LEN(TRIM($F362&amp;""))),AND($G362&lt;&gt;"",LEN($G362&amp;"")&lt;&gt;LEN(TRIM($G362&amp;""))),AND($H362&lt;&gt;"",LEN($H362&amp;"")&lt;&gt;LEN(TRIM($H362&amp;""))),AND($I362&lt;&gt;"",LEN($I362&amp;"")&lt;&gt;LEN(TRIM($I362&amp;""))),AND($J362&lt;&gt;"",LEN($J362&amp;"")&lt;&gt;LEN(TRIM($J362&amp;""))),AND($K362&lt;&gt;"",LEN($K362&amp;"")&lt;&gt;LEN(TRIM($K362&amp;""))),AND($M362&lt;&gt;"",LEN($M362&amp;"")&lt;&gt;LEN(TRIM($M362&amp;""))),AND($N362&lt;&gt;"",LEN($N362&amp;"")&lt;&gt;LEN(TRIM($N362&amp;""))),AND($O362&lt;&gt;"",LEN($O362&amp;"")&lt;&gt;LEN(TRIM($O362&amp;""))),AND($R362&lt;&gt;"",LEN($R362&amp;"")&lt;&gt;LEN(TRIM($R362&amp;""))),AND($S362&lt;&gt;"",LEN($S362&amp;"")&lt;&gt;LEN(TRIM($S362&amp;""))),AND($T362&lt;&gt;"",LEN($T362&amp;"")&lt;&gt;LEN(TRIM($T362&amp;"")))),"Remove leading or trailing spaces from text fields; ","")&amp;IF(OR(AND(LEN($C362)&gt;1,OR(EXACT($C362,UPPER($C362)),EXACT($C362,LOWER($C362)))),AND(LEN($D362)&gt;1,OR(EXACT($D362,UPPER($D362)),EXACT($D362,LOWER($D362)))),AND(LEN($H362)&gt;1,OR(EXACT($H362,UPPER($H362)),EXACT($H362,LOWER($H362))))),"Review capitalization in First Name, Last Name, or City; ","")&amp;IF(AND($N362&lt;&gt;"",NOT(EXACT($N362,LOWER($N362)))),"Email will be standardized to lowercase in the clean output; ","")&amp;IF(AND(OR('START HERE'!$C$8="Initial Enrollment",'START HERE'!$C$8="Open Enrollment"),$R362="Terminated"),"A terminated row is included in an initial or open enrollment file; confirm this is intentional; ",""))</f>
        <v/>
      </c>
      <c r="AE362">
        <f>IF(COUNTA($A362:$U362)=0,"",IF(OR($A362="",AND($A362&lt;&gt;"",NOT(IFERROR(AND(LEN($A362&amp;"")=9,ISNUMBER(--($A362&amp;""))),FALSE))),AND($A362&lt;&gt;"",OR($A362="123456789",$A362="987654321",$A362="012345678",$A362=REPT(LEFT($A362&amp;"",1),9)))),"Employee SSN, ","")&amp;IF(OR(AND($O362&lt;&gt;"",$B362=""),AND($B362&lt;&gt;"",OR(NOT(IFERROR(AND(LEN($B362&amp;"")=9,ISNUMBER(--($B362&amp;""))),FALSE)),$B362=$A362,$B362="123456789",$B362="987654321",$B362="012345678",$B362=REPT(LEFT($B362&amp;"",1),9)))),"Dependent SSN, ","")&amp;IF(OR($C362="",LEN($C362)&gt;19,AND($C362&lt;&gt;"",SUMPRODUCT(--(ROW($1:$19)&lt;=LEN($C362&amp;"")),--ISERROR(FIND(MID($C362&amp;"",ROW($1:$19),1),"ABCDEFGHIJKLMNOPQRSTUVWXYZabcdefghijklmnopqrstuvwxyz .,")))&gt;0)),"First Name, ","")&amp;IF(OR($D362="",LEN($D362)&gt;26,AND($D362&lt;&gt;"",SUMPRODUCT(--(ROW($1:$26)&lt;=LEN($D362&amp;"")),--ISERROR(FIND(MID($D362&amp;"",ROW($1:$26),1),"ABCDEFGHIJKLMNOPQRSTUVWXYZabcdefghijklmnopqrstuvwxyz .,")))&gt;0)),"Last Name, ","")&amp;IF(OR(LEN($E362)&gt;1,AND($E362&lt;&gt;"",SUMPRODUCT(--(ROW($1:$1)&lt;=LEN($E362&amp;"")),--ISERROR(FIND(MID($E362&amp;"",ROW($1:$1),1),"ABCDEFGHIJKLMNOPQRSTUVWXYZabcdefghijklmnopqrstuvwxyz .,")))&gt;0)),"Middle Initial, ","")&amp;IF(OR($F362="",LEN($F362)&gt;75),"Address, ","")&amp;IF(OR($H362="",LEN($H362)&gt;30),"City, ","")&amp;IF(AND($K362="US",OR($I362="",LEN($I362)&lt;&gt;2)),"State, ","")&amp;IF($J362="","ZIP, ","")&amp;IF(OR($K362="",AND($K362&lt;&gt;"US",$K362&lt;&gt;"CA")),"Country, ","")&amp;IF(OR($L362="",AND($L362&lt;&gt;"",OR(NOT(ISNUMBER($L362)),$L362&lt;=DATE(1900,1,1),$L362&gt;TODAY()))),"Birthdate, ","")&amp;IF(AND($N362&lt;&gt;"",NOT(IFERROR(AND(ISNUMBER(SEARCH("@",$N362)),ISNUMBER(SEARCH(".",$N362,SEARCH("@",$N362)+2))),FALSE))),"Email, ","")&amp;IF(OR(AND($B362&lt;&gt;"",$O362=""),AND($O362&lt;&gt;"",$O362&lt;&gt;"Spouse or Common Law Spouse",$O362&lt;&gt;"Domestic Partner",$O362&lt;&gt;"Child",$O362&lt;&gt;"Other",$O362&lt;&gt;"Estate",$O362&lt;&gt;"Unknown")),"Dependent Relationship, ","")&amp;IF($AA362&lt;&gt;"","Household, ","")&amp;IF(OR($P362="",AND($P362&lt;&gt;"",OR(NOT(ISNUMBER($P362)),$P362&lt;=DATE(1900,1,1)))),"Eligibility Date, ","")&amp;IF(OR(AND($R362="Terminated",$Q362=""),AND($Q362&lt;&gt;"",OR(NOT(ISNUMBER($Q362)),$Q362&lt;=DATE(1900,1,1))),AND(ISNUMBER($P362),ISNUMBER($Q362),$Q362&lt;$P362)),"Termination Date, ","")&amp;IF(OR($R362="",AND($R362&lt;&gt;"Active",$R362&lt;&gt;"Terminated"),AND('START HERE'!$C$8="Terminations Only",$R362&lt;&gt;"Terminated")),"Status, ","")&amp;IF($S362="","Plan Name, ","")&amp;IF($T362="","Coverage Level, ","")&amp;IF(AND($U362&lt;&gt;"",OR(NOT(ISNUMBER($U362)),$U362&lt;0)),"Funding, ","")&amp;IF(AND($A362&lt;&gt;"",$S362&lt;&gt;"",COUNTIFS($A$2:$A$501,$A362,$B$2:$B$501,$B362,$S$2:$S$501,$S362)&gt;1),"Duplicate Row, ",""))</f>
        <v/>
      </c>
      <c r="AF362">
        <f>IF(COUNTA($A362:$U362)=0,"",$Y362&amp;$Z362&amp;$AA362&amp;$AB362&amp;$AC362)</f>
        <v/>
      </c>
      <c r="AG362">
        <f>IF($N362="","",LOWER(TRIM($N362)))</f>
        <v/>
      </c>
      <c r="AH362">
        <f>IF($A362="","",COUNTIFS($A$2:$A$501,$A362,$AI$2:$AI$501,1))</f>
        <v/>
      </c>
      <c r="AI362">
        <f>IF(COUNTA($A362:$U362)=0,"",--($AF362&lt;&gt;""))</f>
        <v/>
      </c>
      <c r="AJ362">
        <f>IF(COUNTA($A362:$U362)=0,"",--($AD362&lt;&gt;""))</f>
        <v/>
      </c>
    </row>
    <row r="363" ht="20" customHeight="1">
      <c r="A363" s="80" t="n"/>
      <c r="B363" s="80" t="n"/>
      <c r="C363" s="81" t="n"/>
      <c r="D363" s="81" t="n"/>
      <c r="E363" s="80" t="n"/>
      <c r="F363" s="81" t="n"/>
      <c r="G363" s="81" t="n"/>
      <c r="H363" s="81" t="n"/>
      <c r="I363" s="80" t="n"/>
      <c r="J363" s="80" t="n"/>
      <c r="K363" s="80" t="n"/>
      <c r="L363" s="82" t="n"/>
      <c r="M363" s="80" t="n"/>
      <c r="N363" s="80" t="n"/>
      <c r="O363" s="80" t="n"/>
      <c r="P363" s="82" t="n"/>
      <c r="Q363" s="82" t="n"/>
      <c r="R363" s="80" t="n"/>
      <c r="S363" s="80" t="n"/>
      <c r="T363" s="80" t="n"/>
      <c r="U363" s="83" t="n"/>
      <c r="V363">
        <f>IF($A363="","",IF($A363=$A362,$V362,IF($V362="",0,1-$V362)))</f>
        <v/>
      </c>
      <c r="W363">
        <f>IF($B363&lt;&gt;"",$B363,$A363)</f>
        <v/>
      </c>
      <c r="X363">
        <f>IF(COUNTA($A363:$U363)=0,"",IF(OR($B363&lt;&gt;"",$O363&lt;&gt;""),"Dependent","Employee"))</f>
        <v/>
      </c>
      <c r="Y363">
        <f>IF(COUNTA($A363:$U363)=0,"",IF($A363="","Employee SSN is required; ","")&amp;IF($C363="","First Name is required; ","")&amp;IF(LEN($C363&amp;"")&gt;19,"First Name exceeds 19 characters; ","")&amp;IF(AND($C363&lt;&gt;"",SUMPRODUCT(--(ROW($1:$19)&lt;=LEN($C363&amp;"")),--ISERROR(FIND(MID($C363&amp;"",ROW($1:$19),1),"ABCDEFGHIJKLMNOPQRSTUVWXYZabcdefghijklmnopqrstuvwxyz .,")))&gt;0),"First Name contains unsupported or encoded characters; use plain A-Z letters only; ","")&amp;IF($D363="","Last Name is required; ","")&amp;IF(LEN($D363&amp;"")&gt;26,"Last Name exceeds 26 characters; ","")&amp;IF(AND($D363&lt;&gt;"",SUMPRODUCT(--(ROW($1:$26)&lt;=LEN($D363&amp;"")),--ISERROR(FIND(MID($D363&amp;"",ROW($1:$26),1),"ABCDEFGHIJKLMNOPQRSTUVWXYZabcdefghijklmnopqrstuvwxyz .,")))&gt;0),"Last Name contains unsupported or encoded characters; use plain A-Z letters only; ","")&amp;IF(LEN($E363&amp;"")&gt;1,"Middle Initial may contain only one character; ","")&amp;IF(AND($E363&lt;&gt;"",SUMPRODUCT(--(ROW($1:$1)&lt;=LEN($E363&amp;"")),--ISERROR(FIND(MID($E363&amp;"",ROW($1:$1),1),"ABCDEFGHIJKLMNOPQRSTUVWXYZabcdefghijklmnopqrstuvwxyz .,")))&gt;0),"Middle Initial must be a plain A-Z letter; ","")&amp;IF($F363="","Address is required; ","")&amp;IF(LEN($F363&amp;"")&gt;75,"Address exceeds 75 characters; ","")&amp;IF(LEN($G363&amp;"")&gt;75,"Address 2 exceeds 75 characters; ","")&amp;IF($H363="","City is required; ","")&amp;IF(LEN($H363&amp;"")&gt;30,"City exceeds 30 characters; ","")&amp;IF($K363="","Country is required; ","")&amp;IF(AND($K363&lt;&gt;"",$K363&lt;&gt;"US",$K363&lt;&gt;"CA"),"Country must be US or CA; ","")&amp;IF(AND($K363="US",OR($I363="",LEN($I363&amp;"")&lt;&gt;2)),"Use a 2-letter state code; ","")&amp;IF($J363="","ZIP or postal code is required; ","")&amp;IF(AND($K363="US",$J363&lt;&gt;"",NOT(IFERROR(OR(AND(LEN($J363&amp;"")=5,ISNUMBER(--($J363&amp;""))),AND(LEN($J363&amp;"")=9,ISNUMBER(--($J363&amp;""))),AND(LEN($J363&amp;"")=10,MID($J363&amp;"",6,1)="-",ISNUMBER(--SUBSTITUTE($J363&amp;"","-","")))),FALSE))),"US ZIP must be 5 or 9 digits, with an optional ZIP+4 hyphen; ","")&amp;IF(AND($N363&lt;&gt;"",NOT(IFERROR(AND(ISNUMBER(SEARCH("@",$N363)),ISNUMBER(SEARCH(".",$N363,SEARCH("@",$N363)+2))),FALSE))),"Email format appears invalid; ","")&amp;IF(AND($O363&lt;&gt;"",$B363=""),"Dependent SSN is required for every dependent; ","")&amp;IF(AND($B363&lt;&gt;"",$O363=""),"Dependent Relationship is required when Dependent SSN is entered; ","")&amp;IF(AND($O363&lt;&gt;"",$O363&lt;&gt;"Spouse or Common Law Spouse",$O363&lt;&gt;"Domestic Partner",$O363&lt;&gt;"Child",$O363&lt;&gt;"Other",$O363&lt;&gt;"Estate",$O363&lt;&gt;"Unknown"),"Dependent Relationship must use one of the approved options; ",""))</f>
        <v/>
      </c>
      <c r="Z363">
        <f>IF(COUNTA($A363:$U363)=0,"",IF(AND($A363&lt;&gt;"",NOT(IFERROR(AND(LEN($A363&amp;"")=9,ISNUMBER(--($A363&amp;""))),FALSE))),"Employee SSN must contain exactly 9 digits; ","")&amp;IF(AND($A363&lt;&gt;"",OR($A363="123456789",$A363="987654321",$A363="012345678",$A363=REPT(LEFT($A363&amp;"",1),9))),"Employee SSN appears to be a placeholder; ","")&amp;IF(AND($B363&lt;&gt;"",NOT(IFERROR(AND(LEN($B363&amp;"")=9,ISNUMBER(--($B363&amp;""))),FALSE))),"Dependent SSN must contain exactly 9 digits; ","")&amp;IF(AND($B363&lt;&gt;"",OR($B363="123456789",$B363="987654321",$B363="012345678",$B363=REPT(LEFT($B363&amp;"",1),9))),"Dependent SSN appears to be a placeholder; ","")&amp;IF(AND($A363&lt;&gt;"",$B363&lt;&gt;"",$A363&amp;""=$B363&amp;""),"Dependent SSN cannot match Employee SSN; ","")&amp;IF(AND($W363&lt;&gt;"",OR(COUNTIFS($W$2:$W$501,$W363,$C$2:$C$501,"&lt;&gt;"&amp;$C363)&gt;0,COUNTIFS($W$2:$W$501,$W363,$D$2:$D$501,"&lt;&gt;"&amp;$D363)&gt;0,COUNTIFS($W$2:$W$501,$W363,$L$2:$L$501,"&lt;&gt;"&amp;$L363)&gt;0)),"The same SSN is associated with a different name or birthdate; ",""))</f>
        <v/>
      </c>
      <c r="AA363">
        <f>IF(COUNTA($A363:$U363)=0,"",IF(AND($A363&lt;&gt;"",$S363&lt;&gt;"",COUNTIFS($A$2:$A$501,$A363,$S$2:$S$501,$S363,$B$2:$B$501,"",$O$2:$O$501,"")=0),"Add an employee row for this household and plan; ","")&amp;IF(AND($X363="Dependent",COUNTIFS($A$2:$A363,$A363,$S$2:$S363,$S363,$B$2:$B363,"",$O$2:$O363,"")=0),"Place the employee row before dependent rows for this plan; ","")&amp;IF(AND($X363="Dependent",COUNTIFS($A$2:$A$501,$A363,$S$2:$S$501,$S363,$B$2:$B$501,"",$O$2:$O$501,"")&gt;0,IFERROR(OR($P363&lt;&gt;LOOKUP(2,1/(($A$2:$A$501=$A363)*($S$2:$S$501=$S363)*($B$2:$B$501="")*($O$2:$O$501="")),$P$2:$P$501),$Q363&lt;&gt;LOOKUP(2,1/(($A$2:$A$501=$A363)*($S$2:$S$501=$S363)*($B$2:$B$501="")*($O$2:$O$501="")),$Q$2:$Q$501),$R363&lt;&gt;LOOKUP(2,1/(($A$2:$A$501=$A363)*($S$2:$S$501=$S363)*($B$2:$B$501="")*($O$2:$O$501="")),$R$2:$R$501),$T363&lt;&gt;LOOKUP(2,1/(($A$2:$A$501=$A363)*($S$2:$S$501=$S363)*($B$2:$B$501="")*($O$2:$O$501="")),$T$2:$T$501),$U363&lt;&gt;LOOKUP(2,1/(($A$2:$A$501=$A363)*($S$2:$S$501=$S363)*($B$2:$B$501="")*($O$2:$O$501="")),$U$2:$U$501)),FALSE)),"Dependent row does not match the employee row for eligibility, status, coverage level, or funding; ",""))</f>
        <v/>
      </c>
      <c r="AB363">
        <f>IF(COUNTA($A363:$U363)=0,"",IF($L363="","Birthdate is required; ","")&amp;IF(AND($L363&lt;&gt;"",OR(NOT(ISNUMBER($L363)),$L363&lt;=DATE(1900,1,1),$L363&gt;TODAY())),"Birthdate must be an exact valid past date; ","")&amp;IF($P363="","Eligibility Date is required; ","")&amp;IF(AND($P363&lt;&gt;"",OR(NOT(ISNUMBER($P363)),$P363&lt;=DATE(1900,1,1))),"Eligibility Date must be a valid date; ","")&amp;IF(AND($R363="Terminated",$Q363=""),"Termination Date is required when Status is Terminated; ","")&amp;IF(AND($Q363&lt;&gt;"",OR(NOT(ISNUMBER($Q363)),$Q363&lt;=DATE(1900,1,1))),"Termination Date must be a valid date; ","")&amp;IF(AND(ISNUMBER($P363),ISNUMBER($Q363),$Q363&lt;$P363),"Termination Date cannot be before Eligibility Date; ","")&amp;IF($R363="","Status is required; ","")&amp;IF(AND($R363&lt;&gt;"",$R363&lt;&gt;"Active",$R363&lt;&gt;"Terminated"),"Status must be Active or Terminated; ","")&amp;IF(AND('START HERE'!$C$8="Terminations Only",$R363&lt;&gt;"Terminated"),"Terminations Only files must contain terminated records; ",""))</f>
        <v/>
      </c>
      <c r="AC363">
        <f>IF(COUNTA($A363:$U363)=0,"",IF($S363="","Plan Name is required; ","")&amp;IF($T363="","Benefit Coverage Level is required; ","")&amp;IF(AND($U363&lt;&gt;"",OR(NOT(ISNUMBER($U363)),$U363&lt;0)),"Plan Funding Amount must be a nonnegative number; ","")&amp;IF(AND($A363&lt;&gt;"",$S363&lt;&gt;"",COUNTIFS($A$2:$A$501,$A363,$B$2:$B$501,$B363,$S$2:$S$501,$S363)&gt;1),"Duplicate participant and plan row; ",""))</f>
        <v/>
      </c>
      <c r="AD363">
        <f>IF(COUNTA($A363:$U363)=0,"",IF(AND($X363="Employee",$M363="",$N363=""),"No employee phone or email provided; ","")&amp;IF(AND($R363="Active",$Q363&lt;&gt;""),"Active record includes a Termination Date; confirm this is intentional; ","")&amp;IF(AND($B363&lt;&gt;"",$B363&amp;""&lt;&gt;$A363&amp;"",COUNTIF($A$2:$A$501,$B363)&gt;0),"Dependent SSN also appears as an Employee SSN elsewhere; confirm dual-employee coverage is intentional; ","")&amp;IF(AND($B363&lt;&gt;"",COUNTIF($B$2:$B$501,$B363)&gt;COUNTIFS($A$2:$A$501,$A363,$B$2:$B$501,$B363)),"Dependent SSN appears under more than one employee; confirm duplicate family coverage is intentional; ","")&amp;IF(AND(ROW()&gt;2,$A363&lt;&gt;"",$A363&lt;&gt;$A362,COUNTIF($A$2:$A362,$A363)&gt;0),"This household appears in more than one section of the census; keep the family together; ","")&amp;IF(OR(AND($C363&lt;&gt;"",LEN($C363&amp;"")&lt;&gt;LEN(TRIM($C363&amp;""))),AND($D363&lt;&gt;"",LEN($D363&amp;"")&lt;&gt;LEN(TRIM($D363&amp;""))),AND($E363&lt;&gt;"",LEN($E363&amp;"")&lt;&gt;LEN(TRIM($E363&amp;""))),AND($F363&lt;&gt;"",LEN($F363&amp;"")&lt;&gt;LEN(TRIM($F363&amp;""))),AND($G363&lt;&gt;"",LEN($G363&amp;"")&lt;&gt;LEN(TRIM($G363&amp;""))),AND($H363&lt;&gt;"",LEN($H363&amp;"")&lt;&gt;LEN(TRIM($H363&amp;""))),AND($I363&lt;&gt;"",LEN($I363&amp;"")&lt;&gt;LEN(TRIM($I363&amp;""))),AND($J363&lt;&gt;"",LEN($J363&amp;"")&lt;&gt;LEN(TRIM($J363&amp;""))),AND($K363&lt;&gt;"",LEN($K363&amp;"")&lt;&gt;LEN(TRIM($K363&amp;""))),AND($M363&lt;&gt;"",LEN($M363&amp;"")&lt;&gt;LEN(TRIM($M363&amp;""))),AND($N363&lt;&gt;"",LEN($N363&amp;"")&lt;&gt;LEN(TRIM($N363&amp;""))),AND($O363&lt;&gt;"",LEN($O363&amp;"")&lt;&gt;LEN(TRIM($O363&amp;""))),AND($R363&lt;&gt;"",LEN($R363&amp;"")&lt;&gt;LEN(TRIM($R363&amp;""))),AND($S363&lt;&gt;"",LEN($S363&amp;"")&lt;&gt;LEN(TRIM($S363&amp;""))),AND($T363&lt;&gt;"",LEN($T363&amp;"")&lt;&gt;LEN(TRIM($T363&amp;"")))),"Remove leading or trailing spaces from text fields; ","")&amp;IF(OR(AND(LEN($C363)&gt;1,OR(EXACT($C363,UPPER($C363)),EXACT($C363,LOWER($C363)))),AND(LEN($D363)&gt;1,OR(EXACT($D363,UPPER($D363)),EXACT($D363,LOWER($D363)))),AND(LEN($H363)&gt;1,OR(EXACT($H363,UPPER($H363)),EXACT($H363,LOWER($H363))))),"Review capitalization in First Name, Last Name, or City; ","")&amp;IF(AND($N363&lt;&gt;"",NOT(EXACT($N363,LOWER($N363)))),"Email will be standardized to lowercase in the clean output; ","")&amp;IF(AND(OR('START HERE'!$C$8="Initial Enrollment",'START HERE'!$C$8="Open Enrollment"),$R363="Terminated"),"A terminated row is included in an initial or open enrollment file; confirm this is intentional; ",""))</f>
        <v/>
      </c>
      <c r="AE363">
        <f>IF(COUNTA($A363:$U363)=0,"",IF(OR($A363="",AND($A363&lt;&gt;"",NOT(IFERROR(AND(LEN($A363&amp;"")=9,ISNUMBER(--($A363&amp;""))),FALSE))),AND($A363&lt;&gt;"",OR($A363="123456789",$A363="987654321",$A363="012345678",$A363=REPT(LEFT($A363&amp;"",1),9)))),"Employee SSN, ","")&amp;IF(OR(AND($O363&lt;&gt;"",$B363=""),AND($B363&lt;&gt;"",OR(NOT(IFERROR(AND(LEN($B363&amp;"")=9,ISNUMBER(--($B363&amp;""))),FALSE)),$B363=$A363,$B363="123456789",$B363="987654321",$B363="012345678",$B363=REPT(LEFT($B363&amp;"",1),9)))),"Dependent SSN, ","")&amp;IF(OR($C363="",LEN($C363)&gt;19,AND($C363&lt;&gt;"",SUMPRODUCT(--(ROW($1:$19)&lt;=LEN($C363&amp;"")),--ISERROR(FIND(MID($C363&amp;"",ROW($1:$19),1),"ABCDEFGHIJKLMNOPQRSTUVWXYZabcdefghijklmnopqrstuvwxyz .,")))&gt;0)),"First Name, ","")&amp;IF(OR($D363="",LEN($D363)&gt;26,AND($D363&lt;&gt;"",SUMPRODUCT(--(ROW($1:$26)&lt;=LEN($D363&amp;"")),--ISERROR(FIND(MID($D363&amp;"",ROW($1:$26),1),"ABCDEFGHIJKLMNOPQRSTUVWXYZabcdefghijklmnopqrstuvwxyz .,")))&gt;0)),"Last Name, ","")&amp;IF(OR(LEN($E363)&gt;1,AND($E363&lt;&gt;"",SUMPRODUCT(--(ROW($1:$1)&lt;=LEN($E363&amp;"")),--ISERROR(FIND(MID($E363&amp;"",ROW($1:$1),1),"ABCDEFGHIJKLMNOPQRSTUVWXYZabcdefghijklmnopqrstuvwxyz .,")))&gt;0)),"Middle Initial, ","")&amp;IF(OR($F363="",LEN($F363)&gt;75),"Address, ","")&amp;IF(OR($H363="",LEN($H363)&gt;30),"City, ","")&amp;IF(AND($K363="US",OR($I363="",LEN($I363)&lt;&gt;2)),"State, ","")&amp;IF($J363="","ZIP, ","")&amp;IF(OR($K363="",AND($K363&lt;&gt;"US",$K363&lt;&gt;"CA")),"Country, ","")&amp;IF(OR($L363="",AND($L363&lt;&gt;"",OR(NOT(ISNUMBER($L363)),$L363&lt;=DATE(1900,1,1),$L363&gt;TODAY()))),"Birthdate, ","")&amp;IF(AND($N363&lt;&gt;"",NOT(IFERROR(AND(ISNUMBER(SEARCH("@",$N363)),ISNUMBER(SEARCH(".",$N363,SEARCH("@",$N363)+2))),FALSE))),"Email, ","")&amp;IF(OR(AND($B363&lt;&gt;"",$O363=""),AND($O363&lt;&gt;"",$O363&lt;&gt;"Spouse or Common Law Spouse",$O363&lt;&gt;"Domestic Partner",$O363&lt;&gt;"Child",$O363&lt;&gt;"Other",$O363&lt;&gt;"Estate",$O363&lt;&gt;"Unknown")),"Dependent Relationship, ","")&amp;IF($AA363&lt;&gt;"","Household, ","")&amp;IF(OR($P363="",AND($P363&lt;&gt;"",OR(NOT(ISNUMBER($P363)),$P363&lt;=DATE(1900,1,1)))),"Eligibility Date, ","")&amp;IF(OR(AND($R363="Terminated",$Q363=""),AND($Q363&lt;&gt;"",OR(NOT(ISNUMBER($Q363)),$Q363&lt;=DATE(1900,1,1))),AND(ISNUMBER($P363),ISNUMBER($Q363),$Q363&lt;$P363)),"Termination Date, ","")&amp;IF(OR($R363="",AND($R363&lt;&gt;"Active",$R363&lt;&gt;"Terminated"),AND('START HERE'!$C$8="Terminations Only",$R363&lt;&gt;"Terminated")),"Status, ","")&amp;IF($S363="","Plan Name, ","")&amp;IF($T363="","Coverage Level, ","")&amp;IF(AND($U363&lt;&gt;"",OR(NOT(ISNUMBER($U363)),$U363&lt;0)),"Funding, ","")&amp;IF(AND($A363&lt;&gt;"",$S363&lt;&gt;"",COUNTIFS($A$2:$A$501,$A363,$B$2:$B$501,$B363,$S$2:$S$501,$S363)&gt;1),"Duplicate Row, ",""))</f>
        <v/>
      </c>
      <c r="AF363">
        <f>IF(COUNTA($A363:$U363)=0,"",$Y363&amp;$Z363&amp;$AA363&amp;$AB363&amp;$AC363)</f>
        <v/>
      </c>
      <c r="AG363">
        <f>IF($N363="","",LOWER(TRIM($N363)))</f>
        <v/>
      </c>
      <c r="AH363">
        <f>IF($A363="","",COUNTIFS($A$2:$A$501,$A363,$AI$2:$AI$501,1))</f>
        <v/>
      </c>
      <c r="AI363">
        <f>IF(COUNTA($A363:$U363)=0,"",--($AF363&lt;&gt;""))</f>
        <v/>
      </c>
      <c r="AJ363">
        <f>IF(COUNTA($A363:$U363)=0,"",--($AD363&lt;&gt;""))</f>
        <v/>
      </c>
    </row>
    <row r="364" ht="20" customHeight="1">
      <c r="A364" s="80" t="n"/>
      <c r="B364" s="80" t="n"/>
      <c r="C364" s="81" t="n"/>
      <c r="D364" s="81" t="n"/>
      <c r="E364" s="80" t="n"/>
      <c r="F364" s="81" t="n"/>
      <c r="G364" s="81" t="n"/>
      <c r="H364" s="81" t="n"/>
      <c r="I364" s="80" t="n"/>
      <c r="J364" s="80" t="n"/>
      <c r="K364" s="80" t="n"/>
      <c r="L364" s="82" t="n"/>
      <c r="M364" s="80" t="n"/>
      <c r="N364" s="80" t="n"/>
      <c r="O364" s="80" t="n"/>
      <c r="P364" s="82" t="n"/>
      <c r="Q364" s="82" t="n"/>
      <c r="R364" s="80" t="n"/>
      <c r="S364" s="80" t="n"/>
      <c r="T364" s="80" t="n"/>
      <c r="U364" s="83" t="n"/>
      <c r="V364">
        <f>IF($A364="","",IF($A364=$A363,$V363,IF($V363="",0,1-$V363)))</f>
        <v/>
      </c>
      <c r="W364">
        <f>IF($B364&lt;&gt;"",$B364,$A364)</f>
        <v/>
      </c>
      <c r="X364">
        <f>IF(COUNTA($A364:$U364)=0,"",IF(OR($B364&lt;&gt;"",$O364&lt;&gt;""),"Dependent","Employee"))</f>
        <v/>
      </c>
      <c r="Y364">
        <f>IF(COUNTA($A364:$U364)=0,"",IF($A364="","Employee SSN is required; ","")&amp;IF($C364="","First Name is required; ","")&amp;IF(LEN($C364&amp;"")&gt;19,"First Name exceeds 19 characters; ","")&amp;IF(AND($C364&lt;&gt;"",SUMPRODUCT(--(ROW($1:$19)&lt;=LEN($C364&amp;"")),--ISERROR(FIND(MID($C364&amp;"",ROW($1:$19),1),"ABCDEFGHIJKLMNOPQRSTUVWXYZabcdefghijklmnopqrstuvwxyz .,")))&gt;0),"First Name contains unsupported or encoded characters; use plain A-Z letters only; ","")&amp;IF($D364="","Last Name is required; ","")&amp;IF(LEN($D364&amp;"")&gt;26,"Last Name exceeds 26 characters; ","")&amp;IF(AND($D364&lt;&gt;"",SUMPRODUCT(--(ROW($1:$26)&lt;=LEN($D364&amp;"")),--ISERROR(FIND(MID($D364&amp;"",ROW($1:$26),1),"ABCDEFGHIJKLMNOPQRSTUVWXYZabcdefghijklmnopqrstuvwxyz .,")))&gt;0),"Last Name contains unsupported or encoded characters; use plain A-Z letters only; ","")&amp;IF(LEN($E364&amp;"")&gt;1,"Middle Initial may contain only one character; ","")&amp;IF(AND($E364&lt;&gt;"",SUMPRODUCT(--(ROW($1:$1)&lt;=LEN($E364&amp;"")),--ISERROR(FIND(MID($E364&amp;"",ROW($1:$1),1),"ABCDEFGHIJKLMNOPQRSTUVWXYZabcdefghijklmnopqrstuvwxyz .,")))&gt;0),"Middle Initial must be a plain A-Z letter; ","")&amp;IF($F364="","Address is required; ","")&amp;IF(LEN($F364&amp;"")&gt;75,"Address exceeds 75 characters; ","")&amp;IF(LEN($G364&amp;"")&gt;75,"Address 2 exceeds 75 characters; ","")&amp;IF($H364="","City is required; ","")&amp;IF(LEN($H364&amp;"")&gt;30,"City exceeds 30 characters; ","")&amp;IF($K364="","Country is required; ","")&amp;IF(AND($K364&lt;&gt;"",$K364&lt;&gt;"US",$K364&lt;&gt;"CA"),"Country must be US or CA; ","")&amp;IF(AND($K364="US",OR($I364="",LEN($I364&amp;"")&lt;&gt;2)),"Use a 2-letter state code; ","")&amp;IF($J364="","ZIP or postal code is required; ","")&amp;IF(AND($K364="US",$J364&lt;&gt;"",NOT(IFERROR(OR(AND(LEN($J364&amp;"")=5,ISNUMBER(--($J364&amp;""))),AND(LEN($J364&amp;"")=9,ISNUMBER(--($J364&amp;""))),AND(LEN($J364&amp;"")=10,MID($J364&amp;"",6,1)="-",ISNUMBER(--SUBSTITUTE($J364&amp;"","-","")))),FALSE))),"US ZIP must be 5 or 9 digits, with an optional ZIP+4 hyphen; ","")&amp;IF(AND($N364&lt;&gt;"",NOT(IFERROR(AND(ISNUMBER(SEARCH("@",$N364)),ISNUMBER(SEARCH(".",$N364,SEARCH("@",$N364)+2))),FALSE))),"Email format appears invalid; ","")&amp;IF(AND($O364&lt;&gt;"",$B364=""),"Dependent SSN is required for every dependent; ","")&amp;IF(AND($B364&lt;&gt;"",$O364=""),"Dependent Relationship is required when Dependent SSN is entered; ","")&amp;IF(AND($O364&lt;&gt;"",$O364&lt;&gt;"Spouse or Common Law Spouse",$O364&lt;&gt;"Domestic Partner",$O364&lt;&gt;"Child",$O364&lt;&gt;"Other",$O364&lt;&gt;"Estate",$O364&lt;&gt;"Unknown"),"Dependent Relationship must use one of the approved options; ",""))</f>
        <v/>
      </c>
      <c r="Z364">
        <f>IF(COUNTA($A364:$U364)=0,"",IF(AND($A364&lt;&gt;"",NOT(IFERROR(AND(LEN($A364&amp;"")=9,ISNUMBER(--($A364&amp;""))),FALSE))),"Employee SSN must contain exactly 9 digits; ","")&amp;IF(AND($A364&lt;&gt;"",OR($A364="123456789",$A364="987654321",$A364="012345678",$A364=REPT(LEFT($A364&amp;"",1),9))),"Employee SSN appears to be a placeholder; ","")&amp;IF(AND($B364&lt;&gt;"",NOT(IFERROR(AND(LEN($B364&amp;"")=9,ISNUMBER(--($B364&amp;""))),FALSE))),"Dependent SSN must contain exactly 9 digits; ","")&amp;IF(AND($B364&lt;&gt;"",OR($B364="123456789",$B364="987654321",$B364="012345678",$B364=REPT(LEFT($B364&amp;"",1),9))),"Dependent SSN appears to be a placeholder; ","")&amp;IF(AND($A364&lt;&gt;"",$B364&lt;&gt;"",$A364&amp;""=$B364&amp;""),"Dependent SSN cannot match Employee SSN; ","")&amp;IF(AND($W364&lt;&gt;"",OR(COUNTIFS($W$2:$W$501,$W364,$C$2:$C$501,"&lt;&gt;"&amp;$C364)&gt;0,COUNTIFS($W$2:$W$501,$W364,$D$2:$D$501,"&lt;&gt;"&amp;$D364)&gt;0,COUNTIFS($W$2:$W$501,$W364,$L$2:$L$501,"&lt;&gt;"&amp;$L364)&gt;0)),"The same SSN is associated with a different name or birthdate; ",""))</f>
        <v/>
      </c>
      <c r="AA364">
        <f>IF(COUNTA($A364:$U364)=0,"",IF(AND($A364&lt;&gt;"",$S364&lt;&gt;"",COUNTIFS($A$2:$A$501,$A364,$S$2:$S$501,$S364,$B$2:$B$501,"",$O$2:$O$501,"")=0),"Add an employee row for this household and plan; ","")&amp;IF(AND($X364="Dependent",COUNTIFS($A$2:$A364,$A364,$S$2:$S364,$S364,$B$2:$B364,"",$O$2:$O364,"")=0),"Place the employee row before dependent rows for this plan; ","")&amp;IF(AND($X364="Dependent",COUNTIFS($A$2:$A$501,$A364,$S$2:$S$501,$S364,$B$2:$B$501,"",$O$2:$O$501,"")&gt;0,IFERROR(OR($P364&lt;&gt;LOOKUP(2,1/(($A$2:$A$501=$A364)*($S$2:$S$501=$S364)*($B$2:$B$501="")*($O$2:$O$501="")),$P$2:$P$501),$Q364&lt;&gt;LOOKUP(2,1/(($A$2:$A$501=$A364)*($S$2:$S$501=$S364)*($B$2:$B$501="")*($O$2:$O$501="")),$Q$2:$Q$501),$R364&lt;&gt;LOOKUP(2,1/(($A$2:$A$501=$A364)*($S$2:$S$501=$S364)*($B$2:$B$501="")*($O$2:$O$501="")),$R$2:$R$501),$T364&lt;&gt;LOOKUP(2,1/(($A$2:$A$501=$A364)*($S$2:$S$501=$S364)*($B$2:$B$501="")*($O$2:$O$501="")),$T$2:$T$501),$U364&lt;&gt;LOOKUP(2,1/(($A$2:$A$501=$A364)*($S$2:$S$501=$S364)*($B$2:$B$501="")*($O$2:$O$501="")),$U$2:$U$501)),FALSE)),"Dependent row does not match the employee row for eligibility, status, coverage level, or funding; ",""))</f>
        <v/>
      </c>
      <c r="AB364">
        <f>IF(COUNTA($A364:$U364)=0,"",IF($L364="","Birthdate is required; ","")&amp;IF(AND($L364&lt;&gt;"",OR(NOT(ISNUMBER($L364)),$L364&lt;=DATE(1900,1,1),$L364&gt;TODAY())),"Birthdate must be an exact valid past date; ","")&amp;IF($P364="","Eligibility Date is required; ","")&amp;IF(AND($P364&lt;&gt;"",OR(NOT(ISNUMBER($P364)),$P364&lt;=DATE(1900,1,1))),"Eligibility Date must be a valid date; ","")&amp;IF(AND($R364="Terminated",$Q364=""),"Termination Date is required when Status is Terminated; ","")&amp;IF(AND($Q364&lt;&gt;"",OR(NOT(ISNUMBER($Q364)),$Q364&lt;=DATE(1900,1,1))),"Termination Date must be a valid date; ","")&amp;IF(AND(ISNUMBER($P364),ISNUMBER($Q364),$Q364&lt;$P364),"Termination Date cannot be before Eligibility Date; ","")&amp;IF($R364="","Status is required; ","")&amp;IF(AND($R364&lt;&gt;"",$R364&lt;&gt;"Active",$R364&lt;&gt;"Terminated"),"Status must be Active or Terminated; ","")&amp;IF(AND('START HERE'!$C$8="Terminations Only",$R364&lt;&gt;"Terminated"),"Terminations Only files must contain terminated records; ",""))</f>
        <v/>
      </c>
      <c r="AC364">
        <f>IF(COUNTA($A364:$U364)=0,"",IF($S364="","Plan Name is required; ","")&amp;IF($T364="","Benefit Coverage Level is required; ","")&amp;IF(AND($U364&lt;&gt;"",OR(NOT(ISNUMBER($U364)),$U364&lt;0)),"Plan Funding Amount must be a nonnegative number; ","")&amp;IF(AND($A364&lt;&gt;"",$S364&lt;&gt;"",COUNTIFS($A$2:$A$501,$A364,$B$2:$B$501,$B364,$S$2:$S$501,$S364)&gt;1),"Duplicate participant and plan row; ",""))</f>
        <v/>
      </c>
      <c r="AD364">
        <f>IF(COUNTA($A364:$U364)=0,"",IF(AND($X364="Employee",$M364="",$N364=""),"No employee phone or email provided; ","")&amp;IF(AND($R364="Active",$Q364&lt;&gt;""),"Active record includes a Termination Date; confirm this is intentional; ","")&amp;IF(AND($B364&lt;&gt;"",$B364&amp;""&lt;&gt;$A364&amp;"",COUNTIF($A$2:$A$501,$B364)&gt;0),"Dependent SSN also appears as an Employee SSN elsewhere; confirm dual-employee coverage is intentional; ","")&amp;IF(AND($B364&lt;&gt;"",COUNTIF($B$2:$B$501,$B364)&gt;COUNTIFS($A$2:$A$501,$A364,$B$2:$B$501,$B364)),"Dependent SSN appears under more than one employee; confirm duplicate family coverage is intentional; ","")&amp;IF(AND(ROW()&gt;2,$A364&lt;&gt;"",$A364&lt;&gt;$A363,COUNTIF($A$2:$A363,$A364)&gt;0),"This household appears in more than one section of the census; keep the family together; ","")&amp;IF(OR(AND($C364&lt;&gt;"",LEN($C364&amp;"")&lt;&gt;LEN(TRIM($C364&amp;""))),AND($D364&lt;&gt;"",LEN($D364&amp;"")&lt;&gt;LEN(TRIM($D364&amp;""))),AND($E364&lt;&gt;"",LEN($E364&amp;"")&lt;&gt;LEN(TRIM($E364&amp;""))),AND($F364&lt;&gt;"",LEN($F364&amp;"")&lt;&gt;LEN(TRIM($F364&amp;""))),AND($G364&lt;&gt;"",LEN($G364&amp;"")&lt;&gt;LEN(TRIM($G364&amp;""))),AND($H364&lt;&gt;"",LEN($H364&amp;"")&lt;&gt;LEN(TRIM($H364&amp;""))),AND($I364&lt;&gt;"",LEN($I364&amp;"")&lt;&gt;LEN(TRIM($I364&amp;""))),AND($J364&lt;&gt;"",LEN($J364&amp;"")&lt;&gt;LEN(TRIM($J364&amp;""))),AND($K364&lt;&gt;"",LEN($K364&amp;"")&lt;&gt;LEN(TRIM($K364&amp;""))),AND($M364&lt;&gt;"",LEN($M364&amp;"")&lt;&gt;LEN(TRIM($M364&amp;""))),AND($N364&lt;&gt;"",LEN($N364&amp;"")&lt;&gt;LEN(TRIM($N364&amp;""))),AND($O364&lt;&gt;"",LEN($O364&amp;"")&lt;&gt;LEN(TRIM($O364&amp;""))),AND($R364&lt;&gt;"",LEN($R364&amp;"")&lt;&gt;LEN(TRIM($R364&amp;""))),AND($S364&lt;&gt;"",LEN($S364&amp;"")&lt;&gt;LEN(TRIM($S364&amp;""))),AND($T364&lt;&gt;"",LEN($T364&amp;"")&lt;&gt;LEN(TRIM($T364&amp;"")))),"Remove leading or trailing spaces from text fields; ","")&amp;IF(OR(AND(LEN($C364)&gt;1,OR(EXACT($C364,UPPER($C364)),EXACT($C364,LOWER($C364)))),AND(LEN($D364)&gt;1,OR(EXACT($D364,UPPER($D364)),EXACT($D364,LOWER($D364)))),AND(LEN($H364)&gt;1,OR(EXACT($H364,UPPER($H364)),EXACT($H364,LOWER($H364))))),"Review capitalization in First Name, Last Name, or City; ","")&amp;IF(AND($N364&lt;&gt;"",NOT(EXACT($N364,LOWER($N364)))),"Email will be standardized to lowercase in the clean output; ","")&amp;IF(AND(OR('START HERE'!$C$8="Initial Enrollment",'START HERE'!$C$8="Open Enrollment"),$R364="Terminated"),"A terminated row is included in an initial or open enrollment file; confirm this is intentional; ",""))</f>
        <v/>
      </c>
      <c r="AE364">
        <f>IF(COUNTA($A364:$U364)=0,"",IF(OR($A364="",AND($A364&lt;&gt;"",NOT(IFERROR(AND(LEN($A364&amp;"")=9,ISNUMBER(--($A364&amp;""))),FALSE))),AND($A364&lt;&gt;"",OR($A364="123456789",$A364="987654321",$A364="012345678",$A364=REPT(LEFT($A364&amp;"",1),9)))),"Employee SSN, ","")&amp;IF(OR(AND($O364&lt;&gt;"",$B364=""),AND($B364&lt;&gt;"",OR(NOT(IFERROR(AND(LEN($B364&amp;"")=9,ISNUMBER(--($B364&amp;""))),FALSE)),$B364=$A364,$B364="123456789",$B364="987654321",$B364="012345678",$B364=REPT(LEFT($B364&amp;"",1),9)))),"Dependent SSN, ","")&amp;IF(OR($C364="",LEN($C364)&gt;19,AND($C364&lt;&gt;"",SUMPRODUCT(--(ROW($1:$19)&lt;=LEN($C364&amp;"")),--ISERROR(FIND(MID($C364&amp;"",ROW($1:$19),1),"ABCDEFGHIJKLMNOPQRSTUVWXYZabcdefghijklmnopqrstuvwxyz .,")))&gt;0)),"First Name, ","")&amp;IF(OR($D364="",LEN($D364)&gt;26,AND($D364&lt;&gt;"",SUMPRODUCT(--(ROW($1:$26)&lt;=LEN($D364&amp;"")),--ISERROR(FIND(MID($D364&amp;"",ROW($1:$26),1),"ABCDEFGHIJKLMNOPQRSTUVWXYZabcdefghijklmnopqrstuvwxyz .,")))&gt;0)),"Last Name, ","")&amp;IF(OR(LEN($E364)&gt;1,AND($E364&lt;&gt;"",SUMPRODUCT(--(ROW($1:$1)&lt;=LEN($E364&amp;"")),--ISERROR(FIND(MID($E364&amp;"",ROW($1:$1),1),"ABCDEFGHIJKLMNOPQRSTUVWXYZabcdefghijklmnopqrstuvwxyz .,")))&gt;0)),"Middle Initial, ","")&amp;IF(OR($F364="",LEN($F364)&gt;75),"Address, ","")&amp;IF(OR($H364="",LEN($H364)&gt;30),"City, ","")&amp;IF(AND($K364="US",OR($I364="",LEN($I364)&lt;&gt;2)),"State, ","")&amp;IF($J364="","ZIP, ","")&amp;IF(OR($K364="",AND($K364&lt;&gt;"US",$K364&lt;&gt;"CA")),"Country, ","")&amp;IF(OR($L364="",AND($L364&lt;&gt;"",OR(NOT(ISNUMBER($L364)),$L364&lt;=DATE(1900,1,1),$L364&gt;TODAY()))),"Birthdate, ","")&amp;IF(AND($N364&lt;&gt;"",NOT(IFERROR(AND(ISNUMBER(SEARCH("@",$N364)),ISNUMBER(SEARCH(".",$N364,SEARCH("@",$N364)+2))),FALSE))),"Email, ","")&amp;IF(OR(AND($B364&lt;&gt;"",$O364=""),AND($O364&lt;&gt;"",$O364&lt;&gt;"Spouse or Common Law Spouse",$O364&lt;&gt;"Domestic Partner",$O364&lt;&gt;"Child",$O364&lt;&gt;"Other",$O364&lt;&gt;"Estate",$O364&lt;&gt;"Unknown")),"Dependent Relationship, ","")&amp;IF($AA364&lt;&gt;"","Household, ","")&amp;IF(OR($P364="",AND($P364&lt;&gt;"",OR(NOT(ISNUMBER($P364)),$P364&lt;=DATE(1900,1,1)))),"Eligibility Date, ","")&amp;IF(OR(AND($R364="Terminated",$Q364=""),AND($Q364&lt;&gt;"",OR(NOT(ISNUMBER($Q364)),$Q364&lt;=DATE(1900,1,1))),AND(ISNUMBER($P364),ISNUMBER($Q364),$Q364&lt;$P364)),"Termination Date, ","")&amp;IF(OR($R364="",AND($R364&lt;&gt;"Active",$R364&lt;&gt;"Terminated"),AND('START HERE'!$C$8="Terminations Only",$R364&lt;&gt;"Terminated")),"Status, ","")&amp;IF($S364="","Plan Name, ","")&amp;IF($T364="","Coverage Level, ","")&amp;IF(AND($U364&lt;&gt;"",OR(NOT(ISNUMBER($U364)),$U364&lt;0)),"Funding, ","")&amp;IF(AND($A364&lt;&gt;"",$S364&lt;&gt;"",COUNTIFS($A$2:$A$501,$A364,$B$2:$B$501,$B364,$S$2:$S$501,$S364)&gt;1),"Duplicate Row, ",""))</f>
        <v/>
      </c>
      <c r="AF364">
        <f>IF(COUNTA($A364:$U364)=0,"",$Y364&amp;$Z364&amp;$AA364&amp;$AB364&amp;$AC364)</f>
        <v/>
      </c>
      <c r="AG364">
        <f>IF($N364="","",LOWER(TRIM($N364)))</f>
        <v/>
      </c>
      <c r="AH364">
        <f>IF($A364="","",COUNTIFS($A$2:$A$501,$A364,$AI$2:$AI$501,1))</f>
        <v/>
      </c>
      <c r="AI364">
        <f>IF(COUNTA($A364:$U364)=0,"",--($AF364&lt;&gt;""))</f>
        <v/>
      </c>
      <c r="AJ364">
        <f>IF(COUNTA($A364:$U364)=0,"",--($AD364&lt;&gt;""))</f>
        <v/>
      </c>
    </row>
    <row r="365" ht="20" customHeight="1">
      <c r="A365" s="80" t="n"/>
      <c r="B365" s="80" t="n"/>
      <c r="C365" s="81" t="n"/>
      <c r="D365" s="81" t="n"/>
      <c r="E365" s="80" t="n"/>
      <c r="F365" s="81" t="n"/>
      <c r="G365" s="81" t="n"/>
      <c r="H365" s="81" t="n"/>
      <c r="I365" s="80" t="n"/>
      <c r="J365" s="80" t="n"/>
      <c r="K365" s="80" t="n"/>
      <c r="L365" s="82" t="n"/>
      <c r="M365" s="80" t="n"/>
      <c r="N365" s="80" t="n"/>
      <c r="O365" s="80" t="n"/>
      <c r="P365" s="82" t="n"/>
      <c r="Q365" s="82" t="n"/>
      <c r="R365" s="80" t="n"/>
      <c r="S365" s="80" t="n"/>
      <c r="T365" s="80" t="n"/>
      <c r="U365" s="83" t="n"/>
      <c r="V365">
        <f>IF($A365="","",IF($A365=$A364,$V364,IF($V364="",0,1-$V364)))</f>
        <v/>
      </c>
      <c r="W365">
        <f>IF($B365&lt;&gt;"",$B365,$A365)</f>
        <v/>
      </c>
      <c r="X365">
        <f>IF(COUNTA($A365:$U365)=0,"",IF(OR($B365&lt;&gt;"",$O365&lt;&gt;""),"Dependent","Employee"))</f>
        <v/>
      </c>
      <c r="Y365">
        <f>IF(COUNTA($A365:$U365)=0,"",IF($A365="","Employee SSN is required; ","")&amp;IF($C365="","First Name is required; ","")&amp;IF(LEN($C365&amp;"")&gt;19,"First Name exceeds 19 characters; ","")&amp;IF(AND($C365&lt;&gt;"",SUMPRODUCT(--(ROW($1:$19)&lt;=LEN($C365&amp;"")),--ISERROR(FIND(MID($C365&amp;"",ROW($1:$19),1),"ABCDEFGHIJKLMNOPQRSTUVWXYZabcdefghijklmnopqrstuvwxyz .,")))&gt;0),"First Name contains unsupported or encoded characters; use plain A-Z letters only; ","")&amp;IF($D365="","Last Name is required; ","")&amp;IF(LEN($D365&amp;"")&gt;26,"Last Name exceeds 26 characters; ","")&amp;IF(AND($D365&lt;&gt;"",SUMPRODUCT(--(ROW($1:$26)&lt;=LEN($D365&amp;"")),--ISERROR(FIND(MID($D365&amp;"",ROW($1:$26),1),"ABCDEFGHIJKLMNOPQRSTUVWXYZabcdefghijklmnopqrstuvwxyz .,")))&gt;0),"Last Name contains unsupported or encoded characters; use plain A-Z letters only; ","")&amp;IF(LEN($E365&amp;"")&gt;1,"Middle Initial may contain only one character; ","")&amp;IF(AND($E365&lt;&gt;"",SUMPRODUCT(--(ROW($1:$1)&lt;=LEN($E365&amp;"")),--ISERROR(FIND(MID($E365&amp;"",ROW($1:$1),1),"ABCDEFGHIJKLMNOPQRSTUVWXYZabcdefghijklmnopqrstuvwxyz .,")))&gt;0),"Middle Initial must be a plain A-Z letter; ","")&amp;IF($F365="","Address is required; ","")&amp;IF(LEN($F365&amp;"")&gt;75,"Address exceeds 75 characters; ","")&amp;IF(LEN($G365&amp;"")&gt;75,"Address 2 exceeds 75 characters; ","")&amp;IF($H365="","City is required; ","")&amp;IF(LEN($H365&amp;"")&gt;30,"City exceeds 30 characters; ","")&amp;IF($K365="","Country is required; ","")&amp;IF(AND($K365&lt;&gt;"",$K365&lt;&gt;"US",$K365&lt;&gt;"CA"),"Country must be US or CA; ","")&amp;IF(AND($K365="US",OR($I365="",LEN($I365&amp;"")&lt;&gt;2)),"Use a 2-letter state code; ","")&amp;IF($J365="","ZIP or postal code is required; ","")&amp;IF(AND($K365="US",$J365&lt;&gt;"",NOT(IFERROR(OR(AND(LEN($J365&amp;"")=5,ISNUMBER(--($J365&amp;""))),AND(LEN($J365&amp;"")=9,ISNUMBER(--($J365&amp;""))),AND(LEN($J365&amp;"")=10,MID($J365&amp;"",6,1)="-",ISNUMBER(--SUBSTITUTE($J365&amp;"","-","")))),FALSE))),"US ZIP must be 5 or 9 digits, with an optional ZIP+4 hyphen; ","")&amp;IF(AND($N365&lt;&gt;"",NOT(IFERROR(AND(ISNUMBER(SEARCH("@",$N365)),ISNUMBER(SEARCH(".",$N365,SEARCH("@",$N365)+2))),FALSE))),"Email format appears invalid; ","")&amp;IF(AND($O365&lt;&gt;"",$B365=""),"Dependent SSN is required for every dependent; ","")&amp;IF(AND($B365&lt;&gt;"",$O365=""),"Dependent Relationship is required when Dependent SSN is entered; ","")&amp;IF(AND($O365&lt;&gt;"",$O365&lt;&gt;"Spouse or Common Law Spouse",$O365&lt;&gt;"Domestic Partner",$O365&lt;&gt;"Child",$O365&lt;&gt;"Other",$O365&lt;&gt;"Estate",$O365&lt;&gt;"Unknown"),"Dependent Relationship must use one of the approved options; ",""))</f>
        <v/>
      </c>
      <c r="Z365">
        <f>IF(COUNTA($A365:$U365)=0,"",IF(AND($A365&lt;&gt;"",NOT(IFERROR(AND(LEN($A365&amp;"")=9,ISNUMBER(--($A365&amp;""))),FALSE))),"Employee SSN must contain exactly 9 digits; ","")&amp;IF(AND($A365&lt;&gt;"",OR($A365="123456789",$A365="987654321",$A365="012345678",$A365=REPT(LEFT($A365&amp;"",1),9))),"Employee SSN appears to be a placeholder; ","")&amp;IF(AND($B365&lt;&gt;"",NOT(IFERROR(AND(LEN($B365&amp;"")=9,ISNUMBER(--($B365&amp;""))),FALSE))),"Dependent SSN must contain exactly 9 digits; ","")&amp;IF(AND($B365&lt;&gt;"",OR($B365="123456789",$B365="987654321",$B365="012345678",$B365=REPT(LEFT($B365&amp;"",1),9))),"Dependent SSN appears to be a placeholder; ","")&amp;IF(AND($A365&lt;&gt;"",$B365&lt;&gt;"",$A365&amp;""=$B365&amp;""),"Dependent SSN cannot match Employee SSN; ","")&amp;IF(AND($W365&lt;&gt;"",OR(COUNTIFS($W$2:$W$501,$W365,$C$2:$C$501,"&lt;&gt;"&amp;$C365)&gt;0,COUNTIFS($W$2:$W$501,$W365,$D$2:$D$501,"&lt;&gt;"&amp;$D365)&gt;0,COUNTIFS($W$2:$W$501,$W365,$L$2:$L$501,"&lt;&gt;"&amp;$L365)&gt;0)),"The same SSN is associated with a different name or birthdate; ",""))</f>
        <v/>
      </c>
      <c r="AA365">
        <f>IF(COUNTA($A365:$U365)=0,"",IF(AND($A365&lt;&gt;"",$S365&lt;&gt;"",COUNTIFS($A$2:$A$501,$A365,$S$2:$S$501,$S365,$B$2:$B$501,"",$O$2:$O$501,"")=0),"Add an employee row for this household and plan; ","")&amp;IF(AND($X365="Dependent",COUNTIFS($A$2:$A365,$A365,$S$2:$S365,$S365,$B$2:$B365,"",$O$2:$O365,"")=0),"Place the employee row before dependent rows for this plan; ","")&amp;IF(AND($X365="Dependent",COUNTIFS($A$2:$A$501,$A365,$S$2:$S$501,$S365,$B$2:$B$501,"",$O$2:$O$501,"")&gt;0,IFERROR(OR($P365&lt;&gt;LOOKUP(2,1/(($A$2:$A$501=$A365)*($S$2:$S$501=$S365)*($B$2:$B$501="")*($O$2:$O$501="")),$P$2:$P$501),$Q365&lt;&gt;LOOKUP(2,1/(($A$2:$A$501=$A365)*($S$2:$S$501=$S365)*($B$2:$B$501="")*($O$2:$O$501="")),$Q$2:$Q$501),$R365&lt;&gt;LOOKUP(2,1/(($A$2:$A$501=$A365)*($S$2:$S$501=$S365)*($B$2:$B$501="")*($O$2:$O$501="")),$R$2:$R$501),$T365&lt;&gt;LOOKUP(2,1/(($A$2:$A$501=$A365)*($S$2:$S$501=$S365)*($B$2:$B$501="")*($O$2:$O$501="")),$T$2:$T$501),$U365&lt;&gt;LOOKUP(2,1/(($A$2:$A$501=$A365)*($S$2:$S$501=$S365)*($B$2:$B$501="")*($O$2:$O$501="")),$U$2:$U$501)),FALSE)),"Dependent row does not match the employee row for eligibility, status, coverage level, or funding; ",""))</f>
        <v/>
      </c>
      <c r="AB365">
        <f>IF(COUNTA($A365:$U365)=0,"",IF($L365="","Birthdate is required; ","")&amp;IF(AND($L365&lt;&gt;"",OR(NOT(ISNUMBER($L365)),$L365&lt;=DATE(1900,1,1),$L365&gt;TODAY())),"Birthdate must be an exact valid past date; ","")&amp;IF($P365="","Eligibility Date is required; ","")&amp;IF(AND($P365&lt;&gt;"",OR(NOT(ISNUMBER($P365)),$P365&lt;=DATE(1900,1,1))),"Eligibility Date must be a valid date; ","")&amp;IF(AND($R365="Terminated",$Q365=""),"Termination Date is required when Status is Terminated; ","")&amp;IF(AND($Q365&lt;&gt;"",OR(NOT(ISNUMBER($Q365)),$Q365&lt;=DATE(1900,1,1))),"Termination Date must be a valid date; ","")&amp;IF(AND(ISNUMBER($P365),ISNUMBER($Q365),$Q365&lt;$P365),"Termination Date cannot be before Eligibility Date; ","")&amp;IF($R365="","Status is required; ","")&amp;IF(AND($R365&lt;&gt;"",$R365&lt;&gt;"Active",$R365&lt;&gt;"Terminated"),"Status must be Active or Terminated; ","")&amp;IF(AND('START HERE'!$C$8="Terminations Only",$R365&lt;&gt;"Terminated"),"Terminations Only files must contain terminated records; ",""))</f>
        <v/>
      </c>
      <c r="AC365">
        <f>IF(COUNTA($A365:$U365)=0,"",IF($S365="","Plan Name is required; ","")&amp;IF($T365="","Benefit Coverage Level is required; ","")&amp;IF(AND($U365&lt;&gt;"",OR(NOT(ISNUMBER($U365)),$U365&lt;0)),"Plan Funding Amount must be a nonnegative number; ","")&amp;IF(AND($A365&lt;&gt;"",$S365&lt;&gt;"",COUNTIFS($A$2:$A$501,$A365,$B$2:$B$501,$B365,$S$2:$S$501,$S365)&gt;1),"Duplicate participant and plan row; ",""))</f>
        <v/>
      </c>
      <c r="AD365">
        <f>IF(COUNTA($A365:$U365)=0,"",IF(AND($X365="Employee",$M365="",$N365=""),"No employee phone or email provided; ","")&amp;IF(AND($R365="Active",$Q365&lt;&gt;""),"Active record includes a Termination Date; confirm this is intentional; ","")&amp;IF(AND($B365&lt;&gt;"",$B365&amp;""&lt;&gt;$A365&amp;"",COUNTIF($A$2:$A$501,$B365)&gt;0),"Dependent SSN also appears as an Employee SSN elsewhere; confirm dual-employee coverage is intentional; ","")&amp;IF(AND($B365&lt;&gt;"",COUNTIF($B$2:$B$501,$B365)&gt;COUNTIFS($A$2:$A$501,$A365,$B$2:$B$501,$B365)),"Dependent SSN appears under more than one employee; confirm duplicate family coverage is intentional; ","")&amp;IF(AND(ROW()&gt;2,$A365&lt;&gt;"",$A365&lt;&gt;$A364,COUNTIF($A$2:$A364,$A365)&gt;0),"This household appears in more than one section of the census; keep the family together; ","")&amp;IF(OR(AND($C365&lt;&gt;"",LEN($C365&amp;"")&lt;&gt;LEN(TRIM($C365&amp;""))),AND($D365&lt;&gt;"",LEN($D365&amp;"")&lt;&gt;LEN(TRIM($D365&amp;""))),AND($E365&lt;&gt;"",LEN($E365&amp;"")&lt;&gt;LEN(TRIM($E365&amp;""))),AND($F365&lt;&gt;"",LEN($F365&amp;"")&lt;&gt;LEN(TRIM($F365&amp;""))),AND($G365&lt;&gt;"",LEN($G365&amp;"")&lt;&gt;LEN(TRIM($G365&amp;""))),AND($H365&lt;&gt;"",LEN($H365&amp;"")&lt;&gt;LEN(TRIM($H365&amp;""))),AND($I365&lt;&gt;"",LEN($I365&amp;"")&lt;&gt;LEN(TRIM($I365&amp;""))),AND($J365&lt;&gt;"",LEN($J365&amp;"")&lt;&gt;LEN(TRIM($J365&amp;""))),AND($K365&lt;&gt;"",LEN($K365&amp;"")&lt;&gt;LEN(TRIM($K365&amp;""))),AND($M365&lt;&gt;"",LEN($M365&amp;"")&lt;&gt;LEN(TRIM($M365&amp;""))),AND($N365&lt;&gt;"",LEN($N365&amp;"")&lt;&gt;LEN(TRIM($N365&amp;""))),AND($O365&lt;&gt;"",LEN($O365&amp;"")&lt;&gt;LEN(TRIM($O365&amp;""))),AND($R365&lt;&gt;"",LEN($R365&amp;"")&lt;&gt;LEN(TRIM($R365&amp;""))),AND($S365&lt;&gt;"",LEN($S365&amp;"")&lt;&gt;LEN(TRIM($S365&amp;""))),AND($T365&lt;&gt;"",LEN($T365&amp;"")&lt;&gt;LEN(TRIM($T365&amp;"")))),"Remove leading or trailing spaces from text fields; ","")&amp;IF(OR(AND(LEN($C365)&gt;1,OR(EXACT($C365,UPPER($C365)),EXACT($C365,LOWER($C365)))),AND(LEN($D365)&gt;1,OR(EXACT($D365,UPPER($D365)),EXACT($D365,LOWER($D365)))),AND(LEN($H365)&gt;1,OR(EXACT($H365,UPPER($H365)),EXACT($H365,LOWER($H365))))),"Review capitalization in First Name, Last Name, or City; ","")&amp;IF(AND($N365&lt;&gt;"",NOT(EXACT($N365,LOWER($N365)))),"Email will be standardized to lowercase in the clean output; ","")&amp;IF(AND(OR('START HERE'!$C$8="Initial Enrollment",'START HERE'!$C$8="Open Enrollment"),$R365="Terminated"),"A terminated row is included in an initial or open enrollment file; confirm this is intentional; ",""))</f>
        <v/>
      </c>
      <c r="AE365">
        <f>IF(COUNTA($A365:$U365)=0,"",IF(OR($A365="",AND($A365&lt;&gt;"",NOT(IFERROR(AND(LEN($A365&amp;"")=9,ISNUMBER(--($A365&amp;""))),FALSE))),AND($A365&lt;&gt;"",OR($A365="123456789",$A365="987654321",$A365="012345678",$A365=REPT(LEFT($A365&amp;"",1),9)))),"Employee SSN, ","")&amp;IF(OR(AND($O365&lt;&gt;"",$B365=""),AND($B365&lt;&gt;"",OR(NOT(IFERROR(AND(LEN($B365&amp;"")=9,ISNUMBER(--($B365&amp;""))),FALSE)),$B365=$A365,$B365="123456789",$B365="987654321",$B365="012345678",$B365=REPT(LEFT($B365&amp;"",1),9)))),"Dependent SSN, ","")&amp;IF(OR($C365="",LEN($C365)&gt;19,AND($C365&lt;&gt;"",SUMPRODUCT(--(ROW($1:$19)&lt;=LEN($C365&amp;"")),--ISERROR(FIND(MID($C365&amp;"",ROW($1:$19),1),"ABCDEFGHIJKLMNOPQRSTUVWXYZabcdefghijklmnopqrstuvwxyz .,")))&gt;0)),"First Name, ","")&amp;IF(OR($D365="",LEN($D365)&gt;26,AND($D365&lt;&gt;"",SUMPRODUCT(--(ROW($1:$26)&lt;=LEN($D365&amp;"")),--ISERROR(FIND(MID($D365&amp;"",ROW($1:$26),1),"ABCDEFGHIJKLMNOPQRSTUVWXYZabcdefghijklmnopqrstuvwxyz .,")))&gt;0)),"Last Name, ","")&amp;IF(OR(LEN($E365)&gt;1,AND($E365&lt;&gt;"",SUMPRODUCT(--(ROW($1:$1)&lt;=LEN($E365&amp;"")),--ISERROR(FIND(MID($E365&amp;"",ROW($1:$1),1),"ABCDEFGHIJKLMNOPQRSTUVWXYZabcdefghijklmnopqrstuvwxyz .,")))&gt;0)),"Middle Initial, ","")&amp;IF(OR($F365="",LEN($F365)&gt;75),"Address, ","")&amp;IF(OR($H365="",LEN($H365)&gt;30),"City, ","")&amp;IF(AND($K365="US",OR($I365="",LEN($I365)&lt;&gt;2)),"State, ","")&amp;IF($J365="","ZIP, ","")&amp;IF(OR($K365="",AND($K365&lt;&gt;"US",$K365&lt;&gt;"CA")),"Country, ","")&amp;IF(OR($L365="",AND($L365&lt;&gt;"",OR(NOT(ISNUMBER($L365)),$L365&lt;=DATE(1900,1,1),$L365&gt;TODAY()))),"Birthdate, ","")&amp;IF(AND($N365&lt;&gt;"",NOT(IFERROR(AND(ISNUMBER(SEARCH("@",$N365)),ISNUMBER(SEARCH(".",$N365,SEARCH("@",$N365)+2))),FALSE))),"Email, ","")&amp;IF(OR(AND($B365&lt;&gt;"",$O365=""),AND($O365&lt;&gt;"",$O365&lt;&gt;"Spouse or Common Law Spouse",$O365&lt;&gt;"Domestic Partner",$O365&lt;&gt;"Child",$O365&lt;&gt;"Other",$O365&lt;&gt;"Estate",$O365&lt;&gt;"Unknown")),"Dependent Relationship, ","")&amp;IF($AA365&lt;&gt;"","Household, ","")&amp;IF(OR($P365="",AND($P365&lt;&gt;"",OR(NOT(ISNUMBER($P365)),$P365&lt;=DATE(1900,1,1)))),"Eligibility Date, ","")&amp;IF(OR(AND($R365="Terminated",$Q365=""),AND($Q365&lt;&gt;"",OR(NOT(ISNUMBER($Q365)),$Q365&lt;=DATE(1900,1,1))),AND(ISNUMBER($P365),ISNUMBER($Q365),$Q365&lt;$P365)),"Termination Date, ","")&amp;IF(OR($R365="",AND($R365&lt;&gt;"Active",$R365&lt;&gt;"Terminated"),AND('START HERE'!$C$8="Terminations Only",$R365&lt;&gt;"Terminated")),"Status, ","")&amp;IF($S365="","Plan Name, ","")&amp;IF($T365="","Coverage Level, ","")&amp;IF(AND($U365&lt;&gt;"",OR(NOT(ISNUMBER($U365)),$U365&lt;0)),"Funding, ","")&amp;IF(AND($A365&lt;&gt;"",$S365&lt;&gt;"",COUNTIFS($A$2:$A$501,$A365,$B$2:$B$501,$B365,$S$2:$S$501,$S365)&gt;1),"Duplicate Row, ",""))</f>
        <v/>
      </c>
      <c r="AF365">
        <f>IF(COUNTA($A365:$U365)=0,"",$Y365&amp;$Z365&amp;$AA365&amp;$AB365&amp;$AC365)</f>
        <v/>
      </c>
      <c r="AG365">
        <f>IF($N365="","",LOWER(TRIM($N365)))</f>
        <v/>
      </c>
      <c r="AH365">
        <f>IF($A365="","",COUNTIFS($A$2:$A$501,$A365,$AI$2:$AI$501,1))</f>
        <v/>
      </c>
      <c r="AI365">
        <f>IF(COUNTA($A365:$U365)=0,"",--($AF365&lt;&gt;""))</f>
        <v/>
      </c>
      <c r="AJ365">
        <f>IF(COUNTA($A365:$U365)=0,"",--($AD365&lt;&gt;""))</f>
        <v/>
      </c>
    </row>
    <row r="366" ht="20" customHeight="1">
      <c r="A366" s="80" t="n"/>
      <c r="B366" s="80" t="n"/>
      <c r="C366" s="81" t="n"/>
      <c r="D366" s="81" t="n"/>
      <c r="E366" s="80" t="n"/>
      <c r="F366" s="81" t="n"/>
      <c r="G366" s="81" t="n"/>
      <c r="H366" s="81" t="n"/>
      <c r="I366" s="80" t="n"/>
      <c r="J366" s="80" t="n"/>
      <c r="K366" s="80" t="n"/>
      <c r="L366" s="82" t="n"/>
      <c r="M366" s="80" t="n"/>
      <c r="N366" s="80" t="n"/>
      <c r="O366" s="80" t="n"/>
      <c r="P366" s="82" t="n"/>
      <c r="Q366" s="82" t="n"/>
      <c r="R366" s="80" t="n"/>
      <c r="S366" s="80" t="n"/>
      <c r="T366" s="80" t="n"/>
      <c r="U366" s="83" t="n"/>
      <c r="V366">
        <f>IF($A366="","",IF($A366=$A365,$V365,IF($V365="",0,1-$V365)))</f>
        <v/>
      </c>
      <c r="W366">
        <f>IF($B366&lt;&gt;"",$B366,$A366)</f>
        <v/>
      </c>
      <c r="X366">
        <f>IF(COUNTA($A366:$U366)=0,"",IF(OR($B366&lt;&gt;"",$O366&lt;&gt;""),"Dependent","Employee"))</f>
        <v/>
      </c>
      <c r="Y366">
        <f>IF(COUNTA($A366:$U366)=0,"",IF($A366="","Employee SSN is required; ","")&amp;IF($C366="","First Name is required; ","")&amp;IF(LEN($C366&amp;"")&gt;19,"First Name exceeds 19 characters; ","")&amp;IF(AND($C366&lt;&gt;"",SUMPRODUCT(--(ROW($1:$19)&lt;=LEN($C366&amp;"")),--ISERROR(FIND(MID($C366&amp;"",ROW($1:$19),1),"ABCDEFGHIJKLMNOPQRSTUVWXYZabcdefghijklmnopqrstuvwxyz .,")))&gt;0),"First Name contains unsupported or encoded characters; use plain A-Z letters only; ","")&amp;IF($D366="","Last Name is required; ","")&amp;IF(LEN($D366&amp;"")&gt;26,"Last Name exceeds 26 characters; ","")&amp;IF(AND($D366&lt;&gt;"",SUMPRODUCT(--(ROW($1:$26)&lt;=LEN($D366&amp;"")),--ISERROR(FIND(MID($D366&amp;"",ROW($1:$26),1),"ABCDEFGHIJKLMNOPQRSTUVWXYZabcdefghijklmnopqrstuvwxyz .,")))&gt;0),"Last Name contains unsupported or encoded characters; use plain A-Z letters only; ","")&amp;IF(LEN($E366&amp;"")&gt;1,"Middle Initial may contain only one character; ","")&amp;IF(AND($E366&lt;&gt;"",SUMPRODUCT(--(ROW($1:$1)&lt;=LEN($E366&amp;"")),--ISERROR(FIND(MID($E366&amp;"",ROW($1:$1),1),"ABCDEFGHIJKLMNOPQRSTUVWXYZabcdefghijklmnopqrstuvwxyz .,")))&gt;0),"Middle Initial must be a plain A-Z letter; ","")&amp;IF($F366="","Address is required; ","")&amp;IF(LEN($F366&amp;"")&gt;75,"Address exceeds 75 characters; ","")&amp;IF(LEN($G366&amp;"")&gt;75,"Address 2 exceeds 75 characters; ","")&amp;IF($H366="","City is required; ","")&amp;IF(LEN($H366&amp;"")&gt;30,"City exceeds 30 characters; ","")&amp;IF($K366="","Country is required; ","")&amp;IF(AND($K366&lt;&gt;"",$K366&lt;&gt;"US",$K366&lt;&gt;"CA"),"Country must be US or CA; ","")&amp;IF(AND($K366="US",OR($I366="",LEN($I366&amp;"")&lt;&gt;2)),"Use a 2-letter state code; ","")&amp;IF($J366="","ZIP or postal code is required; ","")&amp;IF(AND($K366="US",$J366&lt;&gt;"",NOT(IFERROR(OR(AND(LEN($J366&amp;"")=5,ISNUMBER(--($J366&amp;""))),AND(LEN($J366&amp;"")=9,ISNUMBER(--($J366&amp;""))),AND(LEN($J366&amp;"")=10,MID($J366&amp;"",6,1)="-",ISNUMBER(--SUBSTITUTE($J366&amp;"","-","")))),FALSE))),"US ZIP must be 5 or 9 digits, with an optional ZIP+4 hyphen; ","")&amp;IF(AND($N366&lt;&gt;"",NOT(IFERROR(AND(ISNUMBER(SEARCH("@",$N366)),ISNUMBER(SEARCH(".",$N366,SEARCH("@",$N366)+2))),FALSE))),"Email format appears invalid; ","")&amp;IF(AND($O366&lt;&gt;"",$B366=""),"Dependent SSN is required for every dependent; ","")&amp;IF(AND($B366&lt;&gt;"",$O366=""),"Dependent Relationship is required when Dependent SSN is entered; ","")&amp;IF(AND($O366&lt;&gt;"",$O366&lt;&gt;"Spouse or Common Law Spouse",$O366&lt;&gt;"Domestic Partner",$O366&lt;&gt;"Child",$O366&lt;&gt;"Other",$O366&lt;&gt;"Estate",$O366&lt;&gt;"Unknown"),"Dependent Relationship must use one of the approved options; ",""))</f>
        <v/>
      </c>
      <c r="Z366">
        <f>IF(COUNTA($A366:$U366)=0,"",IF(AND($A366&lt;&gt;"",NOT(IFERROR(AND(LEN($A366&amp;"")=9,ISNUMBER(--($A366&amp;""))),FALSE))),"Employee SSN must contain exactly 9 digits; ","")&amp;IF(AND($A366&lt;&gt;"",OR($A366="123456789",$A366="987654321",$A366="012345678",$A366=REPT(LEFT($A366&amp;"",1),9))),"Employee SSN appears to be a placeholder; ","")&amp;IF(AND($B366&lt;&gt;"",NOT(IFERROR(AND(LEN($B366&amp;"")=9,ISNUMBER(--($B366&amp;""))),FALSE))),"Dependent SSN must contain exactly 9 digits; ","")&amp;IF(AND($B366&lt;&gt;"",OR($B366="123456789",$B366="987654321",$B366="012345678",$B366=REPT(LEFT($B366&amp;"",1),9))),"Dependent SSN appears to be a placeholder; ","")&amp;IF(AND($A366&lt;&gt;"",$B366&lt;&gt;"",$A366&amp;""=$B366&amp;""),"Dependent SSN cannot match Employee SSN; ","")&amp;IF(AND($W366&lt;&gt;"",OR(COUNTIFS($W$2:$W$501,$W366,$C$2:$C$501,"&lt;&gt;"&amp;$C366)&gt;0,COUNTIFS($W$2:$W$501,$W366,$D$2:$D$501,"&lt;&gt;"&amp;$D366)&gt;0,COUNTIFS($W$2:$W$501,$W366,$L$2:$L$501,"&lt;&gt;"&amp;$L366)&gt;0)),"The same SSN is associated with a different name or birthdate; ",""))</f>
        <v/>
      </c>
      <c r="AA366">
        <f>IF(COUNTA($A366:$U366)=0,"",IF(AND($A366&lt;&gt;"",$S366&lt;&gt;"",COUNTIFS($A$2:$A$501,$A366,$S$2:$S$501,$S366,$B$2:$B$501,"",$O$2:$O$501,"")=0),"Add an employee row for this household and plan; ","")&amp;IF(AND($X366="Dependent",COUNTIFS($A$2:$A366,$A366,$S$2:$S366,$S366,$B$2:$B366,"",$O$2:$O366,"")=0),"Place the employee row before dependent rows for this plan; ","")&amp;IF(AND($X366="Dependent",COUNTIFS($A$2:$A$501,$A366,$S$2:$S$501,$S366,$B$2:$B$501,"",$O$2:$O$501,"")&gt;0,IFERROR(OR($P366&lt;&gt;LOOKUP(2,1/(($A$2:$A$501=$A366)*($S$2:$S$501=$S366)*($B$2:$B$501="")*($O$2:$O$501="")),$P$2:$P$501),$Q366&lt;&gt;LOOKUP(2,1/(($A$2:$A$501=$A366)*($S$2:$S$501=$S366)*($B$2:$B$501="")*($O$2:$O$501="")),$Q$2:$Q$501),$R366&lt;&gt;LOOKUP(2,1/(($A$2:$A$501=$A366)*($S$2:$S$501=$S366)*($B$2:$B$501="")*($O$2:$O$501="")),$R$2:$R$501),$T366&lt;&gt;LOOKUP(2,1/(($A$2:$A$501=$A366)*($S$2:$S$501=$S366)*($B$2:$B$501="")*($O$2:$O$501="")),$T$2:$T$501),$U366&lt;&gt;LOOKUP(2,1/(($A$2:$A$501=$A366)*($S$2:$S$501=$S366)*($B$2:$B$501="")*($O$2:$O$501="")),$U$2:$U$501)),FALSE)),"Dependent row does not match the employee row for eligibility, status, coverage level, or funding; ",""))</f>
        <v/>
      </c>
      <c r="AB366">
        <f>IF(COUNTA($A366:$U366)=0,"",IF($L366="","Birthdate is required; ","")&amp;IF(AND($L366&lt;&gt;"",OR(NOT(ISNUMBER($L366)),$L366&lt;=DATE(1900,1,1),$L366&gt;TODAY())),"Birthdate must be an exact valid past date; ","")&amp;IF($P366="","Eligibility Date is required; ","")&amp;IF(AND($P366&lt;&gt;"",OR(NOT(ISNUMBER($P366)),$P366&lt;=DATE(1900,1,1))),"Eligibility Date must be a valid date; ","")&amp;IF(AND($R366="Terminated",$Q366=""),"Termination Date is required when Status is Terminated; ","")&amp;IF(AND($Q366&lt;&gt;"",OR(NOT(ISNUMBER($Q366)),$Q366&lt;=DATE(1900,1,1))),"Termination Date must be a valid date; ","")&amp;IF(AND(ISNUMBER($P366),ISNUMBER($Q366),$Q366&lt;$P366),"Termination Date cannot be before Eligibility Date; ","")&amp;IF($R366="","Status is required; ","")&amp;IF(AND($R366&lt;&gt;"",$R366&lt;&gt;"Active",$R366&lt;&gt;"Terminated"),"Status must be Active or Terminated; ","")&amp;IF(AND('START HERE'!$C$8="Terminations Only",$R366&lt;&gt;"Terminated"),"Terminations Only files must contain terminated records; ",""))</f>
        <v/>
      </c>
      <c r="AC366">
        <f>IF(COUNTA($A366:$U366)=0,"",IF($S366="","Plan Name is required; ","")&amp;IF($T366="","Benefit Coverage Level is required; ","")&amp;IF(AND($U366&lt;&gt;"",OR(NOT(ISNUMBER($U366)),$U366&lt;0)),"Plan Funding Amount must be a nonnegative number; ","")&amp;IF(AND($A366&lt;&gt;"",$S366&lt;&gt;"",COUNTIFS($A$2:$A$501,$A366,$B$2:$B$501,$B366,$S$2:$S$501,$S366)&gt;1),"Duplicate participant and plan row; ",""))</f>
        <v/>
      </c>
      <c r="AD366">
        <f>IF(COUNTA($A366:$U366)=0,"",IF(AND($X366="Employee",$M366="",$N366=""),"No employee phone or email provided; ","")&amp;IF(AND($R366="Active",$Q366&lt;&gt;""),"Active record includes a Termination Date; confirm this is intentional; ","")&amp;IF(AND($B366&lt;&gt;"",$B366&amp;""&lt;&gt;$A366&amp;"",COUNTIF($A$2:$A$501,$B366)&gt;0),"Dependent SSN also appears as an Employee SSN elsewhere; confirm dual-employee coverage is intentional; ","")&amp;IF(AND($B366&lt;&gt;"",COUNTIF($B$2:$B$501,$B366)&gt;COUNTIFS($A$2:$A$501,$A366,$B$2:$B$501,$B366)),"Dependent SSN appears under more than one employee; confirm duplicate family coverage is intentional; ","")&amp;IF(AND(ROW()&gt;2,$A366&lt;&gt;"",$A366&lt;&gt;$A365,COUNTIF($A$2:$A365,$A366)&gt;0),"This household appears in more than one section of the census; keep the family together; ","")&amp;IF(OR(AND($C366&lt;&gt;"",LEN($C366&amp;"")&lt;&gt;LEN(TRIM($C366&amp;""))),AND($D366&lt;&gt;"",LEN($D366&amp;"")&lt;&gt;LEN(TRIM($D366&amp;""))),AND($E366&lt;&gt;"",LEN($E366&amp;"")&lt;&gt;LEN(TRIM($E366&amp;""))),AND($F366&lt;&gt;"",LEN($F366&amp;"")&lt;&gt;LEN(TRIM($F366&amp;""))),AND($G366&lt;&gt;"",LEN($G366&amp;"")&lt;&gt;LEN(TRIM($G366&amp;""))),AND($H366&lt;&gt;"",LEN($H366&amp;"")&lt;&gt;LEN(TRIM($H366&amp;""))),AND($I366&lt;&gt;"",LEN($I366&amp;"")&lt;&gt;LEN(TRIM($I366&amp;""))),AND($J366&lt;&gt;"",LEN($J366&amp;"")&lt;&gt;LEN(TRIM($J366&amp;""))),AND($K366&lt;&gt;"",LEN($K366&amp;"")&lt;&gt;LEN(TRIM($K366&amp;""))),AND($M366&lt;&gt;"",LEN($M366&amp;"")&lt;&gt;LEN(TRIM($M366&amp;""))),AND($N366&lt;&gt;"",LEN($N366&amp;"")&lt;&gt;LEN(TRIM($N366&amp;""))),AND($O366&lt;&gt;"",LEN($O366&amp;"")&lt;&gt;LEN(TRIM($O366&amp;""))),AND($R366&lt;&gt;"",LEN($R366&amp;"")&lt;&gt;LEN(TRIM($R366&amp;""))),AND($S366&lt;&gt;"",LEN($S366&amp;"")&lt;&gt;LEN(TRIM($S366&amp;""))),AND($T366&lt;&gt;"",LEN($T366&amp;"")&lt;&gt;LEN(TRIM($T366&amp;"")))),"Remove leading or trailing spaces from text fields; ","")&amp;IF(OR(AND(LEN($C366)&gt;1,OR(EXACT($C366,UPPER($C366)),EXACT($C366,LOWER($C366)))),AND(LEN($D366)&gt;1,OR(EXACT($D366,UPPER($D366)),EXACT($D366,LOWER($D366)))),AND(LEN($H366)&gt;1,OR(EXACT($H366,UPPER($H366)),EXACT($H366,LOWER($H366))))),"Review capitalization in First Name, Last Name, or City; ","")&amp;IF(AND($N366&lt;&gt;"",NOT(EXACT($N366,LOWER($N366)))),"Email will be standardized to lowercase in the clean output; ","")&amp;IF(AND(OR('START HERE'!$C$8="Initial Enrollment",'START HERE'!$C$8="Open Enrollment"),$R366="Terminated"),"A terminated row is included in an initial or open enrollment file; confirm this is intentional; ",""))</f>
        <v/>
      </c>
      <c r="AE366">
        <f>IF(COUNTA($A366:$U366)=0,"",IF(OR($A366="",AND($A366&lt;&gt;"",NOT(IFERROR(AND(LEN($A366&amp;"")=9,ISNUMBER(--($A366&amp;""))),FALSE))),AND($A366&lt;&gt;"",OR($A366="123456789",$A366="987654321",$A366="012345678",$A366=REPT(LEFT($A366&amp;"",1),9)))),"Employee SSN, ","")&amp;IF(OR(AND($O366&lt;&gt;"",$B366=""),AND($B366&lt;&gt;"",OR(NOT(IFERROR(AND(LEN($B366&amp;"")=9,ISNUMBER(--($B366&amp;""))),FALSE)),$B366=$A366,$B366="123456789",$B366="987654321",$B366="012345678",$B366=REPT(LEFT($B366&amp;"",1),9)))),"Dependent SSN, ","")&amp;IF(OR($C366="",LEN($C366)&gt;19,AND($C366&lt;&gt;"",SUMPRODUCT(--(ROW($1:$19)&lt;=LEN($C366&amp;"")),--ISERROR(FIND(MID($C366&amp;"",ROW($1:$19),1),"ABCDEFGHIJKLMNOPQRSTUVWXYZabcdefghijklmnopqrstuvwxyz .,")))&gt;0)),"First Name, ","")&amp;IF(OR($D366="",LEN($D366)&gt;26,AND($D366&lt;&gt;"",SUMPRODUCT(--(ROW($1:$26)&lt;=LEN($D366&amp;"")),--ISERROR(FIND(MID($D366&amp;"",ROW($1:$26),1),"ABCDEFGHIJKLMNOPQRSTUVWXYZabcdefghijklmnopqrstuvwxyz .,")))&gt;0)),"Last Name, ","")&amp;IF(OR(LEN($E366)&gt;1,AND($E366&lt;&gt;"",SUMPRODUCT(--(ROW($1:$1)&lt;=LEN($E366&amp;"")),--ISERROR(FIND(MID($E366&amp;"",ROW($1:$1),1),"ABCDEFGHIJKLMNOPQRSTUVWXYZabcdefghijklmnopqrstuvwxyz .,")))&gt;0)),"Middle Initial, ","")&amp;IF(OR($F366="",LEN($F366)&gt;75),"Address, ","")&amp;IF(OR($H366="",LEN($H366)&gt;30),"City, ","")&amp;IF(AND($K366="US",OR($I366="",LEN($I366)&lt;&gt;2)),"State, ","")&amp;IF($J366="","ZIP, ","")&amp;IF(OR($K366="",AND($K366&lt;&gt;"US",$K366&lt;&gt;"CA")),"Country, ","")&amp;IF(OR($L366="",AND($L366&lt;&gt;"",OR(NOT(ISNUMBER($L366)),$L366&lt;=DATE(1900,1,1),$L366&gt;TODAY()))),"Birthdate, ","")&amp;IF(AND($N366&lt;&gt;"",NOT(IFERROR(AND(ISNUMBER(SEARCH("@",$N366)),ISNUMBER(SEARCH(".",$N366,SEARCH("@",$N366)+2))),FALSE))),"Email, ","")&amp;IF(OR(AND($B366&lt;&gt;"",$O366=""),AND($O366&lt;&gt;"",$O366&lt;&gt;"Spouse or Common Law Spouse",$O366&lt;&gt;"Domestic Partner",$O366&lt;&gt;"Child",$O366&lt;&gt;"Other",$O366&lt;&gt;"Estate",$O366&lt;&gt;"Unknown")),"Dependent Relationship, ","")&amp;IF($AA366&lt;&gt;"","Household, ","")&amp;IF(OR($P366="",AND($P366&lt;&gt;"",OR(NOT(ISNUMBER($P366)),$P366&lt;=DATE(1900,1,1)))),"Eligibility Date, ","")&amp;IF(OR(AND($R366="Terminated",$Q366=""),AND($Q366&lt;&gt;"",OR(NOT(ISNUMBER($Q366)),$Q366&lt;=DATE(1900,1,1))),AND(ISNUMBER($P366),ISNUMBER($Q366),$Q366&lt;$P366)),"Termination Date, ","")&amp;IF(OR($R366="",AND($R366&lt;&gt;"Active",$R366&lt;&gt;"Terminated"),AND('START HERE'!$C$8="Terminations Only",$R366&lt;&gt;"Terminated")),"Status, ","")&amp;IF($S366="","Plan Name, ","")&amp;IF($T366="","Coverage Level, ","")&amp;IF(AND($U366&lt;&gt;"",OR(NOT(ISNUMBER($U366)),$U366&lt;0)),"Funding, ","")&amp;IF(AND($A366&lt;&gt;"",$S366&lt;&gt;"",COUNTIFS($A$2:$A$501,$A366,$B$2:$B$501,$B366,$S$2:$S$501,$S366)&gt;1),"Duplicate Row, ",""))</f>
        <v/>
      </c>
      <c r="AF366">
        <f>IF(COUNTA($A366:$U366)=0,"",$Y366&amp;$Z366&amp;$AA366&amp;$AB366&amp;$AC366)</f>
        <v/>
      </c>
      <c r="AG366">
        <f>IF($N366="","",LOWER(TRIM($N366)))</f>
        <v/>
      </c>
      <c r="AH366">
        <f>IF($A366="","",COUNTIFS($A$2:$A$501,$A366,$AI$2:$AI$501,1))</f>
        <v/>
      </c>
      <c r="AI366">
        <f>IF(COUNTA($A366:$U366)=0,"",--($AF366&lt;&gt;""))</f>
        <v/>
      </c>
      <c r="AJ366">
        <f>IF(COUNTA($A366:$U366)=0,"",--($AD366&lt;&gt;""))</f>
        <v/>
      </c>
    </row>
    <row r="367" ht="20" customHeight="1">
      <c r="A367" s="80" t="n"/>
      <c r="B367" s="80" t="n"/>
      <c r="C367" s="81" t="n"/>
      <c r="D367" s="81" t="n"/>
      <c r="E367" s="80" t="n"/>
      <c r="F367" s="81" t="n"/>
      <c r="G367" s="81" t="n"/>
      <c r="H367" s="81" t="n"/>
      <c r="I367" s="80" t="n"/>
      <c r="J367" s="80" t="n"/>
      <c r="K367" s="80" t="n"/>
      <c r="L367" s="82" t="n"/>
      <c r="M367" s="80" t="n"/>
      <c r="N367" s="80" t="n"/>
      <c r="O367" s="80" t="n"/>
      <c r="P367" s="82" t="n"/>
      <c r="Q367" s="82" t="n"/>
      <c r="R367" s="80" t="n"/>
      <c r="S367" s="80" t="n"/>
      <c r="T367" s="80" t="n"/>
      <c r="U367" s="83" t="n"/>
      <c r="V367">
        <f>IF($A367="","",IF($A367=$A366,$V366,IF($V366="",0,1-$V366)))</f>
        <v/>
      </c>
      <c r="W367">
        <f>IF($B367&lt;&gt;"",$B367,$A367)</f>
        <v/>
      </c>
      <c r="X367">
        <f>IF(COUNTA($A367:$U367)=0,"",IF(OR($B367&lt;&gt;"",$O367&lt;&gt;""),"Dependent","Employee"))</f>
        <v/>
      </c>
      <c r="Y367">
        <f>IF(COUNTA($A367:$U367)=0,"",IF($A367="","Employee SSN is required; ","")&amp;IF($C367="","First Name is required; ","")&amp;IF(LEN($C367&amp;"")&gt;19,"First Name exceeds 19 characters; ","")&amp;IF(AND($C367&lt;&gt;"",SUMPRODUCT(--(ROW($1:$19)&lt;=LEN($C367&amp;"")),--ISERROR(FIND(MID($C367&amp;"",ROW($1:$19),1),"ABCDEFGHIJKLMNOPQRSTUVWXYZabcdefghijklmnopqrstuvwxyz .,")))&gt;0),"First Name contains unsupported or encoded characters; use plain A-Z letters only; ","")&amp;IF($D367="","Last Name is required; ","")&amp;IF(LEN($D367&amp;"")&gt;26,"Last Name exceeds 26 characters; ","")&amp;IF(AND($D367&lt;&gt;"",SUMPRODUCT(--(ROW($1:$26)&lt;=LEN($D367&amp;"")),--ISERROR(FIND(MID($D367&amp;"",ROW($1:$26),1),"ABCDEFGHIJKLMNOPQRSTUVWXYZabcdefghijklmnopqrstuvwxyz .,")))&gt;0),"Last Name contains unsupported or encoded characters; use plain A-Z letters only; ","")&amp;IF(LEN($E367&amp;"")&gt;1,"Middle Initial may contain only one character; ","")&amp;IF(AND($E367&lt;&gt;"",SUMPRODUCT(--(ROW($1:$1)&lt;=LEN($E367&amp;"")),--ISERROR(FIND(MID($E367&amp;"",ROW($1:$1),1),"ABCDEFGHIJKLMNOPQRSTUVWXYZabcdefghijklmnopqrstuvwxyz .,")))&gt;0),"Middle Initial must be a plain A-Z letter; ","")&amp;IF($F367="","Address is required; ","")&amp;IF(LEN($F367&amp;"")&gt;75,"Address exceeds 75 characters; ","")&amp;IF(LEN($G367&amp;"")&gt;75,"Address 2 exceeds 75 characters; ","")&amp;IF($H367="","City is required; ","")&amp;IF(LEN($H367&amp;"")&gt;30,"City exceeds 30 characters; ","")&amp;IF($K367="","Country is required; ","")&amp;IF(AND($K367&lt;&gt;"",$K367&lt;&gt;"US",$K367&lt;&gt;"CA"),"Country must be US or CA; ","")&amp;IF(AND($K367="US",OR($I367="",LEN($I367&amp;"")&lt;&gt;2)),"Use a 2-letter state code; ","")&amp;IF($J367="","ZIP or postal code is required; ","")&amp;IF(AND($K367="US",$J367&lt;&gt;"",NOT(IFERROR(OR(AND(LEN($J367&amp;"")=5,ISNUMBER(--($J367&amp;""))),AND(LEN($J367&amp;"")=9,ISNUMBER(--($J367&amp;""))),AND(LEN($J367&amp;"")=10,MID($J367&amp;"",6,1)="-",ISNUMBER(--SUBSTITUTE($J367&amp;"","-","")))),FALSE))),"US ZIP must be 5 or 9 digits, with an optional ZIP+4 hyphen; ","")&amp;IF(AND($N367&lt;&gt;"",NOT(IFERROR(AND(ISNUMBER(SEARCH("@",$N367)),ISNUMBER(SEARCH(".",$N367,SEARCH("@",$N367)+2))),FALSE))),"Email format appears invalid; ","")&amp;IF(AND($O367&lt;&gt;"",$B367=""),"Dependent SSN is required for every dependent; ","")&amp;IF(AND($B367&lt;&gt;"",$O367=""),"Dependent Relationship is required when Dependent SSN is entered; ","")&amp;IF(AND($O367&lt;&gt;"",$O367&lt;&gt;"Spouse or Common Law Spouse",$O367&lt;&gt;"Domestic Partner",$O367&lt;&gt;"Child",$O367&lt;&gt;"Other",$O367&lt;&gt;"Estate",$O367&lt;&gt;"Unknown"),"Dependent Relationship must use one of the approved options; ",""))</f>
        <v/>
      </c>
      <c r="Z367">
        <f>IF(COUNTA($A367:$U367)=0,"",IF(AND($A367&lt;&gt;"",NOT(IFERROR(AND(LEN($A367&amp;"")=9,ISNUMBER(--($A367&amp;""))),FALSE))),"Employee SSN must contain exactly 9 digits; ","")&amp;IF(AND($A367&lt;&gt;"",OR($A367="123456789",$A367="987654321",$A367="012345678",$A367=REPT(LEFT($A367&amp;"",1),9))),"Employee SSN appears to be a placeholder; ","")&amp;IF(AND($B367&lt;&gt;"",NOT(IFERROR(AND(LEN($B367&amp;"")=9,ISNUMBER(--($B367&amp;""))),FALSE))),"Dependent SSN must contain exactly 9 digits; ","")&amp;IF(AND($B367&lt;&gt;"",OR($B367="123456789",$B367="987654321",$B367="012345678",$B367=REPT(LEFT($B367&amp;"",1),9))),"Dependent SSN appears to be a placeholder; ","")&amp;IF(AND($A367&lt;&gt;"",$B367&lt;&gt;"",$A367&amp;""=$B367&amp;""),"Dependent SSN cannot match Employee SSN; ","")&amp;IF(AND($W367&lt;&gt;"",OR(COUNTIFS($W$2:$W$501,$W367,$C$2:$C$501,"&lt;&gt;"&amp;$C367)&gt;0,COUNTIFS($W$2:$W$501,$W367,$D$2:$D$501,"&lt;&gt;"&amp;$D367)&gt;0,COUNTIFS($W$2:$W$501,$W367,$L$2:$L$501,"&lt;&gt;"&amp;$L367)&gt;0)),"The same SSN is associated with a different name or birthdate; ",""))</f>
        <v/>
      </c>
      <c r="AA367">
        <f>IF(COUNTA($A367:$U367)=0,"",IF(AND($A367&lt;&gt;"",$S367&lt;&gt;"",COUNTIFS($A$2:$A$501,$A367,$S$2:$S$501,$S367,$B$2:$B$501,"",$O$2:$O$501,"")=0),"Add an employee row for this household and plan; ","")&amp;IF(AND($X367="Dependent",COUNTIFS($A$2:$A367,$A367,$S$2:$S367,$S367,$B$2:$B367,"",$O$2:$O367,"")=0),"Place the employee row before dependent rows for this plan; ","")&amp;IF(AND($X367="Dependent",COUNTIFS($A$2:$A$501,$A367,$S$2:$S$501,$S367,$B$2:$B$501,"",$O$2:$O$501,"")&gt;0,IFERROR(OR($P367&lt;&gt;LOOKUP(2,1/(($A$2:$A$501=$A367)*($S$2:$S$501=$S367)*($B$2:$B$501="")*($O$2:$O$501="")),$P$2:$P$501),$Q367&lt;&gt;LOOKUP(2,1/(($A$2:$A$501=$A367)*($S$2:$S$501=$S367)*($B$2:$B$501="")*($O$2:$O$501="")),$Q$2:$Q$501),$R367&lt;&gt;LOOKUP(2,1/(($A$2:$A$501=$A367)*($S$2:$S$501=$S367)*($B$2:$B$501="")*($O$2:$O$501="")),$R$2:$R$501),$T367&lt;&gt;LOOKUP(2,1/(($A$2:$A$501=$A367)*($S$2:$S$501=$S367)*($B$2:$B$501="")*($O$2:$O$501="")),$T$2:$T$501),$U367&lt;&gt;LOOKUP(2,1/(($A$2:$A$501=$A367)*($S$2:$S$501=$S367)*($B$2:$B$501="")*($O$2:$O$501="")),$U$2:$U$501)),FALSE)),"Dependent row does not match the employee row for eligibility, status, coverage level, or funding; ",""))</f>
        <v/>
      </c>
      <c r="AB367">
        <f>IF(COUNTA($A367:$U367)=0,"",IF($L367="","Birthdate is required; ","")&amp;IF(AND($L367&lt;&gt;"",OR(NOT(ISNUMBER($L367)),$L367&lt;=DATE(1900,1,1),$L367&gt;TODAY())),"Birthdate must be an exact valid past date; ","")&amp;IF($P367="","Eligibility Date is required; ","")&amp;IF(AND($P367&lt;&gt;"",OR(NOT(ISNUMBER($P367)),$P367&lt;=DATE(1900,1,1))),"Eligibility Date must be a valid date; ","")&amp;IF(AND($R367="Terminated",$Q367=""),"Termination Date is required when Status is Terminated; ","")&amp;IF(AND($Q367&lt;&gt;"",OR(NOT(ISNUMBER($Q367)),$Q367&lt;=DATE(1900,1,1))),"Termination Date must be a valid date; ","")&amp;IF(AND(ISNUMBER($P367),ISNUMBER($Q367),$Q367&lt;$P367),"Termination Date cannot be before Eligibility Date; ","")&amp;IF($R367="","Status is required; ","")&amp;IF(AND($R367&lt;&gt;"",$R367&lt;&gt;"Active",$R367&lt;&gt;"Terminated"),"Status must be Active or Terminated; ","")&amp;IF(AND('START HERE'!$C$8="Terminations Only",$R367&lt;&gt;"Terminated"),"Terminations Only files must contain terminated records; ",""))</f>
        <v/>
      </c>
      <c r="AC367">
        <f>IF(COUNTA($A367:$U367)=0,"",IF($S367="","Plan Name is required; ","")&amp;IF($T367="","Benefit Coverage Level is required; ","")&amp;IF(AND($U367&lt;&gt;"",OR(NOT(ISNUMBER($U367)),$U367&lt;0)),"Plan Funding Amount must be a nonnegative number; ","")&amp;IF(AND($A367&lt;&gt;"",$S367&lt;&gt;"",COUNTIFS($A$2:$A$501,$A367,$B$2:$B$501,$B367,$S$2:$S$501,$S367)&gt;1),"Duplicate participant and plan row; ",""))</f>
        <v/>
      </c>
      <c r="AD367">
        <f>IF(COUNTA($A367:$U367)=0,"",IF(AND($X367="Employee",$M367="",$N367=""),"No employee phone or email provided; ","")&amp;IF(AND($R367="Active",$Q367&lt;&gt;""),"Active record includes a Termination Date; confirm this is intentional; ","")&amp;IF(AND($B367&lt;&gt;"",$B367&amp;""&lt;&gt;$A367&amp;"",COUNTIF($A$2:$A$501,$B367)&gt;0),"Dependent SSN also appears as an Employee SSN elsewhere; confirm dual-employee coverage is intentional; ","")&amp;IF(AND($B367&lt;&gt;"",COUNTIF($B$2:$B$501,$B367)&gt;COUNTIFS($A$2:$A$501,$A367,$B$2:$B$501,$B367)),"Dependent SSN appears under more than one employee; confirm duplicate family coverage is intentional; ","")&amp;IF(AND(ROW()&gt;2,$A367&lt;&gt;"",$A367&lt;&gt;$A366,COUNTIF($A$2:$A366,$A367)&gt;0),"This household appears in more than one section of the census; keep the family together; ","")&amp;IF(OR(AND($C367&lt;&gt;"",LEN($C367&amp;"")&lt;&gt;LEN(TRIM($C367&amp;""))),AND($D367&lt;&gt;"",LEN($D367&amp;"")&lt;&gt;LEN(TRIM($D367&amp;""))),AND($E367&lt;&gt;"",LEN($E367&amp;"")&lt;&gt;LEN(TRIM($E367&amp;""))),AND($F367&lt;&gt;"",LEN($F367&amp;"")&lt;&gt;LEN(TRIM($F367&amp;""))),AND($G367&lt;&gt;"",LEN($G367&amp;"")&lt;&gt;LEN(TRIM($G367&amp;""))),AND($H367&lt;&gt;"",LEN($H367&amp;"")&lt;&gt;LEN(TRIM($H367&amp;""))),AND($I367&lt;&gt;"",LEN($I367&amp;"")&lt;&gt;LEN(TRIM($I367&amp;""))),AND($J367&lt;&gt;"",LEN($J367&amp;"")&lt;&gt;LEN(TRIM($J367&amp;""))),AND($K367&lt;&gt;"",LEN($K367&amp;"")&lt;&gt;LEN(TRIM($K367&amp;""))),AND($M367&lt;&gt;"",LEN($M367&amp;"")&lt;&gt;LEN(TRIM($M367&amp;""))),AND($N367&lt;&gt;"",LEN($N367&amp;"")&lt;&gt;LEN(TRIM($N367&amp;""))),AND($O367&lt;&gt;"",LEN($O367&amp;"")&lt;&gt;LEN(TRIM($O367&amp;""))),AND($R367&lt;&gt;"",LEN($R367&amp;"")&lt;&gt;LEN(TRIM($R367&amp;""))),AND($S367&lt;&gt;"",LEN($S367&amp;"")&lt;&gt;LEN(TRIM($S367&amp;""))),AND($T367&lt;&gt;"",LEN($T367&amp;"")&lt;&gt;LEN(TRIM($T367&amp;"")))),"Remove leading or trailing spaces from text fields; ","")&amp;IF(OR(AND(LEN($C367)&gt;1,OR(EXACT($C367,UPPER($C367)),EXACT($C367,LOWER($C367)))),AND(LEN($D367)&gt;1,OR(EXACT($D367,UPPER($D367)),EXACT($D367,LOWER($D367)))),AND(LEN($H367)&gt;1,OR(EXACT($H367,UPPER($H367)),EXACT($H367,LOWER($H367))))),"Review capitalization in First Name, Last Name, or City; ","")&amp;IF(AND($N367&lt;&gt;"",NOT(EXACT($N367,LOWER($N367)))),"Email will be standardized to lowercase in the clean output; ","")&amp;IF(AND(OR('START HERE'!$C$8="Initial Enrollment",'START HERE'!$C$8="Open Enrollment"),$R367="Terminated"),"A terminated row is included in an initial or open enrollment file; confirm this is intentional; ",""))</f>
        <v/>
      </c>
      <c r="AE367">
        <f>IF(COUNTA($A367:$U367)=0,"",IF(OR($A367="",AND($A367&lt;&gt;"",NOT(IFERROR(AND(LEN($A367&amp;"")=9,ISNUMBER(--($A367&amp;""))),FALSE))),AND($A367&lt;&gt;"",OR($A367="123456789",$A367="987654321",$A367="012345678",$A367=REPT(LEFT($A367&amp;"",1),9)))),"Employee SSN, ","")&amp;IF(OR(AND($O367&lt;&gt;"",$B367=""),AND($B367&lt;&gt;"",OR(NOT(IFERROR(AND(LEN($B367&amp;"")=9,ISNUMBER(--($B367&amp;""))),FALSE)),$B367=$A367,$B367="123456789",$B367="987654321",$B367="012345678",$B367=REPT(LEFT($B367&amp;"",1),9)))),"Dependent SSN, ","")&amp;IF(OR($C367="",LEN($C367)&gt;19,AND($C367&lt;&gt;"",SUMPRODUCT(--(ROW($1:$19)&lt;=LEN($C367&amp;"")),--ISERROR(FIND(MID($C367&amp;"",ROW($1:$19),1),"ABCDEFGHIJKLMNOPQRSTUVWXYZabcdefghijklmnopqrstuvwxyz .,")))&gt;0)),"First Name, ","")&amp;IF(OR($D367="",LEN($D367)&gt;26,AND($D367&lt;&gt;"",SUMPRODUCT(--(ROW($1:$26)&lt;=LEN($D367&amp;"")),--ISERROR(FIND(MID($D367&amp;"",ROW($1:$26),1),"ABCDEFGHIJKLMNOPQRSTUVWXYZabcdefghijklmnopqrstuvwxyz .,")))&gt;0)),"Last Name, ","")&amp;IF(OR(LEN($E367)&gt;1,AND($E367&lt;&gt;"",SUMPRODUCT(--(ROW($1:$1)&lt;=LEN($E367&amp;"")),--ISERROR(FIND(MID($E367&amp;"",ROW($1:$1),1),"ABCDEFGHIJKLMNOPQRSTUVWXYZabcdefghijklmnopqrstuvwxyz .,")))&gt;0)),"Middle Initial, ","")&amp;IF(OR($F367="",LEN($F367)&gt;75),"Address, ","")&amp;IF(OR($H367="",LEN($H367)&gt;30),"City, ","")&amp;IF(AND($K367="US",OR($I367="",LEN($I367)&lt;&gt;2)),"State, ","")&amp;IF($J367="","ZIP, ","")&amp;IF(OR($K367="",AND($K367&lt;&gt;"US",$K367&lt;&gt;"CA")),"Country, ","")&amp;IF(OR($L367="",AND($L367&lt;&gt;"",OR(NOT(ISNUMBER($L367)),$L367&lt;=DATE(1900,1,1),$L367&gt;TODAY()))),"Birthdate, ","")&amp;IF(AND($N367&lt;&gt;"",NOT(IFERROR(AND(ISNUMBER(SEARCH("@",$N367)),ISNUMBER(SEARCH(".",$N367,SEARCH("@",$N367)+2))),FALSE))),"Email, ","")&amp;IF(OR(AND($B367&lt;&gt;"",$O367=""),AND($O367&lt;&gt;"",$O367&lt;&gt;"Spouse or Common Law Spouse",$O367&lt;&gt;"Domestic Partner",$O367&lt;&gt;"Child",$O367&lt;&gt;"Other",$O367&lt;&gt;"Estate",$O367&lt;&gt;"Unknown")),"Dependent Relationship, ","")&amp;IF($AA367&lt;&gt;"","Household, ","")&amp;IF(OR($P367="",AND($P367&lt;&gt;"",OR(NOT(ISNUMBER($P367)),$P367&lt;=DATE(1900,1,1)))),"Eligibility Date, ","")&amp;IF(OR(AND($R367="Terminated",$Q367=""),AND($Q367&lt;&gt;"",OR(NOT(ISNUMBER($Q367)),$Q367&lt;=DATE(1900,1,1))),AND(ISNUMBER($P367),ISNUMBER($Q367),$Q367&lt;$P367)),"Termination Date, ","")&amp;IF(OR($R367="",AND($R367&lt;&gt;"Active",$R367&lt;&gt;"Terminated"),AND('START HERE'!$C$8="Terminations Only",$R367&lt;&gt;"Terminated")),"Status, ","")&amp;IF($S367="","Plan Name, ","")&amp;IF($T367="","Coverage Level, ","")&amp;IF(AND($U367&lt;&gt;"",OR(NOT(ISNUMBER($U367)),$U367&lt;0)),"Funding, ","")&amp;IF(AND($A367&lt;&gt;"",$S367&lt;&gt;"",COUNTIFS($A$2:$A$501,$A367,$B$2:$B$501,$B367,$S$2:$S$501,$S367)&gt;1),"Duplicate Row, ",""))</f>
        <v/>
      </c>
      <c r="AF367">
        <f>IF(COUNTA($A367:$U367)=0,"",$Y367&amp;$Z367&amp;$AA367&amp;$AB367&amp;$AC367)</f>
        <v/>
      </c>
      <c r="AG367">
        <f>IF($N367="","",LOWER(TRIM($N367)))</f>
        <v/>
      </c>
      <c r="AH367">
        <f>IF($A367="","",COUNTIFS($A$2:$A$501,$A367,$AI$2:$AI$501,1))</f>
        <v/>
      </c>
      <c r="AI367">
        <f>IF(COUNTA($A367:$U367)=0,"",--($AF367&lt;&gt;""))</f>
        <v/>
      </c>
      <c r="AJ367">
        <f>IF(COUNTA($A367:$U367)=0,"",--($AD367&lt;&gt;""))</f>
        <v/>
      </c>
    </row>
    <row r="368" ht="20" customHeight="1">
      <c r="A368" s="80" t="n"/>
      <c r="B368" s="80" t="n"/>
      <c r="C368" s="81" t="n"/>
      <c r="D368" s="81" t="n"/>
      <c r="E368" s="80" t="n"/>
      <c r="F368" s="81" t="n"/>
      <c r="G368" s="81" t="n"/>
      <c r="H368" s="81" t="n"/>
      <c r="I368" s="80" t="n"/>
      <c r="J368" s="80" t="n"/>
      <c r="K368" s="80" t="n"/>
      <c r="L368" s="82" t="n"/>
      <c r="M368" s="80" t="n"/>
      <c r="N368" s="80" t="n"/>
      <c r="O368" s="80" t="n"/>
      <c r="P368" s="82" t="n"/>
      <c r="Q368" s="82" t="n"/>
      <c r="R368" s="80" t="n"/>
      <c r="S368" s="80" t="n"/>
      <c r="T368" s="80" t="n"/>
      <c r="U368" s="83" t="n"/>
      <c r="V368">
        <f>IF($A368="","",IF($A368=$A367,$V367,IF($V367="",0,1-$V367)))</f>
        <v/>
      </c>
      <c r="W368">
        <f>IF($B368&lt;&gt;"",$B368,$A368)</f>
        <v/>
      </c>
      <c r="X368">
        <f>IF(COUNTA($A368:$U368)=0,"",IF(OR($B368&lt;&gt;"",$O368&lt;&gt;""),"Dependent","Employee"))</f>
        <v/>
      </c>
      <c r="Y368">
        <f>IF(COUNTA($A368:$U368)=0,"",IF($A368="","Employee SSN is required; ","")&amp;IF($C368="","First Name is required; ","")&amp;IF(LEN($C368&amp;"")&gt;19,"First Name exceeds 19 characters; ","")&amp;IF(AND($C368&lt;&gt;"",SUMPRODUCT(--(ROW($1:$19)&lt;=LEN($C368&amp;"")),--ISERROR(FIND(MID($C368&amp;"",ROW($1:$19),1),"ABCDEFGHIJKLMNOPQRSTUVWXYZabcdefghijklmnopqrstuvwxyz .,")))&gt;0),"First Name contains unsupported or encoded characters; use plain A-Z letters only; ","")&amp;IF($D368="","Last Name is required; ","")&amp;IF(LEN($D368&amp;"")&gt;26,"Last Name exceeds 26 characters; ","")&amp;IF(AND($D368&lt;&gt;"",SUMPRODUCT(--(ROW($1:$26)&lt;=LEN($D368&amp;"")),--ISERROR(FIND(MID($D368&amp;"",ROW($1:$26),1),"ABCDEFGHIJKLMNOPQRSTUVWXYZabcdefghijklmnopqrstuvwxyz .,")))&gt;0),"Last Name contains unsupported or encoded characters; use plain A-Z letters only; ","")&amp;IF(LEN($E368&amp;"")&gt;1,"Middle Initial may contain only one character; ","")&amp;IF(AND($E368&lt;&gt;"",SUMPRODUCT(--(ROW($1:$1)&lt;=LEN($E368&amp;"")),--ISERROR(FIND(MID($E368&amp;"",ROW($1:$1),1),"ABCDEFGHIJKLMNOPQRSTUVWXYZabcdefghijklmnopqrstuvwxyz .,")))&gt;0),"Middle Initial must be a plain A-Z letter; ","")&amp;IF($F368="","Address is required; ","")&amp;IF(LEN($F368&amp;"")&gt;75,"Address exceeds 75 characters; ","")&amp;IF(LEN($G368&amp;"")&gt;75,"Address 2 exceeds 75 characters; ","")&amp;IF($H368="","City is required; ","")&amp;IF(LEN($H368&amp;"")&gt;30,"City exceeds 30 characters; ","")&amp;IF($K368="","Country is required; ","")&amp;IF(AND($K368&lt;&gt;"",$K368&lt;&gt;"US",$K368&lt;&gt;"CA"),"Country must be US or CA; ","")&amp;IF(AND($K368="US",OR($I368="",LEN($I368&amp;"")&lt;&gt;2)),"Use a 2-letter state code; ","")&amp;IF($J368="","ZIP or postal code is required; ","")&amp;IF(AND($K368="US",$J368&lt;&gt;"",NOT(IFERROR(OR(AND(LEN($J368&amp;"")=5,ISNUMBER(--($J368&amp;""))),AND(LEN($J368&amp;"")=9,ISNUMBER(--($J368&amp;""))),AND(LEN($J368&amp;"")=10,MID($J368&amp;"",6,1)="-",ISNUMBER(--SUBSTITUTE($J368&amp;"","-","")))),FALSE))),"US ZIP must be 5 or 9 digits, with an optional ZIP+4 hyphen; ","")&amp;IF(AND($N368&lt;&gt;"",NOT(IFERROR(AND(ISNUMBER(SEARCH("@",$N368)),ISNUMBER(SEARCH(".",$N368,SEARCH("@",$N368)+2))),FALSE))),"Email format appears invalid; ","")&amp;IF(AND($O368&lt;&gt;"",$B368=""),"Dependent SSN is required for every dependent; ","")&amp;IF(AND($B368&lt;&gt;"",$O368=""),"Dependent Relationship is required when Dependent SSN is entered; ","")&amp;IF(AND($O368&lt;&gt;"",$O368&lt;&gt;"Spouse or Common Law Spouse",$O368&lt;&gt;"Domestic Partner",$O368&lt;&gt;"Child",$O368&lt;&gt;"Other",$O368&lt;&gt;"Estate",$O368&lt;&gt;"Unknown"),"Dependent Relationship must use one of the approved options; ",""))</f>
        <v/>
      </c>
      <c r="Z368">
        <f>IF(COUNTA($A368:$U368)=0,"",IF(AND($A368&lt;&gt;"",NOT(IFERROR(AND(LEN($A368&amp;"")=9,ISNUMBER(--($A368&amp;""))),FALSE))),"Employee SSN must contain exactly 9 digits; ","")&amp;IF(AND($A368&lt;&gt;"",OR($A368="123456789",$A368="987654321",$A368="012345678",$A368=REPT(LEFT($A368&amp;"",1),9))),"Employee SSN appears to be a placeholder; ","")&amp;IF(AND($B368&lt;&gt;"",NOT(IFERROR(AND(LEN($B368&amp;"")=9,ISNUMBER(--($B368&amp;""))),FALSE))),"Dependent SSN must contain exactly 9 digits; ","")&amp;IF(AND($B368&lt;&gt;"",OR($B368="123456789",$B368="987654321",$B368="012345678",$B368=REPT(LEFT($B368&amp;"",1),9))),"Dependent SSN appears to be a placeholder; ","")&amp;IF(AND($A368&lt;&gt;"",$B368&lt;&gt;"",$A368&amp;""=$B368&amp;""),"Dependent SSN cannot match Employee SSN; ","")&amp;IF(AND($W368&lt;&gt;"",OR(COUNTIFS($W$2:$W$501,$W368,$C$2:$C$501,"&lt;&gt;"&amp;$C368)&gt;0,COUNTIFS($W$2:$W$501,$W368,$D$2:$D$501,"&lt;&gt;"&amp;$D368)&gt;0,COUNTIFS($W$2:$W$501,$W368,$L$2:$L$501,"&lt;&gt;"&amp;$L368)&gt;0)),"The same SSN is associated with a different name or birthdate; ",""))</f>
        <v/>
      </c>
      <c r="AA368">
        <f>IF(COUNTA($A368:$U368)=0,"",IF(AND($A368&lt;&gt;"",$S368&lt;&gt;"",COUNTIFS($A$2:$A$501,$A368,$S$2:$S$501,$S368,$B$2:$B$501,"",$O$2:$O$501,"")=0),"Add an employee row for this household and plan; ","")&amp;IF(AND($X368="Dependent",COUNTIFS($A$2:$A368,$A368,$S$2:$S368,$S368,$B$2:$B368,"",$O$2:$O368,"")=0),"Place the employee row before dependent rows for this plan; ","")&amp;IF(AND($X368="Dependent",COUNTIFS($A$2:$A$501,$A368,$S$2:$S$501,$S368,$B$2:$B$501,"",$O$2:$O$501,"")&gt;0,IFERROR(OR($P368&lt;&gt;LOOKUP(2,1/(($A$2:$A$501=$A368)*($S$2:$S$501=$S368)*($B$2:$B$501="")*($O$2:$O$501="")),$P$2:$P$501),$Q368&lt;&gt;LOOKUP(2,1/(($A$2:$A$501=$A368)*($S$2:$S$501=$S368)*($B$2:$B$501="")*($O$2:$O$501="")),$Q$2:$Q$501),$R368&lt;&gt;LOOKUP(2,1/(($A$2:$A$501=$A368)*($S$2:$S$501=$S368)*($B$2:$B$501="")*($O$2:$O$501="")),$R$2:$R$501),$T368&lt;&gt;LOOKUP(2,1/(($A$2:$A$501=$A368)*($S$2:$S$501=$S368)*($B$2:$B$501="")*($O$2:$O$501="")),$T$2:$T$501),$U368&lt;&gt;LOOKUP(2,1/(($A$2:$A$501=$A368)*($S$2:$S$501=$S368)*($B$2:$B$501="")*($O$2:$O$501="")),$U$2:$U$501)),FALSE)),"Dependent row does not match the employee row for eligibility, status, coverage level, or funding; ",""))</f>
        <v/>
      </c>
      <c r="AB368">
        <f>IF(COUNTA($A368:$U368)=0,"",IF($L368="","Birthdate is required; ","")&amp;IF(AND($L368&lt;&gt;"",OR(NOT(ISNUMBER($L368)),$L368&lt;=DATE(1900,1,1),$L368&gt;TODAY())),"Birthdate must be an exact valid past date; ","")&amp;IF($P368="","Eligibility Date is required; ","")&amp;IF(AND($P368&lt;&gt;"",OR(NOT(ISNUMBER($P368)),$P368&lt;=DATE(1900,1,1))),"Eligibility Date must be a valid date; ","")&amp;IF(AND($R368="Terminated",$Q368=""),"Termination Date is required when Status is Terminated; ","")&amp;IF(AND($Q368&lt;&gt;"",OR(NOT(ISNUMBER($Q368)),$Q368&lt;=DATE(1900,1,1))),"Termination Date must be a valid date; ","")&amp;IF(AND(ISNUMBER($P368),ISNUMBER($Q368),$Q368&lt;$P368),"Termination Date cannot be before Eligibility Date; ","")&amp;IF($R368="","Status is required; ","")&amp;IF(AND($R368&lt;&gt;"",$R368&lt;&gt;"Active",$R368&lt;&gt;"Terminated"),"Status must be Active or Terminated; ","")&amp;IF(AND('START HERE'!$C$8="Terminations Only",$R368&lt;&gt;"Terminated"),"Terminations Only files must contain terminated records; ",""))</f>
        <v/>
      </c>
      <c r="AC368">
        <f>IF(COUNTA($A368:$U368)=0,"",IF($S368="","Plan Name is required; ","")&amp;IF($T368="","Benefit Coverage Level is required; ","")&amp;IF(AND($U368&lt;&gt;"",OR(NOT(ISNUMBER($U368)),$U368&lt;0)),"Plan Funding Amount must be a nonnegative number; ","")&amp;IF(AND($A368&lt;&gt;"",$S368&lt;&gt;"",COUNTIFS($A$2:$A$501,$A368,$B$2:$B$501,$B368,$S$2:$S$501,$S368)&gt;1),"Duplicate participant and plan row; ",""))</f>
        <v/>
      </c>
      <c r="AD368">
        <f>IF(COUNTA($A368:$U368)=0,"",IF(AND($X368="Employee",$M368="",$N368=""),"No employee phone or email provided; ","")&amp;IF(AND($R368="Active",$Q368&lt;&gt;""),"Active record includes a Termination Date; confirm this is intentional; ","")&amp;IF(AND($B368&lt;&gt;"",$B368&amp;""&lt;&gt;$A368&amp;"",COUNTIF($A$2:$A$501,$B368)&gt;0),"Dependent SSN also appears as an Employee SSN elsewhere; confirm dual-employee coverage is intentional; ","")&amp;IF(AND($B368&lt;&gt;"",COUNTIF($B$2:$B$501,$B368)&gt;COUNTIFS($A$2:$A$501,$A368,$B$2:$B$501,$B368)),"Dependent SSN appears under more than one employee; confirm duplicate family coverage is intentional; ","")&amp;IF(AND(ROW()&gt;2,$A368&lt;&gt;"",$A368&lt;&gt;$A367,COUNTIF($A$2:$A367,$A368)&gt;0),"This household appears in more than one section of the census; keep the family together; ","")&amp;IF(OR(AND($C368&lt;&gt;"",LEN($C368&amp;"")&lt;&gt;LEN(TRIM($C368&amp;""))),AND($D368&lt;&gt;"",LEN($D368&amp;"")&lt;&gt;LEN(TRIM($D368&amp;""))),AND($E368&lt;&gt;"",LEN($E368&amp;"")&lt;&gt;LEN(TRIM($E368&amp;""))),AND($F368&lt;&gt;"",LEN($F368&amp;"")&lt;&gt;LEN(TRIM($F368&amp;""))),AND($G368&lt;&gt;"",LEN($G368&amp;"")&lt;&gt;LEN(TRIM($G368&amp;""))),AND($H368&lt;&gt;"",LEN($H368&amp;"")&lt;&gt;LEN(TRIM($H368&amp;""))),AND($I368&lt;&gt;"",LEN($I368&amp;"")&lt;&gt;LEN(TRIM($I368&amp;""))),AND($J368&lt;&gt;"",LEN($J368&amp;"")&lt;&gt;LEN(TRIM($J368&amp;""))),AND($K368&lt;&gt;"",LEN($K368&amp;"")&lt;&gt;LEN(TRIM($K368&amp;""))),AND($M368&lt;&gt;"",LEN($M368&amp;"")&lt;&gt;LEN(TRIM($M368&amp;""))),AND($N368&lt;&gt;"",LEN($N368&amp;"")&lt;&gt;LEN(TRIM($N368&amp;""))),AND($O368&lt;&gt;"",LEN($O368&amp;"")&lt;&gt;LEN(TRIM($O368&amp;""))),AND($R368&lt;&gt;"",LEN($R368&amp;"")&lt;&gt;LEN(TRIM($R368&amp;""))),AND($S368&lt;&gt;"",LEN($S368&amp;"")&lt;&gt;LEN(TRIM($S368&amp;""))),AND($T368&lt;&gt;"",LEN($T368&amp;"")&lt;&gt;LEN(TRIM($T368&amp;"")))),"Remove leading or trailing spaces from text fields; ","")&amp;IF(OR(AND(LEN($C368)&gt;1,OR(EXACT($C368,UPPER($C368)),EXACT($C368,LOWER($C368)))),AND(LEN($D368)&gt;1,OR(EXACT($D368,UPPER($D368)),EXACT($D368,LOWER($D368)))),AND(LEN($H368)&gt;1,OR(EXACT($H368,UPPER($H368)),EXACT($H368,LOWER($H368))))),"Review capitalization in First Name, Last Name, or City; ","")&amp;IF(AND($N368&lt;&gt;"",NOT(EXACT($N368,LOWER($N368)))),"Email will be standardized to lowercase in the clean output; ","")&amp;IF(AND(OR('START HERE'!$C$8="Initial Enrollment",'START HERE'!$C$8="Open Enrollment"),$R368="Terminated"),"A terminated row is included in an initial or open enrollment file; confirm this is intentional; ",""))</f>
        <v/>
      </c>
      <c r="AE368">
        <f>IF(COUNTA($A368:$U368)=0,"",IF(OR($A368="",AND($A368&lt;&gt;"",NOT(IFERROR(AND(LEN($A368&amp;"")=9,ISNUMBER(--($A368&amp;""))),FALSE))),AND($A368&lt;&gt;"",OR($A368="123456789",$A368="987654321",$A368="012345678",$A368=REPT(LEFT($A368&amp;"",1),9)))),"Employee SSN, ","")&amp;IF(OR(AND($O368&lt;&gt;"",$B368=""),AND($B368&lt;&gt;"",OR(NOT(IFERROR(AND(LEN($B368&amp;"")=9,ISNUMBER(--($B368&amp;""))),FALSE)),$B368=$A368,$B368="123456789",$B368="987654321",$B368="012345678",$B368=REPT(LEFT($B368&amp;"",1),9)))),"Dependent SSN, ","")&amp;IF(OR($C368="",LEN($C368)&gt;19,AND($C368&lt;&gt;"",SUMPRODUCT(--(ROW($1:$19)&lt;=LEN($C368&amp;"")),--ISERROR(FIND(MID($C368&amp;"",ROW($1:$19),1),"ABCDEFGHIJKLMNOPQRSTUVWXYZabcdefghijklmnopqrstuvwxyz .,")))&gt;0)),"First Name, ","")&amp;IF(OR($D368="",LEN($D368)&gt;26,AND($D368&lt;&gt;"",SUMPRODUCT(--(ROW($1:$26)&lt;=LEN($D368&amp;"")),--ISERROR(FIND(MID($D368&amp;"",ROW($1:$26),1),"ABCDEFGHIJKLMNOPQRSTUVWXYZabcdefghijklmnopqrstuvwxyz .,")))&gt;0)),"Last Name, ","")&amp;IF(OR(LEN($E368)&gt;1,AND($E368&lt;&gt;"",SUMPRODUCT(--(ROW($1:$1)&lt;=LEN($E368&amp;"")),--ISERROR(FIND(MID($E368&amp;"",ROW($1:$1),1),"ABCDEFGHIJKLMNOPQRSTUVWXYZabcdefghijklmnopqrstuvwxyz .,")))&gt;0)),"Middle Initial, ","")&amp;IF(OR($F368="",LEN($F368)&gt;75),"Address, ","")&amp;IF(OR($H368="",LEN($H368)&gt;30),"City, ","")&amp;IF(AND($K368="US",OR($I368="",LEN($I368)&lt;&gt;2)),"State, ","")&amp;IF($J368="","ZIP, ","")&amp;IF(OR($K368="",AND($K368&lt;&gt;"US",$K368&lt;&gt;"CA")),"Country, ","")&amp;IF(OR($L368="",AND($L368&lt;&gt;"",OR(NOT(ISNUMBER($L368)),$L368&lt;=DATE(1900,1,1),$L368&gt;TODAY()))),"Birthdate, ","")&amp;IF(AND($N368&lt;&gt;"",NOT(IFERROR(AND(ISNUMBER(SEARCH("@",$N368)),ISNUMBER(SEARCH(".",$N368,SEARCH("@",$N368)+2))),FALSE))),"Email, ","")&amp;IF(OR(AND($B368&lt;&gt;"",$O368=""),AND($O368&lt;&gt;"",$O368&lt;&gt;"Spouse or Common Law Spouse",$O368&lt;&gt;"Domestic Partner",$O368&lt;&gt;"Child",$O368&lt;&gt;"Other",$O368&lt;&gt;"Estate",$O368&lt;&gt;"Unknown")),"Dependent Relationship, ","")&amp;IF($AA368&lt;&gt;"","Household, ","")&amp;IF(OR($P368="",AND($P368&lt;&gt;"",OR(NOT(ISNUMBER($P368)),$P368&lt;=DATE(1900,1,1)))),"Eligibility Date, ","")&amp;IF(OR(AND($R368="Terminated",$Q368=""),AND($Q368&lt;&gt;"",OR(NOT(ISNUMBER($Q368)),$Q368&lt;=DATE(1900,1,1))),AND(ISNUMBER($P368),ISNUMBER($Q368),$Q368&lt;$P368)),"Termination Date, ","")&amp;IF(OR($R368="",AND($R368&lt;&gt;"Active",$R368&lt;&gt;"Terminated"),AND('START HERE'!$C$8="Terminations Only",$R368&lt;&gt;"Terminated")),"Status, ","")&amp;IF($S368="","Plan Name, ","")&amp;IF($T368="","Coverage Level, ","")&amp;IF(AND($U368&lt;&gt;"",OR(NOT(ISNUMBER($U368)),$U368&lt;0)),"Funding, ","")&amp;IF(AND($A368&lt;&gt;"",$S368&lt;&gt;"",COUNTIFS($A$2:$A$501,$A368,$B$2:$B$501,$B368,$S$2:$S$501,$S368)&gt;1),"Duplicate Row, ",""))</f>
        <v/>
      </c>
      <c r="AF368">
        <f>IF(COUNTA($A368:$U368)=0,"",$Y368&amp;$Z368&amp;$AA368&amp;$AB368&amp;$AC368)</f>
        <v/>
      </c>
      <c r="AG368">
        <f>IF($N368="","",LOWER(TRIM($N368)))</f>
        <v/>
      </c>
      <c r="AH368">
        <f>IF($A368="","",COUNTIFS($A$2:$A$501,$A368,$AI$2:$AI$501,1))</f>
        <v/>
      </c>
      <c r="AI368">
        <f>IF(COUNTA($A368:$U368)=0,"",--($AF368&lt;&gt;""))</f>
        <v/>
      </c>
      <c r="AJ368">
        <f>IF(COUNTA($A368:$U368)=0,"",--($AD368&lt;&gt;""))</f>
        <v/>
      </c>
    </row>
    <row r="369" ht="20" customHeight="1">
      <c r="A369" s="80" t="n"/>
      <c r="B369" s="80" t="n"/>
      <c r="C369" s="81" t="n"/>
      <c r="D369" s="81" t="n"/>
      <c r="E369" s="80" t="n"/>
      <c r="F369" s="81" t="n"/>
      <c r="G369" s="81" t="n"/>
      <c r="H369" s="81" t="n"/>
      <c r="I369" s="80" t="n"/>
      <c r="J369" s="80" t="n"/>
      <c r="K369" s="80" t="n"/>
      <c r="L369" s="82" t="n"/>
      <c r="M369" s="80" t="n"/>
      <c r="N369" s="80" t="n"/>
      <c r="O369" s="80" t="n"/>
      <c r="P369" s="82" t="n"/>
      <c r="Q369" s="82" t="n"/>
      <c r="R369" s="80" t="n"/>
      <c r="S369" s="80" t="n"/>
      <c r="T369" s="80" t="n"/>
      <c r="U369" s="83" t="n"/>
      <c r="V369">
        <f>IF($A369="","",IF($A369=$A368,$V368,IF($V368="",0,1-$V368)))</f>
        <v/>
      </c>
      <c r="W369">
        <f>IF($B369&lt;&gt;"",$B369,$A369)</f>
        <v/>
      </c>
      <c r="X369">
        <f>IF(COUNTA($A369:$U369)=0,"",IF(OR($B369&lt;&gt;"",$O369&lt;&gt;""),"Dependent","Employee"))</f>
        <v/>
      </c>
      <c r="Y369">
        <f>IF(COUNTA($A369:$U369)=0,"",IF($A369="","Employee SSN is required; ","")&amp;IF($C369="","First Name is required; ","")&amp;IF(LEN($C369&amp;"")&gt;19,"First Name exceeds 19 characters; ","")&amp;IF(AND($C369&lt;&gt;"",SUMPRODUCT(--(ROW($1:$19)&lt;=LEN($C369&amp;"")),--ISERROR(FIND(MID($C369&amp;"",ROW($1:$19),1),"ABCDEFGHIJKLMNOPQRSTUVWXYZabcdefghijklmnopqrstuvwxyz .,")))&gt;0),"First Name contains unsupported or encoded characters; use plain A-Z letters only; ","")&amp;IF($D369="","Last Name is required; ","")&amp;IF(LEN($D369&amp;"")&gt;26,"Last Name exceeds 26 characters; ","")&amp;IF(AND($D369&lt;&gt;"",SUMPRODUCT(--(ROW($1:$26)&lt;=LEN($D369&amp;"")),--ISERROR(FIND(MID($D369&amp;"",ROW($1:$26),1),"ABCDEFGHIJKLMNOPQRSTUVWXYZabcdefghijklmnopqrstuvwxyz .,")))&gt;0),"Last Name contains unsupported or encoded characters; use plain A-Z letters only; ","")&amp;IF(LEN($E369&amp;"")&gt;1,"Middle Initial may contain only one character; ","")&amp;IF(AND($E369&lt;&gt;"",SUMPRODUCT(--(ROW($1:$1)&lt;=LEN($E369&amp;"")),--ISERROR(FIND(MID($E369&amp;"",ROW($1:$1),1),"ABCDEFGHIJKLMNOPQRSTUVWXYZabcdefghijklmnopqrstuvwxyz .,")))&gt;0),"Middle Initial must be a plain A-Z letter; ","")&amp;IF($F369="","Address is required; ","")&amp;IF(LEN($F369&amp;"")&gt;75,"Address exceeds 75 characters; ","")&amp;IF(LEN($G369&amp;"")&gt;75,"Address 2 exceeds 75 characters; ","")&amp;IF($H369="","City is required; ","")&amp;IF(LEN($H369&amp;"")&gt;30,"City exceeds 30 characters; ","")&amp;IF($K369="","Country is required; ","")&amp;IF(AND($K369&lt;&gt;"",$K369&lt;&gt;"US",$K369&lt;&gt;"CA"),"Country must be US or CA; ","")&amp;IF(AND($K369="US",OR($I369="",LEN($I369&amp;"")&lt;&gt;2)),"Use a 2-letter state code; ","")&amp;IF($J369="","ZIP or postal code is required; ","")&amp;IF(AND($K369="US",$J369&lt;&gt;"",NOT(IFERROR(OR(AND(LEN($J369&amp;"")=5,ISNUMBER(--($J369&amp;""))),AND(LEN($J369&amp;"")=9,ISNUMBER(--($J369&amp;""))),AND(LEN($J369&amp;"")=10,MID($J369&amp;"",6,1)="-",ISNUMBER(--SUBSTITUTE($J369&amp;"","-","")))),FALSE))),"US ZIP must be 5 or 9 digits, with an optional ZIP+4 hyphen; ","")&amp;IF(AND($N369&lt;&gt;"",NOT(IFERROR(AND(ISNUMBER(SEARCH("@",$N369)),ISNUMBER(SEARCH(".",$N369,SEARCH("@",$N369)+2))),FALSE))),"Email format appears invalid; ","")&amp;IF(AND($O369&lt;&gt;"",$B369=""),"Dependent SSN is required for every dependent; ","")&amp;IF(AND($B369&lt;&gt;"",$O369=""),"Dependent Relationship is required when Dependent SSN is entered; ","")&amp;IF(AND($O369&lt;&gt;"",$O369&lt;&gt;"Spouse or Common Law Spouse",$O369&lt;&gt;"Domestic Partner",$O369&lt;&gt;"Child",$O369&lt;&gt;"Other",$O369&lt;&gt;"Estate",$O369&lt;&gt;"Unknown"),"Dependent Relationship must use one of the approved options; ",""))</f>
        <v/>
      </c>
      <c r="Z369">
        <f>IF(COUNTA($A369:$U369)=0,"",IF(AND($A369&lt;&gt;"",NOT(IFERROR(AND(LEN($A369&amp;"")=9,ISNUMBER(--($A369&amp;""))),FALSE))),"Employee SSN must contain exactly 9 digits; ","")&amp;IF(AND($A369&lt;&gt;"",OR($A369="123456789",$A369="987654321",$A369="012345678",$A369=REPT(LEFT($A369&amp;"",1),9))),"Employee SSN appears to be a placeholder; ","")&amp;IF(AND($B369&lt;&gt;"",NOT(IFERROR(AND(LEN($B369&amp;"")=9,ISNUMBER(--($B369&amp;""))),FALSE))),"Dependent SSN must contain exactly 9 digits; ","")&amp;IF(AND($B369&lt;&gt;"",OR($B369="123456789",$B369="987654321",$B369="012345678",$B369=REPT(LEFT($B369&amp;"",1),9))),"Dependent SSN appears to be a placeholder; ","")&amp;IF(AND($A369&lt;&gt;"",$B369&lt;&gt;"",$A369&amp;""=$B369&amp;""),"Dependent SSN cannot match Employee SSN; ","")&amp;IF(AND($W369&lt;&gt;"",OR(COUNTIFS($W$2:$W$501,$W369,$C$2:$C$501,"&lt;&gt;"&amp;$C369)&gt;0,COUNTIFS($W$2:$W$501,$W369,$D$2:$D$501,"&lt;&gt;"&amp;$D369)&gt;0,COUNTIFS($W$2:$W$501,$W369,$L$2:$L$501,"&lt;&gt;"&amp;$L369)&gt;0)),"The same SSN is associated with a different name or birthdate; ",""))</f>
        <v/>
      </c>
      <c r="AA369">
        <f>IF(COUNTA($A369:$U369)=0,"",IF(AND($A369&lt;&gt;"",$S369&lt;&gt;"",COUNTIFS($A$2:$A$501,$A369,$S$2:$S$501,$S369,$B$2:$B$501,"",$O$2:$O$501,"")=0),"Add an employee row for this household and plan; ","")&amp;IF(AND($X369="Dependent",COUNTIFS($A$2:$A369,$A369,$S$2:$S369,$S369,$B$2:$B369,"",$O$2:$O369,"")=0),"Place the employee row before dependent rows for this plan; ","")&amp;IF(AND($X369="Dependent",COUNTIFS($A$2:$A$501,$A369,$S$2:$S$501,$S369,$B$2:$B$501,"",$O$2:$O$501,"")&gt;0,IFERROR(OR($P369&lt;&gt;LOOKUP(2,1/(($A$2:$A$501=$A369)*($S$2:$S$501=$S369)*($B$2:$B$501="")*($O$2:$O$501="")),$P$2:$P$501),$Q369&lt;&gt;LOOKUP(2,1/(($A$2:$A$501=$A369)*($S$2:$S$501=$S369)*($B$2:$B$501="")*($O$2:$O$501="")),$Q$2:$Q$501),$R369&lt;&gt;LOOKUP(2,1/(($A$2:$A$501=$A369)*($S$2:$S$501=$S369)*($B$2:$B$501="")*($O$2:$O$501="")),$R$2:$R$501),$T369&lt;&gt;LOOKUP(2,1/(($A$2:$A$501=$A369)*($S$2:$S$501=$S369)*($B$2:$B$501="")*($O$2:$O$501="")),$T$2:$T$501),$U369&lt;&gt;LOOKUP(2,1/(($A$2:$A$501=$A369)*($S$2:$S$501=$S369)*($B$2:$B$501="")*($O$2:$O$501="")),$U$2:$U$501)),FALSE)),"Dependent row does not match the employee row for eligibility, status, coverage level, or funding; ",""))</f>
        <v/>
      </c>
      <c r="AB369">
        <f>IF(COUNTA($A369:$U369)=0,"",IF($L369="","Birthdate is required; ","")&amp;IF(AND($L369&lt;&gt;"",OR(NOT(ISNUMBER($L369)),$L369&lt;=DATE(1900,1,1),$L369&gt;TODAY())),"Birthdate must be an exact valid past date; ","")&amp;IF($P369="","Eligibility Date is required; ","")&amp;IF(AND($P369&lt;&gt;"",OR(NOT(ISNUMBER($P369)),$P369&lt;=DATE(1900,1,1))),"Eligibility Date must be a valid date; ","")&amp;IF(AND($R369="Terminated",$Q369=""),"Termination Date is required when Status is Terminated; ","")&amp;IF(AND($Q369&lt;&gt;"",OR(NOT(ISNUMBER($Q369)),$Q369&lt;=DATE(1900,1,1))),"Termination Date must be a valid date; ","")&amp;IF(AND(ISNUMBER($P369),ISNUMBER($Q369),$Q369&lt;$P369),"Termination Date cannot be before Eligibility Date; ","")&amp;IF($R369="","Status is required; ","")&amp;IF(AND($R369&lt;&gt;"",$R369&lt;&gt;"Active",$R369&lt;&gt;"Terminated"),"Status must be Active or Terminated; ","")&amp;IF(AND('START HERE'!$C$8="Terminations Only",$R369&lt;&gt;"Terminated"),"Terminations Only files must contain terminated records; ",""))</f>
        <v/>
      </c>
      <c r="AC369">
        <f>IF(COUNTA($A369:$U369)=0,"",IF($S369="","Plan Name is required; ","")&amp;IF($T369="","Benefit Coverage Level is required; ","")&amp;IF(AND($U369&lt;&gt;"",OR(NOT(ISNUMBER($U369)),$U369&lt;0)),"Plan Funding Amount must be a nonnegative number; ","")&amp;IF(AND($A369&lt;&gt;"",$S369&lt;&gt;"",COUNTIFS($A$2:$A$501,$A369,$B$2:$B$501,$B369,$S$2:$S$501,$S369)&gt;1),"Duplicate participant and plan row; ",""))</f>
        <v/>
      </c>
      <c r="AD369">
        <f>IF(COUNTA($A369:$U369)=0,"",IF(AND($X369="Employee",$M369="",$N369=""),"No employee phone or email provided; ","")&amp;IF(AND($R369="Active",$Q369&lt;&gt;""),"Active record includes a Termination Date; confirm this is intentional; ","")&amp;IF(AND($B369&lt;&gt;"",$B369&amp;""&lt;&gt;$A369&amp;"",COUNTIF($A$2:$A$501,$B369)&gt;0),"Dependent SSN also appears as an Employee SSN elsewhere; confirm dual-employee coverage is intentional; ","")&amp;IF(AND($B369&lt;&gt;"",COUNTIF($B$2:$B$501,$B369)&gt;COUNTIFS($A$2:$A$501,$A369,$B$2:$B$501,$B369)),"Dependent SSN appears under more than one employee; confirm duplicate family coverage is intentional; ","")&amp;IF(AND(ROW()&gt;2,$A369&lt;&gt;"",$A369&lt;&gt;$A368,COUNTIF($A$2:$A368,$A369)&gt;0),"This household appears in more than one section of the census; keep the family together; ","")&amp;IF(OR(AND($C369&lt;&gt;"",LEN($C369&amp;"")&lt;&gt;LEN(TRIM($C369&amp;""))),AND($D369&lt;&gt;"",LEN($D369&amp;"")&lt;&gt;LEN(TRIM($D369&amp;""))),AND($E369&lt;&gt;"",LEN($E369&amp;"")&lt;&gt;LEN(TRIM($E369&amp;""))),AND($F369&lt;&gt;"",LEN($F369&amp;"")&lt;&gt;LEN(TRIM($F369&amp;""))),AND($G369&lt;&gt;"",LEN($G369&amp;"")&lt;&gt;LEN(TRIM($G369&amp;""))),AND($H369&lt;&gt;"",LEN($H369&amp;"")&lt;&gt;LEN(TRIM($H369&amp;""))),AND($I369&lt;&gt;"",LEN($I369&amp;"")&lt;&gt;LEN(TRIM($I369&amp;""))),AND($J369&lt;&gt;"",LEN($J369&amp;"")&lt;&gt;LEN(TRIM($J369&amp;""))),AND($K369&lt;&gt;"",LEN($K369&amp;"")&lt;&gt;LEN(TRIM($K369&amp;""))),AND($M369&lt;&gt;"",LEN($M369&amp;"")&lt;&gt;LEN(TRIM($M369&amp;""))),AND($N369&lt;&gt;"",LEN($N369&amp;"")&lt;&gt;LEN(TRIM($N369&amp;""))),AND($O369&lt;&gt;"",LEN($O369&amp;"")&lt;&gt;LEN(TRIM($O369&amp;""))),AND($R369&lt;&gt;"",LEN($R369&amp;"")&lt;&gt;LEN(TRIM($R369&amp;""))),AND($S369&lt;&gt;"",LEN($S369&amp;"")&lt;&gt;LEN(TRIM($S369&amp;""))),AND($T369&lt;&gt;"",LEN($T369&amp;"")&lt;&gt;LEN(TRIM($T369&amp;"")))),"Remove leading or trailing spaces from text fields; ","")&amp;IF(OR(AND(LEN($C369)&gt;1,OR(EXACT($C369,UPPER($C369)),EXACT($C369,LOWER($C369)))),AND(LEN($D369)&gt;1,OR(EXACT($D369,UPPER($D369)),EXACT($D369,LOWER($D369)))),AND(LEN($H369)&gt;1,OR(EXACT($H369,UPPER($H369)),EXACT($H369,LOWER($H369))))),"Review capitalization in First Name, Last Name, or City; ","")&amp;IF(AND($N369&lt;&gt;"",NOT(EXACT($N369,LOWER($N369)))),"Email will be standardized to lowercase in the clean output; ","")&amp;IF(AND(OR('START HERE'!$C$8="Initial Enrollment",'START HERE'!$C$8="Open Enrollment"),$R369="Terminated"),"A terminated row is included in an initial or open enrollment file; confirm this is intentional; ",""))</f>
        <v/>
      </c>
      <c r="AE369">
        <f>IF(COUNTA($A369:$U369)=0,"",IF(OR($A369="",AND($A369&lt;&gt;"",NOT(IFERROR(AND(LEN($A369&amp;"")=9,ISNUMBER(--($A369&amp;""))),FALSE))),AND($A369&lt;&gt;"",OR($A369="123456789",$A369="987654321",$A369="012345678",$A369=REPT(LEFT($A369&amp;"",1),9)))),"Employee SSN, ","")&amp;IF(OR(AND($O369&lt;&gt;"",$B369=""),AND($B369&lt;&gt;"",OR(NOT(IFERROR(AND(LEN($B369&amp;"")=9,ISNUMBER(--($B369&amp;""))),FALSE)),$B369=$A369,$B369="123456789",$B369="987654321",$B369="012345678",$B369=REPT(LEFT($B369&amp;"",1),9)))),"Dependent SSN, ","")&amp;IF(OR($C369="",LEN($C369)&gt;19,AND($C369&lt;&gt;"",SUMPRODUCT(--(ROW($1:$19)&lt;=LEN($C369&amp;"")),--ISERROR(FIND(MID($C369&amp;"",ROW($1:$19),1),"ABCDEFGHIJKLMNOPQRSTUVWXYZabcdefghijklmnopqrstuvwxyz .,")))&gt;0)),"First Name, ","")&amp;IF(OR($D369="",LEN($D369)&gt;26,AND($D369&lt;&gt;"",SUMPRODUCT(--(ROW($1:$26)&lt;=LEN($D369&amp;"")),--ISERROR(FIND(MID($D369&amp;"",ROW($1:$26),1),"ABCDEFGHIJKLMNOPQRSTUVWXYZabcdefghijklmnopqrstuvwxyz .,")))&gt;0)),"Last Name, ","")&amp;IF(OR(LEN($E369)&gt;1,AND($E369&lt;&gt;"",SUMPRODUCT(--(ROW($1:$1)&lt;=LEN($E369&amp;"")),--ISERROR(FIND(MID($E369&amp;"",ROW($1:$1),1),"ABCDEFGHIJKLMNOPQRSTUVWXYZabcdefghijklmnopqrstuvwxyz .,")))&gt;0)),"Middle Initial, ","")&amp;IF(OR($F369="",LEN($F369)&gt;75),"Address, ","")&amp;IF(OR($H369="",LEN($H369)&gt;30),"City, ","")&amp;IF(AND($K369="US",OR($I369="",LEN($I369)&lt;&gt;2)),"State, ","")&amp;IF($J369="","ZIP, ","")&amp;IF(OR($K369="",AND($K369&lt;&gt;"US",$K369&lt;&gt;"CA")),"Country, ","")&amp;IF(OR($L369="",AND($L369&lt;&gt;"",OR(NOT(ISNUMBER($L369)),$L369&lt;=DATE(1900,1,1),$L369&gt;TODAY()))),"Birthdate, ","")&amp;IF(AND($N369&lt;&gt;"",NOT(IFERROR(AND(ISNUMBER(SEARCH("@",$N369)),ISNUMBER(SEARCH(".",$N369,SEARCH("@",$N369)+2))),FALSE))),"Email, ","")&amp;IF(OR(AND($B369&lt;&gt;"",$O369=""),AND($O369&lt;&gt;"",$O369&lt;&gt;"Spouse or Common Law Spouse",$O369&lt;&gt;"Domestic Partner",$O369&lt;&gt;"Child",$O369&lt;&gt;"Other",$O369&lt;&gt;"Estate",$O369&lt;&gt;"Unknown")),"Dependent Relationship, ","")&amp;IF($AA369&lt;&gt;"","Household, ","")&amp;IF(OR($P369="",AND($P369&lt;&gt;"",OR(NOT(ISNUMBER($P369)),$P369&lt;=DATE(1900,1,1)))),"Eligibility Date, ","")&amp;IF(OR(AND($R369="Terminated",$Q369=""),AND($Q369&lt;&gt;"",OR(NOT(ISNUMBER($Q369)),$Q369&lt;=DATE(1900,1,1))),AND(ISNUMBER($P369),ISNUMBER($Q369),$Q369&lt;$P369)),"Termination Date, ","")&amp;IF(OR($R369="",AND($R369&lt;&gt;"Active",$R369&lt;&gt;"Terminated"),AND('START HERE'!$C$8="Terminations Only",$R369&lt;&gt;"Terminated")),"Status, ","")&amp;IF($S369="","Plan Name, ","")&amp;IF($T369="","Coverage Level, ","")&amp;IF(AND($U369&lt;&gt;"",OR(NOT(ISNUMBER($U369)),$U369&lt;0)),"Funding, ","")&amp;IF(AND($A369&lt;&gt;"",$S369&lt;&gt;"",COUNTIFS($A$2:$A$501,$A369,$B$2:$B$501,$B369,$S$2:$S$501,$S369)&gt;1),"Duplicate Row, ",""))</f>
        <v/>
      </c>
      <c r="AF369">
        <f>IF(COUNTA($A369:$U369)=0,"",$Y369&amp;$Z369&amp;$AA369&amp;$AB369&amp;$AC369)</f>
        <v/>
      </c>
      <c r="AG369">
        <f>IF($N369="","",LOWER(TRIM($N369)))</f>
        <v/>
      </c>
      <c r="AH369">
        <f>IF($A369="","",COUNTIFS($A$2:$A$501,$A369,$AI$2:$AI$501,1))</f>
        <v/>
      </c>
      <c r="AI369">
        <f>IF(COUNTA($A369:$U369)=0,"",--($AF369&lt;&gt;""))</f>
        <v/>
      </c>
      <c r="AJ369">
        <f>IF(COUNTA($A369:$U369)=0,"",--($AD369&lt;&gt;""))</f>
        <v/>
      </c>
    </row>
    <row r="370" ht="20" customHeight="1">
      <c r="A370" s="80" t="n"/>
      <c r="B370" s="80" t="n"/>
      <c r="C370" s="81" t="n"/>
      <c r="D370" s="81" t="n"/>
      <c r="E370" s="80" t="n"/>
      <c r="F370" s="81" t="n"/>
      <c r="G370" s="81" t="n"/>
      <c r="H370" s="81" t="n"/>
      <c r="I370" s="80" t="n"/>
      <c r="J370" s="80" t="n"/>
      <c r="K370" s="80" t="n"/>
      <c r="L370" s="82" t="n"/>
      <c r="M370" s="80" t="n"/>
      <c r="N370" s="80" t="n"/>
      <c r="O370" s="80" t="n"/>
      <c r="P370" s="82" t="n"/>
      <c r="Q370" s="82" t="n"/>
      <c r="R370" s="80" t="n"/>
      <c r="S370" s="80" t="n"/>
      <c r="T370" s="80" t="n"/>
      <c r="U370" s="83" t="n"/>
      <c r="V370">
        <f>IF($A370="","",IF($A370=$A369,$V369,IF($V369="",0,1-$V369)))</f>
        <v/>
      </c>
      <c r="W370">
        <f>IF($B370&lt;&gt;"",$B370,$A370)</f>
        <v/>
      </c>
      <c r="X370">
        <f>IF(COUNTA($A370:$U370)=0,"",IF(OR($B370&lt;&gt;"",$O370&lt;&gt;""),"Dependent","Employee"))</f>
        <v/>
      </c>
      <c r="Y370">
        <f>IF(COUNTA($A370:$U370)=0,"",IF($A370="","Employee SSN is required; ","")&amp;IF($C370="","First Name is required; ","")&amp;IF(LEN($C370&amp;"")&gt;19,"First Name exceeds 19 characters; ","")&amp;IF(AND($C370&lt;&gt;"",SUMPRODUCT(--(ROW($1:$19)&lt;=LEN($C370&amp;"")),--ISERROR(FIND(MID($C370&amp;"",ROW($1:$19),1),"ABCDEFGHIJKLMNOPQRSTUVWXYZabcdefghijklmnopqrstuvwxyz .,")))&gt;0),"First Name contains unsupported or encoded characters; use plain A-Z letters only; ","")&amp;IF($D370="","Last Name is required; ","")&amp;IF(LEN($D370&amp;"")&gt;26,"Last Name exceeds 26 characters; ","")&amp;IF(AND($D370&lt;&gt;"",SUMPRODUCT(--(ROW($1:$26)&lt;=LEN($D370&amp;"")),--ISERROR(FIND(MID($D370&amp;"",ROW($1:$26),1),"ABCDEFGHIJKLMNOPQRSTUVWXYZabcdefghijklmnopqrstuvwxyz .,")))&gt;0),"Last Name contains unsupported or encoded characters; use plain A-Z letters only; ","")&amp;IF(LEN($E370&amp;"")&gt;1,"Middle Initial may contain only one character; ","")&amp;IF(AND($E370&lt;&gt;"",SUMPRODUCT(--(ROW($1:$1)&lt;=LEN($E370&amp;"")),--ISERROR(FIND(MID($E370&amp;"",ROW($1:$1),1),"ABCDEFGHIJKLMNOPQRSTUVWXYZabcdefghijklmnopqrstuvwxyz .,")))&gt;0),"Middle Initial must be a plain A-Z letter; ","")&amp;IF($F370="","Address is required; ","")&amp;IF(LEN($F370&amp;"")&gt;75,"Address exceeds 75 characters; ","")&amp;IF(LEN($G370&amp;"")&gt;75,"Address 2 exceeds 75 characters; ","")&amp;IF($H370="","City is required; ","")&amp;IF(LEN($H370&amp;"")&gt;30,"City exceeds 30 characters; ","")&amp;IF($K370="","Country is required; ","")&amp;IF(AND($K370&lt;&gt;"",$K370&lt;&gt;"US",$K370&lt;&gt;"CA"),"Country must be US or CA; ","")&amp;IF(AND($K370="US",OR($I370="",LEN($I370&amp;"")&lt;&gt;2)),"Use a 2-letter state code; ","")&amp;IF($J370="","ZIP or postal code is required; ","")&amp;IF(AND($K370="US",$J370&lt;&gt;"",NOT(IFERROR(OR(AND(LEN($J370&amp;"")=5,ISNUMBER(--($J370&amp;""))),AND(LEN($J370&amp;"")=9,ISNUMBER(--($J370&amp;""))),AND(LEN($J370&amp;"")=10,MID($J370&amp;"",6,1)="-",ISNUMBER(--SUBSTITUTE($J370&amp;"","-","")))),FALSE))),"US ZIP must be 5 or 9 digits, with an optional ZIP+4 hyphen; ","")&amp;IF(AND($N370&lt;&gt;"",NOT(IFERROR(AND(ISNUMBER(SEARCH("@",$N370)),ISNUMBER(SEARCH(".",$N370,SEARCH("@",$N370)+2))),FALSE))),"Email format appears invalid; ","")&amp;IF(AND($O370&lt;&gt;"",$B370=""),"Dependent SSN is required for every dependent; ","")&amp;IF(AND($B370&lt;&gt;"",$O370=""),"Dependent Relationship is required when Dependent SSN is entered; ","")&amp;IF(AND($O370&lt;&gt;"",$O370&lt;&gt;"Spouse or Common Law Spouse",$O370&lt;&gt;"Domestic Partner",$O370&lt;&gt;"Child",$O370&lt;&gt;"Other",$O370&lt;&gt;"Estate",$O370&lt;&gt;"Unknown"),"Dependent Relationship must use one of the approved options; ",""))</f>
        <v/>
      </c>
      <c r="Z370">
        <f>IF(COUNTA($A370:$U370)=0,"",IF(AND($A370&lt;&gt;"",NOT(IFERROR(AND(LEN($A370&amp;"")=9,ISNUMBER(--($A370&amp;""))),FALSE))),"Employee SSN must contain exactly 9 digits; ","")&amp;IF(AND($A370&lt;&gt;"",OR($A370="123456789",$A370="987654321",$A370="012345678",$A370=REPT(LEFT($A370&amp;"",1),9))),"Employee SSN appears to be a placeholder; ","")&amp;IF(AND($B370&lt;&gt;"",NOT(IFERROR(AND(LEN($B370&amp;"")=9,ISNUMBER(--($B370&amp;""))),FALSE))),"Dependent SSN must contain exactly 9 digits; ","")&amp;IF(AND($B370&lt;&gt;"",OR($B370="123456789",$B370="987654321",$B370="012345678",$B370=REPT(LEFT($B370&amp;"",1),9))),"Dependent SSN appears to be a placeholder; ","")&amp;IF(AND($A370&lt;&gt;"",$B370&lt;&gt;"",$A370&amp;""=$B370&amp;""),"Dependent SSN cannot match Employee SSN; ","")&amp;IF(AND($W370&lt;&gt;"",OR(COUNTIFS($W$2:$W$501,$W370,$C$2:$C$501,"&lt;&gt;"&amp;$C370)&gt;0,COUNTIFS($W$2:$W$501,$W370,$D$2:$D$501,"&lt;&gt;"&amp;$D370)&gt;0,COUNTIFS($W$2:$W$501,$W370,$L$2:$L$501,"&lt;&gt;"&amp;$L370)&gt;0)),"The same SSN is associated with a different name or birthdate; ",""))</f>
        <v/>
      </c>
      <c r="AA370">
        <f>IF(COUNTA($A370:$U370)=0,"",IF(AND($A370&lt;&gt;"",$S370&lt;&gt;"",COUNTIFS($A$2:$A$501,$A370,$S$2:$S$501,$S370,$B$2:$B$501,"",$O$2:$O$501,"")=0),"Add an employee row for this household and plan; ","")&amp;IF(AND($X370="Dependent",COUNTIFS($A$2:$A370,$A370,$S$2:$S370,$S370,$B$2:$B370,"",$O$2:$O370,"")=0),"Place the employee row before dependent rows for this plan; ","")&amp;IF(AND($X370="Dependent",COUNTIFS($A$2:$A$501,$A370,$S$2:$S$501,$S370,$B$2:$B$501,"",$O$2:$O$501,"")&gt;0,IFERROR(OR($P370&lt;&gt;LOOKUP(2,1/(($A$2:$A$501=$A370)*($S$2:$S$501=$S370)*($B$2:$B$501="")*($O$2:$O$501="")),$P$2:$P$501),$Q370&lt;&gt;LOOKUP(2,1/(($A$2:$A$501=$A370)*($S$2:$S$501=$S370)*($B$2:$B$501="")*($O$2:$O$501="")),$Q$2:$Q$501),$R370&lt;&gt;LOOKUP(2,1/(($A$2:$A$501=$A370)*($S$2:$S$501=$S370)*($B$2:$B$501="")*($O$2:$O$501="")),$R$2:$R$501),$T370&lt;&gt;LOOKUP(2,1/(($A$2:$A$501=$A370)*($S$2:$S$501=$S370)*($B$2:$B$501="")*($O$2:$O$501="")),$T$2:$T$501),$U370&lt;&gt;LOOKUP(2,1/(($A$2:$A$501=$A370)*($S$2:$S$501=$S370)*($B$2:$B$501="")*($O$2:$O$501="")),$U$2:$U$501)),FALSE)),"Dependent row does not match the employee row for eligibility, status, coverage level, or funding; ",""))</f>
        <v/>
      </c>
      <c r="AB370">
        <f>IF(COUNTA($A370:$U370)=0,"",IF($L370="","Birthdate is required; ","")&amp;IF(AND($L370&lt;&gt;"",OR(NOT(ISNUMBER($L370)),$L370&lt;=DATE(1900,1,1),$L370&gt;TODAY())),"Birthdate must be an exact valid past date; ","")&amp;IF($P370="","Eligibility Date is required; ","")&amp;IF(AND($P370&lt;&gt;"",OR(NOT(ISNUMBER($P370)),$P370&lt;=DATE(1900,1,1))),"Eligibility Date must be a valid date; ","")&amp;IF(AND($R370="Terminated",$Q370=""),"Termination Date is required when Status is Terminated; ","")&amp;IF(AND($Q370&lt;&gt;"",OR(NOT(ISNUMBER($Q370)),$Q370&lt;=DATE(1900,1,1))),"Termination Date must be a valid date; ","")&amp;IF(AND(ISNUMBER($P370),ISNUMBER($Q370),$Q370&lt;$P370),"Termination Date cannot be before Eligibility Date; ","")&amp;IF($R370="","Status is required; ","")&amp;IF(AND($R370&lt;&gt;"",$R370&lt;&gt;"Active",$R370&lt;&gt;"Terminated"),"Status must be Active or Terminated; ","")&amp;IF(AND('START HERE'!$C$8="Terminations Only",$R370&lt;&gt;"Terminated"),"Terminations Only files must contain terminated records; ",""))</f>
        <v/>
      </c>
      <c r="AC370">
        <f>IF(COUNTA($A370:$U370)=0,"",IF($S370="","Plan Name is required; ","")&amp;IF($T370="","Benefit Coverage Level is required; ","")&amp;IF(AND($U370&lt;&gt;"",OR(NOT(ISNUMBER($U370)),$U370&lt;0)),"Plan Funding Amount must be a nonnegative number; ","")&amp;IF(AND($A370&lt;&gt;"",$S370&lt;&gt;"",COUNTIFS($A$2:$A$501,$A370,$B$2:$B$501,$B370,$S$2:$S$501,$S370)&gt;1),"Duplicate participant and plan row; ",""))</f>
        <v/>
      </c>
      <c r="AD370">
        <f>IF(COUNTA($A370:$U370)=0,"",IF(AND($X370="Employee",$M370="",$N370=""),"No employee phone or email provided; ","")&amp;IF(AND($R370="Active",$Q370&lt;&gt;""),"Active record includes a Termination Date; confirm this is intentional; ","")&amp;IF(AND($B370&lt;&gt;"",$B370&amp;""&lt;&gt;$A370&amp;"",COUNTIF($A$2:$A$501,$B370)&gt;0),"Dependent SSN also appears as an Employee SSN elsewhere; confirm dual-employee coverage is intentional; ","")&amp;IF(AND($B370&lt;&gt;"",COUNTIF($B$2:$B$501,$B370)&gt;COUNTIFS($A$2:$A$501,$A370,$B$2:$B$501,$B370)),"Dependent SSN appears under more than one employee; confirm duplicate family coverage is intentional; ","")&amp;IF(AND(ROW()&gt;2,$A370&lt;&gt;"",$A370&lt;&gt;$A369,COUNTIF($A$2:$A369,$A370)&gt;0),"This household appears in more than one section of the census; keep the family together; ","")&amp;IF(OR(AND($C370&lt;&gt;"",LEN($C370&amp;"")&lt;&gt;LEN(TRIM($C370&amp;""))),AND($D370&lt;&gt;"",LEN($D370&amp;"")&lt;&gt;LEN(TRIM($D370&amp;""))),AND($E370&lt;&gt;"",LEN($E370&amp;"")&lt;&gt;LEN(TRIM($E370&amp;""))),AND($F370&lt;&gt;"",LEN($F370&amp;"")&lt;&gt;LEN(TRIM($F370&amp;""))),AND($G370&lt;&gt;"",LEN($G370&amp;"")&lt;&gt;LEN(TRIM($G370&amp;""))),AND($H370&lt;&gt;"",LEN($H370&amp;"")&lt;&gt;LEN(TRIM($H370&amp;""))),AND($I370&lt;&gt;"",LEN($I370&amp;"")&lt;&gt;LEN(TRIM($I370&amp;""))),AND($J370&lt;&gt;"",LEN($J370&amp;"")&lt;&gt;LEN(TRIM($J370&amp;""))),AND($K370&lt;&gt;"",LEN($K370&amp;"")&lt;&gt;LEN(TRIM($K370&amp;""))),AND($M370&lt;&gt;"",LEN($M370&amp;"")&lt;&gt;LEN(TRIM($M370&amp;""))),AND($N370&lt;&gt;"",LEN($N370&amp;"")&lt;&gt;LEN(TRIM($N370&amp;""))),AND($O370&lt;&gt;"",LEN($O370&amp;"")&lt;&gt;LEN(TRIM($O370&amp;""))),AND($R370&lt;&gt;"",LEN($R370&amp;"")&lt;&gt;LEN(TRIM($R370&amp;""))),AND($S370&lt;&gt;"",LEN($S370&amp;"")&lt;&gt;LEN(TRIM($S370&amp;""))),AND($T370&lt;&gt;"",LEN($T370&amp;"")&lt;&gt;LEN(TRIM($T370&amp;"")))),"Remove leading or trailing spaces from text fields; ","")&amp;IF(OR(AND(LEN($C370)&gt;1,OR(EXACT($C370,UPPER($C370)),EXACT($C370,LOWER($C370)))),AND(LEN($D370)&gt;1,OR(EXACT($D370,UPPER($D370)),EXACT($D370,LOWER($D370)))),AND(LEN($H370)&gt;1,OR(EXACT($H370,UPPER($H370)),EXACT($H370,LOWER($H370))))),"Review capitalization in First Name, Last Name, or City; ","")&amp;IF(AND($N370&lt;&gt;"",NOT(EXACT($N370,LOWER($N370)))),"Email will be standardized to lowercase in the clean output; ","")&amp;IF(AND(OR('START HERE'!$C$8="Initial Enrollment",'START HERE'!$C$8="Open Enrollment"),$R370="Terminated"),"A terminated row is included in an initial or open enrollment file; confirm this is intentional; ",""))</f>
        <v/>
      </c>
      <c r="AE370">
        <f>IF(COUNTA($A370:$U370)=0,"",IF(OR($A370="",AND($A370&lt;&gt;"",NOT(IFERROR(AND(LEN($A370&amp;"")=9,ISNUMBER(--($A370&amp;""))),FALSE))),AND($A370&lt;&gt;"",OR($A370="123456789",$A370="987654321",$A370="012345678",$A370=REPT(LEFT($A370&amp;"",1),9)))),"Employee SSN, ","")&amp;IF(OR(AND($O370&lt;&gt;"",$B370=""),AND($B370&lt;&gt;"",OR(NOT(IFERROR(AND(LEN($B370&amp;"")=9,ISNUMBER(--($B370&amp;""))),FALSE)),$B370=$A370,$B370="123456789",$B370="987654321",$B370="012345678",$B370=REPT(LEFT($B370&amp;"",1),9)))),"Dependent SSN, ","")&amp;IF(OR($C370="",LEN($C370)&gt;19,AND($C370&lt;&gt;"",SUMPRODUCT(--(ROW($1:$19)&lt;=LEN($C370&amp;"")),--ISERROR(FIND(MID($C370&amp;"",ROW($1:$19),1),"ABCDEFGHIJKLMNOPQRSTUVWXYZabcdefghijklmnopqrstuvwxyz .,")))&gt;0)),"First Name, ","")&amp;IF(OR($D370="",LEN($D370)&gt;26,AND($D370&lt;&gt;"",SUMPRODUCT(--(ROW($1:$26)&lt;=LEN($D370&amp;"")),--ISERROR(FIND(MID($D370&amp;"",ROW($1:$26),1),"ABCDEFGHIJKLMNOPQRSTUVWXYZabcdefghijklmnopqrstuvwxyz .,")))&gt;0)),"Last Name, ","")&amp;IF(OR(LEN($E370)&gt;1,AND($E370&lt;&gt;"",SUMPRODUCT(--(ROW($1:$1)&lt;=LEN($E370&amp;"")),--ISERROR(FIND(MID($E370&amp;"",ROW($1:$1),1),"ABCDEFGHIJKLMNOPQRSTUVWXYZabcdefghijklmnopqrstuvwxyz .,")))&gt;0)),"Middle Initial, ","")&amp;IF(OR($F370="",LEN($F370)&gt;75),"Address, ","")&amp;IF(OR($H370="",LEN($H370)&gt;30),"City, ","")&amp;IF(AND($K370="US",OR($I370="",LEN($I370)&lt;&gt;2)),"State, ","")&amp;IF($J370="","ZIP, ","")&amp;IF(OR($K370="",AND($K370&lt;&gt;"US",$K370&lt;&gt;"CA")),"Country, ","")&amp;IF(OR($L370="",AND($L370&lt;&gt;"",OR(NOT(ISNUMBER($L370)),$L370&lt;=DATE(1900,1,1),$L370&gt;TODAY()))),"Birthdate, ","")&amp;IF(AND($N370&lt;&gt;"",NOT(IFERROR(AND(ISNUMBER(SEARCH("@",$N370)),ISNUMBER(SEARCH(".",$N370,SEARCH("@",$N370)+2))),FALSE))),"Email, ","")&amp;IF(OR(AND($B370&lt;&gt;"",$O370=""),AND($O370&lt;&gt;"",$O370&lt;&gt;"Spouse or Common Law Spouse",$O370&lt;&gt;"Domestic Partner",$O370&lt;&gt;"Child",$O370&lt;&gt;"Other",$O370&lt;&gt;"Estate",$O370&lt;&gt;"Unknown")),"Dependent Relationship, ","")&amp;IF($AA370&lt;&gt;"","Household, ","")&amp;IF(OR($P370="",AND($P370&lt;&gt;"",OR(NOT(ISNUMBER($P370)),$P370&lt;=DATE(1900,1,1)))),"Eligibility Date, ","")&amp;IF(OR(AND($R370="Terminated",$Q370=""),AND($Q370&lt;&gt;"",OR(NOT(ISNUMBER($Q370)),$Q370&lt;=DATE(1900,1,1))),AND(ISNUMBER($P370),ISNUMBER($Q370),$Q370&lt;$P370)),"Termination Date, ","")&amp;IF(OR($R370="",AND($R370&lt;&gt;"Active",$R370&lt;&gt;"Terminated"),AND('START HERE'!$C$8="Terminations Only",$R370&lt;&gt;"Terminated")),"Status, ","")&amp;IF($S370="","Plan Name, ","")&amp;IF($T370="","Coverage Level, ","")&amp;IF(AND($U370&lt;&gt;"",OR(NOT(ISNUMBER($U370)),$U370&lt;0)),"Funding, ","")&amp;IF(AND($A370&lt;&gt;"",$S370&lt;&gt;"",COUNTIFS($A$2:$A$501,$A370,$B$2:$B$501,$B370,$S$2:$S$501,$S370)&gt;1),"Duplicate Row, ",""))</f>
        <v/>
      </c>
      <c r="AF370">
        <f>IF(COUNTA($A370:$U370)=0,"",$Y370&amp;$Z370&amp;$AA370&amp;$AB370&amp;$AC370)</f>
        <v/>
      </c>
      <c r="AG370">
        <f>IF($N370="","",LOWER(TRIM($N370)))</f>
        <v/>
      </c>
      <c r="AH370">
        <f>IF($A370="","",COUNTIFS($A$2:$A$501,$A370,$AI$2:$AI$501,1))</f>
        <v/>
      </c>
      <c r="AI370">
        <f>IF(COUNTA($A370:$U370)=0,"",--($AF370&lt;&gt;""))</f>
        <v/>
      </c>
      <c r="AJ370">
        <f>IF(COUNTA($A370:$U370)=0,"",--($AD370&lt;&gt;""))</f>
        <v/>
      </c>
    </row>
    <row r="371" ht="20" customHeight="1">
      <c r="A371" s="80" t="n"/>
      <c r="B371" s="80" t="n"/>
      <c r="C371" s="81" t="n"/>
      <c r="D371" s="81" t="n"/>
      <c r="E371" s="80" t="n"/>
      <c r="F371" s="81" t="n"/>
      <c r="G371" s="81" t="n"/>
      <c r="H371" s="81" t="n"/>
      <c r="I371" s="80" t="n"/>
      <c r="J371" s="80" t="n"/>
      <c r="K371" s="80" t="n"/>
      <c r="L371" s="82" t="n"/>
      <c r="M371" s="80" t="n"/>
      <c r="N371" s="80" t="n"/>
      <c r="O371" s="80" t="n"/>
      <c r="P371" s="82" t="n"/>
      <c r="Q371" s="82" t="n"/>
      <c r="R371" s="80" t="n"/>
      <c r="S371" s="80" t="n"/>
      <c r="T371" s="80" t="n"/>
      <c r="U371" s="83" t="n"/>
      <c r="V371">
        <f>IF($A371="","",IF($A371=$A370,$V370,IF($V370="",0,1-$V370)))</f>
        <v/>
      </c>
      <c r="W371">
        <f>IF($B371&lt;&gt;"",$B371,$A371)</f>
        <v/>
      </c>
      <c r="X371">
        <f>IF(COUNTA($A371:$U371)=0,"",IF(OR($B371&lt;&gt;"",$O371&lt;&gt;""),"Dependent","Employee"))</f>
        <v/>
      </c>
      <c r="Y371">
        <f>IF(COUNTA($A371:$U371)=0,"",IF($A371="","Employee SSN is required; ","")&amp;IF($C371="","First Name is required; ","")&amp;IF(LEN($C371&amp;"")&gt;19,"First Name exceeds 19 characters; ","")&amp;IF(AND($C371&lt;&gt;"",SUMPRODUCT(--(ROW($1:$19)&lt;=LEN($C371&amp;"")),--ISERROR(FIND(MID($C371&amp;"",ROW($1:$19),1),"ABCDEFGHIJKLMNOPQRSTUVWXYZabcdefghijklmnopqrstuvwxyz .,")))&gt;0),"First Name contains unsupported or encoded characters; use plain A-Z letters only; ","")&amp;IF($D371="","Last Name is required; ","")&amp;IF(LEN($D371&amp;"")&gt;26,"Last Name exceeds 26 characters; ","")&amp;IF(AND($D371&lt;&gt;"",SUMPRODUCT(--(ROW($1:$26)&lt;=LEN($D371&amp;"")),--ISERROR(FIND(MID($D371&amp;"",ROW($1:$26),1),"ABCDEFGHIJKLMNOPQRSTUVWXYZabcdefghijklmnopqrstuvwxyz .,")))&gt;0),"Last Name contains unsupported or encoded characters; use plain A-Z letters only; ","")&amp;IF(LEN($E371&amp;"")&gt;1,"Middle Initial may contain only one character; ","")&amp;IF(AND($E371&lt;&gt;"",SUMPRODUCT(--(ROW($1:$1)&lt;=LEN($E371&amp;"")),--ISERROR(FIND(MID($E371&amp;"",ROW($1:$1),1),"ABCDEFGHIJKLMNOPQRSTUVWXYZabcdefghijklmnopqrstuvwxyz .,")))&gt;0),"Middle Initial must be a plain A-Z letter; ","")&amp;IF($F371="","Address is required; ","")&amp;IF(LEN($F371&amp;"")&gt;75,"Address exceeds 75 characters; ","")&amp;IF(LEN($G371&amp;"")&gt;75,"Address 2 exceeds 75 characters; ","")&amp;IF($H371="","City is required; ","")&amp;IF(LEN($H371&amp;"")&gt;30,"City exceeds 30 characters; ","")&amp;IF($K371="","Country is required; ","")&amp;IF(AND($K371&lt;&gt;"",$K371&lt;&gt;"US",$K371&lt;&gt;"CA"),"Country must be US or CA; ","")&amp;IF(AND($K371="US",OR($I371="",LEN($I371&amp;"")&lt;&gt;2)),"Use a 2-letter state code; ","")&amp;IF($J371="","ZIP or postal code is required; ","")&amp;IF(AND($K371="US",$J371&lt;&gt;"",NOT(IFERROR(OR(AND(LEN($J371&amp;"")=5,ISNUMBER(--($J371&amp;""))),AND(LEN($J371&amp;"")=9,ISNUMBER(--($J371&amp;""))),AND(LEN($J371&amp;"")=10,MID($J371&amp;"",6,1)="-",ISNUMBER(--SUBSTITUTE($J371&amp;"","-","")))),FALSE))),"US ZIP must be 5 or 9 digits, with an optional ZIP+4 hyphen; ","")&amp;IF(AND($N371&lt;&gt;"",NOT(IFERROR(AND(ISNUMBER(SEARCH("@",$N371)),ISNUMBER(SEARCH(".",$N371,SEARCH("@",$N371)+2))),FALSE))),"Email format appears invalid; ","")&amp;IF(AND($O371&lt;&gt;"",$B371=""),"Dependent SSN is required for every dependent; ","")&amp;IF(AND($B371&lt;&gt;"",$O371=""),"Dependent Relationship is required when Dependent SSN is entered; ","")&amp;IF(AND($O371&lt;&gt;"",$O371&lt;&gt;"Spouse or Common Law Spouse",$O371&lt;&gt;"Domestic Partner",$O371&lt;&gt;"Child",$O371&lt;&gt;"Other",$O371&lt;&gt;"Estate",$O371&lt;&gt;"Unknown"),"Dependent Relationship must use one of the approved options; ",""))</f>
        <v/>
      </c>
      <c r="Z371">
        <f>IF(COUNTA($A371:$U371)=0,"",IF(AND($A371&lt;&gt;"",NOT(IFERROR(AND(LEN($A371&amp;"")=9,ISNUMBER(--($A371&amp;""))),FALSE))),"Employee SSN must contain exactly 9 digits; ","")&amp;IF(AND($A371&lt;&gt;"",OR($A371="123456789",$A371="987654321",$A371="012345678",$A371=REPT(LEFT($A371&amp;"",1),9))),"Employee SSN appears to be a placeholder; ","")&amp;IF(AND($B371&lt;&gt;"",NOT(IFERROR(AND(LEN($B371&amp;"")=9,ISNUMBER(--($B371&amp;""))),FALSE))),"Dependent SSN must contain exactly 9 digits; ","")&amp;IF(AND($B371&lt;&gt;"",OR($B371="123456789",$B371="987654321",$B371="012345678",$B371=REPT(LEFT($B371&amp;"",1),9))),"Dependent SSN appears to be a placeholder; ","")&amp;IF(AND($A371&lt;&gt;"",$B371&lt;&gt;"",$A371&amp;""=$B371&amp;""),"Dependent SSN cannot match Employee SSN; ","")&amp;IF(AND($W371&lt;&gt;"",OR(COUNTIFS($W$2:$W$501,$W371,$C$2:$C$501,"&lt;&gt;"&amp;$C371)&gt;0,COUNTIFS($W$2:$W$501,$W371,$D$2:$D$501,"&lt;&gt;"&amp;$D371)&gt;0,COUNTIFS($W$2:$W$501,$W371,$L$2:$L$501,"&lt;&gt;"&amp;$L371)&gt;0)),"The same SSN is associated with a different name or birthdate; ",""))</f>
        <v/>
      </c>
      <c r="AA371">
        <f>IF(COUNTA($A371:$U371)=0,"",IF(AND($A371&lt;&gt;"",$S371&lt;&gt;"",COUNTIFS($A$2:$A$501,$A371,$S$2:$S$501,$S371,$B$2:$B$501,"",$O$2:$O$501,"")=0),"Add an employee row for this household and plan; ","")&amp;IF(AND($X371="Dependent",COUNTIFS($A$2:$A371,$A371,$S$2:$S371,$S371,$B$2:$B371,"",$O$2:$O371,"")=0),"Place the employee row before dependent rows for this plan; ","")&amp;IF(AND($X371="Dependent",COUNTIFS($A$2:$A$501,$A371,$S$2:$S$501,$S371,$B$2:$B$501,"",$O$2:$O$501,"")&gt;0,IFERROR(OR($P371&lt;&gt;LOOKUP(2,1/(($A$2:$A$501=$A371)*($S$2:$S$501=$S371)*($B$2:$B$501="")*($O$2:$O$501="")),$P$2:$P$501),$Q371&lt;&gt;LOOKUP(2,1/(($A$2:$A$501=$A371)*($S$2:$S$501=$S371)*($B$2:$B$501="")*($O$2:$O$501="")),$Q$2:$Q$501),$R371&lt;&gt;LOOKUP(2,1/(($A$2:$A$501=$A371)*($S$2:$S$501=$S371)*($B$2:$B$501="")*($O$2:$O$501="")),$R$2:$R$501),$T371&lt;&gt;LOOKUP(2,1/(($A$2:$A$501=$A371)*($S$2:$S$501=$S371)*($B$2:$B$501="")*($O$2:$O$501="")),$T$2:$T$501),$U371&lt;&gt;LOOKUP(2,1/(($A$2:$A$501=$A371)*($S$2:$S$501=$S371)*($B$2:$B$501="")*($O$2:$O$501="")),$U$2:$U$501)),FALSE)),"Dependent row does not match the employee row for eligibility, status, coverage level, or funding; ",""))</f>
        <v/>
      </c>
      <c r="AB371">
        <f>IF(COUNTA($A371:$U371)=0,"",IF($L371="","Birthdate is required; ","")&amp;IF(AND($L371&lt;&gt;"",OR(NOT(ISNUMBER($L371)),$L371&lt;=DATE(1900,1,1),$L371&gt;TODAY())),"Birthdate must be an exact valid past date; ","")&amp;IF($P371="","Eligibility Date is required; ","")&amp;IF(AND($P371&lt;&gt;"",OR(NOT(ISNUMBER($P371)),$P371&lt;=DATE(1900,1,1))),"Eligibility Date must be a valid date; ","")&amp;IF(AND($R371="Terminated",$Q371=""),"Termination Date is required when Status is Terminated; ","")&amp;IF(AND($Q371&lt;&gt;"",OR(NOT(ISNUMBER($Q371)),$Q371&lt;=DATE(1900,1,1))),"Termination Date must be a valid date; ","")&amp;IF(AND(ISNUMBER($P371),ISNUMBER($Q371),$Q371&lt;$P371),"Termination Date cannot be before Eligibility Date; ","")&amp;IF($R371="","Status is required; ","")&amp;IF(AND($R371&lt;&gt;"",$R371&lt;&gt;"Active",$R371&lt;&gt;"Terminated"),"Status must be Active or Terminated; ","")&amp;IF(AND('START HERE'!$C$8="Terminations Only",$R371&lt;&gt;"Terminated"),"Terminations Only files must contain terminated records; ",""))</f>
        <v/>
      </c>
      <c r="AC371">
        <f>IF(COUNTA($A371:$U371)=0,"",IF($S371="","Plan Name is required; ","")&amp;IF($T371="","Benefit Coverage Level is required; ","")&amp;IF(AND($U371&lt;&gt;"",OR(NOT(ISNUMBER($U371)),$U371&lt;0)),"Plan Funding Amount must be a nonnegative number; ","")&amp;IF(AND($A371&lt;&gt;"",$S371&lt;&gt;"",COUNTIFS($A$2:$A$501,$A371,$B$2:$B$501,$B371,$S$2:$S$501,$S371)&gt;1),"Duplicate participant and plan row; ",""))</f>
        <v/>
      </c>
      <c r="AD371">
        <f>IF(COUNTA($A371:$U371)=0,"",IF(AND($X371="Employee",$M371="",$N371=""),"No employee phone or email provided; ","")&amp;IF(AND($R371="Active",$Q371&lt;&gt;""),"Active record includes a Termination Date; confirm this is intentional; ","")&amp;IF(AND($B371&lt;&gt;"",$B371&amp;""&lt;&gt;$A371&amp;"",COUNTIF($A$2:$A$501,$B371)&gt;0),"Dependent SSN also appears as an Employee SSN elsewhere; confirm dual-employee coverage is intentional; ","")&amp;IF(AND($B371&lt;&gt;"",COUNTIF($B$2:$B$501,$B371)&gt;COUNTIFS($A$2:$A$501,$A371,$B$2:$B$501,$B371)),"Dependent SSN appears under more than one employee; confirm duplicate family coverage is intentional; ","")&amp;IF(AND(ROW()&gt;2,$A371&lt;&gt;"",$A371&lt;&gt;$A370,COUNTIF($A$2:$A370,$A371)&gt;0),"This household appears in more than one section of the census; keep the family together; ","")&amp;IF(OR(AND($C371&lt;&gt;"",LEN($C371&amp;"")&lt;&gt;LEN(TRIM($C371&amp;""))),AND($D371&lt;&gt;"",LEN($D371&amp;"")&lt;&gt;LEN(TRIM($D371&amp;""))),AND($E371&lt;&gt;"",LEN($E371&amp;"")&lt;&gt;LEN(TRIM($E371&amp;""))),AND($F371&lt;&gt;"",LEN($F371&amp;"")&lt;&gt;LEN(TRIM($F371&amp;""))),AND($G371&lt;&gt;"",LEN($G371&amp;"")&lt;&gt;LEN(TRIM($G371&amp;""))),AND($H371&lt;&gt;"",LEN($H371&amp;"")&lt;&gt;LEN(TRIM($H371&amp;""))),AND($I371&lt;&gt;"",LEN($I371&amp;"")&lt;&gt;LEN(TRIM($I371&amp;""))),AND($J371&lt;&gt;"",LEN($J371&amp;"")&lt;&gt;LEN(TRIM($J371&amp;""))),AND($K371&lt;&gt;"",LEN($K371&amp;"")&lt;&gt;LEN(TRIM($K371&amp;""))),AND($M371&lt;&gt;"",LEN($M371&amp;"")&lt;&gt;LEN(TRIM($M371&amp;""))),AND($N371&lt;&gt;"",LEN($N371&amp;"")&lt;&gt;LEN(TRIM($N371&amp;""))),AND($O371&lt;&gt;"",LEN($O371&amp;"")&lt;&gt;LEN(TRIM($O371&amp;""))),AND($R371&lt;&gt;"",LEN($R371&amp;"")&lt;&gt;LEN(TRIM($R371&amp;""))),AND($S371&lt;&gt;"",LEN($S371&amp;"")&lt;&gt;LEN(TRIM($S371&amp;""))),AND($T371&lt;&gt;"",LEN($T371&amp;"")&lt;&gt;LEN(TRIM($T371&amp;"")))),"Remove leading or trailing spaces from text fields; ","")&amp;IF(OR(AND(LEN($C371)&gt;1,OR(EXACT($C371,UPPER($C371)),EXACT($C371,LOWER($C371)))),AND(LEN($D371)&gt;1,OR(EXACT($D371,UPPER($D371)),EXACT($D371,LOWER($D371)))),AND(LEN($H371)&gt;1,OR(EXACT($H371,UPPER($H371)),EXACT($H371,LOWER($H371))))),"Review capitalization in First Name, Last Name, or City; ","")&amp;IF(AND($N371&lt;&gt;"",NOT(EXACT($N371,LOWER($N371)))),"Email will be standardized to lowercase in the clean output; ","")&amp;IF(AND(OR('START HERE'!$C$8="Initial Enrollment",'START HERE'!$C$8="Open Enrollment"),$R371="Terminated"),"A terminated row is included in an initial or open enrollment file; confirm this is intentional; ",""))</f>
        <v/>
      </c>
      <c r="AE371">
        <f>IF(COUNTA($A371:$U371)=0,"",IF(OR($A371="",AND($A371&lt;&gt;"",NOT(IFERROR(AND(LEN($A371&amp;"")=9,ISNUMBER(--($A371&amp;""))),FALSE))),AND($A371&lt;&gt;"",OR($A371="123456789",$A371="987654321",$A371="012345678",$A371=REPT(LEFT($A371&amp;"",1),9)))),"Employee SSN, ","")&amp;IF(OR(AND($O371&lt;&gt;"",$B371=""),AND($B371&lt;&gt;"",OR(NOT(IFERROR(AND(LEN($B371&amp;"")=9,ISNUMBER(--($B371&amp;""))),FALSE)),$B371=$A371,$B371="123456789",$B371="987654321",$B371="012345678",$B371=REPT(LEFT($B371&amp;"",1),9)))),"Dependent SSN, ","")&amp;IF(OR($C371="",LEN($C371)&gt;19,AND($C371&lt;&gt;"",SUMPRODUCT(--(ROW($1:$19)&lt;=LEN($C371&amp;"")),--ISERROR(FIND(MID($C371&amp;"",ROW($1:$19),1),"ABCDEFGHIJKLMNOPQRSTUVWXYZabcdefghijklmnopqrstuvwxyz .,")))&gt;0)),"First Name, ","")&amp;IF(OR($D371="",LEN($D371)&gt;26,AND($D371&lt;&gt;"",SUMPRODUCT(--(ROW($1:$26)&lt;=LEN($D371&amp;"")),--ISERROR(FIND(MID($D371&amp;"",ROW($1:$26),1),"ABCDEFGHIJKLMNOPQRSTUVWXYZabcdefghijklmnopqrstuvwxyz .,")))&gt;0)),"Last Name, ","")&amp;IF(OR(LEN($E371)&gt;1,AND($E371&lt;&gt;"",SUMPRODUCT(--(ROW($1:$1)&lt;=LEN($E371&amp;"")),--ISERROR(FIND(MID($E371&amp;"",ROW($1:$1),1),"ABCDEFGHIJKLMNOPQRSTUVWXYZabcdefghijklmnopqrstuvwxyz .,")))&gt;0)),"Middle Initial, ","")&amp;IF(OR($F371="",LEN($F371)&gt;75),"Address, ","")&amp;IF(OR($H371="",LEN($H371)&gt;30),"City, ","")&amp;IF(AND($K371="US",OR($I371="",LEN($I371)&lt;&gt;2)),"State, ","")&amp;IF($J371="","ZIP, ","")&amp;IF(OR($K371="",AND($K371&lt;&gt;"US",$K371&lt;&gt;"CA")),"Country, ","")&amp;IF(OR($L371="",AND($L371&lt;&gt;"",OR(NOT(ISNUMBER($L371)),$L371&lt;=DATE(1900,1,1),$L371&gt;TODAY()))),"Birthdate, ","")&amp;IF(AND($N371&lt;&gt;"",NOT(IFERROR(AND(ISNUMBER(SEARCH("@",$N371)),ISNUMBER(SEARCH(".",$N371,SEARCH("@",$N371)+2))),FALSE))),"Email, ","")&amp;IF(OR(AND($B371&lt;&gt;"",$O371=""),AND($O371&lt;&gt;"",$O371&lt;&gt;"Spouse or Common Law Spouse",$O371&lt;&gt;"Domestic Partner",$O371&lt;&gt;"Child",$O371&lt;&gt;"Other",$O371&lt;&gt;"Estate",$O371&lt;&gt;"Unknown")),"Dependent Relationship, ","")&amp;IF($AA371&lt;&gt;"","Household, ","")&amp;IF(OR($P371="",AND($P371&lt;&gt;"",OR(NOT(ISNUMBER($P371)),$P371&lt;=DATE(1900,1,1)))),"Eligibility Date, ","")&amp;IF(OR(AND($R371="Terminated",$Q371=""),AND($Q371&lt;&gt;"",OR(NOT(ISNUMBER($Q371)),$Q371&lt;=DATE(1900,1,1))),AND(ISNUMBER($P371),ISNUMBER($Q371),$Q371&lt;$P371)),"Termination Date, ","")&amp;IF(OR($R371="",AND($R371&lt;&gt;"Active",$R371&lt;&gt;"Terminated"),AND('START HERE'!$C$8="Terminations Only",$R371&lt;&gt;"Terminated")),"Status, ","")&amp;IF($S371="","Plan Name, ","")&amp;IF($T371="","Coverage Level, ","")&amp;IF(AND($U371&lt;&gt;"",OR(NOT(ISNUMBER($U371)),$U371&lt;0)),"Funding, ","")&amp;IF(AND($A371&lt;&gt;"",$S371&lt;&gt;"",COUNTIFS($A$2:$A$501,$A371,$B$2:$B$501,$B371,$S$2:$S$501,$S371)&gt;1),"Duplicate Row, ",""))</f>
        <v/>
      </c>
      <c r="AF371">
        <f>IF(COUNTA($A371:$U371)=0,"",$Y371&amp;$Z371&amp;$AA371&amp;$AB371&amp;$AC371)</f>
        <v/>
      </c>
      <c r="AG371">
        <f>IF($N371="","",LOWER(TRIM($N371)))</f>
        <v/>
      </c>
      <c r="AH371">
        <f>IF($A371="","",COUNTIFS($A$2:$A$501,$A371,$AI$2:$AI$501,1))</f>
        <v/>
      </c>
      <c r="AI371">
        <f>IF(COUNTA($A371:$U371)=0,"",--($AF371&lt;&gt;""))</f>
        <v/>
      </c>
      <c r="AJ371">
        <f>IF(COUNTA($A371:$U371)=0,"",--($AD371&lt;&gt;""))</f>
        <v/>
      </c>
    </row>
    <row r="372" ht="20" customHeight="1">
      <c r="A372" s="80" t="n"/>
      <c r="B372" s="80" t="n"/>
      <c r="C372" s="81" t="n"/>
      <c r="D372" s="81" t="n"/>
      <c r="E372" s="80" t="n"/>
      <c r="F372" s="81" t="n"/>
      <c r="G372" s="81" t="n"/>
      <c r="H372" s="81" t="n"/>
      <c r="I372" s="80" t="n"/>
      <c r="J372" s="80" t="n"/>
      <c r="K372" s="80" t="n"/>
      <c r="L372" s="82" t="n"/>
      <c r="M372" s="80" t="n"/>
      <c r="N372" s="80" t="n"/>
      <c r="O372" s="80" t="n"/>
      <c r="P372" s="82" t="n"/>
      <c r="Q372" s="82" t="n"/>
      <c r="R372" s="80" t="n"/>
      <c r="S372" s="80" t="n"/>
      <c r="T372" s="80" t="n"/>
      <c r="U372" s="83" t="n"/>
      <c r="V372">
        <f>IF($A372="","",IF($A372=$A371,$V371,IF($V371="",0,1-$V371)))</f>
        <v/>
      </c>
      <c r="W372">
        <f>IF($B372&lt;&gt;"",$B372,$A372)</f>
        <v/>
      </c>
      <c r="X372">
        <f>IF(COUNTA($A372:$U372)=0,"",IF(OR($B372&lt;&gt;"",$O372&lt;&gt;""),"Dependent","Employee"))</f>
        <v/>
      </c>
      <c r="Y372">
        <f>IF(COUNTA($A372:$U372)=0,"",IF($A372="","Employee SSN is required; ","")&amp;IF($C372="","First Name is required; ","")&amp;IF(LEN($C372&amp;"")&gt;19,"First Name exceeds 19 characters; ","")&amp;IF(AND($C372&lt;&gt;"",SUMPRODUCT(--(ROW($1:$19)&lt;=LEN($C372&amp;"")),--ISERROR(FIND(MID($C372&amp;"",ROW($1:$19),1),"ABCDEFGHIJKLMNOPQRSTUVWXYZabcdefghijklmnopqrstuvwxyz .,")))&gt;0),"First Name contains unsupported or encoded characters; use plain A-Z letters only; ","")&amp;IF($D372="","Last Name is required; ","")&amp;IF(LEN($D372&amp;"")&gt;26,"Last Name exceeds 26 characters; ","")&amp;IF(AND($D372&lt;&gt;"",SUMPRODUCT(--(ROW($1:$26)&lt;=LEN($D372&amp;"")),--ISERROR(FIND(MID($D372&amp;"",ROW($1:$26),1),"ABCDEFGHIJKLMNOPQRSTUVWXYZabcdefghijklmnopqrstuvwxyz .,")))&gt;0),"Last Name contains unsupported or encoded characters; use plain A-Z letters only; ","")&amp;IF(LEN($E372&amp;"")&gt;1,"Middle Initial may contain only one character; ","")&amp;IF(AND($E372&lt;&gt;"",SUMPRODUCT(--(ROW($1:$1)&lt;=LEN($E372&amp;"")),--ISERROR(FIND(MID($E372&amp;"",ROW($1:$1),1),"ABCDEFGHIJKLMNOPQRSTUVWXYZabcdefghijklmnopqrstuvwxyz .,")))&gt;0),"Middle Initial must be a plain A-Z letter; ","")&amp;IF($F372="","Address is required; ","")&amp;IF(LEN($F372&amp;"")&gt;75,"Address exceeds 75 characters; ","")&amp;IF(LEN($G372&amp;"")&gt;75,"Address 2 exceeds 75 characters; ","")&amp;IF($H372="","City is required; ","")&amp;IF(LEN($H372&amp;"")&gt;30,"City exceeds 30 characters; ","")&amp;IF($K372="","Country is required; ","")&amp;IF(AND($K372&lt;&gt;"",$K372&lt;&gt;"US",$K372&lt;&gt;"CA"),"Country must be US or CA; ","")&amp;IF(AND($K372="US",OR($I372="",LEN($I372&amp;"")&lt;&gt;2)),"Use a 2-letter state code; ","")&amp;IF($J372="","ZIP or postal code is required; ","")&amp;IF(AND($K372="US",$J372&lt;&gt;"",NOT(IFERROR(OR(AND(LEN($J372&amp;"")=5,ISNUMBER(--($J372&amp;""))),AND(LEN($J372&amp;"")=9,ISNUMBER(--($J372&amp;""))),AND(LEN($J372&amp;"")=10,MID($J372&amp;"",6,1)="-",ISNUMBER(--SUBSTITUTE($J372&amp;"","-","")))),FALSE))),"US ZIP must be 5 or 9 digits, with an optional ZIP+4 hyphen; ","")&amp;IF(AND($N372&lt;&gt;"",NOT(IFERROR(AND(ISNUMBER(SEARCH("@",$N372)),ISNUMBER(SEARCH(".",$N372,SEARCH("@",$N372)+2))),FALSE))),"Email format appears invalid; ","")&amp;IF(AND($O372&lt;&gt;"",$B372=""),"Dependent SSN is required for every dependent; ","")&amp;IF(AND($B372&lt;&gt;"",$O372=""),"Dependent Relationship is required when Dependent SSN is entered; ","")&amp;IF(AND($O372&lt;&gt;"",$O372&lt;&gt;"Spouse or Common Law Spouse",$O372&lt;&gt;"Domestic Partner",$O372&lt;&gt;"Child",$O372&lt;&gt;"Other",$O372&lt;&gt;"Estate",$O372&lt;&gt;"Unknown"),"Dependent Relationship must use one of the approved options; ",""))</f>
        <v/>
      </c>
      <c r="Z372">
        <f>IF(COUNTA($A372:$U372)=0,"",IF(AND($A372&lt;&gt;"",NOT(IFERROR(AND(LEN($A372&amp;"")=9,ISNUMBER(--($A372&amp;""))),FALSE))),"Employee SSN must contain exactly 9 digits; ","")&amp;IF(AND($A372&lt;&gt;"",OR($A372="123456789",$A372="987654321",$A372="012345678",$A372=REPT(LEFT($A372&amp;"",1),9))),"Employee SSN appears to be a placeholder; ","")&amp;IF(AND($B372&lt;&gt;"",NOT(IFERROR(AND(LEN($B372&amp;"")=9,ISNUMBER(--($B372&amp;""))),FALSE))),"Dependent SSN must contain exactly 9 digits; ","")&amp;IF(AND($B372&lt;&gt;"",OR($B372="123456789",$B372="987654321",$B372="012345678",$B372=REPT(LEFT($B372&amp;"",1),9))),"Dependent SSN appears to be a placeholder; ","")&amp;IF(AND($A372&lt;&gt;"",$B372&lt;&gt;"",$A372&amp;""=$B372&amp;""),"Dependent SSN cannot match Employee SSN; ","")&amp;IF(AND($W372&lt;&gt;"",OR(COUNTIFS($W$2:$W$501,$W372,$C$2:$C$501,"&lt;&gt;"&amp;$C372)&gt;0,COUNTIFS($W$2:$W$501,$W372,$D$2:$D$501,"&lt;&gt;"&amp;$D372)&gt;0,COUNTIFS($W$2:$W$501,$W372,$L$2:$L$501,"&lt;&gt;"&amp;$L372)&gt;0)),"The same SSN is associated with a different name or birthdate; ",""))</f>
        <v/>
      </c>
      <c r="AA372">
        <f>IF(COUNTA($A372:$U372)=0,"",IF(AND($A372&lt;&gt;"",$S372&lt;&gt;"",COUNTIFS($A$2:$A$501,$A372,$S$2:$S$501,$S372,$B$2:$B$501,"",$O$2:$O$501,"")=0),"Add an employee row for this household and plan; ","")&amp;IF(AND($X372="Dependent",COUNTIFS($A$2:$A372,$A372,$S$2:$S372,$S372,$B$2:$B372,"",$O$2:$O372,"")=0),"Place the employee row before dependent rows for this plan; ","")&amp;IF(AND($X372="Dependent",COUNTIFS($A$2:$A$501,$A372,$S$2:$S$501,$S372,$B$2:$B$501,"",$O$2:$O$501,"")&gt;0,IFERROR(OR($P372&lt;&gt;LOOKUP(2,1/(($A$2:$A$501=$A372)*($S$2:$S$501=$S372)*($B$2:$B$501="")*($O$2:$O$501="")),$P$2:$P$501),$Q372&lt;&gt;LOOKUP(2,1/(($A$2:$A$501=$A372)*($S$2:$S$501=$S372)*($B$2:$B$501="")*($O$2:$O$501="")),$Q$2:$Q$501),$R372&lt;&gt;LOOKUP(2,1/(($A$2:$A$501=$A372)*($S$2:$S$501=$S372)*($B$2:$B$501="")*($O$2:$O$501="")),$R$2:$R$501),$T372&lt;&gt;LOOKUP(2,1/(($A$2:$A$501=$A372)*($S$2:$S$501=$S372)*($B$2:$B$501="")*($O$2:$O$501="")),$T$2:$T$501),$U372&lt;&gt;LOOKUP(2,1/(($A$2:$A$501=$A372)*($S$2:$S$501=$S372)*($B$2:$B$501="")*($O$2:$O$501="")),$U$2:$U$501)),FALSE)),"Dependent row does not match the employee row for eligibility, status, coverage level, or funding; ",""))</f>
        <v/>
      </c>
      <c r="AB372">
        <f>IF(COUNTA($A372:$U372)=0,"",IF($L372="","Birthdate is required; ","")&amp;IF(AND($L372&lt;&gt;"",OR(NOT(ISNUMBER($L372)),$L372&lt;=DATE(1900,1,1),$L372&gt;TODAY())),"Birthdate must be an exact valid past date; ","")&amp;IF($P372="","Eligibility Date is required; ","")&amp;IF(AND($P372&lt;&gt;"",OR(NOT(ISNUMBER($P372)),$P372&lt;=DATE(1900,1,1))),"Eligibility Date must be a valid date; ","")&amp;IF(AND($R372="Terminated",$Q372=""),"Termination Date is required when Status is Terminated; ","")&amp;IF(AND($Q372&lt;&gt;"",OR(NOT(ISNUMBER($Q372)),$Q372&lt;=DATE(1900,1,1))),"Termination Date must be a valid date; ","")&amp;IF(AND(ISNUMBER($P372),ISNUMBER($Q372),$Q372&lt;$P372),"Termination Date cannot be before Eligibility Date; ","")&amp;IF($R372="","Status is required; ","")&amp;IF(AND($R372&lt;&gt;"",$R372&lt;&gt;"Active",$R372&lt;&gt;"Terminated"),"Status must be Active or Terminated; ","")&amp;IF(AND('START HERE'!$C$8="Terminations Only",$R372&lt;&gt;"Terminated"),"Terminations Only files must contain terminated records; ",""))</f>
        <v/>
      </c>
      <c r="AC372">
        <f>IF(COUNTA($A372:$U372)=0,"",IF($S372="","Plan Name is required; ","")&amp;IF($T372="","Benefit Coverage Level is required; ","")&amp;IF(AND($U372&lt;&gt;"",OR(NOT(ISNUMBER($U372)),$U372&lt;0)),"Plan Funding Amount must be a nonnegative number; ","")&amp;IF(AND($A372&lt;&gt;"",$S372&lt;&gt;"",COUNTIFS($A$2:$A$501,$A372,$B$2:$B$501,$B372,$S$2:$S$501,$S372)&gt;1),"Duplicate participant and plan row; ",""))</f>
        <v/>
      </c>
      <c r="AD372">
        <f>IF(COUNTA($A372:$U372)=0,"",IF(AND($X372="Employee",$M372="",$N372=""),"No employee phone or email provided; ","")&amp;IF(AND($R372="Active",$Q372&lt;&gt;""),"Active record includes a Termination Date; confirm this is intentional; ","")&amp;IF(AND($B372&lt;&gt;"",$B372&amp;""&lt;&gt;$A372&amp;"",COUNTIF($A$2:$A$501,$B372)&gt;0),"Dependent SSN also appears as an Employee SSN elsewhere; confirm dual-employee coverage is intentional; ","")&amp;IF(AND($B372&lt;&gt;"",COUNTIF($B$2:$B$501,$B372)&gt;COUNTIFS($A$2:$A$501,$A372,$B$2:$B$501,$B372)),"Dependent SSN appears under more than one employee; confirm duplicate family coverage is intentional; ","")&amp;IF(AND(ROW()&gt;2,$A372&lt;&gt;"",$A372&lt;&gt;$A371,COUNTIF($A$2:$A371,$A372)&gt;0),"This household appears in more than one section of the census; keep the family together; ","")&amp;IF(OR(AND($C372&lt;&gt;"",LEN($C372&amp;"")&lt;&gt;LEN(TRIM($C372&amp;""))),AND($D372&lt;&gt;"",LEN($D372&amp;"")&lt;&gt;LEN(TRIM($D372&amp;""))),AND($E372&lt;&gt;"",LEN($E372&amp;"")&lt;&gt;LEN(TRIM($E372&amp;""))),AND($F372&lt;&gt;"",LEN($F372&amp;"")&lt;&gt;LEN(TRIM($F372&amp;""))),AND($G372&lt;&gt;"",LEN($G372&amp;"")&lt;&gt;LEN(TRIM($G372&amp;""))),AND($H372&lt;&gt;"",LEN($H372&amp;"")&lt;&gt;LEN(TRIM($H372&amp;""))),AND($I372&lt;&gt;"",LEN($I372&amp;"")&lt;&gt;LEN(TRIM($I372&amp;""))),AND($J372&lt;&gt;"",LEN($J372&amp;"")&lt;&gt;LEN(TRIM($J372&amp;""))),AND($K372&lt;&gt;"",LEN($K372&amp;"")&lt;&gt;LEN(TRIM($K372&amp;""))),AND($M372&lt;&gt;"",LEN($M372&amp;"")&lt;&gt;LEN(TRIM($M372&amp;""))),AND($N372&lt;&gt;"",LEN($N372&amp;"")&lt;&gt;LEN(TRIM($N372&amp;""))),AND($O372&lt;&gt;"",LEN($O372&amp;"")&lt;&gt;LEN(TRIM($O372&amp;""))),AND($R372&lt;&gt;"",LEN($R372&amp;"")&lt;&gt;LEN(TRIM($R372&amp;""))),AND($S372&lt;&gt;"",LEN($S372&amp;"")&lt;&gt;LEN(TRIM($S372&amp;""))),AND($T372&lt;&gt;"",LEN($T372&amp;"")&lt;&gt;LEN(TRIM($T372&amp;"")))),"Remove leading or trailing spaces from text fields; ","")&amp;IF(OR(AND(LEN($C372)&gt;1,OR(EXACT($C372,UPPER($C372)),EXACT($C372,LOWER($C372)))),AND(LEN($D372)&gt;1,OR(EXACT($D372,UPPER($D372)),EXACT($D372,LOWER($D372)))),AND(LEN($H372)&gt;1,OR(EXACT($H372,UPPER($H372)),EXACT($H372,LOWER($H372))))),"Review capitalization in First Name, Last Name, or City; ","")&amp;IF(AND($N372&lt;&gt;"",NOT(EXACT($N372,LOWER($N372)))),"Email will be standardized to lowercase in the clean output; ","")&amp;IF(AND(OR('START HERE'!$C$8="Initial Enrollment",'START HERE'!$C$8="Open Enrollment"),$R372="Terminated"),"A terminated row is included in an initial or open enrollment file; confirm this is intentional; ",""))</f>
        <v/>
      </c>
      <c r="AE372">
        <f>IF(COUNTA($A372:$U372)=0,"",IF(OR($A372="",AND($A372&lt;&gt;"",NOT(IFERROR(AND(LEN($A372&amp;"")=9,ISNUMBER(--($A372&amp;""))),FALSE))),AND($A372&lt;&gt;"",OR($A372="123456789",$A372="987654321",$A372="012345678",$A372=REPT(LEFT($A372&amp;"",1),9)))),"Employee SSN, ","")&amp;IF(OR(AND($O372&lt;&gt;"",$B372=""),AND($B372&lt;&gt;"",OR(NOT(IFERROR(AND(LEN($B372&amp;"")=9,ISNUMBER(--($B372&amp;""))),FALSE)),$B372=$A372,$B372="123456789",$B372="987654321",$B372="012345678",$B372=REPT(LEFT($B372&amp;"",1),9)))),"Dependent SSN, ","")&amp;IF(OR($C372="",LEN($C372)&gt;19,AND($C372&lt;&gt;"",SUMPRODUCT(--(ROW($1:$19)&lt;=LEN($C372&amp;"")),--ISERROR(FIND(MID($C372&amp;"",ROW($1:$19),1),"ABCDEFGHIJKLMNOPQRSTUVWXYZabcdefghijklmnopqrstuvwxyz .,")))&gt;0)),"First Name, ","")&amp;IF(OR($D372="",LEN($D372)&gt;26,AND($D372&lt;&gt;"",SUMPRODUCT(--(ROW($1:$26)&lt;=LEN($D372&amp;"")),--ISERROR(FIND(MID($D372&amp;"",ROW($1:$26),1),"ABCDEFGHIJKLMNOPQRSTUVWXYZabcdefghijklmnopqrstuvwxyz .,")))&gt;0)),"Last Name, ","")&amp;IF(OR(LEN($E372)&gt;1,AND($E372&lt;&gt;"",SUMPRODUCT(--(ROW($1:$1)&lt;=LEN($E372&amp;"")),--ISERROR(FIND(MID($E372&amp;"",ROW($1:$1),1),"ABCDEFGHIJKLMNOPQRSTUVWXYZabcdefghijklmnopqrstuvwxyz .,")))&gt;0)),"Middle Initial, ","")&amp;IF(OR($F372="",LEN($F372)&gt;75),"Address, ","")&amp;IF(OR($H372="",LEN($H372)&gt;30),"City, ","")&amp;IF(AND($K372="US",OR($I372="",LEN($I372)&lt;&gt;2)),"State, ","")&amp;IF($J372="","ZIP, ","")&amp;IF(OR($K372="",AND($K372&lt;&gt;"US",$K372&lt;&gt;"CA")),"Country, ","")&amp;IF(OR($L372="",AND($L372&lt;&gt;"",OR(NOT(ISNUMBER($L372)),$L372&lt;=DATE(1900,1,1),$L372&gt;TODAY()))),"Birthdate, ","")&amp;IF(AND($N372&lt;&gt;"",NOT(IFERROR(AND(ISNUMBER(SEARCH("@",$N372)),ISNUMBER(SEARCH(".",$N372,SEARCH("@",$N372)+2))),FALSE))),"Email, ","")&amp;IF(OR(AND($B372&lt;&gt;"",$O372=""),AND($O372&lt;&gt;"",$O372&lt;&gt;"Spouse or Common Law Spouse",$O372&lt;&gt;"Domestic Partner",$O372&lt;&gt;"Child",$O372&lt;&gt;"Other",$O372&lt;&gt;"Estate",$O372&lt;&gt;"Unknown")),"Dependent Relationship, ","")&amp;IF($AA372&lt;&gt;"","Household, ","")&amp;IF(OR($P372="",AND($P372&lt;&gt;"",OR(NOT(ISNUMBER($P372)),$P372&lt;=DATE(1900,1,1)))),"Eligibility Date, ","")&amp;IF(OR(AND($R372="Terminated",$Q372=""),AND($Q372&lt;&gt;"",OR(NOT(ISNUMBER($Q372)),$Q372&lt;=DATE(1900,1,1))),AND(ISNUMBER($P372),ISNUMBER($Q372),$Q372&lt;$P372)),"Termination Date, ","")&amp;IF(OR($R372="",AND($R372&lt;&gt;"Active",$R372&lt;&gt;"Terminated"),AND('START HERE'!$C$8="Terminations Only",$R372&lt;&gt;"Terminated")),"Status, ","")&amp;IF($S372="","Plan Name, ","")&amp;IF($T372="","Coverage Level, ","")&amp;IF(AND($U372&lt;&gt;"",OR(NOT(ISNUMBER($U372)),$U372&lt;0)),"Funding, ","")&amp;IF(AND($A372&lt;&gt;"",$S372&lt;&gt;"",COUNTIFS($A$2:$A$501,$A372,$B$2:$B$501,$B372,$S$2:$S$501,$S372)&gt;1),"Duplicate Row, ",""))</f>
        <v/>
      </c>
      <c r="AF372">
        <f>IF(COUNTA($A372:$U372)=0,"",$Y372&amp;$Z372&amp;$AA372&amp;$AB372&amp;$AC372)</f>
        <v/>
      </c>
      <c r="AG372">
        <f>IF($N372="","",LOWER(TRIM($N372)))</f>
        <v/>
      </c>
      <c r="AH372">
        <f>IF($A372="","",COUNTIFS($A$2:$A$501,$A372,$AI$2:$AI$501,1))</f>
        <v/>
      </c>
      <c r="AI372">
        <f>IF(COUNTA($A372:$U372)=0,"",--($AF372&lt;&gt;""))</f>
        <v/>
      </c>
      <c r="AJ372">
        <f>IF(COUNTA($A372:$U372)=0,"",--($AD372&lt;&gt;""))</f>
        <v/>
      </c>
    </row>
    <row r="373" ht="20" customHeight="1">
      <c r="A373" s="80" t="n"/>
      <c r="B373" s="80" t="n"/>
      <c r="C373" s="81" t="n"/>
      <c r="D373" s="81" t="n"/>
      <c r="E373" s="80" t="n"/>
      <c r="F373" s="81" t="n"/>
      <c r="G373" s="81" t="n"/>
      <c r="H373" s="81" t="n"/>
      <c r="I373" s="80" t="n"/>
      <c r="J373" s="80" t="n"/>
      <c r="K373" s="80" t="n"/>
      <c r="L373" s="82" t="n"/>
      <c r="M373" s="80" t="n"/>
      <c r="N373" s="80" t="n"/>
      <c r="O373" s="80" t="n"/>
      <c r="P373" s="82" t="n"/>
      <c r="Q373" s="82" t="n"/>
      <c r="R373" s="80" t="n"/>
      <c r="S373" s="80" t="n"/>
      <c r="T373" s="80" t="n"/>
      <c r="U373" s="83" t="n"/>
      <c r="V373">
        <f>IF($A373="","",IF($A373=$A372,$V372,IF($V372="",0,1-$V372)))</f>
        <v/>
      </c>
      <c r="W373">
        <f>IF($B373&lt;&gt;"",$B373,$A373)</f>
        <v/>
      </c>
      <c r="X373">
        <f>IF(COUNTA($A373:$U373)=0,"",IF(OR($B373&lt;&gt;"",$O373&lt;&gt;""),"Dependent","Employee"))</f>
        <v/>
      </c>
      <c r="Y373">
        <f>IF(COUNTA($A373:$U373)=0,"",IF($A373="","Employee SSN is required; ","")&amp;IF($C373="","First Name is required; ","")&amp;IF(LEN($C373&amp;"")&gt;19,"First Name exceeds 19 characters; ","")&amp;IF(AND($C373&lt;&gt;"",SUMPRODUCT(--(ROW($1:$19)&lt;=LEN($C373&amp;"")),--ISERROR(FIND(MID($C373&amp;"",ROW($1:$19),1),"ABCDEFGHIJKLMNOPQRSTUVWXYZabcdefghijklmnopqrstuvwxyz .,")))&gt;0),"First Name contains unsupported or encoded characters; use plain A-Z letters only; ","")&amp;IF($D373="","Last Name is required; ","")&amp;IF(LEN($D373&amp;"")&gt;26,"Last Name exceeds 26 characters; ","")&amp;IF(AND($D373&lt;&gt;"",SUMPRODUCT(--(ROW($1:$26)&lt;=LEN($D373&amp;"")),--ISERROR(FIND(MID($D373&amp;"",ROW($1:$26),1),"ABCDEFGHIJKLMNOPQRSTUVWXYZabcdefghijklmnopqrstuvwxyz .,")))&gt;0),"Last Name contains unsupported or encoded characters; use plain A-Z letters only; ","")&amp;IF(LEN($E373&amp;"")&gt;1,"Middle Initial may contain only one character; ","")&amp;IF(AND($E373&lt;&gt;"",SUMPRODUCT(--(ROW($1:$1)&lt;=LEN($E373&amp;"")),--ISERROR(FIND(MID($E373&amp;"",ROW($1:$1),1),"ABCDEFGHIJKLMNOPQRSTUVWXYZabcdefghijklmnopqrstuvwxyz .,")))&gt;0),"Middle Initial must be a plain A-Z letter; ","")&amp;IF($F373="","Address is required; ","")&amp;IF(LEN($F373&amp;"")&gt;75,"Address exceeds 75 characters; ","")&amp;IF(LEN($G373&amp;"")&gt;75,"Address 2 exceeds 75 characters; ","")&amp;IF($H373="","City is required; ","")&amp;IF(LEN($H373&amp;"")&gt;30,"City exceeds 30 characters; ","")&amp;IF($K373="","Country is required; ","")&amp;IF(AND($K373&lt;&gt;"",$K373&lt;&gt;"US",$K373&lt;&gt;"CA"),"Country must be US or CA; ","")&amp;IF(AND($K373="US",OR($I373="",LEN($I373&amp;"")&lt;&gt;2)),"Use a 2-letter state code; ","")&amp;IF($J373="","ZIP or postal code is required; ","")&amp;IF(AND($K373="US",$J373&lt;&gt;"",NOT(IFERROR(OR(AND(LEN($J373&amp;"")=5,ISNUMBER(--($J373&amp;""))),AND(LEN($J373&amp;"")=9,ISNUMBER(--($J373&amp;""))),AND(LEN($J373&amp;"")=10,MID($J373&amp;"",6,1)="-",ISNUMBER(--SUBSTITUTE($J373&amp;"","-","")))),FALSE))),"US ZIP must be 5 or 9 digits, with an optional ZIP+4 hyphen; ","")&amp;IF(AND($N373&lt;&gt;"",NOT(IFERROR(AND(ISNUMBER(SEARCH("@",$N373)),ISNUMBER(SEARCH(".",$N373,SEARCH("@",$N373)+2))),FALSE))),"Email format appears invalid; ","")&amp;IF(AND($O373&lt;&gt;"",$B373=""),"Dependent SSN is required for every dependent; ","")&amp;IF(AND($B373&lt;&gt;"",$O373=""),"Dependent Relationship is required when Dependent SSN is entered; ","")&amp;IF(AND($O373&lt;&gt;"",$O373&lt;&gt;"Spouse or Common Law Spouse",$O373&lt;&gt;"Domestic Partner",$O373&lt;&gt;"Child",$O373&lt;&gt;"Other",$O373&lt;&gt;"Estate",$O373&lt;&gt;"Unknown"),"Dependent Relationship must use one of the approved options; ",""))</f>
        <v/>
      </c>
      <c r="Z373">
        <f>IF(COUNTA($A373:$U373)=0,"",IF(AND($A373&lt;&gt;"",NOT(IFERROR(AND(LEN($A373&amp;"")=9,ISNUMBER(--($A373&amp;""))),FALSE))),"Employee SSN must contain exactly 9 digits; ","")&amp;IF(AND($A373&lt;&gt;"",OR($A373="123456789",$A373="987654321",$A373="012345678",$A373=REPT(LEFT($A373&amp;"",1),9))),"Employee SSN appears to be a placeholder; ","")&amp;IF(AND($B373&lt;&gt;"",NOT(IFERROR(AND(LEN($B373&amp;"")=9,ISNUMBER(--($B373&amp;""))),FALSE))),"Dependent SSN must contain exactly 9 digits; ","")&amp;IF(AND($B373&lt;&gt;"",OR($B373="123456789",$B373="987654321",$B373="012345678",$B373=REPT(LEFT($B373&amp;"",1),9))),"Dependent SSN appears to be a placeholder; ","")&amp;IF(AND($A373&lt;&gt;"",$B373&lt;&gt;"",$A373&amp;""=$B373&amp;""),"Dependent SSN cannot match Employee SSN; ","")&amp;IF(AND($W373&lt;&gt;"",OR(COUNTIFS($W$2:$W$501,$W373,$C$2:$C$501,"&lt;&gt;"&amp;$C373)&gt;0,COUNTIFS($W$2:$W$501,$W373,$D$2:$D$501,"&lt;&gt;"&amp;$D373)&gt;0,COUNTIFS($W$2:$W$501,$W373,$L$2:$L$501,"&lt;&gt;"&amp;$L373)&gt;0)),"The same SSN is associated with a different name or birthdate; ",""))</f>
        <v/>
      </c>
      <c r="AA373">
        <f>IF(COUNTA($A373:$U373)=0,"",IF(AND($A373&lt;&gt;"",$S373&lt;&gt;"",COUNTIFS($A$2:$A$501,$A373,$S$2:$S$501,$S373,$B$2:$B$501,"",$O$2:$O$501,"")=0),"Add an employee row for this household and plan; ","")&amp;IF(AND($X373="Dependent",COUNTIFS($A$2:$A373,$A373,$S$2:$S373,$S373,$B$2:$B373,"",$O$2:$O373,"")=0),"Place the employee row before dependent rows for this plan; ","")&amp;IF(AND($X373="Dependent",COUNTIFS($A$2:$A$501,$A373,$S$2:$S$501,$S373,$B$2:$B$501,"",$O$2:$O$501,"")&gt;0,IFERROR(OR($P373&lt;&gt;LOOKUP(2,1/(($A$2:$A$501=$A373)*($S$2:$S$501=$S373)*($B$2:$B$501="")*($O$2:$O$501="")),$P$2:$P$501),$Q373&lt;&gt;LOOKUP(2,1/(($A$2:$A$501=$A373)*($S$2:$S$501=$S373)*($B$2:$B$501="")*($O$2:$O$501="")),$Q$2:$Q$501),$R373&lt;&gt;LOOKUP(2,1/(($A$2:$A$501=$A373)*($S$2:$S$501=$S373)*($B$2:$B$501="")*($O$2:$O$501="")),$R$2:$R$501),$T373&lt;&gt;LOOKUP(2,1/(($A$2:$A$501=$A373)*($S$2:$S$501=$S373)*($B$2:$B$501="")*($O$2:$O$501="")),$T$2:$T$501),$U373&lt;&gt;LOOKUP(2,1/(($A$2:$A$501=$A373)*($S$2:$S$501=$S373)*($B$2:$B$501="")*($O$2:$O$501="")),$U$2:$U$501)),FALSE)),"Dependent row does not match the employee row for eligibility, status, coverage level, or funding; ",""))</f>
        <v/>
      </c>
      <c r="AB373">
        <f>IF(COUNTA($A373:$U373)=0,"",IF($L373="","Birthdate is required; ","")&amp;IF(AND($L373&lt;&gt;"",OR(NOT(ISNUMBER($L373)),$L373&lt;=DATE(1900,1,1),$L373&gt;TODAY())),"Birthdate must be an exact valid past date; ","")&amp;IF($P373="","Eligibility Date is required; ","")&amp;IF(AND($P373&lt;&gt;"",OR(NOT(ISNUMBER($P373)),$P373&lt;=DATE(1900,1,1))),"Eligibility Date must be a valid date; ","")&amp;IF(AND($R373="Terminated",$Q373=""),"Termination Date is required when Status is Terminated; ","")&amp;IF(AND($Q373&lt;&gt;"",OR(NOT(ISNUMBER($Q373)),$Q373&lt;=DATE(1900,1,1))),"Termination Date must be a valid date; ","")&amp;IF(AND(ISNUMBER($P373),ISNUMBER($Q373),$Q373&lt;$P373),"Termination Date cannot be before Eligibility Date; ","")&amp;IF($R373="","Status is required; ","")&amp;IF(AND($R373&lt;&gt;"",$R373&lt;&gt;"Active",$R373&lt;&gt;"Terminated"),"Status must be Active or Terminated; ","")&amp;IF(AND('START HERE'!$C$8="Terminations Only",$R373&lt;&gt;"Terminated"),"Terminations Only files must contain terminated records; ",""))</f>
        <v/>
      </c>
      <c r="AC373">
        <f>IF(COUNTA($A373:$U373)=0,"",IF($S373="","Plan Name is required; ","")&amp;IF($T373="","Benefit Coverage Level is required; ","")&amp;IF(AND($U373&lt;&gt;"",OR(NOT(ISNUMBER($U373)),$U373&lt;0)),"Plan Funding Amount must be a nonnegative number; ","")&amp;IF(AND($A373&lt;&gt;"",$S373&lt;&gt;"",COUNTIFS($A$2:$A$501,$A373,$B$2:$B$501,$B373,$S$2:$S$501,$S373)&gt;1),"Duplicate participant and plan row; ",""))</f>
        <v/>
      </c>
      <c r="AD373">
        <f>IF(COUNTA($A373:$U373)=0,"",IF(AND($X373="Employee",$M373="",$N373=""),"No employee phone or email provided; ","")&amp;IF(AND($R373="Active",$Q373&lt;&gt;""),"Active record includes a Termination Date; confirm this is intentional; ","")&amp;IF(AND($B373&lt;&gt;"",$B373&amp;""&lt;&gt;$A373&amp;"",COUNTIF($A$2:$A$501,$B373)&gt;0),"Dependent SSN also appears as an Employee SSN elsewhere; confirm dual-employee coverage is intentional; ","")&amp;IF(AND($B373&lt;&gt;"",COUNTIF($B$2:$B$501,$B373)&gt;COUNTIFS($A$2:$A$501,$A373,$B$2:$B$501,$B373)),"Dependent SSN appears under more than one employee; confirm duplicate family coverage is intentional; ","")&amp;IF(AND(ROW()&gt;2,$A373&lt;&gt;"",$A373&lt;&gt;$A372,COUNTIF($A$2:$A372,$A373)&gt;0),"This household appears in more than one section of the census; keep the family together; ","")&amp;IF(OR(AND($C373&lt;&gt;"",LEN($C373&amp;"")&lt;&gt;LEN(TRIM($C373&amp;""))),AND($D373&lt;&gt;"",LEN($D373&amp;"")&lt;&gt;LEN(TRIM($D373&amp;""))),AND($E373&lt;&gt;"",LEN($E373&amp;"")&lt;&gt;LEN(TRIM($E373&amp;""))),AND($F373&lt;&gt;"",LEN($F373&amp;"")&lt;&gt;LEN(TRIM($F373&amp;""))),AND($G373&lt;&gt;"",LEN($G373&amp;"")&lt;&gt;LEN(TRIM($G373&amp;""))),AND($H373&lt;&gt;"",LEN($H373&amp;"")&lt;&gt;LEN(TRIM($H373&amp;""))),AND($I373&lt;&gt;"",LEN($I373&amp;"")&lt;&gt;LEN(TRIM($I373&amp;""))),AND($J373&lt;&gt;"",LEN($J373&amp;"")&lt;&gt;LEN(TRIM($J373&amp;""))),AND($K373&lt;&gt;"",LEN($K373&amp;"")&lt;&gt;LEN(TRIM($K373&amp;""))),AND($M373&lt;&gt;"",LEN($M373&amp;"")&lt;&gt;LEN(TRIM($M373&amp;""))),AND($N373&lt;&gt;"",LEN($N373&amp;"")&lt;&gt;LEN(TRIM($N373&amp;""))),AND($O373&lt;&gt;"",LEN($O373&amp;"")&lt;&gt;LEN(TRIM($O373&amp;""))),AND($R373&lt;&gt;"",LEN($R373&amp;"")&lt;&gt;LEN(TRIM($R373&amp;""))),AND($S373&lt;&gt;"",LEN($S373&amp;"")&lt;&gt;LEN(TRIM($S373&amp;""))),AND($T373&lt;&gt;"",LEN($T373&amp;"")&lt;&gt;LEN(TRIM($T373&amp;"")))),"Remove leading or trailing spaces from text fields; ","")&amp;IF(OR(AND(LEN($C373)&gt;1,OR(EXACT($C373,UPPER($C373)),EXACT($C373,LOWER($C373)))),AND(LEN($D373)&gt;1,OR(EXACT($D373,UPPER($D373)),EXACT($D373,LOWER($D373)))),AND(LEN($H373)&gt;1,OR(EXACT($H373,UPPER($H373)),EXACT($H373,LOWER($H373))))),"Review capitalization in First Name, Last Name, or City; ","")&amp;IF(AND($N373&lt;&gt;"",NOT(EXACT($N373,LOWER($N373)))),"Email will be standardized to lowercase in the clean output; ","")&amp;IF(AND(OR('START HERE'!$C$8="Initial Enrollment",'START HERE'!$C$8="Open Enrollment"),$R373="Terminated"),"A terminated row is included in an initial or open enrollment file; confirm this is intentional; ",""))</f>
        <v/>
      </c>
      <c r="AE373">
        <f>IF(COUNTA($A373:$U373)=0,"",IF(OR($A373="",AND($A373&lt;&gt;"",NOT(IFERROR(AND(LEN($A373&amp;"")=9,ISNUMBER(--($A373&amp;""))),FALSE))),AND($A373&lt;&gt;"",OR($A373="123456789",$A373="987654321",$A373="012345678",$A373=REPT(LEFT($A373&amp;"",1),9)))),"Employee SSN, ","")&amp;IF(OR(AND($O373&lt;&gt;"",$B373=""),AND($B373&lt;&gt;"",OR(NOT(IFERROR(AND(LEN($B373&amp;"")=9,ISNUMBER(--($B373&amp;""))),FALSE)),$B373=$A373,$B373="123456789",$B373="987654321",$B373="012345678",$B373=REPT(LEFT($B373&amp;"",1),9)))),"Dependent SSN, ","")&amp;IF(OR($C373="",LEN($C373)&gt;19,AND($C373&lt;&gt;"",SUMPRODUCT(--(ROW($1:$19)&lt;=LEN($C373&amp;"")),--ISERROR(FIND(MID($C373&amp;"",ROW($1:$19),1),"ABCDEFGHIJKLMNOPQRSTUVWXYZabcdefghijklmnopqrstuvwxyz .,")))&gt;0)),"First Name, ","")&amp;IF(OR($D373="",LEN($D373)&gt;26,AND($D373&lt;&gt;"",SUMPRODUCT(--(ROW($1:$26)&lt;=LEN($D373&amp;"")),--ISERROR(FIND(MID($D373&amp;"",ROW($1:$26),1),"ABCDEFGHIJKLMNOPQRSTUVWXYZabcdefghijklmnopqrstuvwxyz .,")))&gt;0)),"Last Name, ","")&amp;IF(OR(LEN($E373)&gt;1,AND($E373&lt;&gt;"",SUMPRODUCT(--(ROW($1:$1)&lt;=LEN($E373&amp;"")),--ISERROR(FIND(MID($E373&amp;"",ROW($1:$1),1),"ABCDEFGHIJKLMNOPQRSTUVWXYZabcdefghijklmnopqrstuvwxyz .,")))&gt;0)),"Middle Initial, ","")&amp;IF(OR($F373="",LEN($F373)&gt;75),"Address, ","")&amp;IF(OR($H373="",LEN($H373)&gt;30),"City, ","")&amp;IF(AND($K373="US",OR($I373="",LEN($I373)&lt;&gt;2)),"State, ","")&amp;IF($J373="","ZIP, ","")&amp;IF(OR($K373="",AND($K373&lt;&gt;"US",$K373&lt;&gt;"CA")),"Country, ","")&amp;IF(OR($L373="",AND($L373&lt;&gt;"",OR(NOT(ISNUMBER($L373)),$L373&lt;=DATE(1900,1,1),$L373&gt;TODAY()))),"Birthdate, ","")&amp;IF(AND($N373&lt;&gt;"",NOT(IFERROR(AND(ISNUMBER(SEARCH("@",$N373)),ISNUMBER(SEARCH(".",$N373,SEARCH("@",$N373)+2))),FALSE))),"Email, ","")&amp;IF(OR(AND($B373&lt;&gt;"",$O373=""),AND($O373&lt;&gt;"",$O373&lt;&gt;"Spouse or Common Law Spouse",$O373&lt;&gt;"Domestic Partner",$O373&lt;&gt;"Child",$O373&lt;&gt;"Other",$O373&lt;&gt;"Estate",$O373&lt;&gt;"Unknown")),"Dependent Relationship, ","")&amp;IF($AA373&lt;&gt;"","Household, ","")&amp;IF(OR($P373="",AND($P373&lt;&gt;"",OR(NOT(ISNUMBER($P373)),$P373&lt;=DATE(1900,1,1)))),"Eligibility Date, ","")&amp;IF(OR(AND($R373="Terminated",$Q373=""),AND($Q373&lt;&gt;"",OR(NOT(ISNUMBER($Q373)),$Q373&lt;=DATE(1900,1,1))),AND(ISNUMBER($P373),ISNUMBER($Q373),$Q373&lt;$P373)),"Termination Date, ","")&amp;IF(OR($R373="",AND($R373&lt;&gt;"Active",$R373&lt;&gt;"Terminated"),AND('START HERE'!$C$8="Terminations Only",$R373&lt;&gt;"Terminated")),"Status, ","")&amp;IF($S373="","Plan Name, ","")&amp;IF($T373="","Coverage Level, ","")&amp;IF(AND($U373&lt;&gt;"",OR(NOT(ISNUMBER($U373)),$U373&lt;0)),"Funding, ","")&amp;IF(AND($A373&lt;&gt;"",$S373&lt;&gt;"",COUNTIFS($A$2:$A$501,$A373,$B$2:$B$501,$B373,$S$2:$S$501,$S373)&gt;1),"Duplicate Row, ",""))</f>
        <v/>
      </c>
      <c r="AF373">
        <f>IF(COUNTA($A373:$U373)=0,"",$Y373&amp;$Z373&amp;$AA373&amp;$AB373&amp;$AC373)</f>
        <v/>
      </c>
      <c r="AG373">
        <f>IF($N373="","",LOWER(TRIM($N373)))</f>
        <v/>
      </c>
      <c r="AH373">
        <f>IF($A373="","",COUNTIFS($A$2:$A$501,$A373,$AI$2:$AI$501,1))</f>
        <v/>
      </c>
      <c r="AI373">
        <f>IF(COUNTA($A373:$U373)=0,"",--($AF373&lt;&gt;""))</f>
        <v/>
      </c>
      <c r="AJ373">
        <f>IF(COUNTA($A373:$U373)=0,"",--($AD373&lt;&gt;""))</f>
        <v/>
      </c>
    </row>
    <row r="374" ht="20" customHeight="1">
      <c r="A374" s="80" t="n"/>
      <c r="B374" s="80" t="n"/>
      <c r="C374" s="81" t="n"/>
      <c r="D374" s="81" t="n"/>
      <c r="E374" s="80" t="n"/>
      <c r="F374" s="81" t="n"/>
      <c r="G374" s="81" t="n"/>
      <c r="H374" s="81" t="n"/>
      <c r="I374" s="80" t="n"/>
      <c r="J374" s="80" t="n"/>
      <c r="K374" s="80" t="n"/>
      <c r="L374" s="82" t="n"/>
      <c r="M374" s="80" t="n"/>
      <c r="N374" s="80" t="n"/>
      <c r="O374" s="80" t="n"/>
      <c r="P374" s="82" t="n"/>
      <c r="Q374" s="82" t="n"/>
      <c r="R374" s="80" t="n"/>
      <c r="S374" s="80" t="n"/>
      <c r="T374" s="80" t="n"/>
      <c r="U374" s="83" t="n"/>
      <c r="V374">
        <f>IF($A374="","",IF($A374=$A373,$V373,IF($V373="",0,1-$V373)))</f>
        <v/>
      </c>
      <c r="W374">
        <f>IF($B374&lt;&gt;"",$B374,$A374)</f>
        <v/>
      </c>
      <c r="X374">
        <f>IF(COUNTA($A374:$U374)=0,"",IF(OR($B374&lt;&gt;"",$O374&lt;&gt;""),"Dependent","Employee"))</f>
        <v/>
      </c>
      <c r="Y374">
        <f>IF(COUNTA($A374:$U374)=0,"",IF($A374="","Employee SSN is required; ","")&amp;IF($C374="","First Name is required; ","")&amp;IF(LEN($C374&amp;"")&gt;19,"First Name exceeds 19 characters; ","")&amp;IF(AND($C374&lt;&gt;"",SUMPRODUCT(--(ROW($1:$19)&lt;=LEN($C374&amp;"")),--ISERROR(FIND(MID($C374&amp;"",ROW($1:$19),1),"ABCDEFGHIJKLMNOPQRSTUVWXYZabcdefghijklmnopqrstuvwxyz .,")))&gt;0),"First Name contains unsupported or encoded characters; use plain A-Z letters only; ","")&amp;IF($D374="","Last Name is required; ","")&amp;IF(LEN($D374&amp;"")&gt;26,"Last Name exceeds 26 characters; ","")&amp;IF(AND($D374&lt;&gt;"",SUMPRODUCT(--(ROW($1:$26)&lt;=LEN($D374&amp;"")),--ISERROR(FIND(MID($D374&amp;"",ROW($1:$26),1),"ABCDEFGHIJKLMNOPQRSTUVWXYZabcdefghijklmnopqrstuvwxyz .,")))&gt;0),"Last Name contains unsupported or encoded characters; use plain A-Z letters only; ","")&amp;IF(LEN($E374&amp;"")&gt;1,"Middle Initial may contain only one character; ","")&amp;IF(AND($E374&lt;&gt;"",SUMPRODUCT(--(ROW($1:$1)&lt;=LEN($E374&amp;"")),--ISERROR(FIND(MID($E374&amp;"",ROW($1:$1),1),"ABCDEFGHIJKLMNOPQRSTUVWXYZabcdefghijklmnopqrstuvwxyz .,")))&gt;0),"Middle Initial must be a plain A-Z letter; ","")&amp;IF($F374="","Address is required; ","")&amp;IF(LEN($F374&amp;"")&gt;75,"Address exceeds 75 characters; ","")&amp;IF(LEN($G374&amp;"")&gt;75,"Address 2 exceeds 75 characters; ","")&amp;IF($H374="","City is required; ","")&amp;IF(LEN($H374&amp;"")&gt;30,"City exceeds 30 characters; ","")&amp;IF($K374="","Country is required; ","")&amp;IF(AND($K374&lt;&gt;"",$K374&lt;&gt;"US",$K374&lt;&gt;"CA"),"Country must be US or CA; ","")&amp;IF(AND($K374="US",OR($I374="",LEN($I374&amp;"")&lt;&gt;2)),"Use a 2-letter state code; ","")&amp;IF($J374="","ZIP or postal code is required; ","")&amp;IF(AND($K374="US",$J374&lt;&gt;"",NOT(IFERROR(OR(AND(LEN($J374&amp;"")=5,ISNUMBER(--($J374&amp;""))),AND(LEN($J374&amp;"")=9,ISNUMBER(--($J374&amp;""))),AND(LEN($J374&amp;"")=10,MID($J374&amp;"",6,1)="-",ISNUMBER(--SUBSTITUTE($J374&amp;"","-","")))),FALSE))),"US ZIP must be 5 or 9 digits, with an optional ZIP+4 hyphen; ","")&amp;IF(AND($N374&lt;&gt;"",NOT(IFERROR(AND(ISNUMBER(SEARCH("@",$N374)),ISNUMBER(SEARCH(".",$N374,SEARCH("@",$N374)+2))),FALSE))),"Email format appears invalid; ","")&amp;IF(AND($O374&lt;&gt;"",$B374=""),"Dependent SSN is required for every dependent; ","")&amp;IF(AND($B374&lt;&gt;"",$O374=""),"Dependent Relationship is required when Dependent SSN is entered; ","")&amp;IF(AND($O374&lt;&gt;"",$O374&lt;&gt;"Spouse or Common Law Spouse",$O374&lt;&gt;"Domestic Partner",$O374&lt;&gt;"Child",$O374&lt;&gt;"Other",$O374&lt;&gt;"Estate",$O374&lt;&gt;"Unknown"),"Dependent Relationship must use one of the approved options; ",""))</f>
        <v/>
      </c>
      <c r="Z374">
        <f>IF(COUNTA($A374:$U374)=0,"",IF(AND($A374&lt;&gt;"",NOT(IFERROR(AND(LEN($A374&amp;"")=9,ISNUMBER(--($A374&amp;""))),FALSE))),"Employee SSN must contain exactly 9 digits; ","")&amp;IF(AND($A374&lt;&gt;"",OR($A374="123456789",$A374="987654321",$A374="012345678",$A374=REPT(LEFT($A374&amp;"",1),9))),"Employee SSN appears to be a placeholder; ","")&amp;IF(AND($B374&lt;&gt;"",NOT(IFERROR(AND(LEN($B374&amp;"")=9,ISNUMBER(--($B374&amp;""))),FALSE))),"Dependent SSN must contain exactly 9 digits; ","")&amp;IF(AND($B374&lt;&gt;"",OR($B374="123456789",$B374="987654321",$B374="012345678",$B374=REPT(LEFT($B374&amp;"",1),9))),"Dependent SSN appears to be a placeholder; ","")&amp;IF(AND($A374&lt;&gt;"",$B374&lt;&gt;"",$A374&amp;""=$B374&amp;""),"Dependent SSN cannot match Employee SSN; ","")&amp;IF(AND($W374&lt;&gt;"",OR(COUNTIFS($W$2:$W$501,$W374,$C$2:$C$501,"&lt;&gt;"&amp;$C374)&gt;0,COUNTIFS($W$2:$W$501,$W374,$D$2:$D$501,"&lt;&gt;"&amp;$D374)&gt;0,COUNTIFS($W$2:$W$501,$W374,$L$2:$L$501,"&lt;&gt;"&amp;$L374)&gt;0)),"The same SSN is associated with a different name or birthdate; ",""))</f>
        <v/>
      </c>
      <c r="AA374">
        <f>IF(COUNTA($A374:$U374)=0,"",IF(AND($A374&lt;&gt;"",$S374&lt;&gt;"",COUNTIFS($A$2:$A$501,$A374,$S$2:$S$501,$S374,$B$2:$B$501,"",$O$2:$O$501,"")=0),"Add an employee row for this household and plan; ","")&amp;IF(AND($X374="Dependent",COUNTIFS($A$2:$A374,$A374,$S$2:$S374,$S374,$B$2:$B374,"",$O$2:$O374,"")=0),"Place the employee row before dependent rows for this plan; ","")&amp;IF(AND($X374="Dependent",COUNTIFS($A$2:$A$501,$A374,$S$2:$S$501,$S374,$B$2:$B$501,"",$O$2:$O$501,"")&gt;0,IFERROR(OR($P374&lt;&gt;LOOKUP(2,1/(($A$2:$A$501=$A374)*($S$2:$S$501=$S374)*($B$2:$B$501="")*($O$2:$O$501="")),$P$2:$P$501),$Q374&lt;&gt;LOOKUP(2,1/(($A$2:$A$501=$A374)*($S$2:$S$501=$S374)*($B$2:$B$501="")*($O$2:$O$501="")),$Q$2:$Q$501),$R374&lt;&gt;LOOKUP(2,1/(($A$2:$A$501=$A374)*($S$2:$S$501=$S374)*($B$2:$B$501="")*($O$2:$O$501="")),$R$2:$R$501),$T374&lt;&gt;LOOKUP(2,1/(($A$2:$A$501=$A374)*($S$2:$S$501=$S374)*($B$2:$B$501="")*($O$2:$O$501="")),$T$2:$T$501),$U374&lt;&gt;LOOKUP(2,1/(($A$2:$A$501=$A374)*($S$2:$S$501=$S374)*($B$2:$B$501="")*($O$2:$O$501="")),$U$2:$U$501)),FALSE)),"Dependent row does not match the employee row for eligibility, status, coverage level, or funding; ",""))</f>
        <v/>
      </c>
      <c r="AB374">
        <f>IF(COUNTA($A374:$U374)=0,"",IF($L374="","Birthdate is required; ","")&amp;IF(AND($L374&lt;&gt;"",OR(NOT(ISNUMBER($L374)),$L374&lt;=DATE(1900,1,1),$L374&gt;TODAY())),"Birthdate must be an exact valid past date; ","")&amp;IF($P374="","Eligibility Date is required; ","")&amp;IF(AND($P374&lt;&gt;"",OR(NOT(ISNUMBER($P374)),$P374&lt;=DATE(1900,1,1))),"Eligibility Date must be a valid date; ","")&amp;IF(AND($R374="Terminated",$Q374=""),"Termination Date is required when Status is Terminated; ","")&amp;IF(AND($Q374&lt;&gt;"",OR(NOT(ISNUMBER($Q374)),$Q374&lt;=DATE(1900,1,1))),"Termination Date must be a valid date; ","")&amp;IF(AND(ISNUMBER($P374),ISNUMBER($Q374),$Q374&lt;$P374),"Termination Date cannot be before Eligibility Date; ","")&amp;IF($R374="","Status is required; ","")&amp;IF(AND($R374&lt;&gt;"",$R374&lt;&gt;"Active",$R374&lt;&gt;"Terminated"),"Status must be Active or Terminated; ","")&amp;IF(AND('START HERE'!$C$8="Terminations Only",$R374&lt;&gt;"Terminated"),"Terminations Only files must contain terminated records; ",""))</f>
        <v/>
      </c>
      <c r="AC374">
        <f>IF(COUNTA($A374:$U374)=0,"",IF($S374="","Plan Name is required; ","")&amp;IF($T374="","Benefit Coverage Level is required; ","")&amp;IF(AND($U374&lt;&gt;"",OR(NOT(ISNUMBER($U374)),$U374&lt;0)),"Plan Funding Amount must be a nonnegative number; ","")&amp;IF(AND($A374&lt;&gt;"",$S374&lt;&gt;"",COUNTIFS($A$2:$A$501,$A374,$B$2:$B$501,$B374,$S$2:$S$501,$S374)&gt;1),"Duplicate participant and plan row; ",""))</f>
        <v/>
      </c>
      <c r="AD374">
        <f>IF(COUNTA($A374:$U374)=0,"",IF(AND($X374="Employee",$M374="",$N374=""),"No employee phone or email provided; ","")&amp;IF(AND($R374="Active",$Q374&lt;&gt;""),"Active record includes a Termination Date; confirm this is intentional; ","")&amp;IF(AND($B374&lt;&gt;"",$B374&amp;""&lt;&gt;$A374&amp;"",COUNTIF($A$2:$A$501,$B374)&gt;0),"Dependent SSN also appears as an Employee SSN elsewhere; confirm dual-employee coverage is intentional; ","")&amp;IF(AND($B374&lt;&gt;"",COUNTIF($B$2:$B$501,$B374)&gt;COUNTIFS($A$2:$A$501,$A374,$B$2:$B$501,$B374)),"Dependent SSN appears under more than one employee; confirm duplicate family coverage is intentional; ","")&amp;IF(AND(ROW()&gt;2,$A374&lt;&gt;"",$A374&lt;&gt;$A373,COUNTIF($A$2:$A373,$A374)&gt;0),"This household appears in more than one section of the census; keep the family together; ","")&amp;IF(OR(AND($C374&lt;&gt;"",LEN($C374&amp;"")&lt;&gt;LEN(TRIM($C374&amp;""))),AND($D374&lt;&gt;"",LEN($D374&amp;"")&lt;&gt;LEN(TRIM($D374&amp;""))),AND($E374&lt;&gt;"",LEN($E374&amp;"")&lt;&gt;LEN(TRIM($E374&amp;""))),AND($F374&lt;&gt;"",LEN($F374&amp;"")&lt;&gt;LEN(TRIM($F374&amp;""))),AND($G374&lt;&gt;"",LEN($G374&amp;"")&lt;&gt;LEN(TRIM($G374&amp;""))),AND($H374&lt;&gt;"",LEN($H374&amp;"")&lt;&gt;LEN(TRIM($H374&amp;""))),AND($I374&lt;&gt;"",LEN($I374&amp;"")&lt;&gt;LEN(TRIM($I374&amp;""))),AND($J374&lt;&gt;"",LEN($J374&amp;"")&lt;&gt;LEN(TRIM($J374&amp;""))),AND($K374&lt;&gt;"",LEN($K374&amp;"")&lt;&gt;LEN(TRIM($K374&amp;""))),AND($M374&lt;&gt;"",LEN($M374&amp;"")&lt;&gt;LEN(TRIM($M374&amp;""))),AND($N374&lt;&gt;"",LEN($N374&amp;"")&lt;&gt;LEN(TRIM($N374&amp;""))),AND($O374&lt;&gt;"",LEN($O374&amp;"")&lt;&gt;LEN(TRIM($O374&amp;""))),AND($R374&lt;&gt;"",LEN($R374&amp;"")&lt;&gt;LEN(TRIM($R374&amp;""))),AND($S374&lt;&gt;"",LEN($S374&amp;"")&lt;&gt;LEN(TRIM($S374&amp;""))),AND($T374&lt;&gt;"",LEN($T374&amp;"")&lt;&gt;LEN(TRIM($T374&amp;"")))),"Remove leading or trailing spaces from text fields; ","")&amp;IF(OR(AND(LEN($C374)&gt;1,OR(EXACT($C374,UPPER($C374)),EXACT($C374,LOWER($C374)))),AND(LEN($D374)&gt;1,OR(EXACT($D374,UPPER($D374)),EXACT($D374,LOWER($D374)))),AND(LEN($H374)&gt;1,OR(EXACT($H374,UPPER($H374)),EXACT($H374,LOWER($H374))))),"Review capitalization in First Name, Last Name, or City; ","")&amp;IF(AND($N374&lt;&gt;"",NOT(EXACT($N374,LOWER($N374)))),"Email will be standardized to lowercase in the clean output; ","")&amp;IF(AND(OR('START HERE'!$C$8="Initial Enrollment",'START HERE'!$C$8="Open Enrollment"),$R374="Terminated"),"A terminated row is included in an initial or open enrollment file; confirm this is intentional; ",""))</f>
        <v/>
      </c>
      <c r="AE374">
        <f>IF(COUNTA($A374:$U374)=0,"",IF(OR($A374="",AND($A374&lt;&gt;"",NOT(IFERROR(AND(LEN($A374&amp;"")=9,ISNUMBER(--($A374&amp;""))),FALSE))),AND($A374&lt;&gt;"",OR($A374="123456789",$A374="987654321",$A374="012345678",$A374=REPT(LEFT($A374&amp;"",1),9)))),"Employee SSN, ","")&amp;IF(OR(AND($O374&lt;&gt;"",$B374=""),AND($B374&lt;&gt;"",OR(NOT(IFERROR(AND(LEN($B374&amp;"")=9,ISNUMBER(--($B374&amp;""))),FALSE)),$B374=$A374,$B374="123456789",$B374="987654321",$B374="012345678",$B374=REPT(LEFT($B374&amp;"",1),9)))),"Dependent SSN, ","")&amp;IF(OR($C374="",LEN($C374)&gt;19,AND($C374&lt;&gt;"",SUMPRODUCT(--(ROW($1:$19)&lt;=LEN($C374&amp;"")),--ISERROR(FIND(MID($C374&amp;"",ROW($1:$19),1),"ABCDEFGHIJKLMNOPQRSTUVWXYZabcdefghijklmnopqrstuvwxyz .,")))&gt;0)),"First Name, ","")&amp;IF(OR($D374="",LEN($D374)&gt;26,AND($D374&lt;&gt;"",SUMPRODUCT(--(ROW($1:$26)&lt;=LEN($D374&amp;"")),--ISERROR(FIND(MID($D374&amp;"",ROW($1:$26),1),"ABCDEFGHIJKLMNOPQRSTUVWXYZabcdefghijklmnopqrstuvwxyz .,")))&gt;0)),"Last Name, ","")&amp;IF(OR(LEN($E374)&gt;1,AND($E374&lt;&gt;"",SUMPRODUCT(--(ROW($1:$1)&lt;=LEN($E374&amp;"")),--ISERROR(FIND(MID($E374&amp;"",ROW($1:$1),1),"ABCDEFGHIJKLMNOPQRSTUVWXYZabcdefghijklmnopqrstuvwxyz .,")))&gt;0)),"Middle Initial, ","")&amp;IF(OR($F374="",LEN($F374)&gt;75),"Address, ","")&amp;IF(OR($H374="",LEN($H374)&gt;30),"City, ","")&amp;IF(AND($K374="US",OR($I374="",LEN($I374)&lt;&gt;2)),"State, ","")&amp;IF($J374="","ZIP, ","")&amp;IF(OR($K374="",AND($K374&lt;&gt;"US",$K374&lt;&gt;"CA")),"Country, ","")&amp;IF(OR($L374="",AND($L374&lt;&gt;"",OR(NOT(ISNUMBER($L374)),$L374&lt;=DATE(1900,1,1),$L374&gt;TODAY()))),"Birthdate, ","")&amp;IF(AND($N374&lt;&gt;"",NOT(IFERROR(AND(ISNUMBER(SEARCH("@",$N374)),ISNUMBER(SEARCH(".",$N374,SEARCH("@",$N374)+2))),FALSE))),"Email, ","")&amp;IF(OR(AND($B374&lt;&gt;"",$O374=""),AND($O374&lt;&gt;"",$O374&lt;&gt;"Spouse or Common Law Spouse",$O374&lt;&gt;"Domestic Partner",$O374&lt;&gt;"Child",$O374&lt;&gt;"Other",$O374&lt;&gt;"Estate",$O374&lt;&gt;"Unknown")),"Dependent Relationship, ","")&amp;IF($AA374&lt;&gt;"","Household, ","")&amp;IF(OR($P374="",AND($P374&lt;&gt;"",OR(NOT(ISNUMBER($P374)),$P374&lt;=DATE(1900,1,1)))),"Eligibility Date, ","")&amp;IF(OR(AND($R374="Terminated",$Q374=""),AND($Q374&lt;&gt;"",OR(NOT(ISNUMBER($Q374)),$Q374&lt;=DATE(1900,1,1))),AND(ISNUMBER($P374),ISNUMBER($Q374),$Q374&lt;$P374)),"Termination Date, ","")&amp;IF(OR($R374="",AND($R374&lt;&gt;"Active",$R374&lt;&gt;"Terminated"),AND('START HERE'!$C$8="Terminations Only",$R374&lt;&gt;"Terminated")),"Status, ","")&amp;IF($S374="","Plan Name, ","")&amp;IF($T374="","Coverage Level, ","")&amp;IF(AND($U374&lt;&gt;"",OR(NOT(ISNUMBER($U374)),$U374&lt;0)),"Funding, ","")&amp;IF(AND($A374&lt;&gt;"",$S374&lt;&gt;"",COUNTIFS($A$2:$A$501,$A374,$B$2:$B$501,$B374,$S$2:$S$501,$S374)&gt;1),"Duplicate Row, ",""))</f>
        <v/>
      </c>
      <c r="AF374">
        <f>IF(COUNTA($A374:$U374)=0,"",$Y374&amp;$Z374&amp;$AA374&amp;$AB374&amp;$AC374)</f>
        <v/>
      </c>
      <c r="AG374">
        <f>IF($N374="","",LOWER(TRIM($N374)))</f>
        <v/>
      </c>
      <c r="AH374">
        <f>IF($A374="","",COUNTIFS($A$2:$A$501,$A374,$AI$2:$AI$501,1))</f>
        <v/>
      </c>
      <c r="AI374">
        <f>IF(COUNTA($A374:$U374)=0,"",--($AF374&lt;&gt;""))</f>
        <v/>
      </c>
      <c r="AJ374">
        <f>IF(COUNTA($A374:$U374)=0,"",--($AD374&lt;&gt;""))</f>
        <v/>
      </c>
    </row>
    <row r="375" ht="20" customHeight="1">
      <c r="A375" s="80" t="n"/>
      <c r="B375" s="80" t="n"/>
      <c r="C375" s="81" t="n"/>
      <c r="D375" s="81" t="n"/>
      <c r="E375" s="80" t="n"/>
      <c r="F375" s="81" t="n"/>
      <c r="G375" s="81" t="n"/>
      <c r="H375" s="81" t="n"/>
      <c r="I375" s="80" t="n"/>
      <c r="J375" s="80" t="n"/>
      <c r="K375" s="80" t="n"/>
      <c r="L375" s="82" t="n"/>
      <c r="M375" s="80" t="n"/>
      <c r="N375" s="80" t="n"/>
      <c r="O375" s="80" t="n"/>
      <c r="P375" s="82" t="n"/>
      <c r="Q375" s="82" t="n"/>
      <c r="R375" s="80" t="n"/>
      <c r="S375" s="80" t="n"/>
      <c r="T375" s="80" t="n"/>
      <c r="U375" s="83" t="n"/>
      <c r="V375">
        <f>IF($A375="","",IF($A375=$A374,$V374,IF($V374="",0,1-$V374)))</f>
        <v/>
      </c>
      <c r="W375">
        <f>IF($B375&lt;&gt;"",$B375,$A375)</f>
        <v/>
      </c>
      <c r="X375">
        <f>IF(COUNTA($A375:$U375)=0,"",IF(OR($B375&lt;&gt;"",$O375&lt;&gt;""),"Dependent","Employee"))</f>
        <v/>
      </c>
      <c r="Y375">
        <f>IF(COUNTA($A375:$U375)=0,"",IF($A375="","Employee SSN is required; ","")&amp;IF($C375="","First Name is required; ","")&amp;IF(LEN($C375&amp;"")&gt;19,"First Name exceeds 19 characters; ","")&amp;IF(AND($C375&lt;&gt;"",SUMPRODUCT(--(ROW($1:$19)&lt;=LEN($C375&amp;"")),--ISERROR(FIND(MID($C375&amp;"",ROW($1:$19),1),"ABCDEFGHIJKLMNOPQRSTUVWXYZabcdefghijklmnopqrstuvwxyz .,")))&gt;0),"First Name contains unsupported or encoded characters; use plain A-Z letters only; ","")&amp;IF($D375="","Last Name is required; ","")&amp;IF(LEN($D375&amp;"")&gt;26,"Last Name exceeds 26 characters; ","")&amp;IF(AND($D375&lt;&gt;"",SUMPRODUCT(--(ROW($1:$26)&lt;=LEN($D375&amp;"")),--ISERROR(FIND(MID($D375&amp;"",ROW($1:$26),1),"ABCDEFGHIJKLMNOPQRSTUVWXYZabcdefghijklmnopqrstuvwxyz .,")))&gt;0),"Last Name contains unsupported or encoded characters; use plain A-Z letters only; ","")&amp;IF(LEN($E375&amp;"")&gt;1,"Middle Initial may contain only one character; ","")&amp;IF(AND($E375&lt;&gt;"",SUMPRODUCT(--(ROW($1:$1)&lt;=LEN($E375&amp;"")),--ISERROR(FIND(MID($E375&amp;"",ROW($1:$1),1),"ABCDEFGHIJKLMNOPQRSTUVWXYZabcdefghijklmnopqrstuvwxyz .,")))&gt;0),"Middle Initial must be a plain A-Z letter; ","")&amp;IF($F375="","Address is required; ","")&amp;IF(LEN($F375&amp;"")&gt;75,"Address exceeds 75 characters; ","")&amp;IF(LEN($G375&amp;"")&gt;75,"Address 2 exceeds 75 characters; ","")&amp;IF($H375="","City is required; ","")&amp;IF(LEN($H375&amp;"")&gt;30,"City exceeds 30 characters; ","")&amp;IF($K375="","Country is required; ","")&amp;IF(AND($K375&lt;&gt;"",$K375&lt;&gt;"US",$K375&lt;&gt;"CA"),"Country must be US or CA; ","")&amp;IF(AND($K375="US",OR($I375="",LEN($I375&amp;"")&lt;&gt;2)),"Use a 2-letter state code; ","")&amp;IF($J375="","ZIP or postal code is required; ","")&amp;IF(AND($K375="US",$J375&lt;&gt;"",NOT(IFERROR(OR(AND(LEN($J375&amp;"")=5,ISNUMBER(--($J375&amp;""))),AND(LEN($J375&amp;"")=9,ISNUMBER(--($J375&amp;""))),AND(LEN($J375&amp;"")=10,MID($J375&amp;"",6,1)="-",ISNUMBER(--SUBSTITUTE($J375&amp;"","-","")))),FALSE))),"US ZIP must be 5 or 9 digits, with an optional ZIP+4 hyphen; ","")&amp;IF(AND($N375&lt;&gt;"",NOT(IFERROR(AND(ISNUMBER(SEARCH("@",$N375)),ISNUMBER(SEARCH(".",$N375,SEARCH("@",$N375)+2))),FALSE))),"Email format appears invalid; ","")&amp;IF(AND($O375&lt;&gt;"",$B375=""),"Dependent SSN is required for every dependent; ","")&amp;IF(AND($B375&lt;&gt;"",$O375=""),"Dependent Relationship is required when Dependent SSN is entered; ","")&amp;IF(AND($O375&lt;&gt;"",$O375&lt;&gt;"Spouse or Common Law Spouse",$O375&lt;&gt;"Domestic Partner",$O375&lt;&gt;"Child",$O375&lt;&gt;"Other",$O375&lt;&gt;"Estate",$O375&lt;&gt;"Unknown"),"Dependent Relationship must use one of the approved options; ",""))</f>
        <v/>
      </c>
      <c r="Z375">
        <f>IF(COUNTA($A375:$U375)=0,"",IF(AND($A375&lt;&gt;"",NOT(IFERROR(AND(LEN($A375&amp;"")=9,ISNUMBER(--($A375&amp;""))),FALSE))),"Employee SSN must contain exactly 9 digits; ","")&amp;IF(AND($A375&lt;&gt;"",OR($A375="123456789",$A375="987654321",$A375="012345678",$A375=REPT(LEFT($A375&amp;"",1),9))),"Employee SSN appears to be a placeholder; ","")&amp;IF(AND($B375&lt;&gt;"",NOT(IFERROR(AND(LEN($B375&amp;"")=9,ISNUMBER(--($B375&amp;""))),FALSE))),"Dependent SSN must contain exactly 9 digits; ","")&amp;IF(AND($B375&lt;&gt;"",OR($B375="123456789",$B375="987654321",$B375="012345678",$B375=REPT(LEFT($B375&amp;"",1),9))),"Dependent SSN appears to be a placeholder; ","")&amp;IF(AND($A375&lt;&gt;"",$B375&lt;&gt;"",$A375&amp;""=$B375&amp;""),"Dependent SSN cannot match Employee SSN; ","")&amp;IF(AND($W375&lt;&gt;"",OR(COUNTIFS($W$2:$W$501,$W375,$C$2:$C$501,"&lt;&gt;"&amp;$C375)&gt;0,COUNTIFS($W$2:$W$501,$W375,$D$2:$D$501,"&lt;&gt;"&amp;$D375)&gt;0,COUNTIFS($W$2:$W$501,$W375,$L$2:$L$501,"&lt;&gt;"&amp;$L375)&gt;0)),"The same SSN is associated with a different name or birthdate; ",""))</f>
        <v/>
      </c>
      <c r="AA375">
        <f>IF(COUNTA($A375:$U375)=0,"",IF(AND($A375&lt;&gt;"",$S375&lt;&gt;"",COUNTIFS($A$2:$A$501,$A375,$S$2:$S$501,$S375,$B$2:$B$501,"",$O$2:$O$501,"")=0),"Add an employee row for this household and plan; ","")&amp;IF(AND($X375="Dependent",COUNTIFS($A$2:$A375,$A375,$S$2:$S375,$S375,$B$2:$B375,"",$O$2:$O375,"")=0),"Place the employee row before dependent rows for this plan; ","")&amp;IF(AND($X375="Dependent",COUNTIFS($A$2:$A$501,$A375,$S$2:$S$501,$S375,$B$2:$B$501,"",$O$2:$O$501,"")&gt;0,IFERROR(OR($P375&lt;&gt;LOOKUP(2,1/(($A$2:$A$501=$A375)*($S$2:$S$501=$S375)*($B$2:$B$501="")*($O$2:$O$501="")),$P$2:$P$501),$Q375&lt;&gt;LOOKUP(2,1/(($A$2:$A$501=$A375)*($S$2:$S$501=$S375)*($B$2:$B$501="")*($O$2:$O$501="")),$Q$2:$Q$501),$R375&lt;&gt;LOOKUP(2,1/(($A$2:$A$501=$A375)*($S$2:$S$501=$S375)*($B$2:$B$501="")*($O$2:$O$501="")),$R$2:$R$501),$T375&lt;&gt;LOOKUP(2,1/(($A$2:$A$501=$A375)*($S$2:$S$501=$S375)*($B$2:$B$501="")*($O$2:$O$501="")),$T$2:$T$501),$U375&lt;&gt;LOOKUP(2,1/(($A$2:$A$501=$A375)*($S$2:$S$501=$S375)*($B$2:$B$501="")*($O$2:$O$501="")),$U$2:$U$501)),FALSE)),"Dependent row does not match the employee row for eligibility, status, coverage level, or funding; ",""))</f>
        <v/>
      </c>
      <c r="AB375">
        <f>IF(COUNTA($A375:$U375)=0,"",IF($L375="","Birthdate is required; ","")&amp;IF(AND($L375&lt;&gt;"",OR(NOT(ISNUMBER($L375)),$L375&lt;=DATE(1900,1,1),$L375&gt;TODAY())),"Birthdate must be an exact valid past date; ","")&amp;IF($P375="","Eligibility Date is required; ","")&amp;IF(AND($P375&lt;&gt;"",OR(NOT(ISNUMBER($P375)),$P375&lt;=DATE(1900,1,1))),"Eligibility Date must be a valid date; ","")&amp;IF(AND($R375="Terminated",$Q375=""),"Termination Date is required when Status is Terminated; ","")&amp;IF(AND($Q375&lt;&gt;"",OR(NOT(ISNUMBER($Q375)),$Q375&lt;=DATE(1900,1,1))),"Termination Date must be a valid date; ","")&amp;IF(AND(ISNUMBER($P375),ISNUMBER($Q375),$Q375&lt;$P375),"Termination Date cannot be before Eligibility Date; ","")&amp;IF($R375="","Status is required; ","")&amp;IF(AND($R375&lt;&gt;"",$R375&lt;&gt;"Active",$R375&lt;&gt;"Terminated"),"Status must be Active or Terminated; ","")&amp;IF(AND('START HERE'!$C$8="Terminations Only",$R375&lt;&gt;"Terminated"),"Terminations Only files must contain terminated records; ",""))</f>
        <v/>
      </c>
      <c r="AC375">
        <f>IF(COUNTA($A375:$U375)=0,"",IF($S375="","Plan Name is required; ","")&amp;IF($T375="","Benefit Coverage Level is required; ","")&amp;IF(AND($U375&lt;&gt;"",OR(NOT(ISNUMBER($U375)),$U375&lt;0)),"Plan Funding Amount must be a nonnegative number; ","")&amp;IF(AND($A375&lt;&gt;"",$S375&lt;&gt;"",COUNTIFS($A$2:$A$501,$A375,$B$2:$B$501,$B375,$S$2:$S$501,$S375)&gt;1),"Duplicate participant and plan row; ",""))</f>
        <v/>
      </c>
      <c r="AD375">
        <f>IF(COUNTA($A375:$U375)=0,"",IF(AND($X375="Employee",$M375="",$N375=""),"No employee phone or email provided; ","")&amp;IF(AND($R375="Active",$Q375&lt;&gt;""),"Active record includes a Termination Date; confirm this is intentional; ","")&amp;IF(AND($B375&lt;&gt;"",$B375&amp;""&lt;&gt;$A375&amp;"",COUNTIF($A$2:$A$501,$B375)&gt;0),"Dependent SSN also appears as an Employee SSN elsewhere; confirm dual-employee coverage is intentional; ","")&amp;IF(AND($B375&lt;&gt;"",COUNTIF($B$2:$B$501,$B375)&gt;COUNTIFS($A$2:$A$501,$A375,$B$2:$B$501,$B375)),"Dependent SSN appears under more than one employee; confirm duplicate family coverage is intentional; ","")&amp;IF(AND(ROW()&gt;2,$A375&lt;&gt;"",$A375&lt;&gt;$A374,COUNTIF($A$2:$A374,$A375)&gt;0),"This household appears in more than one section of the census; keep the family together; ","")&amp;IF(OR(AND($C375&lt;&gt;"",LEN($C375&amp;"")&lt;&gt;LEN(TRIM($C375&amp;""))),AND($D375&lt;&gt;"",LEN($D375&amp;"")&lt;&gt;LEN(TRIM($D375&amp;""))),AND($E375&lt;&gt;"",LEN($E375&amp;"")&lt;&gt;LEN(TRIM($E375&amp;""))),AND($F375&lt;&gt;"",LEN($F375&amp;"")&lt;&gt;LEN(TRIM($F375&amp;""))),AND($G375&lt;&gt;"",LEN($G375&amp;"")&lt;&gt;LEN(TRIM($G375&amp;""))),AND($H375&lt;&gt;"",LEN($H375&amp;"")&lt;&gt;LEN(TRIM($H375&amp;""))),AND($I375&lt;&gt;"",LEN($I375&amp;"")&lt;&gt;LEN(TRIM($I375&amp;""))),AND($J375&lt;&gt;"",LEN($J375&amp;"")&lt;&gt;LEN(TRIM($J375&amp;""))),AND($K375&lt;&gt;"",LEN($K375&amp;"")&lt;&gt;LEN(TRIM($K375&amp;""))),AND($M375&lt;&gt;"",LEN($M375&amp;"")&lt;&gt;LEN(TRIM($M375&amp;""))),AND($N375&lt;&gt;"",LEN($N375&amp;"")&lt;&gt;LEN(TRIM($N375&amp;""))),AND($O375&lt;&gt;"",LEN($O375&amp;"")&lt;&gt;LEN(TRIM($O375&amp;""))),AND($R375&lt;&gt;"",LEN($R375&amp;"")&lt;&gt;LEN(TRIM($R375&amp;""))),AND($S375&lt;&gt;"",LEN($S375&amp;"")&lt;&gt;LEN(TRIM($S375&amp;""))),AND($T375&lt;&gt;"",LEN($T375&amp;"")&lt;&gt;LEN(TRIM($T375&amp;"")))),"Remove leading or trailing spaces from text fields; ","")&amp;IF(OR(AND(LEN($C375)&gt;1,OR(EXACT($C375,UPPER($C375)),EXACT($C375,LOWER($C375)))),AND(LEN($D375)&gt;1,OR(EXACT($D375,UPPER($D375)),EXACT($D375,LOWER($D375)))),AND(LEN($H375)&gt;1,OR(EXACT($H375,UPPER($H375)),EXACT($H375,LOWER($H375))))),"Review capitalization in First Name, Last Name, or City; ","")&amp;IF(AND($N375&lt;&gt;"",NOT(EXACT($N375,LOWER($N375)))),"Email will be standardized to lowercase in the clean output; ","")&amp;IF(AND(OR('START HERE'!$C$8="Initial Enrollment",'START HERE'!$C$8="Open Enrollment"),$R375="Terminated"),"A terminated row is included in an initial or open enrollment file; confirm this is intentional; ",""))</f>
        <v/>
      </c>
      <c r="AE375">
        <f>IF(COUNTA($A375:$U375)=0,"",IF(OR($A375="",AND($A375&lt;&gt;"",NOT(IFERROR(AND(LEN($A375&amp;"")=9,ISNUMBER(--($A375&amp;""))),FALSE))),AND($A375&lt;&gt;"",OR($A375="123456789",$A375="987654321",$A375="012345678",$A375=REPT(LEFT($A375&amp;"",1),9)))),"Employee SSN, ","")&amp;IF(OR(AND($O375&lt;&gt;"",$B375=""),AND($B375&lt;&gt;"",OR(NOT(IFERROR(AND(LEN($B375&amp;"")=9,ISNUMBER(--($B375&amp;""))),FALSE)),$B375=$A375,$B375="123456789",$B375="987654321",$B375="012345678",$B375=REPT(LEFT($B375&amp;"",1),9)))),"Dependent SSN, ","")&amp;IF(OR($C375="",LEN($C375)&gt;19,AND($C375&lt;&gt;"",SUMPRODUCT(--(ROW($1:$19)&lt;=LEN($C375&amp;"")),--ISERROR(FIND(MID($C375&amp;"",ROW($1:$19),1),"ABCDEFGHIJKLMNOPQRSTUVWXYZabcdefghijklmnopqrstuvwxyz .,")))&gt;0)),"First Name, ","")&amp;IF(OR($D375="",LEN($D375)&gt;26,AND($D375&lt;&gt;"",SUMPRODUCT(--(ROW($1:$26)&lt;=LEN($D375&amp;"")),--ISERROR(FIND(MID($D375&amp;"",ROW($1:$26),1),"ABCDEFGHIJKLMNOPQRSTUVWXYZabcdefghijklmnopqrstuvwxyz .,")))&gt;0)),"Last Name, ","")&amp;IF(OR(LEN($E375)&gt;1,AND($E375&lt;&gt;"",SUMPRODUCT(--(ROW($1:$1)&lt;=LEN($E375&amp;"")),--ISERROR(FIND(MID($E375&amp;"",ROW($1:$1),1),"ABCDEFGHIJKLMNOPQRSTUVWXYZabcdefghijklmnopqrstuvwxyz .,")))&gt;0)),"Middle Initial, ","")&amp;IF(OR($F375="",LEN($F375)&gt;75),"Address, ","")&amp;IF(OR($H375="",LEN($H375)&gt;30),"City, ","")&amp;IF(AND($K375="US",OR($I375="",LEN($I375)&lt;&gt;2)),"State, ","")&amp;IF($J375="","ZIP, ","")&amp;IF(OR($K375="",AND($K375&lt;&gt;"US",$K375&lt;&gt;"CA")),"Country, ","")&amp;IF(OR($L375="",AND($L375&lt;&gt;"",OR(NOT(ISNUMBER($L375)),$L375&lt;=DATE(1900,1,1),$L375&gt;TODAY()))),"Birthdate, ","")&amp;IF(AND($N375&lt;&gt;"",NOT(IFERROR(AND(ISNUMBER(SEARCH("@",$N375)),ISNUMBER(SEARCH(".",$N375,SEARCH("@",$N375)+2))),FALSE))),"Email, ","")&amp;IF(OR(AND($B375&lt;&gt;"",$O375=""),AND($O375&lt;&gt;"",$O375&lt;&gt;"Spouse or Common Law Spouse",$O375&lt;&gt;"Domestic Partner",$O375&lt;&gt;"Child",$O375&lt;&gt;"Other",$O375&lt;&gt;"Estate",$O375&lt;&gt;"Unknown")),"Dependent Relationship, ","")&amp;IF($AA375&lt;&gt;"","Household, ","")&amp;IF(OR($P375="",AND($P375&lt;&gt;"",OR(NOT(ISNUMBER($P375)),$P375&lt;=DATE(1900,1,1)))),"Eligibility Date, ","")&amp;IF(OR(AND($R375="Terminated",$Q375=""),AND($Q375&lt;&gt;"",OR(NOT(ISNUMBER($Q375)),$Q375&lt;=DATE(1900,1,1))),AND(ISNUMBER($P375),ISNUMBER($Q375),$Q375&lt;$P375)),"Termination Date, ","")&amp;IF(OR($R375="",AND($R375&lt;&gt;"Active",$R375&lt;&gt;"Terminated"),AND('START HERE'!$C$8="Terminations Only",$R375&lt;&gt;"Terminated")),"Status, ","")&amp;IF($S375="","Plan Name, ","")&amp;IF($T375="","Coverage Level, ","")&amp;IF(AND($U375&lt;&gt;"",OR(NOT(ISNUMBER($U375)),$U375&lt;0)),"Funding, ","")&amp;IF(AND($A375&lt;&gt;"",$S375&lt;&gt;"",COUNTIFS($A$2:$A$501,$A375,$B$2:$B$501,$B375,$S$2:$S$501,$S375)&gt;1),"Duplicate Row, ",""))</f>
        <v/>
      </c>
      <c r="AF375">
        <f>IF(COUNTA($A375:$U375)=0,"",$Y375&amp;$Z375&amp;$AA375&amp;$AB375&amp;$AC375)</f>
        <v/>
      </c>
      <c r="AG375">
        <f>IF($N375="","",LOWER(TRIM($N375)))</f>
        <v/>
      </c>
      <c r="AH375">
        <f>IF($A375="","",COUNTIFS($A$2:$A$501,$A375,$AI$2:$AI$501,1))</f>
        <v/>
      </c>
      <c r="AI375">
        <f>IF(COUNTA($A375:$U375)=0,"",--($AF375&lt;&gt;""))</f>
        <v/>
      </c>
      <c r="AJ375">
        <f>IF(COUNTA($A375:$U375)=0,"",--($AD375&lt;&gt;""))</f>
        <v/>
      </c>
    </row>
    <row r="376" ht="20" customHeight="1">
      <c r="A376" s="80" t="n"/>
      <c r="B376" s="80" t="n"/>
      <c r="C376" s="81" t="n"/>
      <c r="D376" s="81" t="n"/>
      <c r="E376" s="80" t="n"/>
      <c r="F376" s="81" t="n"/>
      <c r="G376" s="81" t="n"/>
      <c r="H376" s="81" t="n"/>
      <c r="I376" s="80" t="n"/>
      <c r="J376" s="80" t="n"/>
      <c r="K376" s="80" t="n"/>
      <c r="L376" s="82" t="n"/>
      <c r="M376" s="80" t="n"/>
      <c r="N376" s="80" t="n"/>
      <c r="O376" s="80" t="n"/>
      <c r="P376" s="82" t="n"/>
      <c r="Q376" s="82" t="n"/>
      <c r="R376" s="80" t="n"/>
      <c r="S376" s="80" t="n"/>
      <c r="T376" s="80" t="n"/>
      <c r="U376" s="83" t="n"/>
      <c r="V376">
        <f>IF($A376="","",IF($A376=$A375,$V375,IF($V375="",0,1-$V375)))</f>
        <v/>
      </c>
      <c r="W376">
        <f>IF($B376&lt;&gt;"",$B376,$A376)</f>
        <v/>
      </c>
      <c r="X376">
        <f>IF(COUNTA($A376:$U376)=0,"",IF(OR($B376&lt;&gt;"",$O376&lt;&gt;""),"Dependent","Employee"))</f>
        <v/>
      </c>
      <c r="Y376">
        <f>IF(COUNTA($A376:$U376)=0,"",IF($A376="","Employee SSN is required; ","")&amp;IF($C376="","First Name is required; ","")&amp;IF(LEN($C376&amp;"")&gt;19,"First Name exceeds 19 characters; ","")&amp;IF(AND($C376&lt;&gt;"",SUMPRODUCT(--(ROW($1:$19)&lt;=LEN($C376&amp;"")),--ISERROR(FIND(MID($C376&amp;"",ROW($1:$19),1),"ABCDEFGHIJKLMNOPQRSTUVWXYZabcdefghijklmnopqrstuvwxyz .,")))&gt;0),"First Name contains unsupported or encoded characters; use plain A-Z letters only; ","")&amp;IF($D376="","Last Name is required; ","")&amp;IF(LEN($D376&amp;"")&gt;26,"Last Name exceeds 26 characters; ","")&amp;IF(AND($D376&lt;&gt;"",SUMPRODUCT(--(ROW($1:$26)&lt;=LEN($D376&amp;"")),--ISERROR(FIND(MID($D376&amp;"",ROW($1:$26),1),"ABCDEFGHIJKLMNOPQRSTUVWXYZabcdefghijklmnopqrstuvwxyz .,")))&gt;0),"Last Name contains unsupported or encoded characters; use plain A-Z letters only; ","")&amp;IF(LEN($E376&amp;"")&gt;1,"Middle Initial may contain only one character; ","")&amp;IF(AND($E376&lt;&gt;"",SUMPRODUCT(--(ROW($1:$1)&lt;=LEN($E376&amp;"")),--ISERROR(FIND(MID($E376&amp;"",ROW($1:$1),1),"ABCDEFGHIJKLMNOPQRSTUVWXYZabcdefghijklmnopqrstuvwxyz .,")))&gt;0),"Middle Initial must be a plain A-Z letter; ","")&amp;IF($F376="","Address is required; ","")&amp;IF(LEN($F376&amp;"")&gt;75,"Address exceeds 75 characters; ","")&amp;IF(LEN($G376&amp;"")&gt;75,"Address 2 exceeds 75 characters; ","")&amp;IF($H376="","City is required; ","")&amp;IF(LEN($H376&amp;"")&gt;30,"City exceeds 30 characters; ","")&amp;IF($K376="","Country is required; ","")&amp;IF(AND($K376&lt;&gt;"",$K376&lt;&gt;"US",$K376&lt;&gt;"CA"),"Country must be US or CA; ","")&amp;IF(AND($K376="US",OR($I376="",LEN($I376&amp;"")&lt;&gt;2)),"Use a 2-letter state code; ","")&amp;IF($J376="","ZIP or postal code is required; ","")&amp;IF(AND($K376="US",$J376&lt;&gt;"",NOT(IFERROR(OR(AND(LEN($J376&amp;"")=5,ISNUMBER(--($J376&amp;""))),AND(LEN($J376&amp;"")=9,ISNUMBER(--($J376&amp;""))),AND(LEN($J376&amp;"")=10,MID($J376&amp;"",6,1)="-",ISNUMBER(--SUBSTITUTE($J376&amp;"","-","")))),FALSE))),"US ZIP must be 5 or 9 digits, with an optional ZIP+4 hyphen; ","")&amp;IF(AND($N376&lt;&gt;"",NOT(IFERROR(AND(ISNUMBER(SEARCH("@",$N376)),ISNUMBER(SEARCH(".",$N376,SEARCH("@",$N376)+2))),FALSE))),"Email format appears invalid; ","")&amp;IF(AND($O376&lt;&gt;"",$B376=""),"Dependent SSN is required for every dependent; ","")&amp;IF(AND($B376&lt;&gt;"",$O376=""),"Dependent Relationship is required when Dependent SSN is entered; ","")&amp;IF(AND($O376&lt;&gt;"",$O376&lt;&gt;"Spouse or Common Law Spouse",$O376&lt;&gt;"Domestic Partner",$O376&lt;&gt;"Child",$O376&lt;&gt;"Other",$O376&lt;&gt;"Estate",$O376&lt;&gt;"Unknown"),"Dependent Relationship must use one of the approved options; ",""))</f>
        <v/>
      </c>
      <c r="Z376">
        <f>IF(COUNTA($A376:$U376)=0,"",IF(AND($A376&lt;&gt;"",NOT(IFERROR(AND(LEN($A376&amp;"")=9,ISNUMBER(--($A376&amp;""))),FALSE))),"Employee SSN must contain exactly 9 digits; ","")&amp;IF(AND($A376&lt;&gt;"",OR($A376="123456789",$A376="987654321",$A376="012345678",$A376=REPT(LEFT($A376&amp;"",1),9))),"Employee SSN appears to be a placeholder; ","")&amp;IF(AND($B376&lt;&gt;"",NOT(IFERROR(AND(LEN($B376&amp;"")=9,ISNUMBER(--($B376&amp;""))),FALSE))),"Dependent SSN must contain exactly 9 digits; ","")&amp;IF(AND($B376&lt;&gt;"",OR($B376="123456789",$B376="987654321",$B376="012345678",$B376=REPT(LEFT($B376&amp;"",1),9))),"Dependent SSN appears to be a placeholder; ","")&amp;IF(AND($A376&lt;&gt;"",$B376&lt;&gt;"",$A376&amp;""=$B376&amp;""),"Dependent SSN cannot match Employee SSN; ","")&amp;IF(AND($W376&lt;&gt;"",OR(COUNTIFS($W$2:$W$501,$W376,$C$2:$C$501,"&lt;&gt;"&amp;$C376)&gt;0,COUNTIFS($W$2:$W$501,$W376,$D$2:$D$501,"&lt;&gt;"&amp;$D376)&gt;0,COUNTIFS($W$2:$W$501,$W376,$L$2:$L$501,"&lt;&gt;"&amp;$L376)&gt;0)),"The same SSN is associated with a different name or birthdate; ",""))</f>
        <v/>
      </c>
      <c r="AA376">
        <f>IF(COUNTA($A376:$U376)=0,"",IF(AND($A376&lt;&gt;"",$S376&lt;&gt;"",COUNTIFS($A$2:$A$501,$A376,$S$2:$S$501,$S376,$B$2:$B$501,"",$O$2:$O$501,"")=0),"Add an employee row for this household and plan; ","")&amp;IF(AND($X376="Dependent",COUNTIFS($A$2:$A376,$A376,$S$2:$S376,$S376,$B$2:$B376,"",$O$2:$O376,"")=0),"Place the employee row before dependent rows for this plan; ","")&amp;IF(AND($X376="Dependent",COUNTIFS($A$2:$A$501,$A376,$S$2:$S$501,$S376,$B$2:$B$501,"",$O$2:$O$501,"")&gt;0,IFERROR(OR($P376&lt;&gt;LOOKUP(2,1/(($A$2:$A$501=$A376)*($S$2:$S$501=$S376)*($B$2:$B$501="")*($O$2:$O$501="")),$P$2:$P$501),$Q376&lt;&gt;LOOKUP(2,1/(($A$2:$A$501=$A376)*($S$2:$S$501=$S376)*($B$2:$B$501="")*($O$2:$O$501="")),$Q$2:$Q$501),$R376&lt;&gt;LOOKUP(2,1/(($A$2:$A$501=$A376)*($S$2:$S$501=$S376)*($B$2:$B$501="")*($O$2:$O$501="")),$R$2:$R$501),$T376&lt;&gt;LOOKUP(2,1/(($A$2:$A$501=$A376)*($S$2:$S$501=$S376)*($B$2:$B$501="")*($O$2:$O$501="")),$T$2:$T$501),$U376&lt;&gt;LOOKUP(2,1/(($A$2:$A$501=$A376)*($S$2:$S$501=$S376)*($B$2:$B$501="")*($O$2:$O$501="")),$U$2:$U$501)),FALSE)),"Dependent row does not match the employee row for eligibility, status, coverage level, or funding; ",""))</f>
        <v/>
      </c>
      <c r="AB376">
        <f>IF(COUNTA($A376:$U376)=0,"",IF($L376="","Birthdate is required; ","")&amp;IF(AND($L376&lt;&gt;"",OR(NOT(ISNUMBER($L376)),$L376&lt;=DATE(1900,1,1),$L376&gt;TODAY())),"Birthdate must be an exact valid past date; ","")&amp;IF($P376="","Eligibility Date is required; ","")&amp;IF(AND($P376&lt;&gt;"",OR(NOT(ISNUMBER($P376)),$P376&lt;=DATE(1900,1,1))),"Eligibility Date must be a valid date; ","")&amp;IF(AND($R376="Terminated",$Q376=""),"Termination Date is required when Status is Terminated; ","")&amp;IF(AND($Q376&lt;&gt;"",OR(NOT(ISNUMBER($Q376)),$Q376&lt;=DATE(1900,1,1))),"Termination Date must be a valid date; ","")&amp;IF(AND(ISNUMBER($P376),ISNUMBER($Q376),$Q376&lt;$P376),"Termination Date cannot be before Eligibility Date; ","")&amp;IF($R376="","Status is required; ","")&amp;IF(AND($R376&lt;&gt;"",$R376&lt;&gt;"Active",$R376&lt;&gt;"Terminated"),"Status must be Active or Terminated; ","")&amp;IF(AND('START HERE'!$C$8="Terminations Only",$R376&lt;&gt;"Terminated"),"Terminations Only files must contain terminated records; ",""))</f>
        <v/>
      </c>
      <c r="AC376">
        <f>IF(COUNTA($A376:$U376)=0,"",IF($S376="","Plan Name is required; ","")&amp;IF($T376="","Benefit Coverage Level is required; ","")&amp;IF(AND($U376&lt;&gt;"",OR(NOT(ISNUMBER($U376)),$U376&lt;0)),"Plan Funding Amount must be a nonnegative number; ","")&amp;IF(AND($A376&lt;&gt;"",$S376&lt;&gt;"",COUNTIFS($A$2:$A$501,$A376,$B$2:$B$501,$B376,$S$2:$S$501,$S376)&gt;1),"Duplicate participant and plan row; ",""))</f>
        <v/>
      </c>
      <c r="AD376">
        <f>IF(COUNTA($A376:$U376)=0,"",IF(AND($X376="Employee",$M376="",$N376=""),"No employee phone or email provided; ","")&amp;IF(AND($R376="Active",$Q376&lt;&gt;""),"Active record includes a Termination Date; confirm this is intentional; ","")&amp;IF(AND($B376&lt;&gt;"",$B376&amp;""&lt;&gt;$A376&amp;"",COUNTIF($A$2:$A$501,$B376)&gt;0),"Dependent SSN also appears as an Employee SSN elsewhere; confirm dual-employee coverage is intentional; ","")&amp;IF(AND($B376&lt;&gt;"",COUNTIF($B$2:$B$501,$B376)&gt;COUNTIFS($A$2:$A$501,$A376,$B$2:$B$501,$B376)),"Dependent SSN appears under more than one employee; confirm duplicate family coverage is intentional; ","")&amp;IF(AND(ROW()&gt;2,$A376&lt;&gt;"",$A376&lt;&gt;$A375,COUNTIF($A$2:$A375,$A376)&gt;0),"This household appears in more than one section of the census; keep the family together; ","")&amp;IF(OR(AND($C376&lt;&gt;"",LEN($C376&amp;"")&lt;&gt;LEN(TRIM($C376&amp;""))),AND($D376&lt;&gt;"",LEN($D376&amp;"")&lt;&gt;LEN(TRIM($D376&amp;""))),AND($E376&lt;&gt;"",LEN($E376&amp;"")&lt;&gt;LEN(TRIM($E376&amp;""))),AND($F376&lt;&gt;"",LEN($F376&amp;"")&lt;&gt;LEN(TRIM($F376&amp;""))),AND($G376&lt;&gt;"",LEN($G376&amp;"")&lt;&gt;LEN(TRIM($G376&amp;""))),AND($H376&lt;&gt;"",LEN($H376&amp;"")&lt;&gt;LEN(TRIM($H376&amp;""))),AND($I376&lt;&gt;"",LEN($I376&amp;"")&lt;&gt;LEN(TRIM($I376&amp;""))),AND($J376&lt;&gt;"",LEN($J376&amp;"")&lt;&gt;LEN(TRIM($J376&amp;""))),AND($K376&lt;&gt;"",LEN($K376&amp;"")&lt;&gt;LEN(TRIM($K376&amp;""))),AND($M376&lt;&gt;"",LEN($M376&amp;"")&lt;&gt;LEN(TRIM($M376&amp;""))),AND($N376&lt;&gt;"",LEN($N376&amp;"")&lt;&gt;LEN(TRIM($N376&amp;""))),AND($O376&lt;&gt;"",LEN($O376&amp;"")&lt;&gt;LEN(TRIM($O376&amp;""))),AND($R376&lt;&gt;"",LEN($R376&amp;"")&lt;&gt;LEN(TRIM($R376&amp;""))),AND($S376&lt;&gt;"",LEN($S376&amp;"")&lt;&gt;LEN(TRIM($S376&amp;""))),AND($T376&lt;&gt;"",LEN($T376&amp;"")&lt;&gt;LEN(TRIM($T376&amp;"")))),"Remove leading or trailing spaces from text fields; ","")&amp;IF(OR(AND(LEN($C376)&gt;1,OR(EXACT($C376,UPPER($C376)),EXACT($C376,LOWER($C376)))),AND(LEN($D376)&gt;1,OR(EXACT($D376,UPPER($D376)),EXACT($D376,LOWER($D376)))),AND(LEN($H376)&gt;1,OR(EXACT($H376,UPPER($H376)),EXACT($H376,LOWER($H376))))),"Review capitalization in First Name, Last Name, or City; ","")&amp;IF(AND($N376&lt;&gt;"",NOT(EXACT($N376,LOWER($N376)))),"Email will be standardized to lowercase in the clean output; ","")&amp;IF(AND(OR('START HERE'!$C$8="Initial Enrollment",'START HERE'!$C$8="Open Enrollment"),$R376="Terminated"),"A terminated row is included in an initial or open enrollment file; confirm this is intentional; ",""))</f>
        <v/>
      </c>
      <c r="AE376">
        <f>IF(COUNTA($A376:$U376)=0,"",IF(OR($A376="",AND($A376&lt;&gt;"",NOT(IFERROR(AND(LEN($A376&amp;"")=9,ISNUMBER(--($A376&amp;""))),FALSE))),AND($A376&lt;&gt;"",OR($A376="123456789",$A376="987654321",$A376="012345678",$A376=REPT(LEFT($A376&amp;"",1),9)))),"Employee SSN, ","")&amp;IF(OR(AND($O376&lt;&gt;"",$B376=""),AND($B376&lt;&gt;"",OR(NOT(IFERROR(AND(LEN($B376&amp;"")=9,ISNUMBER(--($B376&amp;""))),FALSE)),$B376=$A376,$B376="123456789",$B376="987654321",$B376="012345678",$B376=REPT(LEFT($B376&amp;"",1),9)))),"Dependent SSN, ","")&amp;IF(OR($C376="",LEN($C376)&gt;19,AND($C376&lt;&gt;"",SUMPRODUCT(--(ROW($1:$19)&lt;=LEN($C376&amp;"")),--ISERROR(FIND(MID($C376&amp;"",ROW($1:$19),1),"ABCDEFGHIJKLMNOPQRSTUVWXYZabcdefghijklmnopqrstuvwxyz .,")))&gt;0)),"First Name, ","")&amp;IF(OR($D376="",LEN($D376)&gt;26,AND($D376&lt;&gt;"",SUMPRODUCT(--(ROW($1:$26)&lt;=LEN($D376&amp;"")),--ISERROR(FIND(MID($D376&amp;"",ROW($1:$26),1),"ABCDEFGHIJKLMNOPQRSTUVWXYZabcdefghijklmnopqrstuvwxyz .,")))&gt;0)),"Last Name, ","")&amp;IF(OR(LEN($E376)&gt;1,AND($E376&lt;&gt;"",SUMPRODUCT(--(ROW($1:$1)&lt;=LEN($E376&amp;"")),--ISERROR(FIND(MID($E376&amp;"",ROW($1:$1),1),"ABCDEFGHIJKLMNOPQRSTUVWXYZabcdefghijklmnopqrstuvwxyz .,")))&gt;0)),"Middle Initial, ","")&amp;IF(OR($F376="",LEN($F376)&gt;75),"Address, ","")&amp;IF(OR($H376="",LEN($H376)&gt;30),"City, ","")&amp;IF(AND($K376="US",OR($I376="",LEN($I376)&lt;&gt;2)),"State, ","")&amp;IF($J376="","ZIP, ","")&amp;IF(OR($K376="",AND($K376&lt;&gt;"US",$K376&lt;&gt;"CA")),"Country, ","")&amp;IF(OR($L376="",AND($L376&lt;&gt;"",OR(NOT(ISNUMBER($L376)),$L376&lt;=DATE(1900,1,1),$L376&gt;TODAY()))),"Birthdate, ","")&amp;IF(AND($N376&lt;&gt;"",NOT(IFERROR(AND(ISNUMBER(SEARCH("@",$N376)),ISNUMBER(SEARCH(".",$N376,SEARCH("@",$N376)+2))),FALSE))),"Email, ","")&amp;IF(OR(AND($B376&lt;&gt;"",$O376=""),AND($O376&lt;&gt;"",$O376&lt;&gt;"Spouse or Common Law Spouse",$O376&lt;&gt;"Domestic Partner",$O376&lt;&gt;"Child",$O376&lt;&gt;"Other",$O376&lt;&gt;"Estate",$O376&lt;&gt;"Unknown")),"Dependent Relationship, ","")&amp;IF($AA376&lt;&gt;"","Household, ","")&amp;IF(OR($P376="",AND($P376&lt;&gt;"",OR(NOT(ISNUMBER($P376)),$P376&lt;=DATE(1900,1,1)))),"Eligibility Date, ","")&amp;IF(OR(AND($R376="Terminated",$Q376=""),AND($Q376&lt;&gt;"",OR(NOT(ISNUMBER($Q376)),$Q376&lt;=DATE(1900,1,1))),AND(ISNUMBER($P376),ISNUMBER($Q376),$Q376&lt;$P376)),"Termination Date, ","")&amp;IF(OR($R376="",AND($R376&lt;&gt;"Active",$R376&lt;&gt;"Terminated"),AND('START HERE'!$C$8="Terminations Only",$R376&lt;&gt;"Terminated")),"Status, ","")&amp;IF($S376="","Plan Name, ","")&amp;IF($T376="","Coverage Level, ","")&amp;IF(AND($U376&lt;&gt;"",OR(NOT(ISNUMBER($U376)),$U376&lt;0)),"Funding, ","")&amp;IF(AND($A376&lt;&gt;"",$S376&lt;&gt;"",COUNTIFS($A$2:$A$501,$A376,$B$2:$B$501,$B376,$S$2:$S$501,$S376)&gt;1),"Duplicate Row, ",""))</f>
        <v/>
      </c>
      <c r="AF376">
        <f>IF(COUNTA($A376:$U376)=0,"",$Y376&amp;$Z376&amp;$AA376&amp;$AB376&amp;$AC376)</f>
        <v/>
      </c>
      <c r="AG376">
        <f>IF($N376="","",LOWER(TRIM($N376)))</f>
        <v/>
      </c>
      <c r="AH376">
        <f>IF($A376="","",COUNTIFS($A$2:$A$501,$A376,$AI$2:$AI$501,1))</f>
        <v/>
      </c>
      <c r="AI376">
        <f>IF(COUNTA($A376:$U376)=0,"",--($AF376&lt;&gt;""))</f>
        <v/>
      </c>
      <c r="AJ376">
        <f>IF(COUNTA($A376:$U376)=0,"",--($AD376&lt;&gt;""))</f>
        <v/>
      </c>
    </row>
    <row r="377" ht="20" customHeight="1">
      <c r="A377" s="80" t="n"/>
      <c r="B377" s="80" t="n"/>
      <c r="C377" s="81" t="n"/>
      <c r="D377" s="81" t="n"/>
      <c r="E377" s="80" t="n"/>
      <c r="F377" s="81" t="n"/>
      <c r="G377" s="81" t="n"/>
      <c r="H377" s="81" t="n"/>
      <c r="I377" s="80" t="n"/>
      <c r="J377" s="80" t="n"/>
      <c r="K377" s="80" t="n"/>
      <c r="L377" s="82" t="n"/>
      <c r="M377" s="80" t="n"/>
      <c r="N377" s="80" t="n"/>
      <c r="O377" s="80" t="n"/>
      <c r="P377" s="82" t="n"/>
      <c r="Q377" s="82" t="n"/>
      <c r="R377" s="80" t="n"/>
      <c r="S377" s="80" t="n"/>
      <c r="T377" s="80" t="n"/>
      <c r="U377" s="83" t="n"/>
      <c r="V377">
        <f>IF($A377="","",IF($A377=$A376,$V376,IF($V376="",0,1-$V376)))</f>
        <v/>
      </c>
      <c r="W377">
        <f>IF($B377&lt;&gt;"",$B377,$A377)</f>
        <v/>
      </c>
      <c r="X377">
        <f>IF(COUNTA($A377:$U377)=0,"",IF(OR($B377&lt;&gt;"",$O377&lt;&gt;""),"Dependent","Employee"))</f>
        <v/>
      </c>
      <c r="Y377">
        <f>IF(COUNTA($A377:$U377)=0,"",IF($A377="","Employee SSN is required; ","")&amp;IF($C377="","First Name is required; ","")&amp;IF(LEN($C377&amp;"")&gt;19,"First Name exceeds 19 characters; ","")&amp;IF(AND($C377&lt;&gt;"",SUMPRODUCT(--(ROW($1:$19)&lt;=LEN($C377&amp;"")),--ISERROR(FIND(MID($C377&amp;"",ROW($1:$19),1),"ABCDEFGHIJKLMNOPQRSTUVWXYZabcdefghijklmnopqrstuvwxyz .,")))&gt;0),"First Name contains unsupported or encoded characters; use plain A-Z letters only; ","")&amp;IF($D377="","Last Name is required; ","")&amp;IF(LEN($D377&amp;"")&gt;26,"Last Name exceeds 26 characters; ","")&amp;IF(AND($D377&lt;&gt;"",SUMPRODUCT(--(ROW($1:$26)&lt;=LEN($D377&amp;"")),--ISERROR(FIND(MID($D377&amp;"",ROW($1:$26),1),"ABCDEFGHIJKLMNOPQRSTUVWXYZabcdefghijklmnopqrstuvwxyz .,")))&gt;0),"Last Name contains unsupported or encoded characters; use plain A-Z letters only; ","")&amp;IF(LEN($E377&amp;"")&gt;1,"Middle Initial may contain only one character; ","")&amp;IF(AND($E377&lt;&gt;"",SUMPRODUCT(--(ROW($1:$1)&lt;=LEN($E377&amp;"")),--ISERROR(FIND(MID($E377&amp;"",ROW($1:$1),1),"ABCDEFGHIJKLMNOPQRSTUVWXYZabcdefghijklmnopqrstuvwxyz .,")))&gt;0),"Middle Initial must be a plain A-Z letter; ","")&amp;IF($F377="","Address is required; ","")&amp;IF(LEN($F377&amp;"")&gt;75,"Address exceeds 75 characters; ","")&amp;IF(LEN($G377&amp;"")&gt;75,"Address 2 exceeds 75 characters; ","")&amp;IF($H377="","City is required; ","")&amp;IF(LEN($H377&amp;"")&gt;30,"City exceeds 30 characters; ","")&amp;IF($K377="","Country is required; ","")&amp;IF(AND($K377&lt;&gt;"",$K377&lt;&gt;"US",$K377&lt;&gt;"CA"),"Country must be US or CA; ","")&amp;IF(AND($K377="US",OR($I377="",LEN($I377&amp;"")&lt;&gt;2)),"Use a 2-letter state code; ","")&amp;IF($J377="","ZIP or postal code is required; ","")&amp;IF(AND($K377="US",$J377&lt;&gt;"",NOT(IFERROR(OR(AND(LEN($J377&amp;"")=5,ISNUMBER(--($J377&amp;""))),AND(LEN($J377&amp;"")=9,ISNUMBER(--($J377&amp;""))),AND(LEN($J377&amp;"")=10,MID($J377&amp;"",6,1)="-",ISNUMBER(--SUBSTITUTE($J377&amp;"","-","")))),FALSE))),"US ZIP must be 5 or 9 digits, with an optional ZIP+4 hyphen; ","")&amp;IF(AND($N377&lt;&gt;"",NOT(IFERROR(AND(ISNUMBER(SEARCH("@",$N377)),ISNUMBER(SEARCH(".",$N377,SEARCH("@",$N377)+2))),FALSE))),"Email format appears invalid; ","")&amp;IF(AND($O377&lt;&gt;"",$B377=""),"Dependent SSN is required for every dependent; ","")&amp;IF(AND($B377&lt;&gt;"",$O377=""),"Dependent Relationship is required when Dependent SSN is entered; ","")&amp;IF(AND($O377&lt;&gt;"",$O377&lt;&gt;"Spouse or Common Law Spouse",$O377&lt;&gt;"Domestic Partner",$O377&lt;&gt;"Child",$O377&lt;&gt;"Other",$O377&lt;&gt;"Estate",$O377&lt;&gt;"Unknown"),"Dependent Relationship must use one of the approved options; ",""))</f>
        <v/>
      </c>
      <c r="Z377">
        <f>IF(COUNTA($A377:$U377)=0,"",IF(AND($A377&lt;&gt;"",NOT(IFERROR(AND(LEN($A377&amp;"")=9,ISNUMBER(--($A377&amp;""))),FALSE))),"Employee SSN must contain exactly 9 digits; ","")&amp;IF(AND($A377&lt;&gt;"",OR($A377="123456789",$A377="987654321",$A377="012345678",$A377=REPT(LEFT($A377&amp;"",1),9))),"Employee SSN appears to be a placeholder; ","")&amp;IF(AND($B377&lt;&gt;"",NOT(IFERROR(AND(LEN($B377&amp;"")=9,ISNUMBER(--($B377&amp;""))),FALSE))),"Dependent SSN must contain exactly 9 digits; ","")&amp;IF(AND($B377&lt;&gt;"",OR($B377="123456789",$B377="987654321",$B377="012345678",$B377=REPT(LEFT($B377&amp;"",1),9))),"Dependent SSN appears to be a placeholder; ","")&amp;IF(AND($A377&lt;&gt;"",$B377&lt;&gt;"",$A377&amp;""=$B377&amp;""),"Dependent SSN cannot match Employee SSN; ","")&amp;IF(AND($W377&lt;&gt;"",OR(COUNTIFS($W$2:$W$501,$W377,$C$2:$C$501,"&lt;&gt;"&amp;$C377)&gt;0,COUNTIFS($W$2:$W$501,$W377,$D$2:$D$501,"&lt;&gt;"&amp;$D377)&gt;0,COUNTIFS($W$2:$W$501,$W377,$L$2:$L$501,"&lt;&gt;"&amp;$L377)&gt;0)),"The same SSN is associated with a different name or birthdate; ",""))</f>
        <v/>
      </c>
      <c r="AA377">
        <f>IF(COUNTA($A377:$U377)=0,"",IF(AND($A377&lt;&gt;"",$S377&lt;&gt;"",COUNTIFS($A$2:$A$501,$A377,$S$2:$S$501,$S377,$B$2:$B$501,"",$O$2:$O$501,"")=0),"Add an employee row for this household and plan; ","")&amp;IF(AND($X377="Dependent",COUNTIFS($A$2:$A377,$A377,$S$2:$S377,$S377,$B$2:$B377,"",$O$2:$O377,"")=0),"Place the employee row before dependent rows for this plan; ","")&amp;IF(AND($X377="Dependent",COUNTIFS($A$2:$A$501,$A377,$S$2:$S$501,$S377,$B$2:$B$501,"",$O$2:$O$501,"")&gt;0,IFERROR(OR($P377&lt;&gt;LOOKUP(2,1/(($A$2:$A$501=$A377)*($S$2:$S$501=$S377)*($B$2:$B$501="")*($O$2:$O$501="")),$P$2:$P$501),$Q377&lt;&gt;LOOKUP(2,1/(($A$2:$A$501=$A377)*($S$2:$S$501=$S377)*($B$2:$B$501="")*($O$2:$O$501="")),$Q$2:$Q$501),$R377&lt;&gt;LOOKUP(2,1/(($A$2:$A$501=$A377)*($S$2:$S$501=$S377)*($B$2:$B$501="")*($O$2:$O$501="")),$R$2:$R$501),$T377&lt;&gt;LOOKUP(2,1/(($A$2:$A$501=$A377)*($S$2:$S$501=$S377)*($B$2:$B$501="")*($O$2:$O$501="")),$T$2:$T$501),$U377&lt;&gt;LOOKUP(2,1/(($A$2:$A$501=$A377)*($S$2:$S$501=$S377)*($B$2:$B$501="")*($O$2:$O$501="")),$U$2:$U$501)),FALSE)),"Dependent row does not match the employee row for eligibility, status, coverage level, or funding; ",""))</f>
        <v/>
      </c>
      <c r="AB377">
        <f>IF(COUNTA($A377:$U377)=0,"",IF($L377="","Birthdate is required; ","")&amp;IF(AND($L377&lt;&gt;"",OR(NOT(ISNUMBER($L377)),$L377&lt;=DATE(1900,1,1),$L377&gt;TODAY())),"Birthdate must be an exact valid past date; ","")&amp;IF($P377="","Eligibility Date is required; ","")&amp;IF(AND($P377&lt;&gt;"",OR(NOT(ISNUMBER($P377)),$P377&lt;=DATE(1900,1,1))),"Eligibility Date must be a valid date; ","")&amp;IF(AND($R377="Terminated",$Q377=""),"Termination Date is required when Status is Terminated; ","")&amp;IF(AND($Q377&lt;&gt;"",OR(NOT(ISNUMBER($Q377)),$Q377&lt;=DATE(1900,1,1))),"Termination Date must be a valid date; ","")&amp;IF(AND(ISNUMBER($P377),ISNUMBER($Q377),$Q377&lt;$P377),"Termination Date cannot be before Eligibility Date; ","")&amp;IF($R377="","Status is required; ","")&amp;IF(AND($R377&lt;&gt;"",$R377&lt;&gt;"Active",$R377&lt;&gt;"Terminated"),"Status must be Active or Terminated; ","")&amp;IF(AND('START HERE'!$C$8="Terminations Only",$R377&lt;&gt;"Terminated"),"Terminations Only files must contain terminated records; ",""))</f>
        <v/>
      </c>
      <c r="AC377">
        <f>IF(COUNTA($A377:$U377)=0,"",IF($S377="","Plan Name is required; ","")&amp;IF($T377="","Benefit Coverage Level is required; ","")&amp;IF(AND($U377&lt;&gt;"",OR(NOT(ISNUMBER($U377)),$U377&lt;0)),"Plan Funding Amount must be a nonnegative number; ","")&amp;IF(AND($A377&lt;&gt;"",$S377&lt;&gt;"",COUNTIFS($A$2:$A$501,$A377,$B$2:$B$501,$B377,$S$2:$S$501,$S377)&gt;1),"Duplicate participant and plan row; ",""))</f>
        <v/>
      </c>
      <c r="AD377">
        <f>IF(COUNTA($A377:$U377)=0,"",IF(AND($X377="Employee",$M377="",$N377=""),"No employee phone or email provided; ","")&amp;IF(AND($R377="Active",$Q377&lt;&gt;""),"Active record includes a Termination Date; confirm this is intentional; ","")&amp;IF(AND($B377&lt;&gt;"",$B377&amp;""&lt;&gt;$A377&amp;"",COUNTIF($A$2:$A$501,$B377)&gt;0),"Dependent SSN also appears as an Employee SSN elsewhere; confirm dual-employee coverage is intentional; ","")&amp;IF(AND($B377&lt;&gt;"",COUNTIF($B$2:$B$501,$B377)&gt;COUNTIFS($A$2:$A$501,$A377,$B$2:$B$501,$B377)),"Dependent SSN appears under more than one employee; confirm duplicate family coverage is intentional; ","")&amp;IF(AND(ROW()&gt;2,$A377&lt;&gt;"",$A377&lt;&gt;$A376,COUNTIF($A$2:$A376,$A377)&gt;0),"This household appears in more than one section of the census; keep the family together; ","")&amp;IF(OR(AND($C377&lt;&gt;"",LEN($C377&amp;"")&lt;&gt;LEN(TRIM($C377&amp;""))),AND($D377&lt;&gt;"",LEN($D377&amp;"")&lt;&gt;LEN(TRIM($D377&amp;""))),AND($E377&lt;&gt;"",LEN($E377&amp;"")&lt;&gt;LEN(TRIM($E377&amp;""))),AND($F377&lt;&gt;"",LEN($F377&amp;"")&lt;&gt;LEN(TRIM($F377&amp;""))),AND($G377&lt;&gt;"",LEN($G377&amp;"")&lt;&gt;LEN(TRIM($G377&amp;""))),AND($H377&lt;&gt;"",LEN($H377&amp;"")&lt;&gt;LEN(TRIM($H377&amp;""))),AND($I377&lt;&gt;"",LEN($I377&amp;"")&lt;&gt;LEN(TRIM($I377&amp;""))),AND($J377&lt;&gt;"",LEN($J377&amp;"")&lt;&gt;LEN(TRIM($J377&amp;""))),AND($K377&lt;&gt;"",LEN($K377&amp;"")&lt;&gt;LEN(TRIM($K377&amp;""))),AND($M377&lt;&gt;"",LEN($M377&amp;"")&lt;&gt;LEN(TRIM($M377&amp;""))),AND($N377&lt;&gt;"",LEN($N377&amp;"")&lt;&gt;LEN(TRIM($N377&amp;""))),AND($O377&lt;&gt;"",LEN($O377&amp;"")&lt;&gt;LEN(TRIM($O377&amp;""))),AND($R377&lt;&gt;"",LEN($R377&amp;"")&lt;&gt;LEN(TRIM($R377&amp;""))),AND($S377&lt;&gt;"",LEN($S377&amp;"")&lt;&gt;LEN(TRIM($S377&amp;""))),AND($T377&lt;&gt;"",LEN($T377&amp;"")&lt;&gt;LEN(TRIM($T377&amp;"")))),"Remove leading or trailing spaces from text fields; ","")&amp;IF(OR(AND(LEN($C377)&gt;1,OR(EXACT($C377,UPPER($C377)),EXACT($C377,LOWER($C377)))),AND(LEN($D377)&gt;1,OR(EXACT($D377,UPPER($D377)),EXACT($D377,LOWER($D377)))),AND(LEN($H377)&gt;1,OR(EXACT($H377,UPPER($H377)),EXACT($H377,LOWER($H377))))),"Review capitalization in First Name, Last Name, or City; ","")&amp;IF(AND($N377&lt;&gt;"",NOT(EXACT($N377,LOWER($N377)))),"Email will be standardized to lowercase in the clean output; ","")&amp;IF(AND(OR('START HERE'!$C$8="Initial Enrollment",'START HERE'!$C$8="Open Enrollment"),$R377="Terminated"),"A terminated row is included in an initial or open enrollment file; confirm this is intentional; ",""))</f>
        <v/>
      </c>
      <c r="AE377">
        <f>IF(COUNTA($A377:$U377)=0,"",IF(OR($A377="",AND($A377&lt;&gt;"",NOT(IFERROR(AND(LEN($A377&amp;"")=9,ISNUMBER(--($A377&amp;""))),FALSE))),AND($A377&lt;&gt;"",OR($A377="123456789",$A377="987654321",$A377="012345678",$A377=REPT(LEFT($A377&amp;"",1),9)))),"Employee SSN, ","")&amp;IF(OR(AND($O377&lt;&gt;"",$B377=""),AND($B377&lt;&gt;"",OR(NOT(IFERROR(AND(LEN($B377&amp;"")=9,ISNUMBER(--($B377&amp;""))),FALSE)),$B377=$A377,$B377="123456789",$B377="987654321",$B377="012345678",$B377=REPT(LEFT($B377&amp;"",1),9)))),"Dependent SSN, ","")&amp;IF(OR($C377="",LEN($C377)&gt;19,AND($C377&lt;&gt;"",SUMPRODUCT(--(ROW($1:$19)&lt;=LEN($C377&amp;"")),--ISERROR(FIND(MID($C377&amp;"",ROW($1:$19),1),"ABCDEFGHIJKLMNOPQRSTUVWXYZabcdefghijklmnopqrstuvwxyz .,")))&gt;0)),"First Name, ","")&amp;IF(OR($D377="",LEN($D377)&gt;26,AND($D377&lt;&gt;"",SUMPRODUCT(--(ROW($1:$26)&lt;=LEN($D377&amp;"")),--ISERROR(FIND(MID($D377&amp;"",ROW($1:$26),1),"ABCDEFGHIJKLMNOPQRSTUVWXYZabcdefghijklmnopqrstuvwxyz .,")))&gt;0)),"Last Name, ","")&amp;IF(OR(LEN($E377)&gt;1,AND($E377&lt;&gt;"",SUMPRODUCT(--(ROW($1:$1)&lt;=LEN($E377&amp;"")),--ISERROR(FIND(MID($E377&amp;"",ROW($1:$1),1),"ABCDEFGHIJKLMNOPQRSTUVWXYZabcdefghijklmnopqrstuvwxyz .,")))&gt;0)),"Middle Initial, ","")&amp;IF(OR($F377="",LEN($F377)&gt;75),"Address, ","")&amp;IF(OR($H377="",LEN($H377)&gt;30),"City, ","")&amp;IF(AND($K377="US",OR($I377="",LEN($I377)&lt;&gt;2)),"State, ","")&amp;IF($J377="","ZIP, ","")&amp;IF(OR($K377="",AND($K377&lt;&gt;"US",$K377&lt;&gt;"CA")),"Country, ","")&amp;IF(OR($L377="",AND($L377&lt;&gt;"",OR(NOT(ISNUMBER($L377)),$L377&lt;=DATE(1900,1,1),$L377&gt;TODAY()))),"Birthdate, ","")&amp;IF(AND($N377&lt;&gt;"",NOT(IFERROR(AND(ISNUMBER(SEARCH("@",$N377)),ISNUMBER(SEARCH(".",$N377,SEARCH("@",$N377)+2))),FALSE))),"Email, ","")&amp;IF(OR(AND($B377&lt;&gt;"",$O377=""),AND($O377&lt;&gt;"",$O377&lt;&gt;"Spouse or Common Law Spouse",$O377&lt;&gt;"Domestic Partner",$O377&lt;&gt;"Child",$O377&lt;&gt;"Other",$O377&lt;&gt;"Estate",$O377&lt;&gt;"Unknown")),"Dependent Relationship, ","")&amp;IF($AA377&lt;&gt;"","Household, ","")&amp;IF(OR($P377="",AND($P377&lt;&gt;"",OR(NOT(ISNUMBER($P377)),$P377&lt;=DATE(1900,1,1)))),"Eligibility Date, ","")&amp;IF(OR(AND($R377="Terminated",$Q377=""),AND($Q377&lt;&gt;"",OR(NOT(ISNUMBER($Q377)),$Q377&lt;=DATE(1900,1,1))),AND(ISNUMBER($P377),ISNUMBER($Q377),$Q377&lt;$P377)),"Termination Date, ","")&amp;IF(OR($R377="",AND($R377&lt;&gt;"Active",$R377&lt;&gt;"Terminated"),AND('START HERE'!$C$8="Terminations Only",$R377&lt;&gt;"Terminated")),"Status, ","")&amp;IF($S377="","Plan Name, ","")&amp;IF($T377="","Coverage Level, ","")&amp;IF(AND($U377&lt;&gt;"",OR(NOT(ISNUMBER($U377)),$U377&lt;0)),"Funding, ","")&amp;IF(AND($A377&lt;&gt;"",$S377&lt;&gt;"",COUNTIFS($A$2:$A$501,$A377,$B$2:$B$501,$B377,$S$2:$S$501,$S377)&gt;1),"Duplicate Row, ",""))</f>
        <v/>
      </c>
      <c r="AF377">
        <f>IF(COUNTA($A377:$U377)=0,"",$Y377&amp;$Z377&amp;$AA377&amp;$AB377&amp;$AC377)</f>
        <v/>
      </c>
      <c r="AG377">
        <f>IF($N377="","",LOWER(TRIM($N377)))</f>
        <v/>
      </c>
      <c r="AH377">
        <f>IF($A377="","",COUNTIFS($A$2:$A$501,$A377,$AI$2:$AI$501,1))</f>
        <v/>
      </c>
      <c r="AI377">
        <f>IF(COUNTA($A377:$U377)=0,"",--($AF377&lt;&gt;""))</f>
        <v/>
      </c>
      <c r="AJ377">
        <f>IF(COUNTA($A377:$U377)=0,"",--($AD377&lt;&gt;""))</f>
        <v/>
      </c>
    </row>
    <row r="378" ht="20" customHeight="1">
      <c r="A378" s="80" t="n"/>
      <c r="B378" s="80" t="n"/>
      <c r="C378" s="81" t="n"/>
      <c r="D378" s="81" t="n"/>
      <c r="E378" s="80" t="n"/>
      <c r="F378" s="81" t="n"/>
      <c r="G378" s="81" t="n"/>
      <c r="H378" s="81" t="n"/>
      <c r="I378" s="80" t="n"/>
      <c r="J378" s="80" t="n"/>
      <c r="K378" s="80" t="n"/>
      <c r="L378" s="82" t="n"/>
      <c r="M378" s="80" t="n"/>
      <c r="N378" s="80" t="n"/>
      <c r="O378" s="80" t="n"/>
      <c r="P378" s="82" t="n"/>
      <c r="Q378" s="82" t="n"/>
      <c r="R378" s="80" t="n"/>
      <c r="S378" s="80" t="n"/>
      <c r="T378" s="80" t="n"/>
      <c r="U378" s="83" t="n"/>
      <c r="V378">
        <f>IF($A378="","",IF($A378=$A377,$V377,IF($V377="",0,1-$V377)))</f>
        <v/>
      </c>
      <c r="W378">
        <f>IF($B378&lt;&gt;"",$B378,$A378)</f>
        <v/>
      </c>
      <c r="X378">
        <f>IF(COUNTA($A378:$U378)=0,"",IF(OR($B378&lt;&gt;"",$O378&lt;&gt;""),"Dependent","Employee"))</f>
        <v/>
      </c>
      <c r="Y378">
        <f>IF(COUNTA($A378:$U378)=0,"",IF($A378="","Employee SSN is required; ","")&amp;IF($C378="","First Name is required; ","")&amp;IF(LEN($C378&amp;"")&gt;19,"First Name exceeds 19 characters; ","")&amp;IF(AND($C378&lt;&gt;"",SUMPRODUCT(--(ROW($1:$19)&lt;=LEN($C378&amp;"")),--ISERROR(FIND(MID($C378&amp;"",ROW($1:$19),1),"ABCDEFGHIJKLMNOPQRSTUVWXYZabcdefghijklmnopqrstuvwxyz .,")))&gt;0),"First Name contains unsupported or encoded characters; use plain A-Z letters only; ","")&amp;IF($D378="","Last Name is required; ","")&amp;IF(LEN($D378&amp;"")&gt;26,"Last Name exceeds 26 characters; ","")&amp;IF(AND($D378&lt;&gt;"",SUMPRODUCT(--(ROW($1:$26)&lt;=LEN($D378&amp;"")),--ISERROR(FIND(MID($D378&amp;"",ROW($1:$26),1),"ABCDEFGHIJKLMNOPQRSTUVWXYZabcdefghijklmnopqrstuvwxyz .,")))&gt;0),"Last Name contains unsupported or encoded characters; use plain A-Z letters only; ","")&amp;IF(LEN($E378&amp;"")&gt;1,"Middle Initial may contain only one character; ","")&amp;IF(AND($E378&lt;&gt;"",SUMPRODUCT(--(ROW($1:$1)&lt;=LEN($E378&amp;"")),--ISERROR(FIND(MID($E378&amp;"",ROW($1:$1),1),"ABCDEFGHIJKLMNOPQRSTUVWXYZabcdefghijklmnopqrstuvwxyz .,")))&gt;0),"Middle Initial must be a plain A-Z letter; ","")&amp;IF($F378="","Address is required; ","")&amp;IF(LEN($F378&amp;"")&gt;75,"Address exceeds 75 characters; ","")&amp;IF(LEN($G378&amp;"")&gt;75,"Address 2 exceeds 75 characters; ","")&amp;IF($H378="","City is required; ","")&amp;IF(LEN($H378&amp;"")&gt;30,"City exceeds 30 characters; ","")&amp;IF($K378="","Country is required; ","")&amp;IF(AND($K378&lt;&gt;"",$K378&lt;&gt;"US",$K378&lt;&gt;"CA"),"Country must be US or CA; ","")&amp;IF(AND($K378="US",OR($I378="",LEN($I378&amp;"")&lt;&gt;2)),"Use a 2-letter state code; ","")&amp;IF($J378="","ZIP or postal code is required; ","")&amp;IF(AND($K378="US",$J378&lt;&gt;"",NOT(IFERROR(OR(AND(LEN($J378&amp;"")=5,ISNUMBER(--($J378&amp;""))),AND(LEN($J378&amp;"")=9,ISNUMBER(--($J378&amp;""))),AND(LEN($J378&amp;"")=10,MID($J378&amp;"",6,1)="-",ISNUMBER(--SUBSTITUTE($J378&amp;"","-","")))),FALSE))),"US ZIP must be 5 or 9 digits, with an optional ZIP+4 hyphen; ","")&amp;IF(AND($N378&lt;&gt;"",NOT(IFERROR(AND(ISNUMBER(SEARCH("@",$N378)),ISNUMBER(SEARCH(".",$N378,SEARCH("@",$N378)+2))),FALSE))),"Email format appears invalid; ","")&amp;IF(AND($O378&lt;&gt;"",$B378=""),"Dependent SSN is required for every dependent; ","")&amp;IF(AND($B378&lt;&gt;"",$O378=""),"Dependent Relationship is required when Dependent SSN is entered; ","")&amp;IF(AND($O378&lt;&gt;"",$O378&lt;&gt;"Spouse or Common Law Spouse",$O378&lt;&gt;"Domestic Partner",$O378&lt;&gt;"Child",$O378&lt;&gt;"Other",$O378&lt;&gt;"Estate",$O378&lt;&gt;"Unknown"),"Dependent Relationship must use one of the approved options; ",""))</f>
        <v/>
      </c>
      <c r="Z378">
        <f>IF(COUNTA($A378:$U378)=0,"",IF(AND($A378&lt;&gt;"",NOT(IFERROR(AND(LEN($A378&amp;"")=9,ISNUMBER(--($A378&amp;""))),FALSE))),"Employee SSN must contain exactly 9 digits; ","")&amp;IF(AND($A378&lt;&gt;"",OR($A378="123456789",$A378="987654321",$A378="012345678",$A378=REPT(LEFT($A378&amp;"",1),9))),"Employee SSN appears to be a placeholder; ","")&amp;IF(AND($B378&lt;&gt;"",NOT(IFERROR(AND(LEN($B378&amp;"")=9,ISNUMBER(--($B378&amp;""))),FALSE))),"Dependent SSN must contain exactly 9 digits; ","")&amp;IF(AND($B378&lt;&gt;"",OR($B378="123456789",$B378="987654321",$B378="012345678",$B378=REPT(LEFT($B378&amp;"",1),9))),"Dependent SSN appears to be a placeholder; ","")&amp;IF(AND($A378&lt;&gt;"",$B378&lt;&gt;"",$A378&amp;""=$B378&amp;""),"Dependent SSN cannot match Employee SSN; ","")&amp;IF(AND($W378&lt;&gt;"",OR(COUNTIFS($W$2:$W$501,$W378,$C$2:$C$501,"&lt;&gt;"&amp;$C378)&gt;0,COUNTIFS($W$2:$W$501,$W378,$D$2:$D$501,"&lt;&gt;"&amp;$D378)&gt;0,COUNTIFS($W$2:$W$501,$W378,$L$2:$L$501,"&lt;&gt;"&amp;$L378)&gt;0)),"The same SSN is associated with a different name or birthdate; ",""))</f>
        <v/>
      </c>
      <c r="AA378">
        <f>IF(COUNTA($A378:$U378)=0,"",IF(AND($A378&lt;&gt;"",$S378&lt;&gt;"",COUNTIFS($A$2:$A$501,$A378,$S$2:$S$501,$S378,$B$2:$B$501,"",$O$2:$O$501,"")=0),"Add an employee row for this household and plan; ","")&amp;IF(AND($X378="Dependent",COUNTIFS($A$2:$A378,$A378,$S$2:$S378,$S378,$B$2:$B378,"",$O$2:$O378,"")=0),"Place the employee row before dependent rows for this plan; ","")&amp;IF(AND($X378="Dependent",COUNTIFS($A$2:$A$501,$A378,$S$2:$S$501,$S378,$B$2:$B$501,"",$O$2:$O$501,"")&gt;0,IFERROR(OR($P378&lt;&gt;LOOKUP(2,1/(($A$2:$A$501=$A378)*($S$2:$S$501=$S378)*($B$2:$B$501="")*($O$2:$O$501="")),$P$2:$P$501),$Q378&lt;&gt;LOOKUP(2,1/(($A$2:$A$501=$A378)*($S$2:$S$501=$S378)*($B$2:$B$501="")*($O$2:$O$501="")),$Q$2:$Q$501),$R378&lt;&gt;LOOKUP(2,1/(($A$2:$A$501=$A378)*($S$2:$S$501=$S378)*($B$2:$B$501="")*($O$2:$O$501="")),$R$2:$R$501),$T378&lt;&gt;LOOKUP(2,1/(($A$2:$A$501=$A378)*($S$2:$S$501=$S378)*($B$2:$B$501="")*($O$2:$O$501="")),$T$2:$T$501),$U378&lt;&gt;LOOKUP(2,1/(($A$2:$A$501=$A378)*($S$2:$S$501=$S378)*($B$2:$B$501="")*($O$2:$O$501="")),$U$2:$U$501)),FALSE)),"Dependent row does not match the employee row for eligibility, status, coverage level, or funding; ",""))</f>
        <v/>
      </c>
      <c r="AB378">
        <f>IF(COUNTA($A378:$U378)=0,"",IF($L378="","Birthdate is required; ","")&amp;IF(AND($L378&lt;&gt;"",OR(NOT(ISNUMBER($L378)),$L378&lt;=DATE(1900,1,1),$L378&gt;TODAY())),"Birthdate must be an exact valid past date; ","")&amp;IF($P378="","Eligibility Date is required; ","")&amp;IF(AND($P378&lt;&gt;"",OR(NOT(ISNUMBER($P378)),$P378&lt;=DATE(1900,1,1))),"Eligibility Date must be a valid date; ","")&amp;IF(AND($R378="Terminated",$Q378=""),"Termination Date is required when Status is Terminated; ","")&amp;IF(AND($Q378&lt;&gt;"",OR(NOT(ISNUMBER($Q378)),$Q378&lt;=DATE(1900,1,1))),"Termination Date must be a valid date; ","")&amp;IF(AND(ISNUMBER($P378),ISNUMBER($Q378),$Q378&lt;$P378),"Termination Date cannot be before Eligibility Date; ","")&amp;IF($R378="","Status is required; ","")&amp;IF(AND($R378&lt;&gt;"",$R378&lt;&gt;"Active",$R378&lt;&gt;"Terminated"),"Status must be Active or Terminated; ","")&amp;IF(AND('START HERE'!$C$8="Terminations Only",$R378&lt;&gt;"Terminated"),"Terminations Only files must contain terminated records; ",""))</f>
        <v/>
      </c>
      <c r="AC378">
        <f>IF(COUNTA($A378:$U378)=0,"",IF($S378="","Plan Name is required; ","")&amp;IF($T378="","Benefit Coverage Level is required; ","")&amp;IF(AND($U378&lt;&gt;"",OR(NOT(ISNUMBER($U378)),$U378&lt;0)),"Plan Funding Amount must be a nonnegative number; ","")&amp;IF(AND($A378&lt;&gt;"",$S378&lt;&gt;"",COUNTIFS($A$2:$A$501,$A378,$B$2:$B$501,$B378,$S$2:$S$501,$S378)&gt;1),"Duplicate participant and plan row; ",""))</f>
        <v/>
      </c>
      <c r="AD378">
        <f>IF(COUNTA($A378:$U378)=0,"",IF(AND($X378="Employee",$M378="",$N378=""),"No employee phone or email provided; ","")&amp;IF(AND($R378="Active",$Q378&lt;&gt;""),"Active record includes a Termination Date; confirm this is intentional; ","")&amp;IF(AND($B378&lt;&gt;"",$B378&amp;""&lt;&gt;$A378&amp;"",COUNTIF($A$2:$A$501,$B378)&gt;0),"Dependent SSN also appears as an Employee SSN elsewhere; confirm dual-employee coverage is intentional; ","")&amp;IF(AND($B378&lt;&gt;"",COUNTIF($B$2:$B$501,$B378)&gt;COUNTIFS($A$2:$A$501,$A378,$B$2:$B$501,$B378)),"Dependent SSN appears under more than one employee; confirm duplicate family coverage is intentional; ","")&amp;IF(AND(ROW()&gt;2,$A378&lt;&gt;"",$A378&lt;&gt;$A377,COUNTIF($A$2:$A377,$A378)&gt;0),"This household appears in more than one section of the census; keep the family together; ","")&amp;IF(OR(AND($C378&lt;&gt;"",LEN($C378&amp;"")&lt;&gt;LEN(TRIM($C378&amp;""))),AND($D378&lt;&gt;"",LEN($D378&amp;"")&lt;&gt;LEN(TRIM($D378&amp;""))),AND($E378&lt;&gt;"",LEN($E378&amp;"")&lt;&gt;LEN(TRIM($E378&amp;""))),AND($F378&lt;&gt;"",LEN($F378&amp;"")&lt;&gt;LEN(TRIM($F378&amp;""))),AND($G378&lt;&gt;"",LEN($G378&amp;"")&lt;&gt;LEN(TRIM($G378&amp;""))),AND($H378&lt;&gt;"",LEN($H378&amp;"")&lt;&gt;LEN(TRIM($H378&amp;""))),AND($I378&lt;&gt;"",LEN($I378&amp;"")&lt;&gt;LEN(TRIM($I378&amp;""))),AND($J378&lt;&gt;"",LEN($J378&amp;"")&lt;&gt;LEN(TRIM($J378&amp;""))),AND($K378&lt;&gt;"",LEN($K378&amp;"")&lt;&gt;LEN(TRIM($K378&amp;""))),AND($M378&lt;&gt;"",LEN($M378&amp;"")&lt;&gt;LEN(TRIM($M378&amp;""))),AND($N378&lt;&gt;"",LEN($N378&amp;"")&lt;&gt;LEN(TRIM($N378&amp;""))),AND($O378&lt;&gt;"",LEN($O378&amp;"")&lt;&gt;LEN(TRIM($O378&amp;""))),AND($R378&lt;&gt;"",LEN($R378&amp;"")&lt;&gt;LEN(TRIM($R378&amp;""))),AND($S378&lt;&gt;"",LEN($S378&amp;"")&lt;&gt;LEN(TRIM($S378&amp;""))),AND($T378&lt;&gt;"",LEN($T378&amp;"")&lt;&gt;LEN(TRIM($T378&amp;"")))),"Remove leading or trailing spaces from text fields; ","")&amp;IF(OR(AND(LEN($C378)&gt;1,OR(EXACT($C378,UPPER($C378)),EXACT($C378,LOWER($C378)))),AND(LEN($D378)&gt;1,OR(EXACT($D378,UPPER($D378)),EXACT($D378,LOWER($D378)))),AND(LEN($H378)&gt;1,OR(EXACT($H378,UPPER($H378)),EXACT($H378,LOWER($H378))))),"Review capitalization in First Name, Last Name, or City; ","")&amp;IF(AND($N378&lt;&gt;"",NOT(EXACT($N378,LOWER($N378)))),"Email will be standardized to lowercase in the clean output; ","")&amp;IF(AND(OR('START HERE'!$C$8="Initial Enrollment",'START HERE'!$C$8="Open Enrollment"),$R378="Terminated"),"A terminated row is included in an initial or open enrollment file; confirm this is intentional; ",""))</f>
        <v/>
      </c>
      <c r="AE378">
        <f>IF(COUNTA($A378:$U378)=0,"",IF(OR($A378="",AND($A378&lt;&gt;"",NOT(IFERROR(AND(LEN($A378&amp;"")=9,ISNUMBER(--($A378&amp;""))),FALSE))),AND($A378&lt;&gt;"",OR($A378="123456789",$A378="987654321",$A378="012345678",$A378=REPT(LEFT($A378&amp;"",1),9)))),"Employee SSN, ","")&amp;IF(OR(AND($O378&lt;&gt;"",$B378=""),AND($B378&lt;&gt;"",OR(NOT(IFERROR(AND(LEN($B378&amp;"")=9,ISNUMBER(--($B378&amp;""))),FALSE)),$B378=$A378,$B378="123456789",$B378="987654321",$B378="012345678",$B378=REPT(LEFT($B378&amp;"",1),9)))),"Dependent SSN, ","")&amp;IF(OR($C378="",LEN($C378)&gt;19,AND($C378&lt;&gt;"",SUMPRODUCT(--(ROW($1:$19)&lt;=LEN($C378&amp;"")),--ISERROR(FIND(MID($C378&amp;"",ROW($1:$19),1),"ABCDEFGHIJKLMNOPQRSTUVWXYZabcdefghijklmnopqrstuvwxyz .,")))&gt;0)),"First Name, ","")&amp;IF(OR($D378="",LEN($D378)&gt;26,AND($D378&lt;&gt;"",SUMPRODUCT(--(ROW($1:$26)&lt;=LEN($D378&amp;"")),--ISERROR(FIND(MID($D378&amp;"",ROW($1:$26),1),"ABCDEFGHIJKLMNOPQRSTUVWXYZabcdefghijklmnopqrstuvwxyz .,")))&gt;0)),"Last Name, ","")&amp;IF(OR(LEN($E378)&gt;1,AND($E378&lt;&gt;"",SUMPRODUCT(--(ROW($1:$1)&lt;=LEN($E378&amp;"")),--ISERROR(FIND(MID($E378&amp;"",ROW($1:$1),1),"ABCDEFGHIJKLMNOPQRSTUVWXYZabcdefghijklmnopqrstuvwxyz .,")))&gt;0)),"Middle Initial, ","")&amp;IF(OR($F378="",LEN($F378)&gt;75),"Address, ","")&amp;IF(OR($H378="",LEN($H378)&gt;30),"City, ","")&amp;IF(AND($K378="US",OR($I378="",LEN($I378)&lt;&gt;2)),"State, ","")&amp;IF($J378="","ZIP, ","")&amp;IF(OR($K378="",AND($K378&lt;&gt;"US",$K378&lt;&gt;"CA")),"Country, ","")&amp;IF(OR($L378="",AND($L378&lt;&gt;"",OR(NOT(ISNUMBER($L378)),$L378&lt;=DATE(1900,1,1),$L378&gt;TODAY()))),"Birthdate, ","")&amp;IF(AND($N378&lt;&gt;"",NOT(IFERROR(AND(ISNUMBER(SEARCH("@",$N378)),ISNUMBER(SEARCH(".",$N378,SEARCH("@",$N378)+2))),FALSE))),"Email, ","")&amp;IF(OR(AND($B378&lt;&gt;"",$O378=""),AND($O378&lt;&gt;"",$O378&lt;&gt;"Spouse or Common Law Spouse",$O378&lt;&gt;"Domestic Partner",$O378&lt;&gt;"Child",$O378&lt;&gt;"Other",$O378&lt;&gt;"Estate",$O378&lt;&gt;"Unknown")),"Dependent Relationship, ","")&amp;IF($AA378&lt;&gt;"","Household, ","")&amp;IF(OR($P378="",AND($P378&lt;&gt;"",OR(NOT(ISNUMBER($P378)),$P378&lt;=DATE(1900,1,1)))),"Eligibility Date, ","")&amp;IF(OR(AND($R378="Terminated",$Q378=""),AND($Q378&lt;&gt;"",OR(NOT(ISNUMBER($Q378)),$Q378&lt;=DATE(1900,1,1))),AND(ISNUMBER($P378),ISNUMBER($Q378),$Q378&lt;$P378)),"Termination Date, ","")&amp;IF(OR($R378="",AND($R378&lt;&gt;"Active",$R378&lt;&gt;"Terminated"),AND('START HERE'!$C$8="Terminations Only",$R378&lt;&gt;"Terminated")),"Status, ","")&amp;IF($S378="","Plan Name, ","")&amp;IF($T378="","Coverage Level, ","")&amp;IF(AND($U378&lt;&gt;"",OR(NOT(ISNUMBER($U378)),$U378&lt;0)),"Funding, ","")&amp;IF(AND($A378&lt;&gt;"",$S378&lt;&gt;"",COUNTIFS($A$2:$A$501,$A378,$B$2:$B$501,$B378,$S$2:$S$501,$S378)&gt;1),"Duplicate Row, ",""))</f>
        <v/>
      </c>
      <c r="AF378">
        <f>IF(COUNTA($A378:$U378)=0,"",$Y378&amp;$Z378&amp;$AA378&amp;$AB378&amp;$AC378)</f>
        <v/>
      </c>
      <c r="AG378">
        <f>IF($N378="","",LOWER(TRIM($N378)))</f>
        <v/>
      </c>
      <c r="AH378">
        <f>IF($A378="","",COUNTIFS($A$2:$A$501,$A378,$AI$2:$AI$501,1))</f>
        <v/>
      </c>
      <c r="AI378">
        <f>IF(COUNTA($A378:$U378)=0,"",--($AF378&lt;&gt;""))</f>
        <v/>
      </c>
      <c r="AJ378">
        <f>IF(COUNTA($A378:$U378)=0,"",--($AD378&lt;&gt;""))</f>
        <v/>
      </c>
    </row>
    <row r="379" ht="20" customHeight="1">
      <c r="A379" s="80" t="n"/>
      <c r="B379" s="80" t="n"/>
      <c r="C379" s="81" t="n"/>
      <c r="D379" s="81" t="n"/>
      <c r="E379" s="80" t="n"/>
      <c r="F379" s="81" t="n"/>
      <c r="G379" s="81" t="n"/>
      <c r="H379" s="81" t="n"/>
      <c r="I379" s="80" t="n"/>
      <c r="J379" s="80" t="n"/>
      <c r="K379" s="80" t="n"/>
      <c r="L379" s="82" t="n"/>
      <c r="M379" s="80" t="n"/>
      <c r="N379" s="80" t="n"/>
      <c r="O379" s="80" t="n"/>
      <c r="P379" s="82" t="n"/>
      <c r="Q379" s="82" t="n"/>
      <c r="R379" s="80" t="n"/>
      <c r="S379" s="80" t="n"/>
      <c r="T379" s="80" t="n"/>
      <c r="U379" s="83" t="n"/>
      <c r="V379">
        <f>IF($A379="","",IF($A379=$A378,$V378,IF($V378="",0,1-$V378)))</f>
        <v/>
      </c>
      <c r="W379">
        <f>IF($B379&lt;&gt;"",$B379,$A379)</f>
        <v/>
      </c>
      <c r="X379">
        <f>IF(COUNTA($A379:$U379)=0,"",IF(OR($B379&lt;&gt;"",$O379&lt;&gt;""),"Dependent","Employee"))</f>
        <v/>
      </c>
      <c r="Y379">
        <f>IF(COUNTA($A379:$U379)=0,"",IF($A379="","Employee SSN is required; ","")&amp;IF($C379="","First Name is required; ","")&amp;IF(LEN($C379&amp;"")&gt;19,"First Name exceeds 19 characters; ","")&amp;IF(AND($C379&lt;&gt;"",SUMPRODUCT(--(ROW($1:$19)&lt;=LEN($C379&amp;"")),--ISERROR(FIND(MID($C379&amp;"",ROW($1:$19),1),"ABCDEFGHIJKLMNOPQRSTUVWXYZabcdefghijklmnopqrstuvwxyz .,")))&gt;0),"First Name contains unsupported or encoded characters; use plain A-Z letters only; ","")&amp;IF($D379="","Last Name is required; ","")&amp;IF(LEN($D379&amp;"")&gt;26,"Last Name exceeds 26 characters; ","")&amp;IF(AND($D379&lt;&gt;"",SUMPRODUCT(--(ROW($1:$26)&lt;=LEN($D379&amp;"")),--ISERROR(FIND(MID($D379&amp;"",ROW($1:$26),1),"ABCDEFGHIJKLMNOPQRSTUVWXYZabcdefghijklmnopqrstuvwxyz .,")))&gt;0),"Last Name contains unsupported or encoded characters; use plain A-Z letters only; ","")&amp;IF(LEN($E379&amp;"")&gt;1,"Middle Initial may contain only one character; ","")&amp;IF(AND($E379&lt;&gt;"",SUMPRODUCT(--(ROW($1:$1)&lt;=LEN($E379&amp;"")),--ISERROR(FIND(MID($E379&amp;"",ROW($1:$1),1),"ABCDEFGHIJKLMNOPQRSTUVWXYZabcdefghijklmnopqrstuvwxyz .,")))&gt;0),"Middle Initial must be a plain A-Z letter; ","")&amp;IF($F379="","Address is required; ","")&amp;IF(LEN($F379&amp;"")&gt;75,"Address exceeds 75 characters; ","")&amp;IF(LEN($G379&amp;"")&gt;75,"Address 2 exceeds 75 characters; ","")&amp;IF($H379="","City is required; ","")&amp;IF(LEN($H379&amp;"")&gt;30,"City exceeds 30 characters; ","")&amp;IF($K379="","Country is required; ","")&amp;IF(AND($K379&lt;&gt;"",$K379&lt;&gt;"US",$K379&lt;&gt;"CA"),"Country must be US or CA; ","")&amp;IF(AND($K379="US",OR($I379="",LEN($I379&amp;"")&lt;&gt;2)),"Use a 2-letter state code; ","")&amp;IF($J379="","ZIP or postal code is required; ","")&amp;IF(AND($K379="US",$J379&lt;&gt;"",NOT(IFERROR(OR(AND(LEN($J379&amp;"")=5,ISNUMBER(--($J379&amp;""))),AND(LEN($J379&amp;"")=9,ISNUMBER(--($J379&amp;""))),AND(LEN($J379&amp;"")=10,MID($J379&amp;"",6,1)="-",ISNUMBER(--SUBSTITUTE($J379&amp;"","-","")))),FALSE))),"US ZIP must be 5 or 9 digits, with an optional ZIP+4 hyphen; ","")&amp;IF(AND($N379&lt;&gt;"",NOT(IFERROR(AND(ISNUMBER(SEARCH("@",$N379)),ISNUMBER(SEARCH(".",$N379,SEARCH("@",$N379)+2))),FALSE))),"Email format appears invalid; ","")&amp;IF(AND($O379&lt;&gt;"",$B379=""),"Dependent SSN is required for every dependent; ","")&amp;IF(AND($B379&lt;&gt;"",$O379=""),"Dependent Relationship is required when Dependent SSN is entered; ","")&amp;IF(AND($O379&lt;&gt;"",$O379&lt;&gt;"Spouse or Common Law Spouse",$O379&lt;&gt;"Domestic Partner",$O379&lt;&gt;"Child",$O379&lt;&gt;"Other",$O379&lt;&gt;"Estate",$O379&lt;&gt;"Unknown"),"Dependent Relationship must use one of the approved options; ",""))</f>
        <v/>
      </c>
      <c r="Z379">
        <f>IF(COUNTA($A379:$U379)=0,"",IF(AND($A379&lt;&gt;"",NOT(IFERROR(AND(LEN($A379&amp;"")=9,ISNUMBER(--($A379&amp;""))),FALSE))),"Employee SSN must contain exactly 9 digits; ","")&amp;IF(AND($A379&lt;&gt;"",OR($A379="123456789",$A379="987654321",$A379="012345678",$A379=REPT(LEFT($A379&amp;"",1),9))),"Employee SSN appears to be a placeholder; ","")&amp;IF(AND($B379&lt;&gt;"",NOT(IFERROR(AND(LEN($B379&amp;"")=9,ISNUMBER(--($B379&amp;""))),FALSE))),"Dependent SSN must contain exactly 9 digits; ","")&amp;IF(AND($B379&lt;&gt;"",OR($B379="123456789",$B379="987654321",$B379="012345678",$B379=REPT(LEFT($B379&amp;"",1),9))),"Dependent SSN appears to be a placeholder; ","")&amp;IF(AND($A379&lt;&gt;"",$B379&lt;&gt;"",$A379&amp;""=$B379&amp;""),"Dependent SSN cannot match Employee SSN; ","")&amp;IF(AND($W379&lt;&gt;"",OR(COUNTIFS($W$2:$W$501,$W379,$C$2:$C$501,"&lt;&gt;"&amp;$C379)&gt;0,COUNTIFS($W$2:$W$501,$W379,$D$2:$D$501,"&lt;&gt;"&amp;$D379)&gt;0,COUNTIFS($W$2:$W$501,$W379,$L$2:$L$501,"&lt;&gt;"&amp;$L379)&gt;0)),"The same SSN is associated with a different name or birthdate; ",""))</f>
        <v/>
      </c>
      <c r="AA379">
        <f>IF(COUNTA($A379:$U379)=0,"",IF(AND($A379&lt;&gt;"",$S379&lt;&gt;"",COUNTIFS($A$2:$A$501,$A379,$S$2:$S$501,$S379,$B$2:$B$501,"",$O$2:$O$501,"")=0),"Add an employee row for this household and plan; ","")&amp;IF(AND($X379="Dependent",COUNTIFS($A$2:$A379,$A379,$S$2:$S379,$S379,$B$2:$B379,"",$O$2:$O379,"")=0),"Place the employee row before dependent rows for this plan; ","")&amp;IF(AND($X379="Dependent",COUNTIFS($A$2:$A$501,$A379,$S$2:$S$501,$S379,$B$2:$B$501,"",$O$2:$O$501,"")&gt;0,IFERROR(OR($P379&lt;&gt;LOOKUP(2,1/(($A$2:$A$501=$A379)*($S$2:$S$501=$S379)*($B$2:$B$501="")*($O$2:$O$501="")),$P$2:$P$501),$Q379&lt;&gt;LOOKUP(2,1/(($A$2:$A$501=$A379)*($S$2:$S$501=$S379)*($B$2:$B$501="")*($O$2:$O$501="")),$Q$2:$Q$501),$R379&lt;&gt;LOOKUP(2,1/(($A$2:$A$501=$A379)*($S$2:$S$501=$S379)*($B$2:$B$501="")*($O$2:$O$501="")),$R$2:$R$501),$T379&lt;&gt;LOOKUP(2,1/(($A$2:$A$501=$A379)*($S$2:$S$501=$S379)*($B$2:$B$501="")*($O$2:$O$501="")),$T$2:$T$501),$U379&lt;&gt;LOOKUP(2,1/(($A$2:$A$501=$A379)*($S$2:$S$501=$S379)*($B$2:$B$501="")*($O$2:$O$501="")),$U$2:$U$501)),FALSE)),"Dependent row does not match the employee row for eligibility, status, coverage level, or funding; ",""))</f>
        <v/>
      </c>
      <c r="AB379">
        <f>IF(COUNTA($A379:$U379)=0,"",IF($L379="","Birthdate is required; ","")&amp;IF(AND($L379&lt;&gt;"",OR(NOT(ISNUMBER($L379)),$L379&lt;=DATE(1900,1,1),$L379&gt;TODAY())),"Birthdate must be an exact valid past date; ","")&amp;IF($P379="","Eligibility Date is required; ","")&amp;IF(AND($P379&lt;&gt;"",OR(NOT(ISNUMBER($P379)),$P379&lt;=DATE(1900,1,1))),"Eligibility Date must be a valid date; ","")&amp;IF(AND($R379="Terminated",$Q379=""),"Termination Date is required when Status is Terminated; ","")&amp;IF(AND($Q379&lt;&gt;"",OR(NOT(ISNUMBER($Q379)),$Q379&lt;=DATE(1900,1,1))),"Termination Date must be a valid date; ","")&amp;IF(AND(ISNUMBER($P379),ISNUMBER($Q379),$Q379&lt;$P379),"Termination Date cannot be before Eligibility Date; ","")&amp;IF($R379="","Status is required; ","")&amp;IF(AND($R379&lt;&gt;"",$R379&lt;&gt;"Active",$R379&lt;&gt;"Terminated"),"Status must be Active or Terminated; ","")&amp;IF(AND('START HERE'!$C$8="Terminations Only",$R379&lt;&gt;"Terminated"),"Terminations Only files must contain terminated records; ",""))</f>
        <v/>
      </c>
      <c r="AC379">
        <f>IF(COUNTA($A379:$U379)=0,"",IF($S379="","Plan Name is required; ","")&amp;IF($T379="","Benefit Coverage Level is required; ","")&amp;IF(AND($U379&lt;&gt;"",OR(NOT(ISNUMBER($U379)),$U379&lt;0)),"Plan Funding Amount must be a nonnegative number; ","")&amp;IF(AND($A379&lt;&gt;"",$S379&lt;&gt;"",COUNTIFS($A$2:$A$501,$A379,$B$2:$B$501,$B379,$S$2:$S$501,$S379)&gt;1),"Duplicate participant and plan row; ",""))</f>
        <v/>
      </c>
      <c r="AD379">
        <f>IF(COUNTA($A379:$U379)=0,"",IF(AND($X379="Employee",$M379="",$N379=""),"No employee phone or email provided; ","")&amp;IF(AND($R379="Active",$Q379&lt;&gt;""),"Active record includes a Termination Date; confirm this is intentional; ","")&amp;IF(AND($B379&lt;&gt;"",$B379&amp;""&lt;&gt;$A379&amp;"",COUNTIF($A$2:$A$501,$B379)&gt;0),"Dependent SSN also appears as an Employee SSN elsewhere; confirm dual-employee coverage is intentional; ","")&amp;IF(AND($B379&lt;&gt;"",COUNTIF($B$2:$B$501,$B379)&gt;COUNTIFS($A$2:$A$501,$A379,$B$2:$B$501,$B379)),"Dependent SSN appears under more than one employee; confirm duplicate family coverage is intentional; ","")&amp;IF(AND(ROW()&gt;2,$A379&lt;&gt;"",$A379&lt;&gt;$A378,COUNTIF($A$2:$A378,$A379)&gt;0),"This household appears in more than one section of the census; keep the family together; ","")&amp;IF(OR(AND($C379&lt;&gt;"",LEN($C379&amp;"")&lt;&gt;LEN(TRIM($C379&amp;""))),AND($D379&lt;&gt;"",LEN($D379&amp;"")&lt;&gt;LEN(TRIM($D379&amp;""))),AND($E379&lt;&gt;"",LEN($E379&amp;"")&lt;&gt;LEN(TRIM($E379&amp;""))),AND($F379&lt;&gt;"",LEN($F379&amp;"")&lt;&gt;LEN(TRIM($F379&amp;""))),AND($G379&lt;&gt;"",LEN($G379&amp;"")&lt;&gt;LEN(TRIM($G379&amp;""))),AND($H379&lt;&gt;"",LEN($H379&amp;"")&lt;&gt;LEN(TRIM($H379&amp;""))),AND($I379&lt;&gt;"",LEN($I379&amp;"")&lt;&gt;LEN(TRIM($I379&amp;""))),AND($J379&lt;&gt;"",LEN($J379&amp;"")&lt;&gt;LEN(TRIM($J379&amp;""))),AND($K379&lt;&gt;"",LEN($K379&amp;"")&lt;&gt;LEN(TRIM($K379&amp;""))),AND($M379&lt;&gt;"",LEN($M379&amp;"")&lt;&gt;LEN(TRIM($M379&amp;""))),AND($N379&lt;&gt;"",LEN($N379&amp;"")&lt;&gt;LEN(TRIM($N379&amp;""))),AND($O379&lt;&gt;"",LEN($O379&amp;"")&lt;&gt;LEN(TRIM($O379&amp;""))),AND($R379&lt;&gt;"",LEN($R379&amp;"")&lt;&gt;LEN(TRIM($R379&amp;""))),AND($S379&lt;&gt;"",LEN($S379&amp;"")&lt;&gt;LEN(TRIM($S379&amp;""))),AND($T379&lt;&gt;"",LEN($T379&amp;"")&lt;&gt;LEN(TRIM($T379&amp;"")))),"Remove leading or trailing spaces from text fields; ","")&amp;IF(OR(AND(LEN($C379)&gt;1,OR(EXACT($C379,UPPER($C379)),EXACT($C379,LOWER($C379)))),AND(LEN($D379)&gt;1,OR(EXACT($D379,UPPER($D379)),EXACT($D379,LOWER($D379)))),AND(LEN($H379)&gt;1,OR(EXACT($H379,UPPER($H379)),EXACT($H379,LOWER($H379))))),"Review capitalization in First Name, Last Name, or City; ","")&amp;IF(AND($N379&lt;&gt;"",NOT(EXACT($N379,LOWER($N379)))),"Email will be standardized to lowercase in the clean output; ","")&amp;IF(AND(OR('START HERE'!$C$8="Initial Enrollment",'START HERE'!$C$8="Open Enrollment"),$R379="Terminated"),"A terminated row is included in an initial or open enrollment file; confirm this is intentional; ",""))</f>
        <v/>
      </c>
      <c r="AE379">
        <f>IF(COUNTA($A379:$U379)=0,"",IF(OR($A379="",AND($A379&lt;&gt;"",NOT(IFERROR(AND(LEN($A379&amp;"")=9,ISNUMBER(--($A379&amp;""))),FALSE))),AND($A379&lt;&gt;"",OR($A379="123456789",$A379="987654321",$A379="012345678",$A379=REPT(LEFT($A379&amp;"",1),9)))),"Employee SSN, ","")&amp;IF(OR(AND($O379&lt;&gt;"",$B379=""),AND($B379&lt;&gt;"",OR(NOT(IFERROR(AND(LEN($B379&amp;"")=9,ISNUMBER(--($B379&amp;""))),FALSE)),$B379=$A379,$B379="123456789",$B379="987654321",$B379="012345678",$B379=REPT(LEFT($B379&amp;"",1),9)))),"Dependent SSN, ","")&amp;IF(OR($C379="",LEN($C379)&gt;19,AND($C379&lt;&gt;"",SUMPRODUCT(--(ROW($1:$19)&lt;=LEN($C379&amp;"")),--ISERROR(FIND(MID($C379&amp;"",ROW($1:$19),1),"ABCDEFGHIJKLMNOPQRSTUVWXYZabcdefghijklmnopqrstuvwxyz .,")))&gt;0)),"First Name, ","")&amp;IF(OR($D379="",LEN($D379)&gt;26,AND($D379&lt;&gt;"",SUMPRODUCT(--(ROW($1:$26)&lt;=LEN($D379&amp;"")),--ISERROR(FIND(MID($D379&amp;"",ROW($1:$26),1),"ABCDEFGHIJKLMNOPQRSTUVWXYZabcdefghijklmnopqrstuvwxyz .,")))&gt;0)),"Last Name, ","")&amp;IF(OR(LEN($E379)&gt;1,AND($E379&lt;&gt;"",SUMPRODUCT(--(ROW($1:$1)&lt;=LEN($E379&amp;"")),--ISERROR(FIND(MID($E379&amp;"",ROW($1:$1),1),"ABCDEFGHIJKLMNOPQRSTUVWXYZabcdefghijklmnopqrstuvwxyz .,")))&gt;0)),"Middle Initial, ","")&amp;IF(OR($F379="",LEN($F379)&gt;75),"Address, ","")&amp;IF(OR($H379="",LEN($H379)&gt;30),"City, ","")&amp;IF(AND($K379="US",OR($I379="",LEN($I379)&lt;&gt;2)),"State, ","")&amp;IF($J379="","ZIP, ","")&amp;IF(OR($K379="",AND($K379&lt;&gt;"US",$K379&lt;&gt;"CA")),"Country, ","")&amp;IF(OR($L379="",AND($L379&lt;&gt;"",OR(NOT(ISNUMBER($L379)),$L379&lt;=DATE(1900,1,1),$L379&gt;TODAY()))),"Birthdate, ","")&amp;IF(AND($N379&lt;&gt;"",NOT(IFERROR(AND(ISNUMBER(SEARCH("@",$N379)),ISNUMBER(SEARCH(".",$N379,SEARCH("@",$N379)+2))),FALSE))),"Email, ","")&amp;IF(OR(AND($B379&lt;&gt;"",$O379=""),AND($O379&lt;&gt;"",$O379&lt;&gt;"Spouse or Common Law Spouse",$O379&lt;&gt;"Domestic Partner",$O379&lt;&gt;"Child",$O379&lt;&gt;"Other",$O379&lt;&gt;"Estate",$O379&lt;&gt;"Unknown")),"Dependent Relationship, ","")&amp;IF($AA379&lt;&gt;"","Household, ","")&amp;IF(OR($P379="",AND($P379&lt;&gt;"",OR(NOT(ISNUMBER($P379)),$P379&lt;=DATE(1900,1,1)))),"Eligibility Date, ","")&amp;IF(OR(AND($R379="Terminated",$Q379=""),AND($Q379&lt;&gt;"",OR(NOT(ISNUMBER($Q379)),$Q379&lt;=DATE(1900,1,1))),AND(ISNUMBER($P379),ISNUMBER($Q379),$Q379&lt;$P379)),"Termination Date, ","")&amp;IF(OR($R379="",AND($R379&lt;&gt;"Active",$R379&lt;&gt;"Terminated"),AND('START HERE'!$C$8="Terminations Only",$R379&lt;&gt;"Terminated")),"Status, ","")&amp;IF($S379="","Plan Name, ","")&amp;IF($T379="","Coverage Level, ","")&amp;IF(AND($U379&lt;&gt;"",OR(NOT(ISNUMBER($U379)),$U379&lt;0)),"Funding, ","")&amp;IF(AND($A379&lt;&gt;"",$S379&lt;&gt;"",COUNTIFS($A$2:$A$501,$A379,$B$2:$B$501,$B379,$S$2:$S$501,$S379)&gt;1),"Duplicate Row, ",""))</f>
        <v/>
      </c>
      <c r="AF379">
        <f>IF(COUNTA($A379:$U379)=0,"",$Y379&amp;$Z379&amp;$AA379&amp;$AB379&amp;$AC379)</f>
        <v/>
      </c>
      <c r="AG379">
        <f>IF($N379="","",LOWER(TRIM($N379)))</f>
        <v/>
      </c>
      <c r="AH379">
        <f>IF($A379="","",COUNTIFS($A$2:$A$501,$A379,$AI$2:$AI$501,1))</f>
        <v/>
      </c>
      <c r="AI379">
        <f>IF(COUNTA($A379:$U379)=0,"",--($AF379&lt;&gt;""))</f>
        <v/>
      </c>
      <c r="AJ379">
        <f>IF(COUNTA($A379:$U379)=0,"",--($AD379&lt;&gt;""))</f>
        <v/>
      </c>
    </row>
    <row r="380" ht="20" customHeight="1">
      <c r="A380" s="80" t="n"/>
      <c r="B380" s="80" t="n"/>
      <c r="C380" s="81" t="n"/>
      <c r="D380" s="81" t="n"/>
      <c r="E380" s="80" t="n"/>
      <c r="F380" s="81" t="n"/>
      <c r="G380" s="81" t="n"/>
      <c r="H380" s="81" t="n"/>
      <c r="I380" s="80" t="n"/>
      <c r="J380" s="80" t="n"/>
      <c r="K380" s="80" t="n"/>
      <c r="L380" s="82" t="n"/>
      <c r="M380" s="80" t="n"/>
      <c r="N380" s="80" t="n"/>
      <c r="O380" s="80" t="n"/>
      <c r="P380" s="82" t="n"/>
      <c r="Q380" s="82" t="n"/>
      <c r="R380" s="80" t="n"/>
      <c r="S380" s="80" t="n"/>
      <c r="T380" s="80" t="n"/>
      <c r="U380" s="83" t="n"/>
      <c r="V380">
        <f>IF($A380="","",IF($A380=$A379,$V379,IF($V379="",0,1-$V379)))</f>
        <v/>
      </c>
      <c r="W380">
        <f>IF($B380&lt;&gt;"",$B380,$A380)</f>
        <v/>
      </c>
      <c r="X380">
        <f>IF(COUNTA($A380:$U380)=0,"",IF(OR($B380&lt;&gt;"",$O380&lt;&gt;""),"Dependent","Employee"))</f>
        <v/>
      </c>
      <c r="Y380">
        <f>IF(COUNTA($A380:$U380)=0,"",IF($A380="","Employee SSN is required; ","")&amp;IF($C380="","First Name is required; ","")&amp;IF(LEN($C380&amp;"")&gt;19,"First Name exceeds 19 characters; ","")&amp;IF(AND($C380&lt;&gt;"",SUMPRODUCT(--(ROW($1:$19)&lt;=LEN($C380&amp;"")),--ISERROR(FIND(MID($C380&amp;"",ROW($1:$19),1),"ABCDEFGHIJKLMNOPQRSTUVWXYZabcdefghijklmnopqrstuvwxyz .,")))&gt;0),"First Name contains unsupported or encoded characters; use plain A-Z letters only; ","")&amp;IF($D380="","Last Name is required; ","")&amp;IF(LEN($D380&amp;"")&gt;26,"Last Name exceeds 26 characters; ","")&amp;IF(AND($D380&lt;&gt;"",SUMPRODUCT(--(ROW($1:$26)&lt;=LEN($D380&amp;"")),--ISERROR(FIND(MID($D380&amp;"",ROW($1:$26),1),"ABCDEFGHIJKLMNOPQRSTUVWXYZabcdefghijklmnopqrstuvwxyz .,")))&gt;0),"Last Name contains unsupported or encoded characters; use plain A-Z letters only; ","")&amp;IF(LEN($E380&amp;"")&gt;1,"Middle Initial may contain only one character; ","")&amp;IF(AND($E380&lt;&gt;"",SUMPRODUCT(--(ROW($1:$1)&lt;=LEN($E380&amp;"")),--ISERROR(FIND(MID($E380&amp;"",ROW($1:$1),1),"ABCDEFGHIJKLMNOPQRSTUVWXYZabcdefghijklmnopqrstuvwxyz .,")))&gt;0),"Middle Initial must be a plain A-Z letter; ","")&amp;IF($F380="","Address is required; ","")&amp;IF(LEN($F380&amp;"")&gt;75,"Address exceeds 75 characters; ","")&amp;IF(LEN($G380&amp;"")&gt;75,"Address 2 exceeds 75 characters; ","")&amp;IF($H380="","City is required; ","")&amp;IF(LEN($H380&amp;"")&gt;30,"City exceeds 30 characters; ","")&amp;IF($K380="","Country is required; ","")&amp;IF(AND($K380&lt;&gt;"",$K380&lt;&gt;"US",$K380&lt;&gt;"CA"),"Country must be US or CA; ","")&amp;IF(AND($K380="US",OR($I380="",LEN($I380&amp;"")&lt;&gt;2)),"Use a 2-letter state code; ","")&amp;IF($J380="","ZIP or postal code is required; ","")&amp;IF(AND($K380="US",$J380&lt;&gt;"",NOT(IFERROR(OR(AND(LEN($J380&amp;"")=5,ISNUMBER(--($J380&amp;""))),AND(LEN($J380&amp;"")=9,ISNUMBER(--($J380&amp;""))),AND(LEN($J380&amp;"")=10,MID($J380&amp;"",6,1)="-",ISNUMBER(--SUBSTITUTE($J380&amp;"","-","")))),FALSE))),"US ZIP must be 5 or 9 digits, with an optional ZIP+4 hyphen; ","")&amp;IF(AND($N380&lt;&gt;"",NOT(IFERROR(AND(ISNUMBER(SEARCH("@",$N380)),ISNUMBER(SEARCH(".",$N380,SEARCH("@",$N380)+2))),FALSE))),"Email format appears invalid; ","")&amp;IF(AND($O380&lt;&gt;"",$B380=""),"Dependent SSN is required for every dependent; ","")&amp;IF(AND($B380&lt;&gt;"",$O380=""),"Dependent Relationship is required when Dependent SSN is entered; ","")&amp;IF(AND($O380&lt;&gt;"",$O380&lt;&gt;"Spouse or Common Law Spouse",$O380&lt;&gt;"Domestic Partner",$O380&lt;&gt;"Child",$O380&lt;&gt;"Other",$O380&lt;&gt;"Estate",$O380&lt;&gt;"Unknown"),"Dependent Relationship must use one of the approved options; ",""))</f>
        <v/>
      </c>
      <c r="Z380">
        <f>IF(COUNTA($A380:$U380)=0,"",IF(AND($A380&lt;&gt;"",NOT(IFERROR(AND(LEN($A380&amp;"")=9,ISNUMBER(--($A380&amp;""))),FALSE))),"Employee SSN must contain exactly 9 digits; ","")&amp;IF(AND($A380&lt;&gt;"",OR($A380="123456789",$A380="987654321",$A380="012345678",$A380=REPT(LEFT($A380&amp;"",1),9))),"Employee SSN appears to be a placeholder; ","")&amp;IF(AND($B380&lt;&gt;"",NOT(IFERROR(AND(LEN($B380&amp;"")=9,ISNUMBER(--($B380&amp;""))),FALSE))),"Dependent SSN must contain exactly 9 digits; ","")&amp;IF(AND($B380&lt;&gt;"",OR($B380="123456789",$B380="987654321",$B380="012345678",$B380=REPT(LEFT($B380&amp;"",1),9))),"Dependent SSN appears to be a placeholder; ","")&amp;IF(AND($A380&lt;&gt;"",$B380&lt;&gt;"",$A380&amp;""=$B380&amp;""),"Dependent SSN cannot match Employee SSN; ","")&amp;IF(AND($W380&lt;&gt;"",OR(COUNTIFS($W$2:$W$501,$W380,$C$2:$C$501,"&lt;&gt;"&amp;$C380)&gt;0,COUNTIFS($W$2:$W$501,$W380,$D$2:$D$501,"&lt;&gt;"&amp;$D380)&gt;0,COUNTIFS($W$2:$W$501,$W380,$L$2:$L$501,"&lt;&gt;"&amp;$L380)&gt;0)),"The same SSN is associated with a different name or birthdate; ",""))</f>
        <v/>
      </c>
      <c r="AA380">
        <f>IF(COUNTA($A380:$U380)=0,"",IF(AND($A380&lt;&gt;"",$S380&lt;&gt;"",COUNTIFS($A$2:$A$501,$A380,$S$2:$S$501,$S380,$B$2:$B$501,"",$O$2:$O$501,"")=0),"Add an employee row for this household and plan; ","")&amp;IF(AND($X380="Dependent",COUNTIFS($A$2:$A380,$A380,$S$2:$S380,$S380,$B$2:$B380,"",$O$2:$O380,"")=0),"Place the employee row before dependent rows for this plan; ","")&amp;IF(AND($X380="Dependent",COUNTIFS($A$2:$A$501,$A380,$S$2:$S$501,$S380,$B$2:$B$501,"",$O$2:$O$501,"")&gt;0,IFERROR(OR($P380&lt;&gt;LOOKUP(2,1/(($A$2:$A$501=$A380)*($S$2:$S$501=$S380)*($B$2:$B$501="")*($O$2:$O$501="")),$P$2:$P$501),$Q380&lt;&gt;LOOKUP(2,1/(($A$2:$A$501=$A380)*($S$2:$S$501=$S380)*($B$2:$B$501="")*($O$2:$O$501="")),$Q$2:$Q$501),$R380&lt;&gt;LOOKUP(2,1/(($A$2:$A$501=$A380)*($S$2:$S$501=$S380)*($B$2:$B$501="")*($O$2:$O$501="")),$R$2:$R$501),$T380&lt;&gt;LOOKUP(2,1/(($A$2:$A$501=$A380)*($S$2:$S$501=$S380)*($B$2:$B$501="")*($O$2:$O$501="")),$T$2:$T$501),$U380&lt;&gt;LOOKUP(2,1/(($A$2:$A$501=$A380)*($S$2:$S$501=$S380)*($B$2:$B$501="")*($O$2:$O$501="")),$U$2:$U$501)),FALSE)),"Dependent row does not match the employee row for eligibility, status, coverage level, or funding; ",""))</f>
        <v/>
      </c>
      <c r="AB380">
        <f>IF(COUNTA($A380:$U380)=0,"",IF($L380="","Birthdate is required; ","")&amp;IF(AND($L380&lt;&gt;"",OR(NOT(ISNUMBER($L380)),$L380&lt;=DATE(1900,1,1),$L380&gt;TODAY())),"Birthdate must be an exact valid past date; ","")&amp;IF($P380="","Eligibility Date is required; ","")&amp;IF(AND($P380&lt;&gt;"",OR(NOT(ISNUMBER($P380)),$P380&lt;=DATE(1900,1,1))),"Eligibility Date must be a valid date; ","")&amp;IF(AND($R380="Terminated",$Q380=""),"Termination Date is required when Status is Terminated; ","")&amp;IF(AND($Q380&lt;&gt;"",OR(NOT(ISNUMBER($Q380)),$Q380&lt;=DATE(1900,1,1))),"Termination Date must be a valid date; ","")&amp;IF(AND(ISNUMBER($P380),ISNUMBER($Q380),$Q380&lt;$P380),"Termination Date cannot be before Eligibility Date; ","")&amp;IF($R380="","Status is required; ","")&amp;IF(AND($R380&lt;&gt;"",$R380&lt;&gt;"Active",$R380&lt;&gt;"Terminated"),"Status must be Active or Terminated; ","")&amp;IF(AND('START HERE'!$C$8="Terminations Only",$R380&lt;&gt;"Terminated"),"Terminations Only files must contain terminated records; ",""))</f>
        <v/>
      </c>
      <c r="AC380">
        <f>IF(COUNTA($A380:$U380)=0,"",IF($S380="","Plan Name is required; ","")&amp;IF($T380="","Benefit Coverage Level is required; ","")&amp;IF(AND($U380&lt;&gt;"",OR(NOT(ISNUMBER($U380)),$U380&lt;0)),"Plan Funding Amount must be a nonnegative number; ","")&amp;IF(AND($A380&lt;&gt;"",$S380&lt;&gt;"",COUNTIFS($A$2:$A$501,$A380,$B$2:$B$501,$B380,$S$2:$S$501,$S380)&gt;1),"Duplicate participant and plan row; ",""))</f>
        <v/>
      </c>
      <c r="AD380">
        <f>IF(COUNTA($A380:$U380)=0,"",IF(AND($X380="Employee",$M380="",$N380=""),"No employee phone or email provided; ","")&amp;IF(AND($R380="Active",$Q380&lt;&gt;""),"Active record includes a Termination Date; confirm this is intentional; ","")&amp;IF(AND($B380&lt;&gt;"",$B380&amp;""&lt;&gt;$A380&amp;"",COUNTIF($A$2:$A$501,$B380)&gt;0),"Dependent SSN also appears as an Employee SSN elsewhere; confirm dual-employee coverage is intentional; ","")&amp;IF(AND($B380&lt;&gt;"",COUNTIF($B$2:$B$501,$B380)&gt;COUNTIFS($A$2:$A$501,$A380,$B$2:$B$501,$B380)),"Dependent SSN appears under more than one employee; confirm duplicate family coverage is intentional; ","")&amp;IF(AND(ROW()&gt;2,$A380&lt;&gt;"",$A380&lt;&gt;$A379,COUNTIF($A$2:$A379,$A380)&gt;0),"This household appears in more than one section of the census; keep the family together; ","")&amp;IF(OR(AND($C380&lt;&gt;"",LEN($C380&amp;"")&lt;&gt;LEN(TRIM($C380&amp;""))),AND($D380&lt;&gt;"",LEN($D380&amp;"")&lt;&gt;LEN(TRIM($D380&amp;""))),AND($E380&lt;&gt;"",LEN($E380&amp;"")&lt;&gt;LEN(TRIM($E380&amp;""))),AND($F380&lt;&gt;"",LEN($F380&amp;"")&lt;&gt;LEN(TRIM($F380&amp;""))),AND($G380&lt;&gt;"",LEN($G380&amp;"")&lt;&gt;LEN(TRIM($G380&amp;""))),AND($H380&lt;&gt;"",LEN($H380&amp;"")&lt;&gt;LEN(TRIM($H380&amp;""))),AND($I380&lt;&gt;"",LEN($I380&amp;"")&lt;&gt;LEN(TRIM($I380&amp;""))),AND($J380&lt;&gt;"",LEN($J380&amp;"")&lt;&gt;LEN(TRIM($J380&amp;""))),AND($K380&lt;&gt;"",LEN($K380&amp;"")&lt;&gt;LEN(TRIM($K380&amp;""))),AND($M380&lt;&gt;"",LEN($M380&amp;"")&lt;&gt;LEN(TRIM($M380&amp;""))),AND($N380&lt;&gt;"",LEN($N380&amp;"")&lt;&gt;LEN(TRIM($N380&amp;""))),AND($O380&lt;&gt;"",LEN($O380&amp;"")&lt;&gt;LEN(TRIM($O380&amp;""))),AND($R380&lt;&gt;"",LEN($R380&amp;"")&lt;&gt;LEN(TRIM($R380&amp;""))),AND($S380&lt;&gt;"",LEN($S380&amp;"")&lt;&gt;LEN(TRIM($S380&amp;""))),AND($T380&lt;&gt;"",LEN($T380&amp;"")&lt;&gt;LEN(TRIM($T380&amp;"")))),"Remove leading or trailing spaces from text fields; ","")&amp;IF(OR(AND(LEN($C380)&gt;1,OR(EXACT($C380,UPPER($C380)),EXACT($C380,LOWER($C380)))),AND(LEN($D380)&gt;1,OR(EXACT($D380,UPPER($D380)),EXACT($D380,LOWER($D380)))),AND(LEN($H380)&gt;1,OR(EXACT($H380,UPPER($H380)),EXACT($H380,LOWER($H380))))),"Review capitalization in First Name, Last Name, or City; ","")&amp;IF(AND($N380&lt;&gt;"",NOT(EXACT($N380,LOWER($N380)))),"Email will be standardized to lowercase in the clean output; ","")&amp;IF(AND(OR('START HERE'!$C$8="Initial Enrollment",'START HERE'!$C$8="Open Enrollment"),$R380="Terminated"),"A terminated row is included in an initial or open enrollment file; confirm this is intentional; ",""))</f>
        <v/>
      </c>
      <c r="AE380">
        <f>IF(COUNTA($A380:$U380)=0,"",IF(OR($A380="",AND($A380&lt;&gt;"",NOT(IFERROR(AND(LEN($A380&amp;"")=9,ISNUMBER(--($A380&amp;""))),FALSE))),AND($A380&lt;&gt;"",OR($A380="123456789",$A380="987654321",$A380="012345678",$A380=REPT(LEFT($A380&amp;"",1),9)))),"Employee SSN, ","")&amp;IF(OR(AND($O380&lt;&gt;"",$B380=""),AND($B380&lt;&gt;"",OR(NOT(IFERROR(AND(LEN($B380&amp;"")=9,ISNUMBER(--($B380&amp;""))),FALSE)),$B380=$A380,$B380="123456789",$B380="987654321",$B380="012345678",$B380=REPT(LEFT($B380&amp;"",1),9)))),"Dependent SSN, ","")&amp;IF(OR($C380="",LEN($C380)&gt;19,AND($C380&lt;&gt;"",SUMPRODUCT(--(ROW($1:$19)&lt;=LEN($C380&amp;"")),--ISERROR(FIND(MID($C380&amp;"",ROW($1:$19),1),"ABCDEFGHIJKLMNOPQRSTUVWXYZabcdefghijklmnopqrstuvwxyz .,")))&gt;0)),"First Name, ","")&amp;IF(OR($D380="",LEN($D380)&gt;26,AND($D380&lt;&gt;"",SUMPRODUCT(--(ROW($1:$26)&lt;=LEN($D380&amp;"")),--ISERROR(FIND(MID($D380&amp;"",ROW($1:$26),1),"ABCDEFGHIJKLMNOPQRSTUVWXYZabcdefghijklmnopqrstuvwxyz .,")))&gt;0)),"Last Name, ","")&amp;IF(OR(LEN($E380)&gt;1,AND($E380&lt;&gt;"",SUMPRODUCT(--(ROW($1:$1)&lt;=LEN($E380&amp;"")),--ISERROR(FIND(MID($E380&amp;"",ROW($1:$1),1),"ABCDEFGHIJKLMNOPQRSTUVWXYZabcdefghijklmnopqrstuvwxyz .,")))&gt;0)),"Middle Initial, ","")&amp;IF(OR($F380="",LEN($F380)&gt;75),"Address, ","")&amp;IF(OR($H380="",LEN($H380)&gt;30),"City, ","")&amp;IF(AND($K380="US",OR($I380="",LEN($I380)&lt;&gt;2)),"State, ","")&amp;IF($J380="","ZIP, ","")&amp;IF(OR($K380="",AND($K380&lt;&gt;"US",$K380&lt;&gt;"CA")),"Country, ","")&amp;IF(OR($L380="",AND($L380&lt;&gt;"",OR(NOT(ISNUMBER($L380)),$L380&lt;=DATE(1900,1,1),$L380&gt;TODAY()))),"Birthdate, ","")&amp;IF(AND($N380&lt;&gt;"",NOT(IFERROR(AND(ISNUMBER(SEARCH("@",$N380)),ISNUMBER(SEARCH(".",$N380,SEARCH("@",$N380)+2))),FALSE))),"Email, ","")&amp;IF(OR(AND($B380&lt;&gt;"",$O380=""),AND($O380&lt;&gt;"",$O380&lt;&gt;"Spouse or Common Law Spouse",$O380&lt;&gt;"Domestic Partner",$O380&lt;&gt;"Child",$O380&lt;&gt;"Other",$O380&lt;&gt;"Estate",$O380&lt;&gt;"Unknown")),"Dependent Relationship, ","")&amp;IF($AA380&lt;&gt;"","Household, ","")&amp;IF(OR($P380="",AND($P380&lt;&gt;"",OR(NOT(ISNUMBER($P380)),$P380&lt;=DATE(1900,1,1)))),"Eligibility Date, ","")&amp;IF(OR(AND($R380="Terminated",$Q380=""),AND($Q380&lt;&gt;"",OR(NOT(ISNUMBER($Q380)),$Q380&lt;=DATE(1900,1,1))),AND(ISNUMBER($P380),ISNUMBER($Q380),$Q380&lt;$P380)),"Termination Date, ","")&amp;IF(OR($R380="",AND($R380&lt;&gt;"Active",$R380&lt;&gt;"Terminated"),AND('START HERE'!$C$8="Terminations Only",$R380&lt;&gt;"Terminated")),"Status, ","")&amp;IF($S380="","Plan Name, ","")&amp;IF($T380="","Coverage Level, ","")&amp;IF(AND($U380&lt;&gt;"",OR(NOT(ISNUMBER($U380)),$U380&lt;0)),"Funding, ","")&amp;IF(AND($A380&lt;&gt;"",$S380&lt;&gt;"",COUNTIFS($A$2:$A$501,$A380,$B$2:$B$501,$B380,$S$2:$S$501,$S380)&gt;1),"Duplicate Row, ",""))</f>
        <v/>
      </c>
      <c r="AF380">
        <f>IF(COUNTA($A380:$U380)=0,"",$Y380&amp;$Z380&amp;$AA380&amp;$AB380&amp;$AC380)</f>
        <v/>
      </c>
      <c r="AG380">
        <f>IF($N380="","",LOWER(TRIM($N380)))</f>
        <v/>
      </c>
      <c r="AH380">
        <f>IF($A380="","",COUNTIFS($A$2:$A$501,$A380,$AI$2:$AI$501,1))</f>
        <v/>
      </c>
      <c r="AI380">
        <f>IF(COUNTA($A380:$U380)=0,"",--($AF380&lt;&gt;""))</f>
        <v/>
      </c>
      <c r="AJ380">
        <f>IF(COUNTA($A380:$U380)=0,"",--($AD380&lt;&gt;""))</f>
        <v/>
      </c>
    </row>
    <row r="381" ht="20" customHeight="1">
      <c r="A381" s="80" t="n"/>
      <c r="B381" s="80" t="n"/>
      <c r="C381" s="81" t="n"/>
      <c r="D381" s="81" t="n"/>
      <c r="E381" s="80" t="n"/>
      <c r="F381" s="81" t="n"/>
      <c r="G381" s="81" t="n"/>
      <c r="H381" s="81" t="n"/>
      <c r="I381" s="80" t="n"/>
      <c r="J381" s="80" t="n"/>
      <c r="K381" s="80" t="n"/>
      <c r="L381" s="82" t="n"/>
      <c r="M381" s="80" t="n"/>
      <c r="N381" s="80" t="n"/>
      <c r="O381" s="80" t="n"/>
      <c r="P381" s="82" t="n"/>
      <c r="Q381" s="82" t="n"/>
      <c r="R381" s="80" t="n"/>
      <c r="S381" s="80" t="n"/>
      <c r="T381" s="80" t="n"/>
      <c r="U381" s="83" t="n"/>
      <c r="V381">
        <f>IF($A381="","",IF($A381=$A380,$V380,IF($V380="",0,1-$V380)))</f>
        <v/>
      </c>
      <c r="W381">
        <f>IF($B381&lt;&gt;"",$B381,$A381)</f>
        <v/>
      </c>
      <c r="X381">
        <f>IF(COUNTA($A381:$U381)=0,"",IF(OR($B381&lt;&gt;"",$O381&lt;&gt;""),"Dependent","Employee"))</f>
        <v/>
      </c>
      <c r="Y381">
        <f>IF(COUNTA($A381:$U381)=0,"",IF($A381="","Employee SSN is required; ","")&amp;IF($C381="","First Name is required; ","")&amp;IF(LEN($C381&amp;"")&gt;19,"First Name exceeds 19 characters; ","")&amp;IF(AND($C381&lt;&gt;"",SUMPRODUCT(--(ROW($1:$19)&lt;=LEN($C381&amp;"")),--ISERROR(FIND(MID($C381&amp;"",ROW($1:$19),1),"ABCDEFGHIJKLMNOPQRSTUVWXYZabcdefghijklmnopqrstuvwxyz .,")))&gt;0),"First Name contains unsupported or encoded characters; use plain A-Z letters only; ","")&amp;IF($D381="","Last Name is required; ","")&amp;IF(LEN($D381&amp;"")&gt;26,"Last Name exceeds 26 characters; ","")&amp;IF(AND($D381&lt;&gt;"",SUMPRODUCT(--(ROW($1:$26)&lt;=LEN($D381&amp;"")),--ISERROR(FIND(MID($D381&amp;"",ROW($1:$26),1),"ABCDEFGHIJKLMNOPQRSTUVWXYZabcdefghijklmnopqrstuvwxyz .,")))&gt;0),"Last Name contains unsupported or encoded characters; use plain A-Z letters only; ","")&amp;IF(LEN($E381&amp;"")&gt;1,"Middle Initial may contain only one character; ","")&amp;IF(AND($E381&lt;&gt;"",SUMPRODUCT(--(ROW($1:$1)&lt;=LEN($E381&amp;"")),--ISERROR(FIND(MID($E381&amp;"",ROW($1:$1),1),"ABCDEFGHIJKLMNOPQRSTUVWXYZabcdefghijklmnopqrstuvwxyz .,")))&gt;0),"Middle Initial must be a plain A-Z letter; ","")&amp;IF($F381="","Address is required; ","")&amp;IF(LEN($F381&amp;"")&gt;75,"Address exceeds 75 characters; ","")&amp;IF(LEN($G381&amp;"")&gt;75,"Address 2 exceeds 75 characters; ","")&amp;IF($H381="","City is required; ","")&amp;IF(LEN($H381&amp;"")&gt;30,"City exceeds 30 characters; ","")&amp;IF($K381="","Country is required; ","")&amp;IF(AND($K381&lt;&gt;"",$K381&lt;&gt;"US",$K381&lt;&gt;"CA"),"Country must be US or CA; ","")&amp;IF(AND($K381="US",OR($I381="",LEN($I381&amp;"")&lt;&gt;2)),"Use a 2-letter state code; ","")&amp;IF($J381="","ZIP or postal code is required; ","")&amp;IF(AND($K381="US",$J381&lt;&gt;"",NOT(IFERROR(OR(AND(LEN($J381&amp;"")=5,ISNUMBER(--($J381&amp;""))),AND(LEN($J381&amp;"")=9,ISNUMBER(--($J381&amp;""))),AND(LEN($J381&amp;"")=10,MID($J381&amp;"",6,1)="-",ISNUMBER(--SUBSTITUTE($J381&amp;"","-","")))),FALSE))),"US ZIP must be 5 or 9 digits, with an optional ZIP+4 hyphen; ","")&amp;IF(AND($N381&lt;&gt;"",NOT(IFERROR(AND(ISNUMBER(SEARCH("@",$N381)),ISNUMBER(SEARCH(".",$N381,SEARCH("@",$N381)+2))),FALSE))),"Email format appears invalid; ","")&amp;IF(AND($O381&lt;&gt;"",$B381=""),"Dependent SSN is required for every dependent; ","")&amp;IF(AND($B381&lt;&gt;"",$O381=""),"Dependent Relationship is required when Dependent SSN is entered; ","")&amp;IF(AND($O381&lt;&gt;"",$O381&lt;&gt;"Spouse or Common Law Spouse",$O381&lt;&gt;"Domestic Partner",$O381&lt;&gt;"Child",$O381&lt;&gt;"Other",$O381&lt;&gt;"Estate",$O381&lt;&gt;"Unknown"),"Dependent Relationship must use one of the approved options; ",""))</f>
        <v/>
      </c>
      <c r="Z381">
        <f>IF(COUNTA($A381:$U381)=0,"",IF(AND($A381&lt;&gt;"",NOT(IFERROR(AND(LEN($A381&amp;"")=9,ISNUMBER(--($A381&amp;""))),FALSE))),"Employee SSN must contain exactly 9 digits; ","")&amp;IF(AND($A381&lt;&gt;"",OR($A381="123456789",$A381="987654321",$A381="012345678",$A381=REPT(LEFT($A381&amp;"",1),9))),"Employee SSN appears to be a placeholder; ","")&amp;IF(AND($B381&lt;&gt;"",NOT(IFERROR(AND(LEN($B381&amp;"")=9,ISNUMBER(--($B381&amp;""))),FALSE))),"Dependent SSN must contain exactly 9 digits; ","")&amp;IF(AND($B381&lt;&gt;"",OR($B381="123456789",$B381="987654321",$B381="012345678",$B381=REPT(LEFT($B381&amp;"",1),9))),"Dependent SSN appears to be a placeholder; ","")&amp;IF(AND($A381&lt;&gt;"",$B381&lt;&gt;"",$A381&amp;""=$B381&amp;""),"Dependent SSN cannot match Employee SSN; ","")&amp;IF(AND($W381&lt;&gt;"",OR(COUNTIFS($W$2:$W$501,$W381,$C$2:$C$501,"&lt;&gt;"&amp;$C381)&gt;0,COUNTIFS($W$2:$W$501,$W381,$D$2:$D$501,"&lt;&gt;"&amp;$D381)&gt;0,COUNTIFS($W$2:$W$501,$W381,$L$2:$L$501,"&lt;&gt;"&amp;$L381)&gt;0)),"The same SSN is associated with a different name or birthdate; ",""))</f>
        <v/>
      </c>
      <c r="AA381">
        <f>IF(COUNTA($A381:$U381)=0,"",IF(AND($A381&lt;&gt;"",$S381&lt;&gt;"",COUNTIFS($A$2:$A$501,$A381,$S$2:$S$501,$S381,$B$2:$B$501,"",$O$2:$O$501,"")=0),"Add an employee row for this household and plan; ","")&amp;IF(AND($X381="Dependent",COUNTIFS($A$2:$A381,$A381,$S$2:$S381,$S381,$B$2:$B381,"",$O$2:$O381,"")=0),"Place the employee row before dependent rows for this plan; ","")&amp;IF(AND($X381="Dependent",COUNTIFS($A$2:$A$501,$A381,$S$2:$S$501,$S381,$B$2:$B$501,"",$O$2:$O$501,"")&gt;0,IFERROR(OR($P381&lt;&gt;LOOKUP(2,1/(($A$2:$A$501=$A381)*($S$2:$S$501=$S381)*($B$2:$B$501="")*($O$2:$O$501="")),$P$2:$P$501),$Q381&lt;&gt;LOOKUP(2,1/(($A$2:$A$501=$A381)*($S$2:$S$501=$S381)*($B$2:$B$501="")*($O$2:$O$501="")),$Q$2:$Q$501),$R381&lt;&gt;LOOKUP(2,1/(($A$2:$A$501=$A381)*($S$2:$S$501=$S381)*($B$2:$B$501="")*($O$2:$O$501="")),$R$2:$R$501),$T381&lt;&gt;LOOKUP(2,1/(($A$2:$A$501=$A381)*($S$2:$S$501=$S381)*($B$2:$B$501="")*($O$2:$O$501="")),$T$2:$T$501),$U381&lt;&gt;LOOKUP(2,1/(($A$2:$A$501=$A381)*($S$2:$S$501=$S381)*($B$2:$B$501="")*($O$2:$O$501="")),$U$2:$U$501)),FALSE)),"Dependent row does not match the employee row for eligibility, status, coverage level, or funding; ",""))</f>
        <v/>
      </c>
      <c r="AB381">
        <f>IF(COUNTA($A381:$U381)=0,"",IF($L381="","Birthdate is required; ","")&amp;IF(AND($L381&lt;&gt;"",OR(NOT(ISNUMBER($L381)),$L381&lt;=DATE(1900,1,1),$L381&gt;TODAY())),"Birthdate must be an exact valid past date; ","")&amp;IF($P381="","Eligibility Date is required; ","")&amp;IF(AND($P381&lt;&gt;"",OR(NOT(ISNUMBER($P381)),$P381&lt;=DATE(1900,1,1))),"Eligibility Date must be a valid date; ","")&amp;IF(AND($R381="Terminated",$Q381=""),"Termination Date is required when Status is Terminated; ","")&amp;IF(AND($Q381&lt;&gt;"",OR(NOT(ISNUMBER($Q381)),$Q381&lt;=DATE(1900,1,1))),"Termination Date must be a valid date; ","")&amp;IF(AND(ISNUMBER($P381),ISNUMBER($Q381),$Q381&lt;$P381),"Termination Date cannot be before Eligibility Date; ","")&amp;IF($R381="","Status is required; ","")&amp;IF(AND($R381&lt;&gt;"",$R381&lt;&gt;"Active",$R381&lt;&gt;"Terminated"),"Status must be Active or Terminated; ","")&amp;IF(AND('START HERE'!$C$8="Terminations Only",$R381&lt;&gt;"Terminated"),"Terminations Only files must contain terminated records; ",""))</f>
        <v/>
      </c>
      <c r="AC381">
        <f>IF(COUNTA($A381:$U381)=0,"",IF($S381="","Plan Name is required; ","")&amp;IF($T381="","Benefit Coverage Level is required; ","")&amp;IF(AND($U381&lt;&gt;"",OR(NOT(ISNUMBER($U381)),$U381&lt;0)),"Plan Funding Amount must be a nonnegative number; ","")&amp;IF(AND($A381&lt;&gt;"",$S381&lt;&gt;"",COUNTIFS($A$2:$A$501,$A381,$B$2:$B$501,$B381,$S$2:$S$501,$S381)&gt;1),"Duplicate participant and plan row; ",""))</f>
        <v/>
      </c>
      <c r="AD381">
        <f>IF(COUNTA($A381:$U381)=0,"",IF(AND($X381="Employee",$M381="",$N381=""),"No employee phone or email provided; ","")&amp;IF(AND($R381="Active",$Q381&lt;&gt;""),"Active record includes a Termination Date; confirm this is intentional; ","")&amp;IF(AND($B381&lt;&gt;"",$B381&amp;""&lt;&gt;$A381&amp;"",COUNTIF($A$2:$A$501,$B381)&gt;0),"Dependent SSN also appears as an Employee SSN elsewhere; confirm dual-employee coverage is intentional; ","")&amp;IF(AND($B381&lt;&gt;"",COUNTIF($B$2:$B$501,$B381)&gt;COUNTIFS($A$2:$A$501,$A381,$B$2:$B$501,$B381)),"Dependent SSN appears under more than one employee; confirm duplicate family coverage is intentional; ","")&amp;IF(AND(ROW()&gt;2,$A381&lt;&gt;"",$A381&lt;&gt;$A380,COUNTIF($A$2:$A380,$A381)&gt;0),"This household appears in more than one section of the census; keep the family together; ","")&amp;IF(OR(AND($C381&lt;&gt;"",LEN($C381&amp;"")&lt;&gt;LEN(TRIM($C381&amp;""))),AND($D381&lt;&gt;"",LEN($D381&amp;"")&lt;&gt;LEN(TRIM($D381&amp;""))),AND($E381&lt;&gt;"",LEN($E381&amp;"")&lt;&gt;LEN(TRIM($E381&amp;""))),AND($F381&lt;&gt;"",LEN($F381&amp;"")&lt;&gt;LEN(TRIM($F381&amp;""))),AND($G381&lt;&gt;"",LEN($G381&amp;"")&lt;&gt;LEN(TRIM($G381&amp;""))),AND($H381&lt;&gt;"",LEN($H381&amp;"")&lt;&gt;LEN(TRIM($H381&amp;""))),AND($I381&lt;&gt;"",LEN($I381&amp;"")&lt;&gt;LEN(TRIM($I381&amp;""))),AND($J381&lt;&gt;"",LEN($J381&amp;"")&lt;&gt;LEN(TRIM($J381&amp;""))),AND($K381&lt;&gt;"",LEN($K381&amp;"")&lt;&gt;LEN(TRIM($K381&amp;""))),AND($M381&lt;&gt;"",LEN($M381&amp;"")&lt;&gt;LEN(TRIM($M381&amp;""))),AND($N381&lt;&gt;"",LEN($N381&amp;"")&lt;&gt;LEN(TRIM($N381&amp;""))),AND($O381&lt;&gt;"",LEN($O381&amp;"")&lt;&gt;LEN(TRIM($O381&amp;""))),AND($R381&lt;&gt;"",LEN($R381&amp;"")&lt;&gt;LEN(TRIM($R381&amp;""))),AND($S381&lt;&gt;"",LEN($S381&amp;"")&lt;&gt;LEN(TRIM($S381&amp;""))),AND($T381&lt;&gt;"",LEN($T381&amp;"")&lt;&gt;LEN(TRIM($T381&amp;"")))),"Remove leading or trailing spaces from text fields; ","")&amp;IF(OR(AND(LEN($C381)&gt;1,OR(EXACT($C381,UPPER($C381)),EXACT($C381,LOWER($C381)))),AND(LEN($D381)&gt;1,OR(EXACT($D381,UPPER($D381)),EXACT($D381,LOWER($D381)))),AND(LEN($H381)&gt;1,OR(EXACT($H381,UPPER($H381)),EXACT($H381,LOWER($H381))))),"Review capitalization in First Name, Last Name, or City; ","")&amp;IF(AND($N381&lt;&gt;"",NOT(EXACT($N381,LOWER($N381)))),"Email will be standardized to lowercase in the clean output; ","")&amp;IF(AND(OR('START HERE'!$C$8="Initial Enrollment",'START HERE'!$C$8="Open Enrollment"),$R381="Terminated"),"A terminated row is included in an initial or open enrollment file; confirm this is intentional; ",""))</f>
        <v/>
      </c>
      <c r="AE381">
        <f>IF(COUNTA($A381:$U381)=0,"",IF(OR($A381="",AND($A381&lt;&gt;"",NOT(IFERROR(AND(LEN($A381&amp;"")=9,ISNUMBER(--($A381&amp;""))),FALSE))),AND($A381&lt;&gt;"",OR($A381="123456789",$A381="987654321",$A381="012345678",$A381=REPT(LEFT($A381&amp;"",1),9)))),"Employee SSN, ","")&amp;IF(OR(AND($O381&lt;&gt;"",$B381=""),AND($B381&lt;&gt;"",OR(NOT(IFERROR(AND(LEN($B381&amp;"")=9,ISNUMBER(--($B381&amp;""))),FALSE)),$B381=$A381,$B381="123456789",$B381="987654321",$B381="012345678",$B381=REPT(LEFT($B381&amp;"",1),9)))),"Dependent SSN, ","")&amp;IF(OR($C381="",LEN($C381)&gt;19,AND($C381&lt;&gt;"",SUMPRODUCT(--(ROW($1:$19)&lt;=LEN($C381&amp;"")),--ISERROR(FIND(MID($C381&amp;"",ROW($1:$19),1),"ABCDEFGHIJKLMNOPQRSTUVWXYZabcdefghijklmnopqrstuvwxyz .,")))&gt;0)),"First Name, ","")&amp;IF(OR($D381="",LEN($D381)&gt;26,AND($D381&lt;&gt;"",SUMPRODUCT(--(ROW($1:$26)&lt;=LEN($D381&amp;"")),--ISERROR(FIND(MID($D381&amp;"",ROW($1:$26),1),"ABCDEFGHIJKLMNOPQRSTUVWXYZabcdefghijklmnopqrstuvwxyz .,")))&gt;0)),"Last Name, ","")&amp;IF(OR(LEN($E381)&gt;1,AND($E381&lt;&gt;"",SUMPRODUCT(--(ROW($1:$1)&lt;=LEN($E381&amp;"")),--ISERROR(FIND(MID($E381&amp;"",ROW($1:$1),1),"ABCDEFGHIJKLMNOPQRSTUVWXYZabcdefghijklmnopqrstuvwxyz .,")))&gt;0)),"Middle Initial, ","")&amp;IF(OR($F381="",LEN($F381)&gt;75),"Address, ","")&amp;IF(OR($H381="",LEN($H381)&gt;30),"City, ","")&amp;IF(AND($K381="US",OR($I381="",LEN($I381)&lt;&gt;2)),"State, ","")&amp;IF($J381="","ZIP, ","")&amp;IF(OR($K381="",AND($K381&lt;&gt;"US",$K381&lt;&gt;"CA")),"Country, ","")&amp;IF(OR($L381="",AND($L381&lt;&gt;"",OR(NOT(ISNUMBER($L381)),$L381&lt;=DATE(1900,1,1),$L381&gt;TODAY()))),"Birthdate, ","")&amp;IF(AND($N381&lt;&gt;"",NOT(IFERROR(AND(ISNUMBER(SEARCH("@",$N381)),ISNUMBER(SEARCH(".",$N381,SEARCH("@",$N381)+2))),FALSE))),"Email, ","")&amp;IF(OR(AND($B381&lt;&gt;"",$O381=""),AND($O381&lt;&gt;"",$O381&lt;&gt;"Spouse or Common Law Spouse",$O381&lt;&gt;"Domestic Partner",$O381&lt;&gt;"Child",$O381&lt;&gt;"Other",$O381&lt;&gt;"Estate",$O381&lt;&gt;"Unknown")),"Dependent Relationship, ","")&amp;IF($AA381&lt;&gt;"","Household, ","")&amp;IF(OR($P381="",AND($P381&lt;&gt;"",OR(NOT(ISNUMBER($P381)),$P381&lt;=DATE(1900,1,1)))),"Eligibility Date, ","")&amp;IF(OR(AND($R381="Terminated",$Q381=""),AND($Q381&lt;&gt;"",OR(NOT(ISNUMBER($Q381)),$Q381&lt;=DATE(1900,1,1))),AND(ISNUMBER($P381),ISNUMBER($Q381),$Q381&lt;$P381)),"Termination Date, ","")&amp;IF(OR($R381="",AND($R381&lt;&gt;"Active",$R381&lt;&gt;"Terminated"),AND('START HERE'!$C$8="Terminations Only",$R381&lt;&gt;"Terminated")),"Status, ","")&amp;IF($S381="","Plan Name, ","")&amp;IF($T381="","Coverage Level, ","")&amp;IF(AND($U381&lt;&gt;"",OR(NOT(ISNUMBER($U381)),$U381&lt;0)),"Funding, ","")&amp;IF(AND($A381&lt;&gt;"",$S381&lt;&gt;"",COUNTIFS($A$2:$A$501,$A381,$B$2:$B$501,$B381,$S$2:$S$501,$S381)&gt;1),"Duplicate Row, ",""))</f>
        <v/>
      </c>
      <c r="AF381">
        <f>IF(COUNTA($A381:$U381)=0,"",$Y381&amp;$Z381&amp;$AA381&amp;$AB381&amp;$AC381)</f>
        <v/>
      </c>
      <c r="AG381">
        <f>IF($N381="","",LOWER(TRIM($N381)))</f>
        <v/>
      </c>
      <c r="AH381">
        <f>IF($A381="","",COUNTIFS($A$2:$A$501,$A381,$AI$2:$AI$501,1))</f>
        <v/>
      </c>
      <c r="AI381">
        <f>IF(COUNTA($A381:$U381)=0,"",--($AF381&lt;&gt;""))</f>
        <v/>
      </c>
      <c r="AJ381">
        <f>IF(COUNTA($A381:$U381)=0,"",--($AD381&lt;&gt;""))</f>
        <v/>
      </c>
    </row>
    <row r="382" ht="20" customHeight="1">
      <c r="A382" s="80" t="n"/>
      <c r="B382" s="80" t="n"/>
      <c r="C382" s="81" t="n"/>
      <c r="D382" s="81" t="n"/>
      <c r="E382" s="80" t="n"/>
      <c r="F382" s="81" t="n"/>
      <c r="G382" s="81" t="n"/>
      <c r="H382" s="81" t="n"/>
      <c r="I382" s="80" t="n"/>
      <c r="J382" s="80" t="n"/>
      <c r="K382" s="80" t="n"/>
      <c r="L382" s="82" t="n"/>
      <c r="M382" s="80" t="n"/>
      <c r="N382" s="80" t="n"/>
      <c r="O382" s="80" t="n"/>
      <c r="P382" s="82" t="n"/>
      <c r="Q382" s="82" t="n"/>
      <c r="R382" s="80" t="n"/>
      <c r="S382" s="80" t="n"/>
      <c r="T382" s="80" t="n"/>
      <c r="U382" s="83" t="n"/>
      <c r="V382">
        <f>IF($A382="","",IF($A382=$A381,$V381,IF($V381="",0,1-$V381)))</f>
        <v/>
      </c>
      <c r="W382">
        <f>IF($B382&lt;&gt;"",$B382,$A382)</f>
        <v/>
      </c>
      <c r="X382">
        <f>IF(COUNTA($A382:$U382)=0,"",IF(OR($B382&lt;&gt;"",$O382&lt;&gt;""),"Dependent","Employee"))</f>
        <v/>
      </c>
      <c r="Y382">
        <f>IF(COUNTA($A382:$U382)=0,"",IF($A382="","Employee SSN is required; ","")&amp;IF($C382="","First Name is required; ","")&amp;IF(LEN($C382&amp;"")&gt;19,"First Name exceeds 19 characters; ","")&amp;IF(AND($C382&lt;&gt;"",SUMPRODUCT(--(ROW($1:$19)&lt;=LEN($C382&amp;"")),--ISERROR(FIND(MID($C382&amp;"",ROW($1:$19),1),"ABCDEFGHIJKLMNOPQRSTUVWXYZabcdefghijklmnopqrstuvwxyz .,")))&gt;0),"First Name contains unsupported or encoded characters; use plain A-Z letters only; ","")&amp;IF($D382="","Last Name is required; ","")&amp;IF(LEN($D382&amp;"")&gt;26,"Last Name exceeds 26 characters; ","")&amp;IF(AND($D382&lt;&gt;"",SUMPRODUCT(--(ROW($1:$26)&lt;=LEN($D382&amp;"")),--ISERROR(FIND(MID($D382&amp;"",ROW($1:$26),1),"ABCDEFGHIJKLMNOPQRSTUVWXYZabcdefghijklmnopqrstuvwxyz .,")))&gt;0),"Last Name contains unsupported or encoded characters; use plain A-Z letters only; ","")&amp;IF(LEN($E382&amp;"")&gt;1,"Middle Initial may contain only one character; ","")&amp;IF(AND($E382&lt;&gt;"",SUMPRODUCT(--(ROW($1:$1)&lt;=LEN($E382&amp;"")),--ISERROR(FIND(MID($E382&amp;"",ROW($1:$1),1),"ABCDEFGHIJKLMNOPQRSTUVWXYZabcdefghijklmnopqrstuvwxyz .,")))&gt;0),"Middle Initial must be a plain A-Z letter; ","")&amp;IF($F382="","Address is required; ","")&amp;IF(LEN($F382&amp;"")&gt;75,"Address exceeds 75 characters; ","")&amp;IF(LEN($G382&amp;"")&gt;75,"Address 2 exceeds 75 characters; ","")&amp;IF($H382="","City is required; ","")&amp;IF(LEN($H382&amp;"")&gt;30,"City exceeds 30 characters; ","")&amp;IF($K382="","Country is required; ","")&amp;IF(AND($K382&lt;&gt;"",$K382&lt;&gt;"US",$K382&lt;&gt;"CA"),"Country must be US or CA; ","")&amp;IF(AND($K382="US",OR($I382="",LEN($I382&amp;"")&lt;&gt;2)),"Use a 2-letter state code; ","")&amp;IF($J382="","ZIP or postal code is required; ","")&amp;IF(AND($K382="US",$J382&lt;&gt;"",NOT(IFERROR(OR(AND(LEN($J382&amp;"")=5,ISNUMBER(--($J382&amp;""))),AND(LEN($J382&amp;"")=9,ISNUMBER(--($J382&amp;""))),AND(LEN($J382&amp;"")=10,MID($J382&amp;"",6,1)="-",ISNUMBER(--SUBSTITUTE($J382&amp;"","-","")))),FALSE))),"US ZIP must be 5 or 9 digits, with an optional ZIP+4 hyphen; ","")&amp;IF(AND($N382&lt;&gt;"",NOT(IFERROR(AND(ISNUMBER(SEARCH("@",$N382)),ISNUMBER(SEARCH(".",$N382,SEARCH("@",$N382)+2))),FALSE))),"Email format appears invalid; ","")&amp;IF(AND($O382&lt;&gt;"",$B382=""),"Dependent SSN is required for every dependent; ","")&amp;IF(AND($B382&lt;&gt;"",$O382=""),"Dependent Relationship is required when Dependent SSN is entered; ","")&amp;IF(AND($O382&lt;&gt;"",$O382&lt;&gt;"Spouse or Common Law Spouse",$O382&lt;&gt;"Domestic Partner",$O382&lt;&gt;"Child",$O382&lt;&gt;"Other",$O382&lt;&gt;"Estate",$O382&lt;&gt;"Unknown"),"Dependent Relationship must use one of the approved options; ",""))</f>
        <v/>
      </c>
      <c r="Z382">
        <f>IF(COUNTA($A382:$U382)=0,"",IF(AND($A382&lt;&gt;"",NOT(IFERROR(AND(LEN($A382&amp;"")=9,ISNUMBER(--($A382&amp;""))),FALSE))),"Employee SSN must contain exactly 9 digits; ","")&amp;IF(AND($A382&lt;&gt;"",OR($A382="123456789",$A382="987654321",$A382="012345678",$A382=REPT(LEFT($A382&amp;"",1),9))),"Employee SSN appears to be a placeholder; ","")&amp;IF(AND($B382&lt;&gt;"",NOT(IFERROR(AND(LEN($B382&amp;"")=9,ISNUMBER(--($B382&amp;""))),FALSE))),"Dependent SSN must contain exactly 9 digits; ","")&amp;IF(AND($B382&lt;&gt;"",OR($B382="123456789",$B382="987654321",$B382="012345678",$B382=REPT(LEFT($B382&amp;"",1),9))),"Dependent SSN appears to be a placeholder; ","")&amp;IF(AND($A382&lt;&gt;"",$B382&lt;&gt;"",$A382&amp;""=$B382&amp;""),"Dependent SSN cannot match Employee SSN; ","")&amp;IF(AND($W382&lt;&gt;"",OR(COUNTIFS($W$2:$W$501,$W382,$C$2:$C$501,"&lt;&gt;"&amp;$C382)&gt;0,COUNTIFS($W$2:$W$501,$W382,$D$2:$D$501,"&lt;&gt;"&amp;$D382)&gt;0,COUNTIFS($W$2:$W$501,$W382,$L$2:$L$501,"&lt;&gt;"&amp;$L382)&gt;0)),"The same SSN is associated with a different name or birthdate; ",""))</f>
        <v/>
      </c>
      <c r="AA382">
        <f>IF(COUNTA($A382:$U382)=0,"",IF(AND($A382&lt;&gt;"",$S382&lt;&gt;"",COUNTIFS($A$2:$A$501,$A382,$S$2:$S$501,$S382,$B$2:$B$501,"",$O$2:$O$501,"")=0),"Add an employee row for this household and plan; ","")&amp;IF(AND($X382="Dependent",COUNTIFS($A$2:$A382,$A382,$S$2:$S382,$S382,$B$2:$B382,"",$O$2:$O382,"")=0),"Place the employee row before dependent rows for this plan; ","")&amp;IF(AND($X382="Dependent",COUNTIFS($A$2:$A$501,$A382,$S$2:$S$501,$S382,$B$2:$B$501,"",$O$2:$O$501,"")&gt;0,IFERROR(OR($P382&lt;&gt;LOOKUP(2,1/(($A$2:$A$501=$A382)*($S$2:$S$501=$S382)*($B$2:$B$501="")*($O$2:$O$501="")),$P$2:$P$501),$Q382&lt;&gt;LOOKUP(2,1/(($A$2:$A$501=$A382)*($S$2:$S$501=$S382)*($B$2:$B$501="")*($O$2:$O$501="")),$Q$2:$Q$501),$R382&lt;&gt;LOOKUP(2,1/(($A$2:$A$501=$A382)*($S$2:$S$501=$S382)*($B$2:$B$501="")*($O$2:$O$501="")),$R$2:$R$501),$T382&lt;&gt;LOOKUP(2,1/(($A$2:$A$501=$A382)*($S$2:$S$501=$S382)*($B$2:$B$501="")*($O$2:$O$501="")),$T$2:$T$501),$U382&lt;&gt;LOOKUP(2,1/(($A$2:$A$501=$A382)*($S$2:$S$501=$S382)*($B$2:$B$501="")*($O$2:$O$501="")),$U$2:$U$501)),FALSE)),"Dependent row does not match the employee row for eligibility, status, coverage level, or funding; ",""))</f>
        <v/>
      </c>
      <c r="AB382">
        <f>IF(COUNTA($A382:$U382)=0,"",IF($L382="","Birthdate is required; ","")&amp;IF(AND($L382&lt;&gt;"",OR(NOT(ISNUMBER($L382)),$L382&lt;=DATE(1900,1,1),$L382&gt;TODAY())),"Birthdate must be an exact valid past date; ","")&amp;IF($P382="","Eligibility Date is required; ","")&amp;IF(AND($P382&lt;&gt;"",OR(NOT(ISNUMBER($P382)),$P382&lt;=DATE(1900,1,1))),"Eligibility Date must be a valid date; ","")&amp;IF(AND($R382="Terminated",$Q382=""),"Termination Date is required when Status is Terminated; ","")&amp;IF(AND($Q382&lt;&gt;"",OR(NOT(ISNUMBER($Q382)),$Q382&lt;=DATE(1900,1,1))),"Termination Date must be a valid date; ","")&amp;IF(AND(ISNUMBER($P382),ISNUMBER($Q382),$Q382&lt;$P382),"Termination Date cannot be before Eligibility Date; ","")&amp;IF($R382="","Status is required; ","")&amp;IF(AND($R382&lt;&gt;"",$R382&lt;&gt;"Active",$R382&lt;&gt;"Terminated"),"Status must be Active or Terminated; ","")&amp;IF(AND('START HERE'!$C$8="Terminations Only",$R382&lt;&gt;"Terminated"),"Terminations Only files must contain terminated records; ",""))</f>
        <v/>
      </c>
      <c r="AC382">
        <f>IF(COUNTA($A382:$U382)=0,"",IF($S382="","Plan Name is required; ","")&amp;IF($T382="","Benefit Coverage Level is required; ","")&amp;IF(AND($U382&lt;&gt;"",OR(NOT(ISNUMBER($U382)),$U382&lt;0)),"Plan Funding Amount must be a nonnegative number; ","")&amp;IF(AND($A382&lt;&gt;"",$S382&lt;&gt;"",COUNTIFS($A$2:$A$501,$A382,$B$2:$B$501,$B382,$S$2:$S$501,$S382)&gt;1),"Duplicate participant and plan row; ",""))</f>
        <v/>
      </c>
      <c r="AD382">
        <f>IF(COUNTA($A382:$U382)=0,"",IF(AND($X382="Employee",$M382="",$N382=""),"No employee phone or email provided; ","")&amp;IF(AND($R382="Active",$Q382&lt;&gt;""),"Active record includes a Termination Date; confirm this is intentional; ","")&amp;IF(AND($B382&lt;&gt;"",$B382&amp;""&lt;&gt;$A382&amp;"",COUNTIF($A$2:$A$501,$B382)&gt;0),"Dependent SSN also appears as an Employee SSN elsewhere; confirm dual-employee coverage is intentional; ","")&amp;IF(AND($B382&lt;&gt;"",COUNTIF($B$2:$B$501,$B382)&gt;COUNTIFS($A$2:$A$501,$A382,$B$2:$B$501,$B382)),"Dependent SSN appears under more than one employee; confirm duplicate family coverage is intentional; ","")&amp;IF(AND(ROW()&gt;2,$A382&lt;&gt;"",$A382&lt;&gt;$A381,COUNTIF($A$2:$A381,$A382)&gt;0),"This household appears in more than one section of the census; keep the family together; ","")&amp;IF(OR(AND($C382&lt;&gt;"",LEN($C382&amp;"")&lt;&gt;LEN(TRIM($C382&amp;""))),AND($D382&lt;&gt;"",LEN($D382&amp;"")&lt;&gt;LEN(TRIM($D382&amp;""))),AND($E382&lt;&gt;"",LEN($E382&amp;"")&lt;&gt;LEN(TRIM($E382&amp;""))),AND($F382&lt;&gt;"",LEN($F382&amp;"")&lt;&gt;LEN(TRIM($F382&amp;""))),AND($G382&lt;&gt;"",LEN($G382&amp;"")&lt;&gt;LEN(TRIM($G382&amp;""))),AND($H382&lt;&gt;"",LEN($H382&amp;"")&lt;&gt;LEN(TRIM($H382&amp;""))),AND($I382&lt;&gt;"",LEN($I382&amp;"")&lt;&gt;LEN(TRIM($I382&amp;""))),AND($J382&lt;&gt;"",LEN($J382&amp;"")&lt;&gt;LEN(TRIM($J382&amp;""))),AND($K382&lt;&gt;"",LEN($K382&amp;"")&lt;&gt;LEN(TRIM($K382&amp;""))),AND($M382&lt;&gt;"",LEN($M382&amp;"")&lt;&gt;LEN(TRIM($M382&amp;""))),AND($N382&lt;&gt;"",LEN($N382&amp;"")&lt;&gt;LEN(TRIM($N382&amp;""))),AND($O382&lt;&gt;"",LEN($O382&amp;"")&lt;&gt;LEN(TRIM($O382&amp;""))),AND($R382&lt;&gt;"",LEN($R382&amp;"")&lt;&gt;LEN(TRIM($R382&amp;""))),AND($S382&lt;&gt;"",LEN($S382&amp;"")&lt;&gt;LEN(TRIM($S382&amp;""))),AND($T382&lt;&gt;"",LEN($T382&amp;"")&lt;&gt;LEN(TRIM($T382&amp;"")))),"Remove leading or trailing spaces from text fields; ","")&amp;IF(OR(AND(LEN($C382)&gt;1,OR(EXACT($C382,UPPER($C382)),EXACT($C382,LOWER($C382)))),AND(LEN($D382)&gt;1,OR(EXACT($D382,UPPER($D382)),EXACT($D382,LOWER($D382)))),AND(LEN($H382)&gt;1,OR(EXACT($H382,UPPER($H382)),EXACT($H382,LOWER($H382))))),"Review capitalization in First Name, Last Name, or City; ","")&amp;IF(AND($N382&lt;&gt;"",NOT(EXACT($N382,LOWER($N382)))),"Email will be standardized to lowercase in the clean output; ","")&amp;IF(AND(OR('START HERE'!$C$8="Initial Enrollment",'START HERE'!$C$8="Open Enrollment"),$R382="Terminated"),"A terminated row is included in an initial or open enrollment file; confirm this is intentional; ",""))</f>
        <v/>
      </c>
      <c r="AE382">
        <f>IF(COUNTA($A382:$U382)=0,"",IF(OR($A382="",AND($A382&lt;&gt;"",NOT(IFERROR(AND(LEN($A382&amp;"")=9,ISNUMBER(--($A382&amp;""))),FALSE))),AND($A382&lt;&gt;"",OR($A382="123456789",$A382="987654321",$A382="012345678",$A382=REPT(LEFT($A382&amp;"",1),9)))),"Employee SSN, ","")&amp;IF(OR(AND($O382&lt;&gt;"",$B382=""),AND($B382&lt;&gt;"",OR(NOT(IFERROR(AND(LEN($B382&amp;"")=9,ISNUMBER(--($B382&amp;""))),FALSE)),$B382=$A382,$B382="123456789",$B382="987654321",$B382="012345678",$B382=REPT(LEFT($B382&amp;"",1),9)))),"Dependent SSN, ","")&amp;IF(OR($C382="",LEN($C382)&gt;19,AND($C382&lt;&gt;"",SUMPRODUCT(--(ROW($1:$19)&lt;=LEN($C382&amp;"")),--ISERROR(FIND(MID($C382&amp;"",ROW($1:$19),1),"ABCDEFGHIJKLMNOPQRSTUVWXYZabcdefghijklmnopqrstuvwxyz .,")))&gt;0)),"First Name, ","")&amp;IF(OR($D382="",LEN($D382)&gt;26,AND($D382&lt;&gt;"",SUMPRODUCT(--(ROW($1:$26)&lt;=LEN($D382&amp;"")),--ISERROR(FIND(MID($D382&amp;"",ROW($1:$26),1),"ABCDEFGHIJKLMNOPQRSTUVWXYZabcdefghijklmnopqrstuvwxyz .,")))&gt;0)),"Last Name, ","")&amp;IF(OR(LEN($E382)&gt;1,AND($E382&lt;&gt;"",SUMPRODUCT(--(ROW($1:$1)&lt;=LEN($E382&amp;"")),--ISERROR(FIND(MID($E382&amp;"",ROW($1:$1),1),"ABCDEFGHIJKLMNOPQRSTUVWXYZabcdefghijklmnopqrstuvwxyz .,")))&gt;0)),"Middle Initial, ","")&amp;IF(OR($F382="",LEN($F382)&gt;75),"Address, ","")&amp;IF(OR($H382="",LEN($H382)&gt;30),"City, ","")&amp;IF(AND($K382="US",OR($I382="",LEN($I382)&lt;&gt;2)),"State, ","")&amp;IF($J382="","ZIP, ","")&amp;IF(OR($K382="",AND($K382&lt;&gt;"US",$K382&lt;&gt;"CA")),"Country, ","")&amp;IF(OR($L382="",AND($L382&lt;&gt;"",OR(NOT(ISNUMBER($L382)),$L382&lt;=DATE(1900,1,1),$L382&gt;TODAY()))),"Birthdate, ","")&amp;IF(AND($N382&lt;&gt;"",NOT(IFERROR(AND(ISNUMBER(SEARCH("@",$N382)),ISNUMBER(SEARCH(".",$N382,SEARCH("@",$N382)+2))),FALSE))),"Email, ","")&amp;IF(OR(AND($B382&lt;&gt;"",$O382=""),AND($O382&lt;&gt;"",$O382&lt;&gt;"Spouse or Common Law Spouse",$O382&lt;&gt;"Domestic Partner",$O382&lt;&gt;"Child",$O382&lt;&gt;"Other",$O382&lt;&gt;"Estate",$O382&lt;&gt;"Unknown")),"Dependent Relationship, ","")&amp;IF($AA382&lt;&gt;"","Household, ","")&amp;IF(OR($P382="",AND($P382&lt;&gt;"",OR(NOT(ISNUMBER($P382)),$P382&lt;=DATE(1900,1,1)))),"Eligibility Date, ","")&amp;IF(OR(AND($R382="Terminated",$Q382=""),AND($Q382&lt;&gt;"",OR(NOT(ISNUMBER($Q382)),$Q382&lt;=DATE(1900,1,1))),AND(ISNUMBER($P382),ISNUMBER($Q382),$Q382&lt;$P382)),"Termination Date, ","")&amp;IF(OR($R382="",AND($R382&lt;&gt;"Active",$R382&lt;&gt;"Terminated"),AND('START HERE'!$C$8="Terminations Only",$R382&lt;&gt;"Terminated")),"Status, ","")&amp;IF($S382="","Plan Name, ","")&amp;IF($T382="","Coverage Level, ","")&amp;IF(AND($U382&lt;&gt;"",OR(NOT(ISNUMBER($U382)),$U382&lt;0)),"Funding, ","")&amp;IF(AND($A382&lt;&gt;"",$S382&lt;&gt;"",COUNTIFS($A$2:$A$501,$A382,$B$2:$B$501,$B382,$S$2:$S$501,$S382)&gt;1),"Duplicate Row, ",""))</f>
        <v/>
      </c>
      <c r="AF382">
        <f>IF(COUNTA($A382:$U382)=0,"",$Y382&amp;$Z382&amp;$AA382&amp;$AB382&amp;$AC382)</f>
        <v/>
      </c>
      <c r="AG382">
        <f>IF($N382="","",LOWER(TRIM($N382)))</f>
        <v/>
      </c>
      <c r="AH382">
        <f>IF($A382="","",COUNTIFS($A$2:$A$501,$A382,$AI$2:$AI$501,1))</f>
        <v/>
      </c>
      <c r="AI382">
        <f>IF(COUNTA($A382:$U382)=0,"",--($AF382&lt;&gt;""))</f>
        <v/>
      </c>
      <c r="AJ382">
        <f>IF(COUNTA($A382:$U382)=0,"",--($AD382&lt;&gt;""))</f>
        <v/>
      </c>
    </row>
    <row r="383" ht="20" customHeight="1">
      <c r="A383" s="80" t="n"/>
      <c r="B383" s="80" t="n"/>
      <c r="C383" s="81" t="n"/>
      <c r="D383" s="81" t="n"/>
      <c r="E383" s="80" t="n"/>
      <c r="F383" s="81" t="n"/>
      <c r="G383" s="81" t="n"/>
      <c r="H383" s="81" t="n"/>
      <c r="I383" s="80" t="n"/>
      <c r="J383" s="80" t="n"/>
      <c r="K383" s="80" t="n"/>
      <c r="L383" s="82" t="n"/>
      <c r="M383" s="80" t="n"/>
      <c r="N383" s="80" t="n"/>
      <c r="O383" s="80" t="n"/>
      <c r="P383" s="82" t="n"/>
      <c r="Q383" s="82" t="n"/>
      <c r="R383" s="80" t="n"/>
      <c r="S383" s="80" t="n"/>
      <c r="T383" s="80" t="n"/>
      <c r="U383" s="83" t="n"/>
      <c r="V383">
        <f>IF($A383="","",IF($A383=$A382,$V382,IF($V382="",0,1-$V382)))</f>
        <v/>
      </c>
      <c r="W383">
        <f>IF($B383&lt;&gt;"",$B383,$A383)</f>
        <v/>
      </c>
      <c r="X383">
        <f>IF(COUNTA($A383:$U383)=0,"",IF(OR($B383&lt;&gt;"",$O383&lt;&gt;""),"Dependent","Employee"))</f>
        <v/>
      </c>
      <c r="Y383">
        <f>IF(COUNTA($A383:$U383)=0,"",IF($A383="","Employee SSN is required; ","")&amp;IF($C383="","First Name is required; ","")&amp;IF(LEN($C383&amp;"")&gt;19,"First Name exceeds 19 characters; ","")&amp;IF(AND($C383&lt;&gt;"",SUMPRODUCT(--(ROW($1:$19)&lt;=LEN($C383&amp;"")),--ISERROR(FIND(MID($C383&amp;"",ROW($1:$19),1),"ABCDEFGHIJKLMNOPQRSTUVWXYZabcdefghijklmnopqrstuvwxyz .,")))&gt;0),"First Name contains unsupported or encoded characters; use plain A-Z letters only; ","")&amp;IF($D383="","Last Name is required; ","")&amp;IF(LEN($D383&amp;"")&gt;26,"Last Name exceeds 26 characters; ","")&amp;IF(AND($D383&lt;&gt;"",SUMPRODUCT(--(ROW($1:$26)&lt;=LEN($D383&amp;"")),--ISERROR(FIND(MID($D383&amp;"",ROW($1:$26),1),"ABCDEFGHIJKLMNOPQRSTUVWXYZabcdefghijklmnopqrstuvwxyz .,")))&gt;0),"Last Name contains unsupported or encoded characters; use plain A-Z letters only; ","")&amp;IF(LEN($E383&amp;"")&gt;1,"Middle Initial may contain only one character; ","")&amp;IF(AND($E383&lt;&gt;"",SUMPRODUCT(--(ROW($1:$1)&lt;=LEN($E383&amp;"")),--ISERROR(FIND(MID($E383&amp;"",ROW($1:$1),1),"ABCDEFGHIJKLMNOPQRSTUVWXYZabcdefghijklmnopqrstuvwxyz .,")))&gt;0),"Middle Initial must be a plain A-Z letter; ","")&amp;IF($F383="","Address is required; ","")&amp;IF(LEN($F383&amp;"")&gt;75,"Address exceeds 75 characters; ","")&amp;IF(LEN($G383&amp;"")&gt;75,"Address 2 exceeds 75 characters; ","")&amp;IF($H383="","City is required; ","")&amp;IF(LEN($H383&amp;"")&gt;30,"City exceeds 30 characters; ","")&amp;IF($K383="","Country is required; ","")&amp;IF(AND($K383&lt;&gt;"",$K383&lt;&gt;"US",$K383&lt;&gt;"CA"),"Country must be US or CA; ","")&amp;IF(AND($K383="US",OR($I383="",LEN($I383&amp;"")&lt;&gt;2)),"Use a 2-letter state code; ","")&amp;IF($J383="","ZIP or postal code is required; ","")&amp;IF(AND($K383="US",$J383&lt;&gt;"",NOT(IFERROR(OR(AND(LEN($J383&amp;"")=5,ISNUMBER(--($J383&amp;""))),AND(LEN($J383&amp;"")=9,ISNUMBER(--($J383&amp;""))),AND(LEN($J383&amp;"")=10,MID($J383&amp;"",6,1)="-",ISNUMBER(--SUBSTITUTE($J383&amp;"","-","")))),FALSE))),"US ZIP must be 5 or 9 digits, with an optional ZIP+4 hyphen; ","")&amp;IF(AND($N383&lt;&gt;"",NOT(IFERROR(AND(ISNUMBER(SEARCH("@",$N383)),ISNUMBER(SEARCH(".",$N383,SEARCH("@",$N383)+2))),FALSE))),"Email format appears invalid; ","")&amp;IF(AND($O383&lt;&gt;"",$B383=""),"Dependent SSN is required for every dependent; ","")&amp;IF(AND($B383&lt;&gt;"",$O383=""),"Dependent Relationship is required when Dependent SSN is entered; ","")&amp;IF(AND($O383&lt;&gt;"",$O383&lt;&gt;"Spouse or Common Law Spouse",$O383&lt;&gt;"Domestic Partner",$O383&lt;&gt;"Child",$O383&lt;&gt;"Other",$O383&lt;&gt;"Estate",$O383&lt;&gt;"Unknown"),"Dependent Relationship must use one of the approved options; ",""))</f>
        <v/>
      </c>
      <c r="Z383">
        <f>IF(COUNTA($A383:$U383)=0,"",IF(AND($A383&lt;&gt;"",NOT(IFERROR(AND(LEN($A383&amp;"")=9,ISNUMBER(--($A383&amp;""))),FALSE))),"Employee SSN must contain exactly 9 digits; ","")&amp;IF(AND($A383&lt;&gt;"",OR($A383="123456789",$A383="987654321",$A383="012345678",$A383=REPT(LEFT($A383&amp;"",1),9))),"Employee SSN appears to be a placeholder; ","")&amp;IF(AND($B383&lt;&gt;"",NOT(IFERROR(AND(LEN($B383&amp;"")=9,ISNUMBER(--($B383&amp;""))),FALSE))),"Dependent SSN must contain exactly 9 digits; ","")&amp;IF(AND($B383&lt;&gt;"",OR($B383="123456789",$B383="987654321",$B383="012345678",$B383=REPT(LEFT($B383&amp;"",1),9))),"Dependent SSN appears to be a placeholder; ","")&amp;IF(AND($A383&lt;&gt;"",$B383&lt;&gt;"",$A383&amp;""=$B383&amp;""),"Dependent SSN cannot match Employee SSN; ","")&amp;IF(AND($W383&lt;&gt;"",OR(COUNTIFS($W$2:$W$501,$W383,$C$2:$C$501,"&lt;&gt;"&amp;$C383)&gt;0,COUNTIFS($W$2:$W$501,$W383,$D$2:$D$501,"&lt;&gt;"&amp;$D383)&gt;0,COUNTIFS($W$2:$W$501,$W383,$L$2:$L$501,"&lt;&gt;"&amp;$L383)&gt;0)),"The same SSN is associated with a different name or birthdate; ",""))</f>
        <v/>
      </c>
      <c r="AA383">
        <f>IF(COUNTA($A383:$U383)=0,"",IF(AND($A383&lt;&gt;"",$S383&lt;&gt;"",COUNTIFS($A$2:$A$501,$A383,$S$2:$S$501,$S383,$B$2:$B$501,"",$O$2:$O$501,"")=0),"Add an employee row for this household and plan; ","")&amp;IF(AND($X383="Dependent",COUNTIFS($A$2:$A383,$A383,$S$2:$S383,$S383,$B$2:$B383,"",$O$2:$O383,"")=0),"Place the employee row before dependent rows for this plan; ","")&amp;IF(AND($X383="Dependent",COUNTIFS($A$2:$A$501,$A383,$S$2:$S$501,$S383,$B$2:$B$501,"",$O$2:$O$501,"")&gt;0,IFERROR(OR($P383&lt;&gt;LOOKUP(2,1/(($A$2:$A$501=$A383)*($S$2:$S$501=$S383)*($B$2:$B$501="")*($O$2:$O$501="")),$P$2:$P$501),$Q383&lt;&gt;LOOKUP(2,1/(($A$2:$A$501=$A383)*($S$2:$S$501=$S383)*($B$2:$B$501="")*($O$2:$O$501="")),$Q$2:$Q$501),$R383&lt;&gt;LOOKUP(2,1/(($A$2:$A$501=$A383)*($S$2:$S$501=$S383)*($B$2:$B$501="")*($O$2:$O$501="")),$R$2:$R$501),$T383&lt;&gt;LOOKUP(2,1/(($A$2:$A$501=$A383)*($S$2:$S$501=$S383)*($B$2:$B$501="")*($O$2:$O$501="")),$T$2:$T$501),$U383&lt;&gt;LOOKUP(2,1/(($A$2:$A$501=$A383)*($S$2:$S$501=$S383)*($B$2:$B$501="")*($O$2:$O$501="")),$U$2:$U$501)),FALSE)),"Dependent row does not match the employee row for eligibility, status, coverage level, or funding; ",""))</f>
        <v/>
      </c>
      <c r="AB383">
        <f>IF(COUNTA($A383:$U383)=0,"",IF($L383="","Birthdate is required; ","")&amp;IF(AND($L383&lt;&gt;"",OR(NOT(ISNUMBER($L383)),$L383&lt;=DATE(1900,1,1),$L383&gt;TODAY())),"Birthdate must be an exact valid past date; ","")&amp;IF($P383="","Eligibility Date is required; ","")&amp;IF(AND($P383&lt;&gt;"",OR(NOT(ISNUMBER($P383)),$P383&lt;=DATE(1900,1,1))),"Eligibility Date must be a valid date; ","")&amp;IF(AND($R383="Terminated",$Q383=""),"Termination Date is required when Status is Terminated; ","")&amp;IF(AND($Q383&lt;&gt;"",OR(NOT(ISNUMBER($Q383)),$Q383&lt;=DATE(1900,1,1))),"Termination Date must be a valid date; ","")&amp;IF(AND(ISNUMBER($P383),ISNUMBER($Q383),$Q383&lt;$P383),"Termination Date cannot be before Eligibility Date; ","")&amp;IF($R383="","Status is required; ","")&amp;IF(AND($R383&lt;&gt;"",$R383&lt;&gt;"Active",$R383&lt;&gt;"Terminated"),"Status must be Active or Terminated; ","")&amp;IF(AND('START HERE'!$C$8="Terminations Only",$R383&lt;&gt;"Terminated"),"Terminations Only files must contain terminated records; ",""))</f>
        <v/>
      </c>
      <c r="AC383">
        <f>IF(COUNTA($A383:$U383)=0,"",IF($S383="","Plan Name is required; ","")&amp;IF($T383="","Benefit Coverage Level is required; ","")&amp;IF(AND($U383&lt;&gt;"",OR(NOT(ISNUMBER($U383)),$U383&lt;0)),"Plan Funding Amount must be a nonnegative number; ","")&amp;IF(AND($A383&lt;&gt;"",$S383&lt;&gt;"",COUNTIFS($A$2:$A$501,$A383,$B$2:$B$501,$B383,$S$2:$S$501,$S383)&gt;1),"Duplicate participant and plan row; ",""))</f>
        <v/>
      </c>
      <c r="AD383">
        <f>IF(COUNTA($A383:$U383)=0,"",IF(AND($X383="Employee",$M383="",$N383=""),"No employee phone or email provided; ","")&amp;IF(AND($R383="Active",$Q383&lt;&gt;""),"Active record includes a Termination Date; confirm this is intentional; ","")&amp;IF(AND($B383&lt;&gt;"",$B383&amp;""&lt;&gt;$A383&amp;"",COUNTIF($A$2:$A$501,$B383)&gt;0),"Dependent SSN also appears as an Employee SSN elsewhere; confirm dual-employee coverage is intentional; ","")&amp;IF(AND($B383&lt;&gt;"",COUNTIF($B$2:$B$501,$B383)&gt;COUNTIFS($A$2:$A$501,$A383,$B$2:$B$501,$B383)),"Dependent SSN appears under more than one employee; confirm duplicate family coverage is intentional; ","")&amp;IF(AND(ROW()&gt;2,$A383&lt;&gt;"",$A383&lt;&gt;$A382,COUNTIF($A$2:$A382,$A383)&gt;0),"This household appears in more than one section of the census; keep the family together; ","")&amp;IF(OR(AND($C383&lt;&gt;"",LEN($C383&amp;"")&lt;&gt;LEN(TRIM($C383&amp;""))),AND($D383&lt;&gt;"",LEN($D383&amp;"")&lt;&gt;LEN(TRIM($D383&amp;""))),AND($E383&lt;&gt;"",LEN($E383&amp;"")&lt;&gt;LEN(TRIM($E383&amp;""))),AND($F383&lt;&gt;"",LEN($F383&amp;"")&lt;&gt;LEN(TRIM($F383&amp;""))),AND($G383&lt;&gt;"",LEN($G383&amp;"")&lt;&gt;LEN(TRIM($G383&amp;""))),AND($H383&lt;&gt;"",LEN($H383&amp;"")&lt;&gt;LEN(TRIM($H383&amp;""))),AND($I383&lt;&gt;"",LEN($I383&amp;"")&lt;&gt;LEN(TRIM($I383&amp;""))),AND($J383&lt;&gt;"",LEN($J383&amp;"")&lt;&gt;LEN(TRIM($J383&amp;""))),AND($K383&lt;&gt;"",LEN($K383&amp;"")&lt;&gt;LEN(TRIM($K383&amp;""))),AND($M383&lt;&gt;"",LEN($M383&amp;"")&lt;&gt;LEN(TRIM($M383&amp;""))),AND($N383&lt;&gt;"",LEN($N383&amp;"")&lt;&gt;LEN(TRIM($N383&amp;""))),AND($O383&lt;&gt;"",LEN($O383&amp;"")&lt;&gt;LEN(TRIM($O383&amp;""))),AND($R383&lt;&gt;"",LEN($R383&amp;"")&lt;&gt;LEN(TRIM($R383&amp;""))),AND($S383&lt;&gt;"",LEN($S383&amp;"")&lt;&gt;LEN(TRIM($S383&amp;""))),AND($T383&lt;&gt;"",LEN($T383&amp;"")&lt;&gt;LEN(TRIM($T383&amp;"")))),"Remove leading or trailing spaces from text fields; ","")&amp;IF(OR(AND(LEN($C383)&gt;1,OR(EXACT($C383,UPPER($C383)),EXACT($C383,LOWER($C383)))),AND(LEN($D383)&gt;1,OR(EXACT($D383,UPPER($D383)),EXACT($D383,LOWER($D383)))),AND(LEN($H383)&gt;1,OR(EXACT($H383,UPPER($H383)),EXACT($H383,LOWER($H383))))),"Review capitalization in First Name, Last Name, or City; ","")&amp;IF(AND($N383&lt;&gt;"",NOT(EXACT($N383,LOWER($N383)))),"Email will be standardized to lowercase in the clean output; ","")&amp;IF(AND(OR('START HERE'!$C$8="Initial Enrollment",'START HERE'!$C$8="Open Enrollment"),$R383="Terminated"),"A terminated row is included in an initial or open enrollment file; confirm this is intentional; ",""))</f>
        <v/>
      </c>
      <c r="AE383">
        <f>IF(COUNTA($A383:$U383)=0,"",IF(OR($A383="",AND($A383&lt;&gt;"",NOT(IFERROR(AND(LEN($A383&amp;"")=9,ISNUMBER(--($A383&amp;""))),FALSE))),AND($A383&lt;&gt;"",OR($A383="123456789",$A383="987654321",$A383="012345678",$A383=REPT(LEFT($A383&amp;"",1),9)))),"Employee SSN, ","")&amp;IF(OR(AND($O383&lt;&gt;"",$B383=""),AND($B383&lt;&gt;"",OR(NOT(IFERROR(AND(LEN($B383&amp;"")=9,ISNUMBER(--($B383&amp;""))),FALSE)),$B383=$A383,$B383="123456789",$B383="987654321",$B383="012345678",$B383=REPT(LEFT($B383&amp;"",1),9)))),"Dependent SSN, ","")&amp;IF(OR($C383="",LEN($C383)&gt;19,AND($C383&lt;&gt;"",SUMPRODUCT(--(ROW($1:$19)&lt;=LEN($C383&amp;"")),--ISERROR(FIND(MID($C383&amp;"",ROW($1:$19),1),"ABCDEFGHIJKLMNOPQRSTUVWXYZabcdefghijklmnopqrstuvwxyz .,")))&gt;0)),"First Name, ","")&amp;IF(OR($D383="",LEN($D383)&gt;26,AND($D383&lt;&gt;"",SUMPRODUCT(--(ROW($1:$26)&lt;=LEN($D383&amp;"")),--ISERROR(FIND(MID($D383&amp;"",ROW($1:$26),1),"ABCDEFGHIJKLMNOPQRSTUVWXYZabcdefghijklmnopqrstuvwxyz .,")))&gt;0)),"Last Name, ","")&amp;IF(OR(LEN($E383)&gt;1,AND($E383&lt;&gt;"",SUMPRODUCT(--(ROW($1:$1)&lt;=LEN($E383&amp;"")),--ISERROR(FIND(MID($E383&amp;"",ROW($1:$1),1),"ABCDEFGHIJKLMNOPQRSTUVWXYZabcdefghijklmnopqrstuvwxyz .,")))&gt;0)),"Middle Initial, ","")&amp;IF(OR($F383="",LEN($F383)&gt;75),"Address, ","")&amp;IF(OR($H383="",LEN($H383)&gt;30),"City, ","")&amp;IF(AND($K383="US",OR($I383="",LEN($I383)&lt;&gt;2)),"State, ","")&amp;IF($J383="","ZIP, ","")&amp;IF(OR($K383="",AND($K383&lt;&gt;"US",$K383&lt;&gt;"CA")),"Country, ","")&amp;IF(OR($L383="",AND($L383&lt;&gt;"",OR(NOT(ISNUMBER($L383)),$L383&lt;=DATE(1900,1,1),$L383&gt;TODAY()))),"Birthdate, ","")&amp;IF(AND($N383&lt;&gt;"",NOT(IFERROR(AND(ISNUMBER(SEARCH("@",$N383)),ISNUMBER(SEARCH(".",$N383,SEARCH("@",$N383)+2))),FALSE))),"Email, ","")&amp;IF(OR(AND($B383&lt;&gt;"",$O383=""),AND($O383&lt;&gt;"",$O383&lt;&gt;"Spouse or Common Law Spouse",$O383&lt;&gt;"Domestic Partner",$O383&lt;&gt;"Child",$O383&lt;&gt;"Other",$O383&lt;&gt;"Estate",$O383&lt;&gt;"Unknown")),"Dependent Relationship, ","")&amp;IF($AA383&lt;&gt;"","Household, ","")&amp;IF(OR($P383="",AND($P383&lt;&gt;"",OR(NOT(ISNUMBER($P383)),$P383&lt;=DATE(1900,1,1)))),"Eligibility Date, ","")&amp;IF(OR(AND($R383="Terminated",$Q383=""),AND($Q383&lt;&gt;"",OR(NOT(ISNUMBER($Q383)),$Q383&lt;=DATE(1900,1,1))),AND(ISNUMBER($P383),ISNUMBER($Q383),$Q383&lt;$P383)),"Termination Date, ","")&amp;IF(OR($R383="",AND($R383&lt;&gt;"Active",$R383&lt;&gt;"Terminated"),AND('START HERE'!$C$8="Terminations Only",$R383&lt;&gt;"Terminated")),"Status, ","")&amp;IF($S383="","Plan Name, ","")&amp;IF($T383="","Coverage Level, ","")&amp;IF(AND($U383&lt;&gt;"",OR(NOT(ISNUMBER($U383)),$U383&lt;0)),"Funding, ","")&amp;IF(AND($A383&lt;&gt;"",$S383&lt;&gt;"",COUNTIFS($A$2:$A$501,$A383,$B$2:$B$501,$B383,$S$2:$S$501,$S383)&gt;1),"Duplicate Row, ",""))</f>
        <v/>
      </c>
      <c r="AF383">
        <f>IF(COUNTA($A383:$U383)=0,"",$Y383&amp;$Z383&amp;$AA383&amp;$AB383&amp;$AC383)</f>
        <v/>
      </c>
      <c r="AG383">
        <f>IF($N383="","",LOWER(TRIM($N383)))</f>
        <v/>
      </c>
      <c r="AH383">
        <f>IF($A383="","",COUNTIFS($A$2:$A$501,$A383,$AI$2:$AI$501,1))</f>
        <v/>
      </c>
      <c r="AI383">
        <f>IF(COUNTA($A383:$U383)=0,"",--($AF383&lt;&gt;""))</f>
        <v/>
      </c>
      <c r="AJ383">
        <f>IF(COUNTA($A383:$U383)=0,"",--($AD383&lt;&gt;""))</f>
        <v/>
      </c>
    </row>
    <row r="384" ht="20" customHeight="1">
      <c r="A384" s="80" t="n"/>
      <c r="B384" s="80" t="n"/>
      <c r="C384" s="81" t="n"/>
      <c r="D384" s="81" t="n"/>
      <c r="E384" s="80" t="n"/>
      <c r="F384" s="81" t="n"/>
      <c r="G384" s="81" t="n"/>
      <c r="H384" s="81" t="n"/>
      <c r="I384" s="80" t="n"/>
      <c r="J384" s="80" t="n"/>
      <c r="K384" s="80" t="n"/>
      <c r="L384" s="82" t="n"/>
      <c r="M384" s="80" t="n"/>
      <c r="N384" s="80" t="n"/>
      <c r="O384" s="80" t="n"/>
      <c r="P384" s="82" t="n"/>
      <c r="Q384" s="82" t="n"/>
      <c r="R384" s="80" t="n"/>
      <c r="S384" s="80" t="n"/>
      <c r="T384" s="80" t="n"/>
      <c r="U384" s="83" t="n"/>
      <c r="V384">
        <f>IF($A384="","",IF($A384=$A383,$V383,IF($V383="",0,1-$V383)))</f>
        <v/>
      </c>
      <c r="W384">
        <f>IF($B384&lt;&gt;"",$B384,$A384)</f>
        <v/>
      </c>
      <c r="X384">
        <f>IF(COUNTA($A384:$U384)=0,"",IF(OR($B384&lt;&gt;"",$O384&lt;&gt;""),"Dependent","Employee"))</f>
        <v/>
      </c>
      <c r="Y384">
        <f>IF(COUNTA($A384:$U384)=0,"",IF($A384="","Employee SSN is required; ","")&amp;IF($C384="","First Name is required; ","")&amp;IF(LEN($C384&amp;"")&gt;19,"First Name exceeds 19 characters; ","")&amp;IF(AND($C384&lt;&gt;"",SUMPRODUCT(--(ROW($1:$19)&lt;=LEN($C384&amp;"")),--ISERROR(FIND(MID($C384&amp;"",ROW($1:$19),1),"ABCDEFGHIJKLMNOPQRSTUVWXYZabcdefghijklmnopqrstuvwxyz .,")))&gt;0),"First Name contains unsupported or encoded characters; use plain A-Z letters only; ","")&amp;IF($D384="","Last Name is required; ","")&amp;IF(LEN($D384&amp;"")&gt;26,"Last Name exceeds 26 characters; ","")&amp;IF(AND($D384&lt;&gt;"",SUMPRODUCT(--(ROW($1:$26)&lt;=LEN($D384&amp;"")),--ISERROR(FIND(MID($D384&amp;"",ROW($1:$26),1),"ABCDEFGHIJKLMNOPQRSTUVWXYZabcdefghijklmnopqrstuvwxyz .,")))&gt;0),"Last Name contains unsupported or encoded characters; use plain A-Z letters only; ","")&amp;IF(LEN($E384&amp;"")&gt;1,"Middle Initial may contain only one character; ","")&amp;IF(AND($E384&lt;&gt;"",SUMPRODUCT(--(ROW($1:$1)&lt;=LEN($E384&amp;"")),--ISERROR(FIND(MID($E384&amp;"",ROW($1:$1),1),"ABCDEFGHIJKLMNOPQRSTUVWXYZabcdefghijklmnopqrstuvwxyz .,")))&gt;0),"Middle Initial must be a plain A-Z letter; ","")&amp;IF($F384="","Address is required; ","")&amp;IF(LEN($F384&amp;"")&gt;75,"Address exceeds 75 characters; ","")&amp;IF(LEN($G384&amp;"")&gt;75,"Address 2 exceeds 75 characters; ","")&amp;IF($H384="","City is required; ","")&amp;IF(LEN($H384&amp;"")&gt;30,"City exceeds 30 characters; ","")&amp;IF($K384="","Country is required; ","")&amp;IF(AND($K384&lt;&gt;"",$K384&lt;&gt;"US",$K384&lt;&gt;"CA"),"Country must be US or CA; ","")&amp;IF(AND($K384="US",OR($I384="",LEN($I384&amp;"")&lt;&gt;2)),"Use a 2-letter state code; ","")&amp;IF($J384="","ZIP or postal code is required; ","")&amp;IF(AND($K384="US",$J384&lt;&gt;"",NOT(IFERROR(OR(AND(LEN($J384&amp;"")=5,ISNUMBER(--($J384&amp;""))),AND(LEN($J384&amp;"")=9,ISNUMBER(--($J384&amp;""))),AND(LEN($J384&amp;"")=10,MID($J384&amp;"",6,1)="-",ISNUMBER(--SUBSTITUTE($J384&amp;"","-","")))),FALSE))),"US ZIP must be 5 or 9 digits, with an optional ZIP+4 hyphen; ","")&amp;IF(AND($N384&lt;&gt;"",NOT(IFERROR(AND(ISNUMBER(SEARCH("@",$N384)),ISNUMBER(SEARCH(".",$N384,SEARCH("@",$N384)+2))),FALSE))),"Email format appears invalid; ","")&amp;IF(AND($O384&lt;&gt;"",$B384=""),"Dependent SSN is required for every dependent; ","")&amp;IF(AND($B384&lt;&gt;"",$O384=""),"Dependent Relationship is required when Dependent SSN is entered; ","")&amp;IF(AND($O384&lt;&gt;"",$O384&lt;&gt;"Spouse or Common Law Spouse",$O384&lt;&gt;"Domestic Partner",$O384&lt;&gt;"Child",$O384&lt;&gt;"Other",$O384&lt;&gt;"Estate",$O384&lt;&gt;"Unknown"),"Dependent Relationship must use one of the approved options; ",""))</f>
        <v/>
      </c>
      <c r="Z384">
        <f>IF(COUNTA($A384:$U384)=0,"",IF(AND($A384&lt;&gt;"",NOT(IFERROR(AND(LEN($A384&amp;"")=9,ISNUMBER(--($A384&amp;""))),FALSE))),"Employee SSN must contain exactly 9 digits; ","")&amp;IF(AND($A384&lt;&gt;"",OR($A384="123456789",$A384="987654321",$A384="012345678",$A384=REPT(LEFT($A384&amp;"",1),9))),"Employee SSN appears to be a placeholder; ","")&amp;IF(AND($B384&lt;&gt;"",NOT(IFERROR(AND(LEN($B384&amp;"")=9,ISNUMBER(--($B384&amp;""))),FALSE))),"Dependent SSN must contain exactly 9 digits; ","")&amp;IF(AND($B384&lt;&gt;"",OR($B384="123456789",$B384="987654321",$B384="012345678",$B384=REPT(LEFT($B384&amp;"",1),9))),"Dependent SSN appears to be a placeholder; ","")&amp;IF(AND($A384&lt;&gt;"",$B384&lt;&gt;"",$A384&amp;""=$B384&amp;""),"Dependent SSN cannot match Employee SSN; ","")&amp;IF(AND($W384&lt;&gt;"",OR(COUNTIFS($W$2:$W$501,$W384,$C$2:$C$501,"&lt;&gt;"&amp;$C384)&gt;0,COUNTIFS($W$2:$W$501,$W384,$D$2:$D$501,"&lt;&gt;"&amp;$D384)&gt;0,COUNTIFS($W$2:$W$501,$W384,$L$2:$L$501,"&lt;&gt;"&amp;$L384)&gt;0)),"The same SSN is associated with a different name or birthdate; ",""))</f>
        <v/>
      </c>
      <c r="AA384">
        <f>IF(COUNTA($A384:$U384)=0,"",IF(AND($A384&lt;&gt;"",$S384&lt;&gt;"",COUNTIFS($A$2:$A$501,$A384,$S$2:$S$501,$S384,$B$2:$B$501,"",$O$2:$O$501,"")=0),"Add an employee row for this household and plan; ","")&amp;IF(AND($X384="Dependent",COUNTIFS($A$2:$A384,$A384,$S$2:$S384,$S384,$B$2:$B384,"",$O$2:$O384,"")=0),"Place the employee row before dependent rows for this plan; ","")&amp;IF(AND($X384="Dependent",COUNTIFS($A$2:$A$501,$A384,$S$2:$S$501,$S384,$B$2:$B$501,"",$O$2:$O$501,"")&gt;0,IFERROR(OR($P384&lt;&gt;LOOKUP(2,1/(($A$2:$A$501=$A384)*($S$2:$S$501=$S384)*($B$2:$B$501="")*($O$2:$O$501="")),$P$2:$P$501),$Q384&lt;&gt;LOOKUP(2,1/(($A$2:$A$501=$A384)*($S$2:$S$501=$S384)*($B$2:$B$501="")*($O$2:$O$501="")),$Q$2:$Q$501),$R384&lt;&gt;LOOKUP(2,1/(($A$2:$A$501=$A384)*($S$2:$S$501=$S384)*($B$2:$B$501="")*($O$2:$O$501="")),$R$2:$R$501),$T384&lt;&gt;LOOKUP(2,1/(($A$2:$A$501=$A384)*($S$2:$S$501=$S384)*($B$2:$B$501="")*($O$2:$O$501="")),$T$2:$T$501),$U384&lt;&gt;LOOKUP(2,1/(($A$2:$A$501=$A384)*($S$2:$S$501=$S384)*($B$2:$B$501="")*($O$2:$O$501="")),$U$2:$U$501)),FALSE)),"Dependent row does not match the employee row for eligibility, status, coverage level, or funding; ",""))</f>
        <v/>
      </c>
      <c r="AB384">
        <f>IF(COUNTA($A384:$U384)=0,"",IF($L384="","Birthdate is required; ","")&amp;IF(AND($L384&lt;&gt;"",OR(NOT(ISNUMBER($L384)),$L384&lt;=DATE(1900,1,1),$L384&gt;TODAY())),"Birthdate must be an exact valid past date; ","")&amp;IF($P384="","Eligibility Date is required; ","")&amp;IF(AND($P384&lt;&gt;"",OR(NOT(ISNUMBER($P384)),$P384&lt;=DATE(1900,1,1))),"Eligibility Date must be a valid date; ","")&amp;IF(AND($R384="Terminated",$Q384=""),"Termination Date is required when Status is Terminated; ","")&amp;IF(AND($Q384&lt;&gt;"",OR(NOT(ISNUMBER($Q384)),$Q384&lt;=DATE(1900,1,1))),"Termination Date must be a valid date; ","")&amp;IF(AND(ISNUMBER($P384),ISNUMBER($Q384),$Q384&lt;$P384),"Termination Date cannot be before Eligibility Date; ","")&amp;IF($R384="","Status is required; ","")&amp;IF(AND($R384&lt;&gt;"",$R384&lt;&gt;"Active",$R384&lt;&gt;"Terminated"),"Status must be Active or Terminated; ","")&amp;IF(AND('START HERE'!$C$8="Terminations Only",$R384&lt;&gt;"Terminated"),"Terminations Only files must contain terminated records; ",""))</f>
        <v/>
      </c>
      <c r="AC384">
        <f>IF(COUNTA($A384:$U384)=0,"",IF($S384="","Plan Name is required; ","")&amp;IF($T384="","Benefit Coverage Level is required; ","")&amp;IF(AND($U384&lt;&gt;"",OR(NOT(ISNUMBER($U384)),$U384&lt;0)),"Plan Funding Amount must be a nonnegative number; ","")&amp;IF(AND($A384&lt;&gt;"",$S384&lt;&gt;"",COUNTIFS($A$2:$A$501,$A384,$B$2:$B$501,$B384,$S$2:$S$501,$S384)&gt;1),"Duplicate participant and plan row; ",""))</f>
        <v/>
      </c>
      <c r="AD384">
        <f>IF(COUNTA($A384:$U384)=0,"",IF(AND($X384="Employee",$M384="",$N384=""),"No employee phone or email provided; ","")&amp;IF(AND($R384="Active",$Q384&lt;&gt;""),"Active record includes a Termination Date; confirm this is intentional; ","")&amp;IF(AND($B384&lt;&gt;"",$B384&amp;""&lt;&gt;$A384&amp;"",COUNTIF($A$2:$A$501,$B384)&gt;0),"Dependent SSN also appears as an Employee SSN elsewhere; confirm dual-employee coverage is intentional; ","")&amp;IF(AND($B384&lt;&gt;"",COUNTIF($B$2:$B$501,$B384)&gt;COUNTIFS($A$2:$A$501,$A384,$B$2:$B$501,$B384)),"Dependent SSN appears under more than one employee; confirm duplicate family coverage is intentional; ","")&amp;IF(AND(ROW()&gt;2,$A384&lt;&gt;"",$A384&lt;&gt;$A383,COUNTIF($A$2:$A383,$A384)&gt;0),"This household appears in more than one section of the census; keep the family together; ","")&amp;IF(OR(AND($C384&lt;&gt;"",LEN($C384&amp;"")&lt;&gt;LEN(TRIM($C384&amp;""))),AND($D384&lt;&gt;"",LEN($D384&amp;"")&lt;&gt;LEN(TRIM($D384&amp;""))),AND($E384&lt;&gt;"",LEN($E384&amp;"")&lt;&gt;LEN(TRIM($E384&amp;""))),AND($F384&lt;&gt;"",LEN($F384&amp;"")&lt;&gt;LEN(TRIM($F384&amp;""))),AND($G384&lt;&gt;"",LEN($G384&amp;"")&lt;&gt;LEN(TRIM($G384&amp;""))),AND($H384&lt;&gt;"",LEN($H384&amp;"")&lt;&gt;LEN(TRIM($H384&amp;""))),AND($I384&lt;&gt;"",LEN($I384&amp;"")&lt;&gt;LEN(TRIM($I384&amp;""))),AND($J384&lt;&gt;"",LEN($J384&amp;"")&lt;&gt;LEN(TRIM($J384&amp;""))),AND($K384&lt;&gt;"",LEN($K384&amp;"")&lt;&gt;LEN(TRIM($K384&amp;""))),AND($M384&lt;&gt;"",LEN($M384&amp;"")&lt;&gt;LEN(TRIM($M384&amp;""))),AND($N384&lt;&gt;"",LEN($N384&amp;"")&lt;&gt;LEN(TRIM($N384&amp;""))),AND($O384&lt;&gt;"",LEN($O384&amp;"")&lt;&gt;LEN(TRIM($O384&amp;""))),AND($R384&lt;&gt;"",LEN($R384&amp;"")&lt;&gt;LEN(TRIM($R384&amp;""))),AND($S384&lt;&gt;"",LEN($S384&amp;"")&lt;&gt;LEN(TRIM($S384&amp;""))),AND($T384&lt;&gt;"",LEN($T384&amp;"")&lt;&gt;LEN(TRIM($T384&amp;"")))),"Remove leading or trailing spaces from text fields; ","")&amp;IF(OR(AND(LEN($C384)&gt;1,OR(EXACT($C384,UPPER($C384)),EXACT($C384,LOWER($C384)))),AND(LEN($D384)&gt;1,OR(EXACT($D384,UPPER($D384)),EXACT($D384,LOWER($D384)))),AND(LEN($H384)&gt;1,OR(EXACT($H384,UPPER($H384)),EXACT($H384,LOWER($H384))))),"Review capitalization in First Name, Last Name, or City; ","")&amp;IF(AND($N384&lt;&gt;"",NOT(EXACT($N384,LOWER($N384)))),"Email will be standardized to lowercase in the clean output; ","")&amp;IF(AND(OR('START HERE'!$C$8="Initial Enrollment",'START HERE'!$C$8="Open Enrollment"),$R384="Terminated"),"A terminated row is included in an initial or open enrollment file; confirm this is intentional; ",""))</f>
        <v/>
      </c>
      <c r="AE384">
        <f>IF(COUNTA($A384:$U384)=0,"",IF(OR($A384="",AND($A384&lt;&gt;"",NOT(IFERROR(AND(LEN($A384&amp;"")=9,ISNUMBER(--($A384&amp;""))),FALSE))),AND($A384&lt;&gt;"",OR($A384="123456789",$A384="987654321",$A384="012345678",$A384=REPT(LEFT($A384&amp;"",1),9)))),"Employee SSN, ","")&amp;IF(OR(AND($O384&lt;&gt;"",$B384=""),AND($B384&lt;&gt;"",OR(NOT(IFERROR(AND(LEN($B384&amp;"")=9,ISNUMBER(--($B384&amp;""))),FALSE)),$B384=$A384,$B384="123456789",$B384="987654321",$B384="012345678",$B384=REPT(LEFT($B384&amp;"",1),9)))),"Dependent SSN, ","")&amp;IF(OR($C384="",LEN($C384)&gt;19,AND($C384&lt;&gt;"",SUMPRODUCT(--(ROW($1:$19)&lt;=LEN($C384&amp;"")),--ISERROR(FIND(MID($C384&amp;"",ROW($1:$19),1),"ABCDEFGHIJKLMNOPQRSTUVWXYZabcdefghijklmnopqrstuvwxyz .,")))&gt;0)),"First Name, ","")&amp;IF(OR($D384="",LEN($D384)&gt;26,AND($D384&lt;&gt;"",SUMPRODUCT(--(ROW($1:$26)&lt;=LEN($D384&amp;"")),--ISERROR(FIND(MID($D384&amp;"",ROW($1:$26),1),"ABCDEFGHIJKLMNOPQRSTUVWXYZabcdefghijklmnopqrstuvwxyz .,")))&gt;0)),"Last Name, ","")&amp;IF(OR(LEN($E384)&gt;1,AND($E384&lt;&gt;"",SUMPRODUCT(--(ROW($1:$1)&lt;=LEN($E384&amp;"")),--ISERROR(FIND(MID($E384&amp;"",ROW($1:$1),1),"ABCDEFGHIJKLMNOPQRSTUVWXYZabcdefghijklmnopqrstuvwxyz .,")))&gt;0)),"Middle Initial, ","")&amp;IF(OR($F384="",LEN($F384)&gt;75),"Address, ","")&amp;IF(OR($H384="",LEN($H384)&gt;30),"City, ","")&amp;IF(AND($K384="US",OR($I384="",LEN($I384)&lt;&gt;2)),"State, ","")&amp;IF($J384="","ZIP, ","")&amp;IF(OR($K384="",AND($K384&lt;&gt;"US",$K384&lt;&gt;"CA")),"Country, ","")&amp;IF(OR($L384="",AND($L384&lt;&gt;"",OR(NOT(ISNUMBER($L384)),$L384&lt;=DATE(1900,1,1),$L384&gt;TODAY()))),"Birthdate, ","")&amp;IF(AND($N384&lt;&gt;"",NOT(IFERROR(AND(ISNUMBER(SEARCH("@",$N384)),ISNUMBER(SEARCH(".",$N384,SEARCH("@",$N384)+2))),FALSE))),"Email, ","")&amp;IF(OR(AND($B384&lt;&gt;"",$O384=""),AND($O384&lt;&gt;"",$O384&lt;&gt;"Spouse or Common Law Spouse",$O384&lt;&gt;"Domestic Partner",$O384&lt;&gt;"Child",$O384&lt;&gt;"Other",$O384&lt;&gt;"Estate",$O384&lt;&gt;"Unknown")),"Dependent Relationship, ","")&amp;IF($AA384&lt;&gt;"","Household, ","")&amp;IF(OR($P384="",AND($P384&lt;&gt;"",OR(NOT(ISNUMBER($P384)),$P384&lt;=DATE(1900,1,1)))),"Eligibility Date, ","")&amp;IF(OR(AND($R384="Terminated",$Q384=""),AND($Q384&lt;&gt;"",OR(NOT(ISNUMBER($Q384)),$Q384&lt;=DATE(1900,1,1))),AND(ISNUMBER($P384),ISNUMBER($Q384),$Q384&lt;$P384)),"Termination Date, ","")&amp;IF(OR($R384="",AND($R384&lt;&gt;"Active",$R384&lt;&gt;"Terminated"),AND('START HERE'!$C$8="Terminations Only",$R384&lt;&gt;"Terminated")),"Status, ","")&amp;IF($S384="","Plan Name, ","")&amp;IF($T384="","Coverage Level, ","")&amp;IF(AND($U384&lt;&gt;"",OR(NOT(ISNUMBER($U384)),$U384&lt;0)),"Funding, ","")&amp;IF(AND($A384&lt;&gt;"",$S384&lt;&gt;"",COUNTIFS($A$2:$A$501,$A384,$B$2:$B$501,$B384,$S$2:$S$501,$S384)&gt;1),"Duplicate Row, ",""))</f>
        <v/>
      </c>
      <c r="AF384">
        <f>IF(COUNTA($A384:$U384)=0,"",$Y384&amp;$Z384&amp;$AA384&amp;$AB384&amp;$AC384)</f>
        <v/>
      </c>
      <c r="AG384">
        <f>IF($N384="","",LOWER(TRIM($N384)))</f>
        <v/>
      </c>
      <c r="AH384">
        <f>IF($A384="","",COUNTIFS($A$2:$A$501,$A384,$AI$2:$AI$501,1))</f>
        <v/>
      </c>
      <c r="AI384">
        <f>IF(COUNTA($A384:$U384)=0,"",--($AF384&lt;&gt;""))</f>
        <v/>
      </c>
      <c r="AJ384">
        <f>IF(COUNTA($A384:$U384)=0,"",--($AD384&lt;&gt;""))</f>
        <v/>
      </c>
    </row>
    <row r="385" ht="20" customHeight="1">
      <c r="A385" s="80" t="n"/>
      <c r="B385" s="80" t="n"/>
      <c r="C385" s="81" t="n"/>
      <c r="D385" s="81" t="n"/>
      <c r="E385" s="80" t="n"/>
      <c r="F385" s="81" t="n"/>
      <c r="G385" s="81" t="n"/>
      <c r="H385" s="81" t="n"/>
      <c r="I385" s="80" t="n"/>
      <c r="J385" s="80" t="n"/>
      <c r="K385" s="80" t="n"/>
      <c r="L385" s="82" t="n"/>
      <c r="M385" s="80" t="n"/>
      <c r="N385" s="80" t="n"/>
      <c r="O385" s="80" t="n"/>
      <c r="P385" s="82" t="n"/>
      <c r="Q385" s="82" t="n"/>
      <c r="R385" s="80" t="n"/>
      <c r="S385" s="80" t="n"/>
      <c r="T385" s="80" t="n"/>
      <c r="U385" s="83" t="n"/>
      <c r="V385">
        <f>IF($A385="","",IF($A385=$A384,$V384,IF($V384="",0,1-$V384)))</f>
        <v/>
      </c>
      <c r="W385">
        <f>IF($B385&lt;&gt;"",$B385,$A385)</f>
        <v/>
      </c>
      <c r="X385">
        <f>IF(COUNTA($A385:$U385)=0,"",IF(OR($B385&lt;&gt;"",$O385&lt;&gt;""),"Dependent","Employee"))</f>
        <v/>
      </c>
      <c r="Y385">
        <f>IF(COUNTA($A385:$U385)=0,"",IF($A385="","Employee SSN is required; ","")&amp;IF($C385="","First Name is required; ","")&amp;IF(LEN($C385&amp;"")&gt;19,"First Name exceeds 19 characters; ","")&amp;IF(AND($C385&lt;&gt;"",SUMPRODUCT(--(ROW($1:$19)&lt;=LEN($C385&amp;"")),--ISERROR(FIND(MID($C385&amp;"",ROW($1:$19),1),"ABCDEFGHIJKLMNOPQRSTUVWXYZabcdefghijklmnopqrstuvwxyz .,")))&gt;0),"First Name contains unsupported or encoded characters; use plain A-Z letters only; ","")&amp;IF($D385="","Last Name is required; ","")&amp;IF(LEN($D385&amp;"")&gt;26,"Last Name exceeds 26 characters; ","")&amp;IF(AND($D385&lt;&gt;"",SUMPRODUCT(--(ROW($1:$26)&lt;=LEN($D385&amp;"")),--ISERROR(FIND(MID($D385&amp;"",ROW($1:$26),1),"ABCDEFGHIJKLMNOPQRSTUVWXYZabcdefghijklmnopqrstuvwxyz .,")))&gt;0),"Last Name contains unsupported or encoded characters; use plain A-Z letters only; ","")&amp;IF(LEN($E385&amp;"")&gt;1,"Middle Initial may contain only one character; ","")&amp;IF(AND($E385&lt;&gt;"",SUMPRODUCT(--(ROW($1:$1)&lt;=LEN($E385&amp;"")),--ISERROR(FIND(MID($E385&amp;"",ROW($1:$1),1),"ABCDEFGHIJKLMNOPQRSTUVWXYZabcdefghijklmnopqrstuvwxyz .,")))&gt;0),"Middle Initial must be a plain A-Z letter; ","")&amp;IF($F385="","Address is required; ","")&amp;IF(LEN($F385&amp;"")&gt;75,"Address exceeds 75 characters; ","")&amp;IF(LEN($G385&amp;"")&gt;75,"Address 2 exceeds 75 characters; ","")&amp;IF($H385="","City is required; ","")&amp;IF(LEN($H385&amp;"")&gt;30,"City exceeds 30 characters; ","")&amp;IF($K385="","Country is required; ","")&amp;IF(AND($K385&lt;&gt;"",$K385&lt;&gt;"US",$K385&lt;&gt;"CA"),"Country must be US or CA; ","")&amp;IF(AND($K385="US",OR($I385="",LEN($I385&amp;"")&lt;&gt;2)),"Use a 2-letter state code; ","")&amp;IF($J385="","ZIP or postal code is required; ","")&amp;IF(AND($K385="US",$J385&lt;&gt;"",NOT(IFERROR(OR(AND(LEN($J385&amp;"")=5,ISNUMBER(--($J385&amp;""))),AND(LEN($J385&amp;"")=9,ISNUMBER(--($J385&amp;""))),AND(LEN($J385&amp;"")=10,MID($J385&amp;"",6,1)="-",ISNUMBER(--SUBSTITUTE($J385&amp;"","-","")))),FALSE))),"US ZIP must be 5 or 9 digits, with an optional ZIP+4 hyphen; ","")&amp;IF(AND($N385&lt;&gt;"",NOT(IFERROR(AND(ISNUMBER(SEARCH("@",$N385)),ISNUMBER(SEARCH(".",$N385,SEARCH("@",$N385)+2))),FALSE))),"Email format appears invalid; ","")&amp;IF(AND($O385&lt;&gt;"",$B385=""),"Dependent SSN is required for every dependent; ","")&amp;IF(AND($B385&lt;&gt;"",$O385=""),"Dependent Relationship is required when Dependent SSN is entered; ","")&amp;IF(AND($O385&lt;&gt;"",$O385&lt;&gt;"Spouse or Common Law Spouse",$O385&lt;&gt;"Domestic Partner",$O385&lt;&gt;"Child",$O385&lt;&gt;"Other",$O385&lt;&gt;"Estate",$O385&lt;&gt;"Unknown"),"Dependent Relationship must use one of the approved options; ",""))</f>
        <v/>
      </c>
      <c r="Z385">
        <f>IF(COUNTA($A385:$U385)=0,"",IF(AND($A385&lt;&gt;"",NOT(IFERROR(AND(LEN($A385&amp;"")=9,ISNUMBER(--($A385&amp;""))),FALSE))),"Employee SSN must contain exactly 9 digits; ","")&amp;IF(AND($A385&lt;&gt;"",OR($A385="123456789",$A385="987654321",$A385="012345678",$A385=REPT(LEFT($A385&amp;"",1),9))),"Employee SSN appears to be a placeholder; ","")&amp;IF(AND($B385&lt;&gt;"",NOT(IFERROR(AND(LEN($B385&amp;"")=9,ISNUMBER(--($B385&amp;""))),FALSE))),"Dependent SSN must contain exactly 9 digits; ","")&amp;IF(AND($B385&lt;&gt;"",OR($B385="123456789",$B385="987654321",$B385="012345678",$B385=REPT(LEFT($B385&amp;"",1),9))),"Dependent SSN appears to be a placeholder; ","")&amp;IF(AND($A385&lt;&gt;"",$B385&lt;&gt;"",$A385&amp;""=$B385&amp;""),"Dependent SSN cannot match Employee SSN; ","")&amp;IF(AND($W385&lt;&gt;"",OR(COUNTIFS($W$2:$W$501,$W385,$C$2:$C$501,"&lt;&gt;"&amp;$C385)&gt;0,COUNTIFS($W$2:$W$501,$W385,$D$2:$D$501,"&lt;&gt;"&amp;$D385)&gt;0,COUNTIFS($W$2:$W$501,$W385,$L$2:$L$501,"&lt;&gt;"&amp;$L385)&gt;0)),"The same SSN is associated with a different name or birthdate; ",""))</f>
        <v/>
      </c>
      <c r="AA385">
        <f>IF(COUNTA($A385:$U385)=0,"",IF(AND($A385&lt;&gt;"",$S385&lt;&gt;"",COUNTIFS($A$2:$A$501,$A385,$S$2:$S$501,$S385,$B$2:$B$501,"",$O$2:$O$501,"")=0),"Add an employee row for this household and plan; ","")&amp;IF(AND($X385="Dependent",COUNTIFS($A$2:$A385,$A385,$S$2:$S385,$S385,$B$2:$B385,"",$O$2:$O385,"")=0),"Place the employee row before dependent rows for this plan; ","")&amp;IF(AND($X385="Dependent",COUNTIFS($A$2:$A$501,$A385,$S$2:$S$501,$S385,$B$2:$B$501,"",$O$2:$O$501,"")&gt;0,IFERROR(OR($P385&lt;&gt;LOOKUP(2,1/(($A$2:$A$501=$A385)*($S$2:$S$501=$S385)*($B$2:$B$501="")*($O$2:$O$501="")),$P$2:$P$501),$Q385&lt;&gt;LOOKUP(2,1/(($A$2:$A$501=$A385)*($S$2:$S$501=$S385)*($B$2:$B$501="")*($O$2:$O$501="")),$Q$2:$Q$501),$R385&lt;&gt;LOOKUP(2,1/(($A$2:$A$501=$A385)*($S$2:$S$501=$S385)*($B$2:$B$501="")*($O$2:$O$501="")),$R$2:$R$501),$T385&lt;&gt;LOOKUP(2,1/(($A$2:$A$501=$A385)*($S$2:$S$501=$S385)*($B$2:$B$501="")*($O$2:$O$501="")),$T$2:$T$501),$U385&lt;&gt;LOOKUP(2,1/(($A$2:$A$501=$A385)*($S$2:$S$501=$S385)*($B$2:$B$501="")*($O$2:$O$501="")),$U$2:$U$501)),FALSE)),"Dependent row does not match the employee row for eligibility, status, coverage level, or funding; ",""))</f>
        <v/>
      </c>
      <c r="AB385">
        <f>IF(COUNTA($A385:$U385)=0,"",IF($L385="","Birthdate is required; ","")&amp;IF(AND($L385&lt;&gt;"",OR(NOT(ISNUMBER($L385)),$L385&lt;=DATE(1900,1,1),$L385&gt;TODAY())),"Birthdate must be an exact valid past date; ","")&amp;IF($P385="","Eligibility Date is required; ","")&amp;IF(AND($P385&lt;&gt;"",OR(NOT(ISNUMBER($P385)),$P385&lt;=DATE(1900,1,1))),"Eligibility Date must be a valid date; ","")&amp;IF(AND($R385="Terminated",$Q385=""),"Termination Date is required when Status is Terminated; ","")&amp;IF(AND($Q385&lt;&gt;"",OR(NOT(ISNUMBER($Q385)),$Q385&lt;=DATE(1900,1,1))),"Termination Date must be a valid date; ","")&amp;IF(AND(ISNUMBER($P385),ISNUMBER($Q385),$Q385&lt;$P385),"Termination Date cannot be before Eligibility Date; ","")&amp;IF($R385="","Status is required; ","")&amp;IF(AND($R385&lt;&gt;"",$R385&lt;&gt;"Active",$R385&lt;&gt;"Terminated"),"Status must be Active or Terminated; ","")&amp;IF(AND('START HERE'!$C$8="Terminations Only",$R385&lt;&gt;"Terminated"),"Terminations Only files must contain terminated records; ",""))</f>
        <v/>
      </c>
      <c r="AC385">
        <f>IF(COUNTA($A385:$U385)=0,"",IF($S385="","Plan Name is required; ","")&amp;IF($T385="","Benefit Coverage Level is required; ","")&amp;IF(AND($U385&lt;&gt;"",OR(NOT(ISNUMBER($U385)),$U385&lt;0)),"Plan Funding Amount must be a nonnegative number; ","")&amp;IF(AND($A385&lt;&gt;"",$S385&lt;&gt;"",COUNTIFS($A$2:$A$501,$A385,$B$2:$B$501,$B385,$S$2:$S$501,$S385)&gt;1),"Duplicate participant and plan row; ",""))</f>
        <v/>
      </c>
      <c r="AD385">
        <f>IF(COUNTA($A385:$U385)=0,"",IF(AND($X385="Employee",$M385="",$N385=""),"No employee phone or email provided; ","")&amp;IF(AND($R385="Active",$Q385&lt;&gt;""),"Active record includes a Termination Date; confirm this is intentional; ","")&amp;IF(AND($B385&lt;&gt;"",$B385&amp;""&lt;&gt;$A385&amp;"",COUNTIF($A$2:$A$501,$B385)&gt;0),"Dependent SSN also appears as an Employee SSN elsewhere; confirm dual-employee coverage is intentional; ","")&amp;IF(AND($B385&lt;&gt;"",COUNTIF($B$2:$B$501,$B385)&gt;COUNTIFS($A$2:$A$501,$A385,$B$2:$B$501,$B385)),"Dependent SSN appears under more than one employee; confirm duplicate family coverage is intentional; ","")&amp;IF(AND(ROW()&gt;2,$A385&lt;&gt;"",$A385&lt;&gt;$A384,COUNTIF($A$2:$A384,$A385)&gt;0),"This household appears in more than one section of the census; keep the family together; ","")&amp;IF(OR(AND($C385&lt;&gt;"",LEN($C385&amp;"")&lt;&gt;LEN(TRIM($C385&amp;""))),AND($D385&lt;&gt;"",LEN($D385&amp;"")&lt;&gt;LEN(TRIM($D385&amp;""))),AND($E385&lt;&gt;"",LEN($E385&amp;"")&lt;&gt;LEN(TRIM($E385&amp;""))),AND($F385&lt;&gt;"",LEN($F385&amp;"")&lt;&gt;LEN(TRIM($F385&amp;""))),AND($G385&lt;&gt;"",LEN($G385&amp;"")&lt;&gt;LEN(TRIM($G385&amp;""))),AND($H385&lt;&gt;"",LEN($H385&amp;"")&lt;&gt;LEN(TRIM($H385&amp;""))),AND($I385&lt;&gt;"",LEN($I385&amp;"")&lt;&gt;LEN(TRIM($I385&amp;""))),AND($J385&lt;&gt;"",LEN($J385&amp;"")&lt;&gt;LEN(TRIM($J385&amp;""))),AND($K385&lt;&gt;"",LEN($K385&amp;"")&lt;&gt;LEN(TRIM($K385&amp;""))),AND($M385&lt;&gt;"",LEN($M385&amp;"")&lt;&gt;LEN(TRIM($M385&amp;""))),AND($N385&lt;&gt;"",LEN($N385&amp;"")&lt;&gt;LEN(TRIM($N385&amp;""))),AND($O385&lt;&gt;"",LEN($O385&amp;"")&lt;&gt;LEN(TRIM($O385&amp;""))),AND($R385&lt;&gt;"",LEN($R385&amp;"")&lt;&gt;LEN(TRIM($R385&amp;""))),AND($S385&lt;&gt;"",LEN($S385&amp;"")&lt;&gt;LEN(TRIM($S385&amp;""))),AND($T385&lt;&gt;"",LEN($T385&amp;"")&lt;&gt;LEN(TRIM($T385&amp;"")))),"Remove leading or trailing spaces from text fields; ","")&amp;IF(OR(AND(LEN($C385)&gt;1,OR(EXACT($C385,UPPER($C385)),EXACT($C385,LOWER($C385)))),AND(LEN($D385)&gt;1,OR(EXACT($D385,UPPER($D385)),EXACT($D385,LOWER($D385)))),AND(LEN($H385)&gt;1,OR(EXACT($H385,UPPER($H385)),EXACT($H385,LOWER($H385))))),"Review capitalization in First Name, Last Name, or City; ","")&amp;IF(AND($N385&lt;&gt;"",NOT(EXACT($N385,LOWER($N385)))),"Email will be standardized to lowercase in the clean output; ","")&amp;IF(AND(OR('START HERE'!$C$8="Initial Enrollment",'START HERE'!$C$8="Open Enrollment"),$R385="Terminated"),"A terminated row is included in an initial or open enrollment file; confirm this is intentional; ",""))</f>
        <v/>
      </c>
      <c r="AE385">
        <f>IF(COUNTA($A385:$U385)=0,"",IF(OR($A385="",AND($A385&lt;&gt;"",NOT(IFERROR(AND(LEN($A385&amp;"")=9,ISNUMBER(--($A385&amp;""))),FALSE))),AND($A385&lt;&gt;"",OR($A385="123456789",$A385="987654321",$A385="012345678",$A385=REPT(LEFT($A385&amp;"",1),9)))),"Employee SSN, ","")&amp;IF(OR(AND($O385&lt;&gt;"",$B385=""),AND($B385&lt;&gt;"",OR(NOT(IFERROR(AND(LEN($B385&amp;"")=9,ISNUMBER(--($B385&amp;""))),FALSE)),$B385=$A385,$B385="123456789",$B385="987654321",$B385="012345678",$B385=REPT(LEFT($B385&amp;"",1),9)))),"Dependent SSN, ","")&amp;IF(OR($C385="",LEN($C385)&gt;19,AND($C385&lt;&gt;"",SUMPRODUCT(--(ROW($1:$19)&lt;=LEN($C385&amp;"")),--ISERROR(FIND(MID($C385&amp;"",ROW($1:$19),1),"ABCDEFGHIJKLMNOPQRSTUVWXYZabcdefghijklmnopqrstuvwxyz .,")))&gt;0)),"First Name, ","")&amp;IF(OR($D385="",LEN($D385)&gt;26,AND($D385&lt;&gt;"",SUMPRODUCT(--(ROW($1:$26)&lt;=LEN($D385&amp;"")),--ISERROR(FIND(MID($D385&amp;"",ROW($1:$26),1),"ABCDEFGHIJKLMNOPQRSTUVWXYZabcdefghijklmnopqrstuvwxyz .,")))&gt;0)),"Last Name, ","")&amp;IF(OR(LEN($E385)&gt;1,AND($E385&lt;&gt;"",SUMPRODUCT(--(ROW($1:$1)&lt;=LEN($E385&amp;"")),--ISERROR(FIND(MID($E385&amp;"",ROW($1:$1),1),"ABCDEFGHIJKLMNOPQRSTUVWXYZabcdefghijklmnopqrstuvwxyz .,")))&gt;0)),"Middle Initial, ","")&amp;IF(OR($F385="",LEN($F385)&gt;75),"Address, ","")&amp;IF(OR($H385="",LEN($H385)&gt;30),"City, ","")&amp;IF(AND($K385="US",OR($I385="",LEN($I385)&lt;&gt;2)),"State, ","")&amp;IF($J385="","ZIP, ","")&amp;IF(OR($K385="",AND($K385&lt;&gt;"US",$K385&lt;&gt;"CA")),"Country, ","")&amp;IF(OR($L385="",AND($L385&lt;&gt;"",OR(NOT(ISNUMBER($L385)),$L385&lt;=DATE(1900,1,1),$L385&gt;TODAY()))),"Birthdate, ","")&amp;IF(AND($N385&lt;&gt;"",NOT(IFERROR(AND(ISNUMBER(SEARCH("@",$N385)),ISNUMBER(SEARCH(".",$N385,SEARCH("@",$N385)+2))),FALSE))),"Email, ","")&amp;IF(OR(AND($B385&lt;&gt;"",$O385=""),AND($O385&lt;&gt;"",$O385&lt;&gt;"Spouse or Common Law Spouse",$O385&lt;&gt;"Domestic Partner",$O385&lt;&gt;"Child",$O385&lt;&gt;"Other",$O385&lt;&gt;"Estate",$O385&lt;&gt;"Unknown")),"Dependent Relationship, ","")&amp;IF($AA385&lt;&gt;"","Household, ","")&amp;IF(OR($P385="",AND($P385&lt;&gt;"",OR(NOT(ISNUMBER($P385)),$P385&lt;=DATE(1900,1,1)))),"Eligibility Date, ","")&amp;IF(OR(AND($R385="Terminated",$Q385=""),AND($Q385&lt;&gt;"",OR(NOT(ISNUMBER($Q385)),$Q385&lt;=DATE(1900,1,1))),AND(ISNUMBER($P385),ISNUMBER($Q385),$Q385&lt;$P385)),"Termination Date, ","")&amp;IF(OR($R385="",AND($R385&lt;&gt;"Active",$R385&lt;&gt;"Terminated"),AND('START HERE'!$C$8="Terminations Only",$R385&lt;&gt;"Terminated")),"Status, ","")&amp;IF($S385="","Plan Name, ","")&amp;IF($T385="","Coverage Level, ","")&amp;IF(AND($U385&lt;&gt;"",OR(NOT(ISNUMBER($U385)),$U385&lt;0)),"Funding, ","")&amp;IF(AND($A385&lt;&gt;"",$S385&lt;&gt;"",COUNTIFS($A$2:$A$501,$A385,$B$2:$B$501,$B385,$S$2:$S$501,$S385)&gt;1),"Duplicate Row, ",""))</f>
        <v/>
      </c>
      <c r="AF385">
        <f>IF(COUNTA($A385:$U385)=0,"",$Y385&amp;$Z385&amp;$AA385&amp;$AB385&amp;$AC385)</f>
        <v/>
      </c>
      <c r="AG385">
        <f>IF($N385="","",LOWER(TRIM($N385)))</f>
        <v/>
      </c>
      <c r="AH385">
        <f>IF($A385="","",COUNTIFS($A$2:$A$501,$A385,$AI$2:$AI$501,1))</f>
        <v/>
      </c>
      <c r="AI385">
        <f>IF(COUNTA($A385:$U385)=0,"",--($AF385&lt;&gt;""))</f>
        <v/>
      </c>
      <c r="AJ385">
        <f>IF(COUNTA($A385:$U385)=0,"",--($AD385&lt;&gt;""))</f>
        <v/>
      </c>
    </row>
    <row r="386" ht="20" customHeight="1">
      <c r="A386" s="80" t="n"/>
      <c r="B386" s="80" t="n"/>
      <c r="C386" s="81" t="n"/>
      <c r="D386" s="81" t="n"/>
      <c r="E386" s="80" t="n"/>
      <c r="F386" s="81" t="n"/>
      <c r="G386" s="81" t="n"/>
      <c r="H386" s="81" t="n"/>
      <c r="I386" s="80" t="n"/>
      <c r="J386" s="80" t="n"/>
      <c r="K386" s="80" t="n"/>
      <c r="L386" s="82" t="n"/>
      <c r="M386" s="80" t="n"/>
      <c r="N386" s="80" t="n"/>
      <c r="O386" s="80" t="n"/>
      <c r="P386" s="82" t="n"/>
      <c r="Q386" s="82" t="n"/>
      <c r="R386" s="80" t="n"/>
      <c r="S386" s="80" t="n"/>
      <c r="T386" s="80" t="n"/>
      <c r="U386" s="83" t="n"/>
      <c r="V386">
        <f>IF($A386="","",IF($A386=$A385,$V385,IF($V385="",0,1-$V385)))</f>
        <v/>
      </c>
      <c r="W386">
        <f>IF($B386&lt;&gt;"",$B386,$A386)</f>
        <v/>
      </c>
      <c r="X386">
        <f>IF(COUNTA($A386:$U386)=0,"",IF(OR($B386&lt;&gt;"",$O386&lt;&gt;""),"Dependent","Employee"))</f>
        <v/>
      </c>
      <c r="Y386">
        <f>IF(COUNTA($A386:$U386)=0,"",IF($A386="","Employee SSN is required; ","")&amp;IF($C386="","First Name is required; ","")&amp;IF(LEN($C386&amp;"")&gt;19,"First Name exceeds 19 characters; ","")&amp;IF(AND($C386&lt;&gt;"",SUMPRODUCT(--(ROW($1:$19)&lt;=LEN($C386&amp;"")),--ISERROR(FIND(MID($C386&amp;"",ROW($1:$19),1),"ABCDEFGHIJKLMNOPQRSTUVWXYZabcdefghijklmnopqrstuvwxyz .,")))&gt;0),"First Name contains unsupported or encoded characters; use plain A-Z letters only; ","")&amp;IF($D386="","Last Name is required; ","")&amp;IF(LEN($D386&amp;"")&gt;26,"Last Name exceeds 26 characters; ","")&amp;IF(AND($D386&lt;&gt;"",SUMPRODUCT(--(ROW($1:$26)&lt;=LEN($D386&amp;"")),--ISERROR(FIND(MID($D386&amp;"",ROW($1:$26),1),"ABCDEFGHIJKLMNOPQRSTUVWXYZabcdefghijklmnopqrstuvwxyz .,")))&gt;0),"Last Name contains unsupported or encoded characters; use plain A-Z letters only; ","")&amp;IF(LEN($E386&amp;"")&gt;1,"Middle Initial may contain only one character; ","")&amp;IF(AND($E386&lt;&gt;"",SUMPRODUCT(--(ROW($1:$1)&lt;=LEN($E386&amp;"")),--ISERROR(FIND(MID($E386&amp;"",ROW($1:$1),1),"ABCDEFGHIJKLMNOPQRSTUVWXYZabcdefghijklmnopqrstuvwxyz .,")))&gt;0),"Middle Initial must be a plain A-Z letter; ","")&amp;IF($F386="","Address is required; ","")&amp;IF(LEN($F386&amp;"")&gt;75,"Address exceeds 75 characters; ","")&amp;IF(LEN($G386&amp;"")&gt;75,"Address 2 exceeds 75 characters; ","")&amp;IF($H386="","City is required; ","")&amp;IF(LEN($H386&amp;"")&gt;30,"City exceeds 30 characters; ","")&amp;IF($K386="","Country is required; ","")&amp;IF(AND($K386&lt;&gt;"",$K386&lt;&gt;"US",$K386&lt;&gt;"CA"),"Country must be US or CA; ","")&amp;IF(AND($K386="US",OR($I386="",LEN($I386&amp;"")&lt;&gt;2)),"Use a 2-letter state code; ","")&amp;IF($J386="","ZIP or postal code is required; ","")&amp;IF(AND($K386="US",$J386&lt;&gt;"",NOT(IFERROR(OR(AND(LEN($J386&amp;"")=5,ISNUMBER(--($J386&amp;""))),AND(LEN($J386&amp;"")=9,ISNUMBER(--($J386&amp;""))),AND(LEN($J386&amp;"")=10,MID($J386&amp;"",6,1)="-",ISNUMBER(--SUBSTITUTE($J386&amp;"","-","")))),FALSE))),"US ZIP must be 5 or 9 digits, with an optional ZIP+4 hyphen; ","")&amp;IF(AND($N386&lt;&gt;"",NOT(IFERROR(AND(ISNUMBER(SEARCH("@",$N386)),ISNUMBER(SEARCH(".",$N386,SEARCH("@",$N386)+2))),FALSE))),"Email format appears invalid; ","")&amp;IF(AND($O386&lt;&gt;"",$B386=""),"Dependent SSN is required for every dependent; ","")&amp;IF(AND($B386&lt;&gt;"",$O386=""),"Dependent Relationship is required when Dependent SSN is entered; ","")&amp;IF(AND($O386&lt;&gt;"",$O386&lt;&gt;"Spouse or Common Law Spouse",$O386&lt;&gt;"Domestic Partner",$O386&lt;&gt;"Child",$O386&lt;&gt;"Other",$O386&lt;&gt;"Estate",$O386&lt;&gt;"Unknown"),"Dependent Relationship must use one of the approved options; ",""))</f>
        <v/>
      </c>
      <c r="Z386">
        <f>IF(COUNTA($A386:$U386)=0,"",IF(AND($A386&lt;&gt;"",NOT(IFERROR(AND(LEN($A386&amp;"")=9,ISNUMBER(--($A386&amp;""))),FALSE))),"Employee SSN must contain exactly 9 digits; ","")&amp;IF(AND($A386&lt;&gt;"",OR($A386="123456789",$A386="987654321",$A386="012345678",$A386=REPT(LEFT($A386&amp;"",1),9))),"Employee SSN appears to be a placeholder; ","")&amp;IF(AND($B386&lt;&gt;"",NOT(IFERROR(AND(LEN($B386&amp;"")=9,ISNUMBER(--($B386&amp;""))),FALSE))),"Dependent SSN must contain exactly 9 digits; ","")&amp;IF(AND($B386&lt;&gt;"",OR($B386="123456789",$B386="987654321",$B386="012345678",$B386=REPT(LEFT($B386&amp;"",1),9))),"Dependent SSN appears to be a placeholder; ","")&amp;IF(AND($A386&lt;&gt;"",$B386&lt;&gt;"",$A386&amp;""=$B386&amp;""),"Dependent SSN cannot match Employee SSN; ","")&amp;IF(AND($W386&lt;&gt;"",OR(COUNTIFS($W$2:$W$501,$W386,$C$2:$C$501,"&lt;&gt;"&amp;$C386)&gt;0,COUNTIFS($W$2:$W$501,$W386,$D$2:$D$501,"&lt;&gt;"&amp;$D386)&gt;0,COUNTIFS($W$2:$W$501,$W386,$L$2:$L$501,"&lt;&gt;"&amp;$L386)&gt;0)),"The same SSN is associated with a different name or birthdate; ",""))</f>
        <v/>
      </c>
      <c r="AA386">
        <f>IF(COUNTA($A386:$U386)=0,"",IF(AND($A386&lt;&gt;"",$S386&lt;&gt;"",COUNTIFS($A$2:$A$501,$A386,$S$2:$S$501,$S386,$B$2:$B$501,"",$O$2:$O$501,"")=0),"Add an employee row for this household and plan; ","")&amp;IF(AND($X386="Dependent",COUNTIFS($A$2:$A386,$A386,$S$2:$S386,$S386,$B$2:$B386,"",$O$2:$O386,"")=0),"Place the employee row before dependent rows for this plan; ","")&amp;IF(AND($X386="Dependent",COUNTIFS($A$2:$A$501,$A386,$S$2:$S$501,$S386,$B$2:$B$501,"",$O$2:$O$501,"")&gt;0,IFERROR(OR($P386&lt;&gt;LOOKUP(2,1/(($A$2:$A$501=$A386)*($S$2:$S$501=$S386)*($B$2:$B$501="")*($O$2:$O$501="")),$P$2:$P$501),$Q386&lt;&gt;LOOKUP(2,1/(($A$2:$A$501=$A386)*($S$2:$S$501=$S386)*($B$2:$B$501="")*($O$2:$O$501="")),$Q$2:$Q$501),$R386&lt;&gt;LOOKUP(2,1/(($A$2:$A$501=$A386)*($S$2:$S$501=$S386)*($B$2:$B$501="")*($O$2:$O$501="")),$R$2:$R$501),$T386&lt;&gt;LOOKUP(2,1/(($A$2:$A$501=$A386)*($S$2:$S$501=$S386)*($B$2:$B$501="")*($O$2:$O$501="")),$T$2:$T$501),$U386&lt;&gt;LOOKUP(2,1/(($A$2:$A$501=$A386)*($S$2:$S$501=$S386)*($B$2:$B$501="")*($O$2:$O$501="")),$U$2:$U$501)),FALSE)),"Dependent row does not match the employee row for eligibility, status, coverage level, or funding; ",""))</f>
        <v/>
      </c>
      <c r="AB386">
        <f>IF(COUNTA($A386:$U386)=0,"",IF($L386="","Birthdate is required; ","")&amp;IF(AND($L386&lt;&gt;"",OR(NOT(ISNUMBER($L386)),$L386&lt;=DATE(1900,1,1),$L386&gt;TODAY())),"Birthdate must be an exact valid past date; ","")&amp;IF($P386="","Eligibility Date is required; ","")&amp;IF(AND($P386&lt;&gt;"",OR(NOT(ISNUMBER($P386)),$P386&lt;=DATE(1900,1,1))),"Eligibility Date must be a valid date; ","")&amp;IF(AND($R386="Terminated",$Q386=""),"Termination Date is required when Status is Terminated; ","")&amp;IF(AND($Q386&lt;&gt;"",OR(NOT(ISNUMBER($Q386)),$Q386&lt;=DATE(1900,1,1))),"Termination Date must be a valid date; ","")&amp;IF(AND(ISNUMBER($P386),ISNUMBER($Q386),$Q386&lt;$P386),"Termination Date cannot be before Eligibility Date; ","")&amp;IF($R386="","Status is required; ","")&amp;IF(AND($R386&lt;&gt;"",$R386&lt;&gt;"Active",$R386&lt;&gt;"Terminated"),"Status must be Active or Terminated; ","")&amp;IF(AND('START HERE'!$C$8="Terminations Only",$R386&lt;&gt;"Terminated"),"Terminations Only files must contain terminated records; ",""))</f>
        <v/>
      </c>
      <c r="AC386">
        <f>IF(COUNTA($A386:$U386)=0,"",IF($S386="","Plan Name is required; ","")&amp;IF($T386="","Benefit Coverage Level is required; ","")&amp;IF(AND($U386&lt;&gt;"",OR(NOT(ISNUMBER($U386)),$U386&lt;0)),"Plan Funding Amount must be a nonnegative number; ","")&amp;IF(AND($A386&lt;&gt;"",$S386&lt;&gt;"",COUNTIFS($A$2:$A$501,$A386,$B$2:$B$501,$B386,$S$2:$S$501,$S386)&gt;1),"Duplicate participant and plan row; ",""))</f>
        <v/>
      </c>
      <c r="AD386">
        <f>IF(COUNTA($A386:$U386)=0,"",IF(AND($X386="Employee",$M386="",$N386=""),"No employee phone or email provided; ","")&amp;IF(AND($R386="Active",$Q386&lt;&gt;""),"Active record includes a Termination Date; confirm this is intentional; ","")&amp;IF(AND($B386&lt;&gt;"",$B386&amp;""&lt;&gt;$A386&amp;"",COUNTIF($A$2:$A$501,$B386)&gt;0),"Dependent SSN also appears as an Employee SSN elsewhere; confirm dual-employee coverage is intentional; ","")&amp;IF(AND($B386&lt;&gt;"",COUNTIF($B$2:$B$501,$B386)&gt;COUNTIFS($A$2:$A$501,$A386,$B$2:$B$501,$B386)),"Dependent SSN appears under more than one employee; confirm duplicate family coverage is intentional; ","")&amp;IF(AND(ROW()&gt;2,$A386&lt;&gt;"",$A386&lt;&gt;$A385,COUNTIF($A$2:$A385,$A386)&gt;0),"This household appears in more than one section of the census; keep the family together; ","")&amp;IF(OR(AND($C386&lt;&gt;"",LEN($C386&amp;"")&lt;&gt;LEN(TRIM($C386&amp;""))),AND($D386&lt;&gt;"",LEN($D386&amp;"")&lt;&gt;LEN(TRIM($D386&amp;""))),AND($E386&lt;&gt;"",LEN($E386&amp;"")&lt;&gt;LEN(TRIM($E386&amp;""))),AND($F386&lt;&gt;"",LEN($F386&amp;"")&lt;&gt;LEN(TRIM($F386&amp;""))),AND($G386&lt;&gt;"",LEN($G386&amp;"")&lt;&gt;LEN(TRIM($G386&amp;""))),AND($H386&lt;&gt;"",LEN($H386&amp;"")&lt;&gt;LEN(TRIM($H386&amp;""))),AND($I386&lt;&gt;"",LEN($I386&amp;"")&lt;&gt;LEN(TRIM($I386&amp;""))),AND($J386&lt;&gt;"",LEN($J386&amp;"")&lt;&gt;LEN(TRIM($J386&amp;""))),AND($K386&lt;&gt;"",LEN($K386&amp;"")&lt;&gt;LEN(TRIM($K386&amp;""))),AND($M386&lt;&gt;"",LEN($M386&amp;"")&lt;&gt;LEN(TRIM($M386&amp;""))),AND($N386&lt;&gt;"",LEN($N386&amp;"")&lt;&gt;LEN(TRIM($N386&amp;""))),AND($O386&lt;&gt;"",LEN($O386&amp;"")&lt;&gt;LEN(TRIM($O386&amp;""))),AND($R386&lt;&gt;"",LEN($R386&amp;"")&lt;&gt;LEN(TRIM($R386&amp;""))),AND($S386&lt;&gt;"",LEN($S386&amp;"")&lt;&gt;LEN(TRIM($S386&amp;""))),AND($T386&lt;&gt;"",LEN($T386&amp;"")&lt;&gt;LEN(TRIM($T386&amp;"")))),"Remove leading or trailing spaces from text fields; ","")&amp;IF(OR(AND(LEN($C386)&gt;1,OR(EXACT($C386,UPPER($C386)),EXACT($C386,LOWER($C386)))),AND(LEN($D386)&gt;1,OR(EXACT($D386,UPPER($D386)),EXACT($D386,LOWER($D386)))),AND(LEN($H386)&gt;1,OR(EXACT($H386,UPPER($H386)),EXACT($H386,LOWER($H386))))),"Review capitalization in First Name, Last Name, or City; ","")&amp;IF(AND($N386&lt;&gt;"",NOT(EXACT($N386,LOWER($N386)))),"Email will be standardized to lowercase in the clean output; ","")&amp;IF(AND(OR('START HERE'!$C$8="Initial Enrollment",'START HERE'!$C$8="Open Enrollment"),$R386="Terminated"),"A terminated row is included in an initial or open enrollment file; confirm this is intentional; ",""))</f>
        <v/>
      </c>
      <c r="AE386">
        <f>IF(COUNTA($A386:$U386)=0,"",IF(OR($A386="",AND($A386&lt;&gt;"",NOT(IFERROR(AND(LEN($A386&amp;"")=9,ISNUMBER(--($A386&amp;""))),FALSE))),AND($A386&lt;&gt;"",OR($A386="123456789",$A386="987654321",$A386="012345678",$A386=REPT(LEFT($A386&amp;"",1),9)))),"Employee SSN, ","")&amp;IF(OR(AND($O386&lt;&gt;"",$B386=""),AND($B386&lt;&gt;"",OR(NOT(IFERROR(AND(LEN($B386&amp;"")=9,ISNUMBER(--($B386&amp;""))),FALSE)),$B386=$A386,$B386="123456789",$B386="987654321",$B386="012345678",$B386=REPT(LEFT($B386&amp;"",1),9)))),"Dependent SSN, ","")&amp;IF(OR($C386="",LEN($C386)&gt;19,AND($C386&lt;&gt;"",SUMPRODUCT(--(ROW($1:$19)&lt;=LEN($C386&amp;"")),--ISERROR(FIND(MID($C386&amp;"",ROW($1:$19),1),"ABCDEFGHIJKLMNOPQRSTUVWXYZabcdefghijklmnopqrstuvwxyz .,")))&gt;0)),"First Name, ","")&amp;IF(OR($D386="",LEN($D386)&gt;26,AND($D386&lt;&gt;"",SUMPRODUCT(--(ROW($1:$26)&lt;=LEN($D386&amp;"")),--ISERROR(FIND(MID($D386&amp;"",ROW($1:$26),1),"ABCDEFGHIJKLMNOPQRSTUVWXYZabcdefghijklmnopqrstuvwxyz .,")))&gt;0)),"Last Name, ","")&amp;IF(OR(LEN($E386)&gt;1,AND($E386&lt;&gt;"",SUMPRODUCT(--(ROW($1:$1)&lt;=LEN($E386&amp;"")),--ISERROR(FIND(MID($E386&amp;"",ROW($1:$1),1),"ABCDEFGHIJKLMNOPQRSTUVWXYZabcdefghijklmnopqrstuvwxyz .,")))&gt;0)),"Middle Initial, ","")&amp;IF(OR($F386="",LEN($F386)&gt;75),"Address, ","")&amp;IF(OR($H386="",LEN($H386)&gt;30),"City, ","")&amp;IF(AND($K386="US",OR($I386="",LEN($I386)&lt;&gt;2)),"State, ","")&amp;IF($J386="","ZIP, ","")&amp;IF(OR($K386="",AND($K386&lt;&gt;"US",$K386&lt;&gt;"CA")),"Country, ","")&amp;IF(OR($L386="",AND($L386&lt;&gt;"",OR(NOT(ISNUMBER($L386)),$L386&lt;=DATE(1900,1,1),$L386&gt;TODAY()))),"Birthdate, ","")&amp;IF(AND($N386&lt;&gt;"",NOT(IFERROR(AND(ISNUMBER(SEARCH("@",$N386)),ISNUMBER(SEARCH(".",$N386,SEARCH("@",$N386)+2))),FALSE))),"Email, ","")&amp;IF(OR(AND($B386&lt;&gt;"",$O386=""),AND($O386&lt;&gt;"",$O386&lt;&gt;"Spouse or Common Law Spouse",$O386&lt;&gt;"Domestic Partner",$O386&lt;&gt;"Child",$O386&lt;&gt;"Other",$O386&lt;&gt;"Estate",$O386&lt;&gt;"Unknown")),"Dependent Relationship, ","")&amp;IF($AA386&lt;&gt;"","Household, ","")&amp;IF(OR($P386="",AND($P386&lt;&gt;"",OR(NOT(ISNUMBER($P386)),$P386&lt;=DATE(1900,1,1)))),"Eligibility Date, ","")&amp;IF(OR(AND($R386="Terminated",$Q386=""),AND($Q386&lt;&gt;"",OR(NOT(ISNUMBER($Q386)),$Q386&lt;=DATE(1900,1,1))),AND(ISNUMBER($P386),ISNUMBER($Q386),$Q386&lt;$P386)),"Termination Date, ","")&amp;IF(OR($R386="",AND($R386&lt;&gt;"Active",$R386&lt;&gt;"Terminated"),AND('START HERE'!$C$8="Terminations Only",$R386&lt;&gt;"Terminated")),"Status, ","")&amp;IF($S386="","Plan Name, ","")&amp;IF($T386="","Coverage Level, ","")&amp;IF(AND($U386&lt;&gt;"",OR(NOT(ISNUMBER($U386)),$U386&lt;0)),"Funding, ","")&amp;IF(AND($A386&lt;&gt;"",$S386&lt;&gt;"",COUNTIFS($A$2:$A$501,$A386,$B$2:$B$501,$B386,$S$2:$S$501,$S386)&gt;1),"Duplicate Row, ",""))</f>
        <v/>
      </c>
      <c r="AF386">
        <f>IF(COUNTA($A386:$U386)=0,"",$Y386&amp;$Z386&amp;$AA386&amp;$AB386&amp;$AC386)</f>
        <v/>
      </c>
      <c r="AG386">
        <f>IF($N386="","",LOWER(TRIM($N386)))</f>
        <v/>
      </c>
      <c r="AH386">
        <f>IF($A386="","",COUNTIFS($A$2:$A$501,$A386,$AI$2:$AI$501,1))</f>
        <v/>
      </c>
      <c r="AI386">
        <f>IF(COUNTA($A386:$U386)=0,"",--($AF386&lt;&gt;""))</f>
        <v/>
      </c>
      <c r="AJ386">
        <f>IF(COUNTA($A386:$U386)=0,"",--($AD386&lt;&gt;""))</f>
        <v/>
      </c>
    </row>
    <row r="387" ht="20" customHeight="1">
      <c r="A387" s="80" t="n"/>
      <c r="B387" s="80" t="n"/>
      <c r="C387" s="81" t="n"/>
      <c r="D387" s="81" t="n"/>
      <c r="E387" s="80" t="n"/>
      <c r="F387" s="81" t="n"/>
      <c r="G387" s="81" t="n"/>
      <c r="H387" s="81" t="n"/>
      <c r="I387" s="80" t="n"/>
      <c r="J387" s="80" t="n"/>
      <c r="K387" s="80" t="n"/>
      <c r="L387" s="82" t="n"/>
      <c r="M387" s="80" t="n"/>
      <c r="N387" s="80" t="n"/>
      <c r="O387" s="80" t="n"/>
      <c r="P387" s="82" t="n"/>
      <c r="Q387" s="82" t="n"/>
      <c r="R387" s="80" t="n"/>
      <c r="S387" s="80" t="n"/>
      <c r="T387" s="80" t="n"/>
      <c r="U387" s="83" t="n"/>
      <c r="V387">
        <f>IF($A387="","",IF($A387=$A386,$V386,IF($V386="",0,1-$V386)))</f>
        <v/>
      </c>
      <c r="W387">
        <f>IF($B387&lt;&gt;"",$B387,$A387)</f>
        <v/>
      </c>
      <c r="X387">
        <f>IF(COUNTA($A387:$U387)=0,"",IF(OR($B387&lt;&gt;"",$O387&lt;&gt;""),"Dependent","Employee"))</f>
        <v/>
      </c>
      <c r="Y387">
        <f>IF(COUNTA($A387:$U387)=0,"",IF($A387="","Employee SSN is required; ","")&amp;IF($C387="","First Name is required; ","")&amp;IF(LEN($C387&amp;"")&gt;19,"First Name exceeds 19 characters; ","")&amp;IF(AND($C387&lt;&gt;"",SUMPRODUCT(--(ROW($1:$19)&lt;=LEN($C387&amp;"")),--ISERROR(FIND(MID($C387&amp;"",ROW($1:$19),1),"ABCDEFGHIJKLMNOPQRSTUVWXYZabcdefghijklmnopqrstuvwxyz .,")))&gt;0),"First Name contains unsupported or encoded characters; use plain A-Z letters only; ","")&amp;IF($D387="","Last Name is required; ","")&amp;IF(LEN($D387&amp;"")&gt;26,"Last Name exceeds 26 characters; ","")&amp;IF(AND($D387&lt;&gt;"",SUMPRODUCT(--(ROW($1:$26)&lt;=LEN($D387&amp;"")),--ISERROR(FIND(MID($D387&amp;"",ROW($1:$26),1),"ABCDEFGHIJKLMNOPQRSTUVWXYZabcdefghijklmnopqrstuvwxyz .,")))&gt;0),"Last Name contains unsupported or encoded characters; use plain A-Z letters only; ","")&amp;IF(LEN($E387&amp;"")&gt;1,"Middle Initial may contain only one character; ","")&amp;IF(AND($E387&lt;&gt;"",SUMPRODUCT(--(ROW($1:$1)&lt;=LEN($E387&amp;"")),--ISERROR(FIND(MID($E387&amp;"",ROW($1:$1),1),"ABCDEFGHIJKLMNOPQRSTUVWXYZabcdefghijklmnopqrstuvwxyz .,")))&gt;0),"Middle Initial must be a plain A-Z letter; ","")&amp;IF($F387="","Address is required; ","")&amp;IF(LEN($F387&amp;"")&gt;75,"Address exceeds 75 characters; ","")&amp;IF(LEN($G387&amp;"")&gt;75,"Address 2 exceeds 75 characters; ","")&amp;IF($H387="","City is required; ","")&amp;IF(LEN($H387&amp;"")&gt;30,"City exceeds 30 characters; ","")&amp;IF($K387="","Country is required; ","")&amp;IF(AND($K387&lt;&gt;"",$K387&lt;&gt;"US",$K387&lt;&gt;"CA"),"Country must be US or CA; ","")&amp;IF(AND($K387="US",OR($I387="",LEN($I387&amp;"")&lt;&gt;2)),"Use a 2-letter state code; ","")&amp;IF($J387="","ZIP or postal code is required; ","")&amp;IF(AND($K387="US",$J387&lt;&gt;"",NOT(IFERROR(OR(AND(LEN($J387&amp;"")=5,ISNUMBER(--($J387&amp;""))),AND(LEN($J387&amp;"")=9,ISNUMBER(--($J387&amp;""))),AND(LEN($J387&amp;"")=10,MID($J387&amp;"",6,1)="-",ISNUMBER(--SUBSTITUTE($J387&amp;"","-","")))),FALSE))),"US ZIP must be 5 or 9 digits, with an optional ZIP+4 hyphen; ","")&amp;IF(AND($N387&lt;&gt;"",NOT(IFERROR(AND(ISNUMBER(SEARCH("@",$N387)),ISNUMBER(SEARCH(".",$N387,SEARCH("@",$N387)+2))),FALSE))),"Email format appears invalid; ","")&amp;IF(AND($O387&lt;&gt;"",$B387=""),"Dependent SSN is required for every dependent; ","")&amp;IF(AND($B387&lt;&gt;"",$O387=""),"Dependent Relationship is required when Dependent SSN is entered; ","")&amp;IF(AND($O387&lt;&gt;"",$O387&lt;&gt;"Spouse or Common Law Spouse",$O387&lt;&gt;"Domestic Partner",$O387&lt;&gt;"Child",$O387&lt;&gt;"Other",$O387&lt;&gt;"Estate",$O387&lt;&gt;"Unknown"),"Dependent Relationship must use one of the approved options; ",""))</f>
        <v/>
      </c>
      <c r="Z387">
        <f>IF(COUNTA($A387:$U387)=0,"",IF(AND($A387&lt;&gt;"",NOT(IFERROR(AND(LEN($A387&amp;"")=9,ISNUMBER(--($A387&amp;""))),FALSE))),"Employee SSN must contain exactly 9 digits; ","")&amp;IF(AND($A387&lt;&gt;"",OR($A387="123456789",$A387="987654321",$A387="012345678",$A387=REPT(LEFT($A387&amp;"",1),9))),"Employee SSN appears to be a placeholder; ","")&amp;IF(AND($B387&lt;&gt;"",NOT(IFERROR(AND(LEN($B387&amp;"")=9,ISNUMBER(--($B387&amp;""))),FALSE))),"Dependent SSN must contain exactly 9 digits; ","")&amp;IF(AND($B387&lt;&gt;"",OR($B387="123456789",$B387="987654321",$B387="012345678",$B387=REPT(LEFT($B387&amp;"",1),9))),"Dependent SSN appears to be a placeholder; ","")&amp;IF(AND($A387&lt;&gt;"",$B387&lt;&gt;"",$A387&amp;""=$B387&amp;""),"Dependent SSN cannot match Employee SSN; ","")&amp;IF(AND($W387&lt;&gt;"",OR(COUNTIFS($W$2:$W$501,$W387,$C$2:$C$501,"&lt;&gt;"&amp;$C387)&gt;0,COUNTIFS($W$2:$W$501,$W387,$D$2:$D$501,"&lt;&gt;"&amp;$D387)&gt;0,COUNTIFS($W$2:$W$501,$W387,$L$2:$L$501,"&lt;&gt;"&amp;$L387)&gt;0)),"The same SSN is associated with a different name or birthdate; ",""))</f>
        <v/>
      </c>
      <c r="AA387">
        <f>IF(COUNTA($A387:$U387)=0,"",IF(AND($A387&lt;&gt;"",$S387&lt;&gt;"",COUNTIFS($A$2:$A$501,$A387,$S$2:$S$501,$S387,$B$2:$B$501,"",$O$2:$O$501,"")=0),"Add an employee row for this household and plan; ","")&amp;IF(AND($X387="Dependent",COUNTIFS($A$2:$A387,$A387,$S$2:$S387,$S387,$B$2:$B387,"",$O$2:$O387,"")=0),"Place the employee row before dependent rows for this plan; ","")&amp;IF(AND($X387="Dependent",COUNTIFS($A$2:$A$501,$A387,$S$2:$S$501,$S387,$B$2:$B$501,"",$O$2:$O$501,"")&gt;0,IFERROR(OR($P387&lt;&gt;LOOKUP(2,1/(($A$2:$A$501=$A387)*($S$2:$S$501=$S387)*($B$2:$B$501="")*($O$2:$O$501="")),$P$2:$P$501),$Q387&lt;&gt;LOOKUP(2,1/(($A$2:$A$501=$A387)*($S$2:$S$501=$S387)*($B$2:$B$501="")*($O$2:$O$501="")),$Q$2:$Q$501),$R387&lt;&gt;LOOKUP(2,1/(($A$2:$A$501=$A387)*($S$2:$S$501=$S387)*($B$2:$B$501="")*($O$2:$O$501="")),$R$2:$R$501),$T387&lt;&gt;LOOKUP(2,1/(($A$2:$A$501=$A387)*($S$2:$S$501=$S387)*($B$2:$B$501="")*($O$2:$O$501="")),$T$2:$T$501),$U387&lt;&gt;LOOKUP(2,1/(($A$2:$A$501=$A387)*($S$2:$S$501=$S387)*($B$2:$B$501="")*($O$2:$O$501="")),$U$2:$U$501)),FALSE)),"Dependent row does not match the employee row for eligibility, status, coverage level, or funding; ",""))</f>
        <v/>
      </c>
      <c r="AB387">
        <f>IF(COUNTA($A387:$U387)=0,"",IF($L387="","Birthdate is required; ","")&amp;IF(AND($L387&lt;&gt;"",OR(NOT(ISNUMBER($L387)),$L387&lt;=DATE(1900,1,1),$L387&gt;TODAY())),"Birthdate must be an exact valid past date; ","")&amp;IF($P387="","Eligibility Date is required; ","")&amp;IF(AND($P387&lt;&gt;"",OR(NOT(ISNUMBER($P387)),$P387&lt;=DATE(1900,1,1))),"Eligibility Date must be a valid date; ","")&amp;IF(AND($R387="Terminated",$Q387=""),"Termination Date is required when Status is Terminated; ","")&amp;IF(AND($Q387&lt;&gt;"",OR(NOT(ISNUMBER($Q387)),$Q387&lt;=DATE(1900,1,1))),"Termination Date must be a valid date; ","")&amp;IF(AND(ISNUMBER($P387),ISNUMBER($Q387),$Q387&lt;$P387),"Termination Date cannot be before Eligibility Date; ","")&amp;IF($R387="","Status is required; ","")&amp;IF(AND($R387&lt;&gt;"",$R387&lt;&gt;"Active",$R387&lt;&gt;"Terminated"),"Status must be Active or Terminated; ","")&amp;IF(AND('START HERE'!$C$8="Terminations Only",$R387&lt;&gt;"Terminated"),"Terminations Only files must contain terminated records; ",""))</f>
        <v/>
      </c>
      <c r="AC387">
        <f>IF(COUNTA($A387:$U387)=0,"",IF($S387="","Plan Name is required; ","")&amp;IF($T387="","Benefit Coverage Level is required; ","")&amp;IF(AND($U387&lt;&gt;"",OR(NOT(ISNUMBER($U387)),$U387&lt;0)),"Plan Funding Amount must be a nonnegative number; ","")&amp;IF(AND($A387&lt;&gt;"",$S387&lt;&gt;"",COUNTIFS($A$2:$A$501,$A387,$B$2:$B$501,$B387,$S$2:$S$501,$S387)&gt;1),"Duplicate participant and plan row; ",""))</f>
        <v/>
      </c>
      <c r="AD387">
        <f>IF(COUNTA($A387:$U387)=0,"",IF(AND($X387="Employee",$M387="",$N387=""),"No employee phone or email provided; ","")&amp;IF(AND($R387="Active",$Q387&lt;&gt;""),"Active record includes a Termination Date; confirm this is intentional; ","")&amp;IF(AND($B387&lt;&gt;"",$B387&amp;""&lt;&gt;$A387&amp;"",COUNTIF($A$2:$A$501,$B387)&gt;0),"Dependent SSN also appears as an Employee SSN elsewhere; confirm dual-employee coverage is intentional; ","")&amp;IF(AND($B387&lt;&gt;"",COUNTIF($B$2:$B$501,$B387)&gt;COUNTIFS($A$2:$A$501,$A387,$B$2:$B$501,$B387)),"Dependent SSN appears under more than one employee; confirm duplicate family coverage is intentional; ","")&amp;IF(AND(ROW()&gt;2,$A387&lt;&gt;"",$A387&lt;&gt;$A386,COUNTIF($A$2:$A386,$A387)&gt;0),"This household appears in more than one section of the census; keep the family together; ","")&amp;IF(OR(AND($C387&lt;&gt;"",LEN($C387&amp;"")&lt;&gt;LEN(TRIM($C387&amp;""))),AND($D387&lt;&gt;"",LEN($D387&amp;"")&lt;&gt;LEN(TRIM($D387&amp;""))),AND($E387&lt;&gt;"",LEN($E387&amp;"")&lt;&gt;LEN(TRIM($E387&amp;""))),AND($F387&lt;&gt;"",LEN($F387&amp;"")&lt;&gt;LEN(TRIM($F387&amp;""))),AND($G387&lt;&gt;"",LEN($G387&amp;"")&lt;&gt;LEN(TRIM($G387&amp;""))),AND($H387&lt;&gt;"",LEN($H387&amp;"")&lt;&gt;LEN(TRIM($H387&amp;""))),AND($I387&lt;&gt;"",LEN($I387&amp;"")&lt;&gt;LEN(TRIM($I387&amp;""))),AND($J387&lt;&gt;"",LEN($J387&amp;"")&lt;&gt;LEN(TRIM($J387&amp;""))),AND($K387&lt;&gt;"",LEN($K387&amp;"")&lt;&gt;LEN(TRIM($K387&amp;""))),AND($M387&lt;&gt;"",LEN($M387&amp;"")&lt;&gt;LEN(TRIM($M387&amp;""))),AND($N387&lt;&gt;"",LEN($N387&amp;"")&lt;&gt;LEN(TRIM($N387&amp;""))),AND($O387&lt;&gt;"",LEN($O387&amp;"")&lt;&gt;LEN(TRIM($O387&amp;""))),AND($R387&lt;&gt;"",LEN($R387&amp;"")&lt;&gt;LEN(TRIM($R387&amp;""))),AND($S387&lt;&gt;"",LEN($S387&amp;"")&lt;&gt;LEN(TRIM($S387&amp;""))),AND($T387&lt;&gt;"",LEN($T387&amp;"")&lt;&gt;LEN(TRIM($T387&amp;"")))),"Remove leading or trailing spaces from text fields; ","")&amp;IF(OR(AND(LEN($C387)&gt;1,OR(EXACT($C387,UPPER($C387)),EXACT($C387,LOWER($C387)))),AND(LEN($D387)&gt;1,OR(EXACT($D387,UPPER($D387)),EXACT($D387,LOWER($D387)))),AND(LEN($H387)&gt;1,OR(EXACT($H387,UPPER($H387)),EXACT($H387,LOWER($H387))))),"Review capitalization in First Name, Last Name, or City; ","")&amp;IF(AND($N387&lt;&gt;"",NOT(EXACT($N387,LOWER($N387)))),"Email will be standardized to lowercase in the clean output; ","")&amp;IF(AND(OR('START HERE'!$C$8="Initial Enrollment",'START HERE'!$C$8="Open Enrollment"),$R387="Terminated"),"A terminated row is included in an initial or open enrollment file; confirm this is intentional; ",""))</f>
        <v/>
      </c>
      <c r="AE387">
        <f>IF(COUNTA($A387:$U387)=0,"",IF(OR($A387="",AND($A387&lt;&gt;"",NOT(IFERROR(AND(LEN($A387&amp;"")=9,ISNUMBER(--($A387&amp;""))),FALSE))),AND($A387&lt;&gt;"",OR($A387="123456789",$A387="987654321",$A387="012345678",$A387=REPT(LEFT($A387&amp;"",1),9)))),"Employee SSN, ","")&amp;IF(OR(AND($O387&lt;&gt;"",$B387=""),AND($B387&lt;&gt;"",OR(NOT(IFERROR(AND(LEN($B387&amp;"")=9,ISNUMBER(--($B387&amp;""))),FALSE)),$B387=$A387,$B387="123456789",$B387="987654321",$B387="012345678",$B387=REPT(LEFT($B387&amp;"",1),9)))),"Dependent SSN, ","")&amp;IF(OR($C387="",LEN($C387)&gt;19,AND($C387&lt;&gt;"",SUMPRODUCT(--(ROW($1:$19)&lt;=LEN($C387&amp;"")),--ISERROR(FIND(MID($C387&amp;"",ROW($1:$19),1),"ABCDEFGHIJKLMNOPQRSTUVWXYZabcdefghijklmnopqrstuvwxyz .,")))&gt;0)),"First Name, ","")&amp;IF(OR($D387="",LEN($D387)&gt;26,AND($D387&lt;&gt;"",SUMPRODUCT(--(ROW($1:$26)&lt;=LEN($D387&amp;"")),--ISERROR(FIND(MID($D387&amp;"",ROW($1:$26),1),"ABCDEFGHIJKLMNOPQRSTUVWXYZabcdefghijklmnopqrstuvwxyz .,")))&gt;0)),"Last Name, ","")&amp;IF(OR(LEN($E387)&gt;1,AND($E387&lt;&gt;"",SUMPRODUCT(--(ROW($1:$1)&lt;=LEN($E387&amp;"")),--ISERROR(FIND(MID($E387&amp;"",ROW($1:$1),1),"ABCDEFGHIJKLMNOPQRSTUVWXYZabcdefghijklmnopqrstuvwxyz .,")))&gt;0)),"Middle Initial, ","")&amp;IF(OR($F387="",LEN($F387)&gt;75),"Address, ","")&amp;IF(OR($H387="",LEN($H387)&gt;30),"City, ","")&amp;IF(AND($K387="US",OR($I387="",LEN($I387)&lt;&gt;2)),"State, ","")&amp;IF($J387="","ZIP, ","")&amp;IF(OR($K387="",AND($K387&lt;&gt;"US",$K387&lt;&gt;"CA")),"Country, ","")&amp;IF(OR($L387="",AND($L387&lt;&gt;"",OR(NOT(ISNUMBER($L387)),$L387&lt;=DATE(1900,1,1),$L387&gt;TODAY()))),"Birthdate, ","")&amp;IF(AND($N387&lt;&gt;"",NOT(IFERROR(AND(ISNUMBER(SEARCH("@",$N387)),ISNUMBER(SEARCH(".",$N387,SEARCH("@",$N387)+2))),FALSE))),"Email, ","")&amp;IF(OR(AND($B387&lt;&gt;"",$O387=""),AND($O387&lt;&gt;"",$O387&lt;&gt;"Spouse or Common Law Spouse",$O387&lt;&gt;"Domestic Partner",$O387&lt;&gt;"Child",$O387&lt;&gt;"Other",$O387&lt;&gt;"Estate",$O387&lt;&gt;"Unknown")),"Dependent Relationship, ","")&amp;IF($AA387&lt;&gt;"","Household, ","")&amp;IF(OR($P387="",AND($P387&lt;&gt;"",OR(NOT(ISNUMBER($P387)),$P387&lt;=DATE(1900,1,1)))),"Eligibility Date, ","")&amp;IF(OR(AND($R387="Terminated",$Q387=""),AND($Q387&lt;&gt;"",OR(NOT(ISNUMBER($Q387)),$Q387&lt;=DATE(1900,1,1))),AND(ISNUMBER($P387),ISNUMBER($Q387),$Q387&lt;$P387)),"Termination Date, ","")&amp;IF(OR($R387="",AND($R387&lt;&gt;"Active",$R387&lt;&gt;"Terminated"),AND('START HERE'!$C$8="Terminations Only",$R387&lt;&gt;"Terminated")),"Status, ","")&amp;IF($S387="","Plan Name, ","")&amp;IF($T387="","Coverage Level, ","")&amp;IF(AND($U387&lt;&gt;"",OR(NOT(ISNUMBER($U387)),$U387&lt;0)),"Funding, ","")&amp;IF(AND($A387&lt;&gt;"",$S387&lt;&gt;"",COUNTIFS($A$2:$A$501,$A387,$B$2:$B$501,$B387,$S$2:$S$501,$S387)&gt;1),"Duplicate Row, ",""))</f>
        <v/>
      </c>
      <c r="AF387">
        <f>IF(COUNTA($A387:$U387)=0,"",$Y387&amp;$Z387&amp;$AA387&amp;$AB387&amp;$AC387)</f>
        <v/>
      </c>
      <c r="AG387">
        <f>IF($N387="","",LOWER(TRIM($N387)))</f>
        <v/>
      </c>
      <c r="AH387">
        <f>IF($A387="","",COUNTIFS($A$2:$A$501,$A387,$AI$2:$AI$501,1))</f>
        <v/>
      </c>
      <c r="AI387">
        <f>IF(COUNTA($A387:$U387)=0,"",--($AF387&lt;&gt;""))</f>
        <v/>
      </c>
      <c r="AJ387">
        <f>IF(COUNTA($A387:$U387)=0,"",--($AD387&lt;&gt;""))</f>
        <v/>
      </c>
    </row>
    <row r="388" ht="20" customHeight="1">
      <c r="A388" s="80" t="n"/>
      <c r="B388" s="80" t="n"/>
      <c r="C388" s="81" t="n"/>
      <c r="D388" s="81" t="n"/>
      <c r="E388" s="80" t="n"/>
      <c r="F388" s="81" t="n"/>
      <c r="G388" s="81" t="n"/>
      <c r="H388" s="81" t="n"/>
      <c r="I388" s="80" t="n"/>
      <c r="J388" s="80" t="n"/>
      <c r="K388" s="80" t="n"/>
      <c r="L388" s="82" t="n"/>
      <c r="M388" s="80" t="n"/>
      <c r="N388" s="80" t="n"/>
      <c r="O388" s="80" t="n"/>
      <c r="P388" s="82" t="n"/>
      <c r="Q388" s="82" t="n"/>
      <c r="R388" s="80" t="n"/>
      <c r="S388" s="80" t="n"/>
      <c r="T388" s="80" t="n"/>
      <c r="U388" s="83" t="n"/>
      <c r="V388">
        <f>IF($A388="","",IF($A388=$A387,$V387,IF($V387="",0,1-$V387)))</f>
        <v/>
      </c>
      <c r="W388">
        <f>IF($B388&lt;&gt;"",$B388,$A388)</f>
        <v/>
      </c>
      <c r="X388">
        <f>IF(COUNTA($A388:$U388)=0,"",IF(OR($B388&lt;&gt;"",$O388&lt;&gt;""),"Dependent","Employee"))</f>
        <v/>
      </c>
      <c r="Y388">
        <f>IF(COUNTA($A388:$U388)=0,"",IF($A388="","Employee SSN is required; ","")&amp;IF($C388="","First Name is required; ","")&amp;IF(LEN($C388&amp;"")&gt;19,"First Name exceeds 19 characters; ","")&amp;IF(AND($C388&lt;&gt;"",SUMPRODUCT(--(ROW($1:$19)&lt;=LEN($C388&amp;"")),--ISERROR(FIND(MID($C388&amp;"",ROW($1:$19),1),"ABCDEFGHIJKLMNOPQRSTUVWXYZabcdefghijklmnopqrstuvwxyz .,")))&gt;0),"First Name contains unsupported or encoded characters; use plain A-Z letters only; ","")&amp;IF($D388="","Last Name is required; ","")&amp;IF(LEN($D388&amp;"")&gt;26,"Last Name exceeds 26 characters; ","")&amp;IF(AND($D388&lt;&gt;"",SUMPRODUCT(--(ROW($1:$26)&lt;=LEN($D388&amp;"")),--ISERROR(FIND(MID($D388&amp;"",ROW($1:$26),1),"ABCDEFGHIJKLMNOPQRSTUVWXYZabcdefghijklmnopqrstuvwxyz .,")))&gt;0),"Last Name contains unsupported or encoded characters; use plain A-Z letters only; ","")&amp;IF(LEN($E388&amp;"")&gt;1,"Middle Initial may contain only one character; ","")&amp;IF(AND($E388&lt;&gt;"",SUMPRODUCT(--(ROW($1:$1)&lt;=LEN($E388&amp;"")),--ISERROR(FIND(MID($E388&amp;"",ROW($1:$1),1),"ABCDEFGHIJKLMNOPQRSTUVWXYZabcdefghijklmnopqrstuvwxyz .,")))&gt;0),"Middle Initial must be a plain A-Z letter; ","")&amp;IF($F388="","Address is required; ","")&amp;IF(LEN($F388&amp;"")&gt;75,"Address exceeds 75 characters; ","")&amp;IF(LEN($G388&amp;"")&gt;75,"Address 2 exceeds 75 characters; ","")&amp;IF($H388="","City is required; ","")&amp;IF(LEN($H388&amp;"")&gt;30,"City exceeds 30 characters; ","")&amp;IF($K388="","Country is required; ","")&amp;IF(AND($K388&lt;&gt;"",$K388&lt;&gt;"US",$K388&lt;&gt;"CA"),"Country must be US or CA; ","")&amp;IF(AND($K388="US",OR($I388="",LEN($I388&amp;"")&lt;&gt;2)),"Use a 2-letter state code; ","")&amp;IF($J388="","ZIP or postal code is required; ","")&amp;IF(AND($K388="US",$J388&lt;&gt;"",NOT(IFERROR(OR(AND(LEN($J388&amp;"")=5,ISNUMBER(--($J388&amp;""))),AND(LEN($J388&amp;"")=9,ISNUMBER(--($J388&amp;""))),AND(LEN($J388&amp;"")=10,MID($J388&amp;"",6,1)="-",ISNUMBER(--SUBSTITUTE($J388&amp;"","-","")))),FALSE))),"US ZIP must be 5 or 9 digits, with an optional ZIP+4 hyphen; ","")&amp;IF(AND($N388&lt;&gt;"",NOT(IFERROR(AND(ISNUMBER(SEARCH("@",$N388)),ISNUMBER(SEARCH(".",$N388,SEARCH("@",$N388)+2))),FALSE))),"Email format appears invalid; ","")&amp;IF(AND($O388&lt;&gt;"",$B388=""),"Dependent SSN is required for every dependent; ","")&amp;IF(AND($B388&lt;&gt;"",$O388=""),"Dependent Relationship is required when Dependent SSN is entered; ","")&amp;IF(AND($O388&lt;&gt;"",$O388&lt;&gt;"Spouse or Common Law Spouse",$O388&lt;&gt;"Domestic Partner",$O388&lt;&gt;"Child",$O388&lt;&gt;"Other",$O388&lt;&gt;"Estate",$O388&lt;&gt;"Unknown"),"Dependent Relationship must use one of the approved options; ",""))</f>
        <v/>
      </c>
      <c r="Z388">
        <f>IF(COUNTA($A388:$U388)=0,"",IF(AND($A388&lt;&gt;"",NOT(IFERROR(AND(LEN($A388&amp;"")=9,ISNUMBER(--($A388&amp;""))),FALSE))),"Employee SSN must contain exactly 9 digits; ","")&amp;IF(AND($A388&lt;&gt;"",OR($A388="123456789",$A388="987654321",$A388="012345678",$A388=REPT(LEFT($A388&amp;"",1),9))),"Employee SSN appears to be a placeholder; ","")&amp;IF(AND($B388&lt;&gt;"",NOT(IFERROR(AND(LEN($B388&amp;"")=9,ISNUMBER(--($B388&amp;""))),FALSE))),"Dependent SSN must contain exactly 9 digits; ","")&amp;IF(AND($B388&lt;&gt;"",OR($B388="123456789",$B388="987654321",$B388="012345678",$B388=REPT(LEFT($B388&amp;"",1),9))),"Dependent SSN appears to be a placeholder; ","")&amp;IF(AND($A388&lt;&gt;"",$B388&lt;&gt;"",$A388&amp;""=$B388&amp;""),"Dependent SSN cannot match Employee SSN; ","")&amp;IF(AND($W388&lt;&gt;"",OR(COUNTIFS($W$2:$W$501,$W388,$C$2:$C$501,"&lt;&gt;"&amp;$C388)&gt;0,COUNTIFS($W$2:$W$501,$W388,$D$2:$D$501,"&lt;&gt;"&amp;$D388)&gt;0,COUNTIFS($W$2:$W$501,$W388,$L$2:$L$501,"&lt;&gt;"&amp;$L388)&gt;0)),"The same SSN is associated with a different name or birthdate; ",""))</f>
        <v/>
      </c>
      <c r="AA388">
        <f>IF(COUNTA($A388:$U388)=0,"",IF(AND($A388&lt;&gt;"",$S388&lt;&gt;"",COUNTIFS($A$2:$A$501,$A388,$S$2:$S$501,$S388,$B$2:$B$501,"",$O$2:$O$501,"")=0),"Add an employee row for this household and plan; ","")&amp;IF(AND($X388="Dependent",COUNTIFS($A$2:$A388,$A388,$S$2:$S388,$S388,$B$2:$B388,"",$O$2:$O388,"")=0),"Place the employee row before dependent rows for this plan; ","")&amp;IF(AND($X388="Dependent",COUNTIFS($A$2:$A$501,$A388,$S$2:$S$501,$S388,$B$2:$B$501,"",$O$2:$O$501,"")&gt;0,IFERROR(OR($P388&lt;&gt;LOOKUP(2,1/(($A$2:$A$501=$A388)*($S$2:$S$501=$S388)*($B$2:$B$501="")*($O$2:$O$501="")),$P$2:$P$501),$Q388&lt;&gt;LOOKUP(2,1/(($A$2:$A$501=$A388)*($S$2:$S$501=$S388)*($B$2:$B$501="")*($O$2:$O$501="")),$Q$2:$Q$501),$R388&lt;&gt;LOOKUP(2,1/(($A$2:$A$501=$A388)*($S$2:$S$501=$S388)*($B$2:$B$501="")*($O$2:$O$501="")),$R$2:$R$501),$T388&lt;&gt;LOOKUP(2,1/(($A$2:$A$501=$A388)*($S$2:$S$501=$S388)*($B$2:$B$501="")*($O$2:$O$501="")),$T$2:$T$501),$U388&lt;&gt;LOOKUP(2,1/(($A$2:$A$501=$A388)*($S$2:$S$501=$S388)*($B$2:$B$501="")*($O$2:$O$501="")),$U$2:$U$501)),FALSE)),"Dependent row does not match the employee row for eligibility, status, coverage level, or funding; ",""))</f>
        <v/>
      </c>
      <c r="AB388">
        <f>IF(COUNTA($A388:$U388)=0,"",IF($L388="","Birthdate is required; ","")&amp;IF(AND($L388&lt;&gt;"",OR(NOT(ISNUMBER($L388)),$L388&lt;=DATE(1900,1,1),$L388&gt;TODAY())),"Birthdate must be an exact valid past date; ","")&amp;IF($P388="","Eligibility Date is required; ","")&amp;IF(AND($P388&lt;&gt;"",OR(NOT(ISNUMBER($P388)),$P388&lt;=DATE(1900,1,1))),"Eligibility Date must be a valid date; ","")&amp;IF(AND($R388="Terminated",$Q388=""),"Termination Date is required when Status is Terminated; ","")&amp;IF(AND($Q388&lt;&gt;"",OR(NOT(ISNUMBER($Q388)),$Q388&lt;=DATE(1900,1,1))),"Termination Date must be a valid date; ","")&amp;IF(AND(ISNUMBER($P388),ISNUMBER($Q388),$Q388&lt;$P388),"Termination Date cannot be before Eligibility Date; ","")&amp;IF($R388="","Status is required; ","")&amp;IF(AND($R388&lt;&gt;"",$R388&lt;&gt;"Active",$R388&lt;&gt;"Terminated"),"Status must be Active or Terminated; ","")&amp;IF(AND('START HERE'!$C$8="Terminations Only",$R388&lt;&gt;"Terminated"),"Terminations Only files must contain terminated records; ",""))</f>
        <v/>
      </c>
      <c r="AC388">
        <f>IF(COUNTA($A388:$U388)=0,"",IF($S388="","Plan Name is required; ","")&amp;IF($T388="","Benefit Coverage Level is required; ","")&amp;IF(AND($U388&lt;&gt;"",OR(NOT(ISNUMBER($U388)),$U388&lt;0)),"Plan Funding Amount must be a nonnegative number; ","")&amp;IF(AND($A388&lt;&gt;"",$S388&lt;&gt;"",COUNTIFS($A$2:$A$501,$A388,$B$2:$B$501,$B388,$S$2:$S$501,$S388)&gt;1),"Duplicate participant and plan row; ",""))</f>
        <v/>
      </c>
      <c r="AD388">
        <f>IF(COUNTA($A388:$U388)=0,"",IF(AND($X388="Employee",$M388="",$N388=""),"No employee phone or email provided; ","")&amp;IF(AND($R388="Active",$Q388&lt;&gt;""),"Active record includes a Termination Date; confirm this is intentional; ","")&amp;IF(AND($B388&lt;&gt;"",$B388&amp;""&lt;&gt;$A388&amp;"",COUNTIF($A$2:$A$501,$B388)&gt;0),"Dependent SSN also appears as an Employee SSN elsewhere; confirm dual-employee coverage is intentional; ","")&amp;IF(AND($B388&lt;&gt;"",COUNTIF($B$2:$B$501,$B388)&gt;COUNTIFS($A$2:$A$501,$A388,$B$2:$B$501,$B388)),"Dependent SSN appears under more than one employee; confirm duplicate family coverage is intentional; ","")&amp;IF(AND(ROW()&gt;2,$A388&lt;&gt;"",$A388&lt;&gt;$A387,COUNTIF($A$2:$A387,$A388)&gt;0),"This household appears in more than one section of the census; keep the family together; ","")&amp;IF(OR(AND($C388&lt;&gt;"",LEN($C388&amp;"")&lt;&gt;LEN(TRIM($C388&amp;""))),AND($D388&lt;&gt;"",LEN($D388&amp;"")&lt;&gt;LEN(TRIM($D388&amp;""))),AND($E388&lt;&gt;"",LEN($E388&amp;"")&lt;&gt;LEN(TRIM($E388&amp;""))),AND($F388&lt;&gt;"",LEN($F388&amp;"")&lt;&gt;LEN(TRIM($F388&amp;""))),AND($G388&lt;&gt;"",LEN($G388&amp;"")&lt;&gt;LEN(TRIM($G388&amp;""))),AND($H388&lt;&gt;"",LEN($H388&amp;"")&lt;&gt;LEN(TRIM($H388&amp;""))),AND($I388&lt;&gt;"",LEN($I388&amp;"")&lt;&gt;LEN(TRIM($I388&amp;""))),AND($J388&lt;&gt;"",LEN($J388&amp;"")&lt;&gt;LEN(TRIM($J388&amp;""))),AND($K388&lt;&gt;"",LEN($K388&amp;"")&lt;&gt;LEN(TRIM($K388&amp;""))),AND($M388&lt;&gt;"",LEN($M388&amp;"")&lt;&gt;LEN(TRIM($M388&amp;""))),AND($N388&lt;&gt;"",LEN($N388&amp;"")&lt;&gt;LEN(TRIM($N388&amp;""))),AND($O388&lt;&gt;"",LEN($O388&amp;"")&lt;&gt;LEN(TRIM($O388&amp;""))),AND($R388&lt;&gt;"",LEN($R388&amp;"")&lt;&gt;LEN(TRIM($R388&amp;""))),AND($S388&lt;&gt;"",LEN($S388&amp;"")&lt;&gt;LEN(TRIM($S388&amp;""))),AND($T388&lt;&gt;"",LEN($T388&amp;"")&lt;&gt;LEN(TRIM($T388&amp;"")))),"Remove leading or trailing spaces from text fields; ","")&amp;IF(OR(AND(LEN($C388)&gt;1,OR(EXACT($C388,UPPER($C388)),EXACT($C388,LOWER($C388)))),AND(LEN($D388)&gt;1,OR(EXACT($D388,UPPER($D388)),EXACT($D388,LOWER($D388)))),AND(LEN($H388)&gt;1,OR(EXACT($H388,UPPER($H388)),EXACT($H388,LOWER($H388))))),"Review capitalization in First Name, Last Name, or City; ","")&amp;IF(AND($N388&lt;&gt;"",NOT(EXACT($N388,LOWER($N388)))),"Email will be standardized to lowercase in the clean output; ","")&amp;IF(AND(OR('START HERE'!$C$8="Initial Enrollment",'START HERE'!$C$8="Open Enrollment"),$R388="Terminated"),"A terminated row is included in an initial or open enrollment file; confirm this is intentional; ",""))</f>
        <v/>
      </c>
      <c r="AE388">
        <f>IF(COUNTA($A388:$U388)=0,"",IF(OR($A388="",AND($A388&lt;&gt;"",NOT(IFERROR(AND(LEN($A388&amp;"")=9,ISNUMBER(--($A388&amp;""))),FALSE))),AND($A388&lt;&gt;"",OR($A388="123456789",$A388="987654321",$A388="012345678",$A388=REPT(LEFT($A388&amp;"",1),9)))),"Employee SSN, ","")&amp;IF(OR(AND($O388&lt;&gt;"",$B388=""),AND($B388&lt;&gt;"",OR(NOT(IFERROR(AND(LEN($B388&amp;"")=9,ISNUMBER(--($B388&amp;""))),FALSE)),$B388=$A388,$B388="123456789",$B388="987654321",$B388="012345678",$B388=REPT(LEFT($B388&amp;"",1),9)))),"Dependent SSN, ","")&amp;IF(OR($C388="",LEN($C388)&gt;19,AND($C388&lt;&gt;"",SUMPRODUCT(--(ROW($1:$19)&lt;=LEN($C388&amp;"")),--ISERROR(FIND(MID($C388&amp;"",ROW($1:$19),1),"ABCDEFGHIJKLMNOPQRSTUVWXYZabcdefghijklmnopqrstuvwxyz .,")))&gt;0)),"First Name, ","")&amp;IF(OR($D388="",LEN($D388)&gt;26,AND($D388&lt;&gt;"",SUMPRODUCT(--(ROW($1:$26)&lt;=LEN($D388&amp;"")),--ISERROR(FIND(MID($D388&amp;"",ROW($1:$26),1),"ABCDEFGHIJKLMNOPQRSTUVWXYZabcdefghijklmnopqrstuvwxyz .,")))&gt;0)),"Last Name, ","")&amp;IF(OR(LEN($E388)&gt;1,AND($E388&lt;&gt;"",SUMPRODUCT(--(ROW($1:$1)&lt;=LEN($E388&amp;"")),--ISERROR(FIND(MID($E388&amp;"",ROW($1:$1),1),"ABCDEFGHIJKLMNOPQRSTUVWXYZabcdefghijklmnopqrstuvwxyz .,")))&gt;0)),"Middle Initial, ","")&amp;IF(OR($F388="",LEN($F388)&gt;75),"Address, ","")&amp;IF(OR($H388="",LEN($H388)&gt;30),"City, ","")&amp;IF(AND($K388="US",OR($I388="",LEN($I388)&lt;&gt;2)),"State, ","")&amp;IF($J388="","ZIP, ","")&amp;IF(OR($K388="",AND($K388&lt;&gt;"US",$K388&lt;&gt;"CA")),"Country, ","")&amp;IF(OR($L388="",AND($L388&lt;&gt;"",OR(NOT(ISNUMBER($L388)),$L388&lt;=DATE(1900,1,1),$L388&gt;TODAY()))),"Birthdate, ","")&amp;IF(AND($N388&lt;&gt;"",NOT(IFERROR(AND(ISNUMBER(SEARCH("@",$N388)),ISNUMBER(SEARCH(".",$N388,SEARCH("@",$N388)+2))),FALSE))),"Email, ","")&amp;IF(OR(AND($B388&lt;&gt;"",$O388=""),AND($O388&lt;&gt;"",$O388&lt;&gt;"Spouse or Common Law Spouse",$O388&lt;&gt;"Domestic Partner",$O388&lt;&gt;"Child",$O388&lt;&gt;"Other",$O388&lt;&gt;"Estate",$O388&lt;&gt;"Unknown")),"Dependent Relationship, ","")&amp;IF($AA388&lt;&gt;"","Household, ","")&amp;IF(OR($P388="",AND($P388&lt;&gt;"",OR(NOT(ISNUMBER($P388)),$P388&lt;=DATE(1900,1,1)))),"Eligibility Date, ","")&amp;IF(OR(AND($R388="Terminated",$Q388=""),AND($Q388&lt;&gt;"",OR(NOT(ISNUMBER($Q388)),$Q388&lt;=DATE(1900,1,1))),AND(ISNUMBER($P388),ISNUMBER($Q388),$Q388&lt;$P388)),"Termination Date, ","")&amp;IF(OR($R388="",AND($R388&lt;&gt;"Active",$R388&lt;&gt;"Terminated"),AND('START HERE'!$C$8="Terminations Only",$R388&lt;&gt;"Terminated")),"Status, ","")&amp;IF($S388="","Plan Name, ","")&amp;IF($T388="","Coverage Level, ","")&amp;IF(AND($U388&lt;&gt;"",OR(NOT(ISNUMBER($U388)),$U388&lt;0)),"Funding, ","")&amp;IF(AND($A388&lt;&gt;"",$S388&lt;&gt;"",COUNTIFS($A$2:$A$501,$A388,$B$2:$B$501,$B388,$S$2:$S$501,$S388)&gt;1),"Duplicate Row, ",""))</f>
        <v/>
      </c>
      <c r="AF388">
        <f>IF(COUNTA($A388:$U388)=0,"",$Y388&amp;$Z388&amp;$AA388&amp;$AB388&amp;$AC388)</f>
        <v/>
      </c>
      <c r="AG388">
        <f>IF($N388="","",LOWER(TRIM($N388)))</f>
        <v/>
      </c>
      <c r="AH388">
        <f>IF($A388="","",COUNTIFS($A$2:$A$501,$A388,$AI$2:$AI$501,1))</f>
        <v/>
      </c>
      <c r="AI388">
        <f>IF(COUNTA($A388:$U388)=0,"",--($AF388&lt;&gt;""))</f>
        <v/>
      </c>
      <c r="AJ388">
        <f>IF(COUNTA($A388:$U388)=0,"",--($AD388&lt;&gt;""))</f>
        <v/>
      </c>
    </row>
    <row r="389" ht="20" customHeight="1">
      <c r="A389" s="80" t="n"/>
      <c r="B389" s="80" t="n"/>
      <c r="C389" s="81" t="n"/>
      <c r="D389" s="81" t="n"/>
      <c r="E389" s="80" t="n"/>
      <c r="F389" s="81" t="n"/>
      <c r="G389" s="81" t="n"/>
      <c r="H389" s="81" t="n"/>
      <c r="I389" s="80" t="n"/>
      <c r="J389" s="80" t="n"/>
      <c r="K389" s="80" t="n"/>
      <c r="L389" s="82" t="n"/>
      <c r="M389" s="80" t="n"/>
      <c r="N389" s="80" t="n"/>
      <c r="O389" s="80" t="n"/>
      <c r="P389" s="82" t="n"/>
      <c r="Q389" s="82" t="n"/>
      <c r="R389" s="80" t="n"/>
      <c r="S389" s="80" t="n"/>
      <c r="T389" s="80" t="n"/>
      <c r="U389" s="83" t="n"/>
      <c r="V389">
        <f>IF($A389="","",IF($A389=$A388,$V388,IF($V388="",0,1-$V388)))</f>
        <v/>
      </c>
      <c r="W389">
        <f>IF($B389&lt;&gt;"",$B389,$A389)</f>
        <v/>
      </c>
      <c r="X389">
        <f>IF(COUNTA($A389:$U389)=0,"",IF(OR($B389&lt;&gt;"",$O389&lt;&gt;""),"Dependent","Employee"))</f>
        <v/>
      </c>
      <c r="Y389">
        <f>IF(COUNTA($A389:$U389)=0,"",IF($A389="","Employee SSN is required; ","")&amp;IF($C389="","First Name is required; ","")&amp;IF(LEN($C389&amp;"")&gt;19,"First Name exceeds 19 characters; ","")&amp;IF(AND($C389&lt;&gt;"",SUMPRODUCT(--(ROW($1:$19)&lt;=LEN($C389&amp;"")),--ISERROR(FIND(MID($C389&amp;"",ROW($1:$19),1),"ABCDEFGHIJKLMNOPQRSTUVWXYZabcdefghijklmnopqrstuvwxyz .,")))&gt;0),"First Name contains unsupported or encoded characters; use plain A-Z letters only; ","")&amp;IF($D389="","Last Name is required; ","")&amp;IF(LEN($D389&amp;"")&gt;26,"Last Name exceeds 26 characters; ","")&amp;IF(AND($D389&lt;&gt;"",SUMPRODUCT(--(ROW($1:$26)&lt;=LEN($D389&amp;"")),--ISERROR(FIND(MID($D389&amp;"",ROW($1:$26),1),"ABCDEFGHIJKLMNOPQRSTUVWXYZabcdefghijklmnopqrstuvwxyz .,")))&gt;0),"Last Name contains unsupported or encoded characters; use plain A-Z letters only; ","")&amp;IF(LEN($E389&amp;"")&gt;1,"Middle Initial may contain only one character; ","")&amp;IF(AND($E389&lt;&gt;"",SUMPRODUCT(--(ROW($1:$1)&lt;=LEN($E389&amp;"")),--ISERROR(FIND(MID($E389&amp;"",ROW($1:$1),1),"ABCDEFGHIJKLMNOPQRSTUVWXYZabcdefghijklmnopqrstuvwxyz .,")))&gt;0),"Middle Initial must be a plain A-Z letter; ","")&amp;IF($F389="","Address is required; ","")&amp;IF(LEN($F389&amp;"")&gt;75,"Address exceeds 75 characters; ","")&amp;IF(LEN($G389&amp;"")&gt;75,"Address 2 exceeds 75 characters; ","")&amp;IF($H389="","City is required; ","")&amp;IF(LEN($H389&amp;"")&gt;30,"City exceeds 30 characters; ","")&amp;IF($K389="","Country is required; ","")&amp;IF(AND($K389&lt;&gt;"",$K389&lt;&gt;"US",$K389&lt;&gt;"CA"),"Country must be US or CA; ","")&amp;IF(AND($K389="US",OR($I389="",LEN($I389&amp;"")&lt;&gt;2)),"Use a 2-letter state code; ","")&amp;IF($J389="","ZIP or postal code is required; ","")&amp;IF(AND($K389="US",$J389&lt;&gt;"",NOT(IFERROR(OR(AND(LEN($J389&amp;"")=5,ISNUMBER(--($J389&amp;""))),AND(LEN($J389&amp;"")=9,ISNUMBER(--($J389&amp;""))),AND(LEN($J389&amp;"")=10,MID($J389&amp;"",6,1)="-",ISNUMBER(--SUBSTITUTE($J389&amp;"","-","")))),FALSE))),"US ZIP must be 5 or 9 digits, with an optional ZIP+4 hyphen; ","")&amp;IF(AND($N389&lt;&gt;"",NOT(IFERROR(AND(ISNUMBER(SEARCH("@",$N389)),ISNUMBER(SEARCH(".",$N389,SEARCH("@",$N389)+2))),FALSE))),"Email format appears invalid; ","")&amp;IF(AND($O389&lt;&gt;"",$B389=""),"Dependent SSN is required for every dependent; ","")&amp;IF(AND($B389&lt;&gt;"",$O389=""),"Dependent Relationship is required when Dependent SSN is entered; ","")&amp;IF(AND($O389&lt;&gt;"",$O389&lt;&gt;"Spouse or Common Law Spouse",$O389&lt;&gt;"Domestic Partner",$O389&lt;&gt;"Child",$O389&lt;&gt;"Other",$O389&lt;&gt;"Estate",$O389&lt;&gt;"Unknown"),"Dependent Relationship must use one of the approved options; ",""))</f>
        <v/>
      </c>
      <c r="Z389">
        <f>IF(COUNTA($A389:$U389)=0,"",IF(AND($A389&lt;&gt;"",NOT(IFERROR(AND(LEN($A389&amp;"")=9,ISNUMBER(--($A389&amp;""))),FALSE))),"Employee SSN must contain exactly 9 digits; ","")&amp;IF(AND($A389&lt;&gt;"",OR($A389="123456789",$A389="987654321",$A389="012345678",$A389=REPT(LEFT($A389&amp;"",1),9))),"Employee SSN appears to be a placeholder; ","")&amp;IF(AND($B389&lt;&gt;"",NOT(IFERROR(AND(LEN($B389&amp;"")=9,ISNUMBER(--($B389&amp;""))),FALSE))),"Dependent SSN must contain exactly 9 digits; ","")&amp;IF(AND($B389&lt;&gt;"",OR($B389="123456789",$B389="987654321",$B389="012345678",$B389=REPT(LEFT($B389&amp;"",1),9))),"Dependent SSN appears to be a placeholder; ","")&amp;IF(AND($A389&lt;&gt;"",$B389&lt;&gt;"",$A389&amp;""=$B389&amp;""),"Dependent SSN cannot match Employee SSN; ","")&amp;IF(AND($W389&lt;&gt;"",OR(COUNTIFS($W$2:$W$501,$W389,$C$2:$C$501,"&lt;&gt;"&amp;$C389)&gt;0,COUNTIFS($W$2:$W$501,$W389,$D$2:$D$501,"&lt;&gt;"&amp;$D389)&gt;0,COUNTIFS($W$2:$W$501,$W389,$L$2:$L$501,"&lt;&gt;"&amp;$L389)&gt;0)),"The same SSN is associated with a different name or birthdate; ",""))</f>
        <v/>
      </c>
      <c r="AA389">
        <f>IF(COUNTA($A389:$U389)=0,"",IF(AND($A389&lt;&gt;"",$S389&lt;&gt;"",COUNTIFS($A$2:$A$501,$A389,$S$2:$S$501,$S389,$B$2:$B$501,"",$O$2:$O$501,"")=0),"Add an employee row for this household and plan; ","")&amp;IF(AND($X389="Dependent",COUNTIFS($A$2:$A389,$A389,$S$2:$S389,$S389,$B$2:$B389,"",$O$2:$O389,"")=0),"Place the employee row before dependent rows for this plan; ","")&amp;IF(AND($X389="Dependent",COUNTIFS($A$2:$A$501,$A389,$S$2:$S$501,$S389,$B$2:$B$501,"",$O$2:$O$501,"")&gt;0,IFERROR(OR($P389&lt;&gt;LOOKUP(2,1/(($A$2:$A$501=$A389)*($S$2:$S$501=$S389)*($B$2:$B$501="")*($O$2:$O$501="")),$P$2:$P$501),$Q389&lt;&gt;LOOKUP(2,1/(($A$2:$A$501=$A389)*($S$2:$S$501=$S389)*($B$2:$B$501="")*($O$2:$O$501="")),$Q$2:$Q$501),$R389&lt;&gt;LOOKUP(2,1/(($A$2:$A$501=$A389)*($S$2:$S$501=$S389)*($B$2:$B$501="")*($O$2:$O$501="")),$R$2:$R$501),$T389&lt;&gt;LOOKUP(2,1/(($A$2:$A$501=$A389)*($S$2:$S$501=$S389)*($B$2:$B$501="")*($O$2:$O$501="")),$T$2:$T$501),$U389&lt;&gt;LOOKUP(2,1/(($A$2:$A$501=$A389)*($S$2:$S$501=$S389)*($B$2:$B$501="")*($O$2:$O$501="")),$U$2:$U$501)),FALSE)),"Dependent row does not match the employee row for eligibility, status, coverage level, or funding; ",""))</f>
        <v/>
      </c>
      <c r="AB389">
        <f>IF(COUNTA($A389:$U389)=0,"",IF($L389="","Birthdate is required; ","")&amp;IF(AND($L389&lt;&gt;"",OR(NOT(ISNUMBER($L389)),$L389&lt;=DATE(1900,1,1),$L389&gt;TODAY())),"Birthdate must be an exact valid past date; ","")&amp;IF($P389="","Eligibility Date is required; ","")&amp;IF(AND($P389&lt;&gt;"",OR(NOT(ISNUMBER($P389)),$P389&lt;=DATE(1900,1,1))),"Eligibility Date must be a valid date; ","")&amp;IF(AND($R389="Terminated",$Q389=""),"Termination Date is required when Status is Terminated; ","")&amp;IF(AND($Q389&lt;&gt;"",OR(NOT(ISNUMBER($Q389)),$Q389&lt;=DATE(1900,1,1))),"Termination Date must be a valid date; ","")&amp;IF(AND(ISNUMBER($P389),ISNUMBER($Q389),$Q389&lt;$P389),"Termination Date cannot be before Eligibility Date; ","")&amp;IF($R389="","Status is required; ","")&amp;IF(AND($R389&lt;&gt;"",$R389&lt;&gt;"Active",$R389&lt;&gt;"Terminated"),"Status must be Active or Terminated; ","")&amp;IF(AND('START HERE'!$C$8="Terminations Only",$R389&lt;&gt;"Terminated"),"Terminations Only files must contain terminated records; ",""))</f>
        <v/>
      </c>
      <c r="AC389">
        <f>IF(COUNTA($A389:$U389)=0,"",IF($S389="","Plan Name is required; ","")&amp;IF($T389="","Benefit Coverage Level is required; ","")&amp;IF(AND($U389&lt;&gt;"",OR(NOT(ISNUMBER($U389)),$U389&lt;0)),"Plan Funding Amount must be a nonnegative number; ","")&amp;IF(AND($A389&lt;&gt;"",$S389&lt;&gt;"",COUNTIFS($A$2:$A$501,$A389,$B$2:$B$501,$B389,$S$2:$S$501,$S389)&gt;1),"Duplicate participant and plan row; ",""))</f>
        <v/>
      </c>
      <c r="AD389">
        <f>IF(COUNTA($A389:$U389)=0,"",IF(AND($X389="Employee",$M389="",$N389=""),"No employee phone or email provided; ","")&amp;IF(AND($R389="Active",$Q389&lt;&gt;""),"Active record includes a Termination Date; confirm this is intentional; ","")&amp;IF(AND($B389&lt;&gt;"",$B389&amp;""&lt;&gt;$A389&amp;"",COUNTIF($A$2:$A$501,$B389)&gt;0),"Dependent SSN also appears as an Employee SSN elsewhere; confirm dual-employee coverage is intentional; ","")&amp;IF(AND($B389&lt;&gt;"",COUNTIF($B$2:$B$501,$B389)&gt;COUNTIFS($A$2:$A$501,$A389,$B$2:$B$501,$B389)),"Dependent SSN appears under more than one employee; confirm duplicate family coverage is intentional; ","")&amp;IF(AND(ROW()&gt;2,$A389&lt;&gt;"",$A389&lt;&gt;$A388,COUNTIF($A$2:$A388,$A389)&gt;0),"This household appears in more than one section of the census; keep the family together; ","")&amp;IF(OR(AND($C389&lt;&gt;"",LEN($C389&amp;"")&lt;&gt;LEN(TRIM($C389&amp;""))),AND($D389&lt;&gt;"",LEN($D389&amp;"")&lt;&gt;LEN(TRIM($D389&amp;""))),AND($E389&lt;&gt;"",LEN($E389&amp;"")&lt;&gt;LEN(TRIM($E389&amp;""))),AND($F389&lt;&gt;"",LEN($F389&amp;"")&lt;&gt;LEN(TRIM($F389&amp;""))),AND($G389&lt;&gt;"",LEN($G389&amp;"")&lt;&gt;LEN(TRIM($G389&amp;""))),AND($H389&lt;&gt;"",LEN($H389&amp;"")&lt;&gt;LEN(TRIM($H389&amp;""))),AND($I389&lt;&gt;"",LEN($I389&amp;"")&lt;&gt;LEN(TRIM($I389&amp;""))),AND($J389&lt;&gt;"",LEN($J389&amp;"")&lt;&gt;LEN(TRIM($J389&amp;""))),AND($K389&lt;&gt;"",LEN($K389&amp;"")&lt;&gt;LEN(TRIM($K389&amp;""))),AND($M389&lt;&gt;"",LEN($M389&amp;"")&lt;&gt;LEN(TRIM($M389&amp;""))),AND($N389&lt;&gt;"",LEN($N389&amp;"")&lt;&gt;LEN(TRIM($N389&amp;""))),AND($O389&lt;&gt;"",LEN($O389&amp;"")&lt;&gt;LEN(TRIM($O389&amp;""))),AND($R389&lt;&gt;"",LEN($R389&amp;"")&lt;&gt;LEN(TRIM($R389&amp;""))),AND($S389&lt;&gt;"",LEN($S389&amp;"")&lt;&gt;LEN(TRIM($S389&amp;""))),AND($T389&lt;&gt;"",LEN($T389&amp;"")&lt;&gt;LEN(TRIM($T389&amp;"")))),"Remove leading or trailing spaces from text fields; ","")&amp;IF(OR(AND(LEN($C389)&gt;1,OR(EXACT($C389,UPPER($C389)),EXACT($C389,LOWER($C389)))),AND(LEN($D389)&gt;1,OR(EXACT($D389,UPPER($D389)),EXACT($D389,LOWER($D389)))),AND(LEN($H389)&gt;1,OR(EXACT($H389,UPPER($H389)),EXACT($H389,LOWER($H389))))),"Review capitalization in First Name, Last Name, or City; ","")&amp;IF(AND($N389&lt;&gt;"",NOT(EXACT($N389,LOWER($N389)))),"Email will be standardized to lowercase in the clean output; ","")&amp;IF(AND(OR('START HERE'!$C$8="Initial Enrollment",'START HERE'!$C$8="Open Enrollment"),$R389="Terminated"),"A terminated row is included in an initial or open enrollment file; confirm this is intentional; ",""))</f>
        <v/>
      </c>
      <c r="AE389">
        <f>IF(COUNTA($A389:$U389)=0,"",IF(OR($A389="",AND($A389&lt;&gt;"",NOT(IFERROR(AND(LEN($A389&amp;"")=9,ISNUMBER(--($A389&amp;""))),FALSE))),AND($A389&lt;&gt;"",OR($A389="123456789",$A389="987654321",$A389="012345678",$A389=REPT(LEFT($A389&amp;"",1),9)))),"Employee SSN, ","")&amp;IF(OR(AND($O389&lt;&gt;"",$B389=""),AND($B389&lt;&gt;"",OR(NOT(IFERROR(AND(LEN($B389&amp;"")=9,ISNUMBER(--($B389&amp;""))),FALSE)),$B389=$A389,$B389="123456789",$B389="987654321",$B389="012345678",$B389=REPT(LEFT($B389&amp;"",1),9)))),"Dependent SSN, ","")&amp;IF(OR($C389="",LEN($C389)&gt;19,AND($C389&lt;&gt;"",SUMPRODUCT(--(ROW($1:$19)&lt;=LEN($C389&amp;"")),--ISERROR(FIND(MID($C389&amp;"",ROW($1:$19),1),"ABCDEFGHIJKLMNOPQRSTUVWXYZabcdefghijklmnopqrstuvwxyz .,")))&gt;0)),"First Name, ","")&amp;IF(OR($D389="",LEN($D389)&gt;26,AND($D389&lt;&gt;"",SUMPRODUCT(--(ROW($1:$26)&lt;=LEN($D389&amp;"")),--ISERROR(FIND(MID($D389&amp;"",ROW($1:$26),1),"ABCDEFGHIJKLMNOPQRSTUVWXYZabcdefghijklmnopqrstuvwxyz .,")))&gt;0)),"Last Name, ","")&amp;IF(OR(LEN($E389)&gt;1,AND($E389&lt;&gt;"",SUMPRODUCT(--(ROW($1:$1)&lt;=LEN($E389&amp;"")),--ISERROR(FIND(MID($E389&amp;"",ROW($1:$1),1),"ABCDEFGHIJKLMNOPQRSTUVWXYZabcdefghijklmnopqrstuvwxyz .,")))&gt;0)),"Middle Initial, ","")&amp;IF(OR($F389="",LEN($F389)&gt;75),"Address, ","")&amp;IF(OR($H389="",LEN($H389)&gt;30),"City, ","")&amp;IF(AND($K389="US",OR($I389="",LEN($I389)&lt;&gt;2)),"State, ","")&amp;IF($J389="","ZIP, ","")&amp;IF(OR($K389="",AND($K389&lt;&gt;"US",$K389&lt;&gt;"CA")),"Country, ","")&amp;IF(OR($L389="",AND($L389&lt;&gt;"",OR(NOT(ISNUMBER($L389)),$L389&lt;=DATE(1900,1,1),$L389&gt;TODAY()))),"Birthdate, ","")&amp;IF(AND($N389&lt;&gt;"",NOT(IFERROR(AND(ISNUMBER(SEARCH("@",$N389)),ISNUMBER(SEARCH(".",$N389,SEARCH("@",$N389)+2))),FALSE))),"Email, ","")&amp;IF(OR(AND($B389&lt;&gt;"",$O389=""),AND($O389&lt;&gt;"",$O389&lt;&gt;"Spouse or Common Law Spouse",$O389&lt;&gt;"Domestic Partner",$O389&lt;&gt;"Child",$O389&lt;&gt;"Other",$O389&lt;&gt;"Estate",$O389&lt;&gt;"Unknown")),"Dependent Relationship, ","")&amp;IF($AA389&lt;&gt;"","Household, ","")&amp;IF(OR($P389="",AND($P389&lt;&gt;"",OR(NOT(ISNUMBER($P389)),$P389&lt;=DATE(1900,1,1)))),"Eligibility Date, ","")&amp;IF(OR(AND($R389="Terminated",$Q389=""),AND($Q389&lt;&gt;"",OR(NOT(ISNUMBER($Q389)),$Q389&lt;=DATE(1900,1,1))),AND(ISNUMBER($P389),ISNUMBER($Q389),$Q389&lt;$P389)),"Termination Date, ","")&amp;IF(OR($R389="",AND($R389&lt;&gt;"Active",$R389&lt;&gt;"Terminated"),AND('START HERE'!$C$8="Terminations Only",$R389&lt;&gt;"Terminated")),"Status, ","")&amp;IF($S389="","Plan Name, ","")&amp;IF($T389="","Coverage Level, ","")&amp;IF(AND($U389&lt;&gt;"",OR(NOT(ISNUMBER($U389)),$U389&lt;0)),"Funding, ","")&amp;IF(AND($A389&lt;&gt;"",$S389&lt;&gt;"",COUNTIFS($A$2:$A$501,$A389,$B$2:$B$501,$B389,$S$2:$S$501,$S389)&gt;1),"Duplicate Row, ",""))</f>
        <v/>
      </c>
      <c r="AF389">
        <f>IF(COUNTA($A389:$U389)=0,"",$Y389&amp;$Z389&amp;$AA389&amp;$AB389&amp;$AC389)</f>
        <v/>
      </c>
      <c r="AG389">
        <f>IF($N389="","",LOWER(TRIM($N389)))</f>
        <v/>
      </c>
      <c r="AH389">
        <f>IF($A389="","",COUNTIFS($A$2:$A$501,$A389,$AI$2:$AI$501,1))</f>
        <v/>
      </c>
      <c r="AI389">
        <f>IF(COUNTA($A389:$U389)=0,"",--($AF389&lt;&gt;""))</f>
        <v/>
      </c>
      <c r="AJ389">
        <f>IF(COUNTA($A389:$U389)=0,"",--($AD389&lt;&gt;""))</f>
        <v/>
      </c>
    </row>
    <row r="390" ht="20" customHeight="1">
      <c r="A390" s="80" t="n"/>
      <c r="B390" s="80" t="n"/>
      <c r="C390" s="81" t="n"/>
      <c r="D390" s="81" t="n"/>
      <c r="E390" s="80" t="n"/>
      <c r="F390" s="81" t="n"/>
      <c r="G390" s="81" t="n"/>
      <c r="H390" s="81" t="n"/>
      <c r="I390" s="80" t="n"/>
      <c r="J390" s="80" t="n"/>
      <c r="K390" s="80" t="n"/>
      <c r="L390" s="82" t="n"/>
      <c r="M390" s="80" t="n"/>
      <c r="N390" s="80" t="n"/>
      <c r="O390" s="80" t="n"/>
      <c r="P390" s="82" t="n"/>
      <c r="Q390" s="82" t="n"/>
      <c r="R390" s="80" t="n"/>
      <c r="S390" s="80" t="n"/>
      <c r="T390" s="80" t="n"/>
      <c r="U390" s="83" t="n"/>
      <c r="V390">
        <f>IF($A390="","",IF($A390=$A389,$V389,IF($V389="",0,1-$V389)))</f>
        <v/>
      </c>
      <c r="W390">
        <f>IF($B390&lt;&gt;"",$B390,$A390)</f>
        <v/>
      </c>
      <c r="X390">
        <f>IF(COUNTA($A390:$U390)=0,"",IF(OR($B390&lt;&gt;"",$O390&lt;&gt;""),"Dependent","Employee"))</f>
        <v/>
      </c>
      <c r="Y390">
        <f>IF(COUNTA($A390:$U390)=0,"",IF($A390="","Employee SSN is required; ","")&amp;IF($C390="","First Name is required; ","")&amp;IF(LEN($C390&amp;"")&gt;19,"First Name exceeds 19 characters; ","")&amp;IF(AND($C390&lt;&gt;"",SUMPRODUCT(--(ROW($1:$19)&lt;=LEN($C390&amp;"")),--ISERROR(FIND(MID($C390&amp;"",ROW($1:$19),1),"ABCDEFGHIJKLMNOPQRSTUVWXYZabcdefghijklmnopqrstuvwxyz .,")))&gt;0),"First Name contains unsupported or encoded characters; use plain A-Z letters only; ","")&amp;IF($D390="","Last Name is required; ","")&amp;IF(LEN($D390&amp;"")&gt;26,"Last Name exceeds 26 characters; ","")&amp;IF(AND($D390&lt;&gt;"",SUMPRODUCT(--(ROW($1:$26)&lt;=LEN($D390&amp;"")),--ISERROR(FIND(MID($D390&amp;"",ROW($1:$26),1),"ABCDEFGHIJKLMNOPQRSTUVWXYZabcdefghijklmnopqrstuvwxyz .,")))&gt;0),"Last Name contains unsupported or encoded characters; use plain A-Z letters only; ","")&amp;IF(LEN($E390&amp;"")&gt;1,"Middle Initial may contain only one character; ","")&amp;IF(AND($E390&lt;&gt;"",SUMPRODUCT(--(ROW($1:$1)&lt;=LEN($E390&amp;"")),--ISERROR(FIND(MID($E390&amp;"",ROW($1:$1),1),"ABCDEFGHIJKLMNOPQRSTUVWXYZabcdefghijklmnopqrstuvwxyz .,")))&gt;0),"Middle Initial must be a plain A-Z letter; ","")&amp;IF($F390="","Address is required; ","")&amp;IF(LEN($F390&amp;"")&gt;75,"Address exceeds 75 characters; ","")&amp;IF(LEN($G390&amp;"")&gt;75,"Address 2 exceeds 75 characters; ","")&amp;IF($H390="","City is required; ","")&amp;IF(LEN($H390&amp;"")&gt;30,"City exceeds 30 characters; ","")&amp;IF($K390="","Country is required; ","")&amp;IF(AND($K390&lt;&gt;"",$K390&lt;&gt;"US",$K390&lt;&gt;"CA"),"Country must be US or CA; ","")&amp;IF(AND($K390="US",OR($I390="",LEN($I390&amp;"")&lt;&gt;2)),"Use a 2-letter state code; ","")&amp;IF($J390="","ZIP or postal code is required; ","")&amp;IF(AND($K390="US",$J390&lt;&gt;"",NOT(IFERROR(OR(AND(LEN($J390&amp;"")=5,ISNUMBER(--($J390&amp;""))),AND(LEN($J390&amp;"")=9,ISNUMBER(--($J390&amp;""))),AND(LEN($J390&amp;"")=10,MID($J390&amp;"",6,1)="-",ISNUMBER(--SUBSTITUTE($J390&amp;"","-","")))),FALSE))),"US ZIP must be 5 or 9 digits, with an optional ZIP+4 hyphen; ","")&amp;IF(AND($N390&lt;&gt;"",NOT(IFERROR(AND(ISNUMBER(SEARCH("@",$N390)),ISNUMBER(SEARCH(".",$N390,SEARCH("@",$N390)+2))),FALSE))),"Email format appears invalid; ","")&amp;IF(AND($O390&lt;&gt;"",$B390=""),"Dependent SSN is required for every dependent; ","")&amp;IF(AND($B390&lt;&gt;"",$O390=""),"Dependent Relationship is required when Dependent SSN is entered; ","")&amp;IF(AND($O390&lt;&gt;"",$O390&lt;&gt;"Spouse or Common Law Spouse",$O390&lt;&gt;"Domestic Partner",$O390&lt;&gt;"Child",$O390&lt;&gt;"Other",$O390&lt;&gt;"Estate",$O390&lt;&gt;"Unknown"),"Dependent Relationship must use one of the approved options; ",""))</f>
        <v/>
      </c>
      <c r="Z390">
        <f>IF(COUNTA($A390:$U390)=0,"",IF(AND($A390&lt;&gt;"",NOT(IFERROR(AND(LEN($A390&amp;"")=9,ISNUMBER(--($A390&amp;""))),FALSE))),"Employee SSN must contain exactly 9 digits; ","")&amp;IF(AND($A390&lt;&gt;"",OR($A390="123456789",$A390="987654321",$A390="012345678",$A390=REPT(LEFT($A390&amp;"",1),9))),"Employee SSN appears to be a placeholder; ","")&amp;IF(AND($B390&lt;&gt;"",NOT(IFERROR(AND(LEN($B390&amp;"")=9,ISNUMBER(--($B390&amp;""))),FALSE))),"Dependent SSN must contain exactly 9 digits; ","")&amp;IF(AND($B390&lt;&gt;"",OR($B390="123456789",$B390="987654321",$B390="012345678",$B390=REPT(LEFT($B390&amp;"",1),9))),"Dependent SSN appears to be a placeholder; ","")&amp;IF(AND($A390&lt;&gt;"",$B390&lt;&gt;"",$A390&amp;""=$B390&amp;""),"Dependent SSN cannot match Employee SSN; ","")&amp;IF(AND($W390&lt;&gt;"",OR(COUNTIFS($W$2:$W$501,$W390,$C$2:$C$501,"&lt;&gt;"&amp;$C390)&gt;0,COUNTIFS($W$2:$W$501,$W390,$D$2:$D$501,"&lt;&gt;"&amp;$D390)&gt;0,COUNTIFS($W$2:$W$501,$W390,$L$2:$L$501,"&lt;&gt;"&amp;$L390)&gt;0)),"The same SSN is associated with a different name or birthdate; ",""))</f>
        <v/>
      </c>
      <c r="AA390">
        <f>IF(COUNTA($A390:$U390)=0,"",IF(AND($A390&lt;&gt;"",$S390&lt;&gt;"",COUNTIFS($A$2:$A$501,$A390,$S$2:$S$501,$S390,$B$2:$B$501,"",$O$2:$O$501,"")=0),"Add an employee row for this household and plan; ","")&amp;IF(AND($X390="Dependent",COUNTIFS($A$2:$A390,$A390,$S$2:$S390,$S390,$B$2:$B390,"",$O$2:$O390,"")=0),"Place the employee row before dependent rows for this plan; ","")&amp;IF(AND($X390="Dependent",COUNTIFS($A$2:$A$501,$A390,$S$2:$S$501,$S390,$B$2:$B$501,"",$O$2:$O$501,"")&gt;0,IFERROR(OR($P390&lt;&gt;LOOKUP(2,1/(($A$2:$A$501=$A390)*($S$2:$S$501=$S390)*($B$2:$B$501="")*($O$2:$O$501="")),$P$2:$P$501),$Q390&lt;&gt;LOOKUP(2,1/(($A$2:$A$501=$A390)*($S$2:$S$501=$S390)*($B$2:$B$501="")*($O$2:$O$501="")),$Q$2:$Q$501),$R390&lt;&gt;LOOKUP(2,1/(($A$2:$A$501=$A390)*($S$2:$S$501=$S390)*($B$2:$B$501="")*($O$2:$O$501="")),$R$2:$R$501),$T390&lt;&gt;LOOKUP(2,1/(($A$2:$A$501=$A390)*($S$2:$S$501=$S390)*($B$2:$B$501="")*($O$2:$O$501="")),$T$2:$T$501),$U390&lt;&gt;LOOKUP(2,1/(($A$2:$A$501=$A390)*($S$2:$S$501=$S390)*($B$2:$B$501="")*($O$2:$O$501="")),$U$2:$U$501)),FALSE)),"Dependent row does not match the employee row for eligibility, status, coverage level, or funding; ",""))</f>
        <v/>
      </c>
      <c r="AB390">
        <f>IF(COUNTA($A390:$U390)=0,"",IF($L390="","Birthdate is required; ","")&amp;IF(AND($L390&lt;&gt;"",OR(NOT(ISNUMBER($L390)),$L390&lt;=DATE(1900,1,1),$L390&gt;TODAY())),"Birthdate must be an exact valid past date; ","")&amp;IF($P390="","Eligibility Date is required; ","")&amp;IF(AND($P390&lt;&gt;"",OR(NOT(ISNUMBER($P390)),$P390&lt;=DATE(1900,1,1))),"Eligibility Date must be a valid date; ","")&amp;IF(AND($R390="Terminated",$Q390=""),"Termination Date is required when Status is Terminated; ","")&amp;IF(AND($Q390&lt;&gt;"",OR(NOT(ISNUMBER($Q390)),$Q390&lt;=DATE(1900,1,1))),"Termination Date must be a valid date; ","")&amp;IF(AND(ISNUMBER($P390),ISNUMBER($Q390),$Q390&lt;$P390),"Termination Date cannot be before Eligibility Date; ","")&amp;IF($R390="","Status is required; ","")&amp;IF(AND($R390&lt;&gt;"",$R390&lt;&gt;"Active",$R390&lt;&gt;"Terminated"),"Status must be Active or Terminated; ","")&amp;IF(AND('START HERE'!$C$8="Terminations Only",$R390&lt;&gt;"Terminated"),"Terminations Only files must contain terminated records; ",""))</f>
        <v/>
      </c>
      <c r="AC390">
        <f>IF(COUNTA($A390:$U390)=0,"",IF($S390="","Plan Name is required; ","")&amp;IF($T390="","Benefit Coverage Level is required; ","")&amp;IF(AND($U390&lt;&gt;"",OR(NOT(ISNUMBER($U390)),$U390&lt;0)),"Plan Funding Amount must be a nonnegative number; ","")&amp;IF(AND($A390&lt;&gt;"",$S390&lt;&gt;"",COUNTIFS($A$2:$A$501,$A390,$B$2:$B$501,$B390,$S$2:$S$501,$S390)&gt;1),"Duplicate participant and plan row; ",""))</f>
        <v/>
      </c>
      <c r="AD390">
        <f>IF(COUNTA($A390:$U390)=0,"",IF(AND($X390="Employee",$M390="",$N390=""),"No employee phone or email provided; ","")&amp;IF(AND($R390="Active",$Q390&lt;&gt;""),"Active record includes a Termination Date; confirm this is intentional; ","")&amp;IF(AND($B390&lt;&gt;"",$B390&amp;""&lt;&gt;$A390&amp;"",COUNTIF($A$2:$A$501,$B390)&gt;0),"Dependent SSN also appears as an Employee SSN elsewhere; confirm dual-employee coverage is intentional; ","")&amp;IF(AND($B390&lt;&gt;"",COUNTIF($B$2:$B$501,$B390)&gt;COUNTIFS($A$2:$A$501,$A390,$B$2:$B$501,$B390)),"Dependent SSN appears under more than one employee; confirm duplicate family coverage is intentional; ","")&amp;IF(AND(ROW()&gt;2,$A390&lt;&gt;"",$A390&lt;&gt;$A389,COUNTIF($A$2:$A389,$A390)&gt;0),"This household appears in more than one section of the census; keep the family together; ","")&amp;IF(OR(AND($C390&lt;&gt;"",LEN($C390&amp;"")&lt;&gt;LEN(TRIM($C390&amp;""))),AND($D390&lt;&gt;"",LEN($D390&amp;"")&lt;&gt;LEN(TRIM($D390&amp;""))),AND($E390&lt;&gt;"",LEN($E390&amp;"")&lt;&gt;LEN(TRIM($E390&amp;""))),AND($F390&lt;&gt;"",LEN($F390&amp;"")&lt;&gt;LEN(TRIM($F390&amp;""))),AND($G390&lt;&gt;"",LEN($G390&amp;"")&lt;&gt;LEN(TRIM($G390&amp;""))),AND($H390&lt;&gt;"",LEN($H390&amp;"")&lt;&gt;LEN(TRIM($H390&amp;""))),AND($I390&lt;&gt;"",LEN($I390&amp;"")&lt;&gt;LEN(TRIM($I390&amp;""))),AND($J390&lt;&gt;"",LEN($J390&amp;"")&lt;&gt;LEN(TRIM($J390&amp;""))),AND($K390&lt;&gt;"",LEN($K390&amp;"")&lt;&gt;LEN(TRIM($K390&amp;""))),AND($M390&lt;&gt;"",LEN($M390&amp;"")&lt;&gt;LEN(TRIM($M390&amp;""))),AND($N390&lt;&gt;"",LEN($N390&amp;"")&lt;&gt;LEN(TRIM($N390&amp;""))),AND($O390&lt;&gt;"",LEN($O390&amp;"")&lt;&gt;LEN(TRIM($O390&amp;""))),AND($R390&lt;&gt;"",LEN($R390&amp;"")&lt;&gt;LEN(TRIM($R390&amp;""))),AND($S390&lt;&gt;"",LEN($S390&amp;"")&lt;&gt;LEN(TRIM($S390&amp;""))),AND($T390&lt;&gt;"",LEN($T390&amp;"")&lt;&gt;LEN(TRIM($T390&amp;"")))),"Remove leading or trailing spaces from text fields; ","")&amp;IF(OR(AND(LEN($C390)&gt;1,OR(EXACT($C390,UPPER($C390)),EXACT($C390,LOWER($C390)))),AND(LEN($D390)&gt;1,OR(EXACT($D390,UPPER($D390)),EXACT($D390,LOWER($D390)))),AND(LEN($H390)&gt;1,OR(EXACT($H390,UPPER($H390)),EXACT($H390,LOWER($H390))))),"Review capitalization in First Name, Last Name, or City; ","")&amp;IF(AND($N390&lt;&gt;"",NOT(EXACT($N390,LOWER($N390)))),"Email will be standardized to lowercase in the clean output; ","")&amp;IF(AND(OR('START HERE'!$C$8="Initial Enrollment",'START HERE'!$C$8="Open Enrollment"),$R390="Terminated"),"A terminated row is included in an initial or open enrollment file; confirm this is intentional; ",""))</f>
        <v/>
      </c>
      <c r="AE390">
        <f>IF(COUNTA($A390:$U390)=0,"",IF(OR($A390="",AND($A390&lt;&gt;"",NOT(IFERROR(AND(LEN($A390&amp;"")=9,ISNUMBER(--($A390&amp;""))),FALSE))),AND($A390&lt;&gt;"",OR($A390="123456789",$A390="987654321",$A390="012345678",$A390=REPT(LEFT($A390&amp;"",1),9)))),"Employee SSN, ","")&amp;IF(OR(AND($O390&lt;&gt;"",$B390=""),AND($B390&lt;&gt;"",OR(NOT(IFERROR(AND(LEN($B390&amp;"")=9,ISNUMBER(--($B390&amp;""))),FALSE)),$B390=$A390,$B390="123456789",$B390="987654321",$B390="012345678",$B390=REPT(LEFT($B390&amp;"",1),9)))),"Dependent SSN, ","")&amp;IF(OR($C390="",LEN($C390)&gt;19,AND($C390&lt;&gt;"",SUMPRODUCT(--(ROW($1:$19)&lt;=LEN($C390&amp;"")),--ISERROR(FIND(MID($C390&amp;"",ROW($1:$19),1),"ABCDEFGHIJKLMNOPQRSTUVWXYZabcdefghijklmnopqrstuvwxyz .,")))&gt;0)),"First Name, ","")&amp;IF(OR($D390="",LEN($D390)&gt;26,AND($D390&lt;&gt;"",SUMPRODUCT(--(ROW($1:$26)&lt;=LEN($D390&amp;"")),--ISERROR(FIND(MID($D390&amp;"",ROW($1:$26),1),"ABCDEFGHIJKLMNOPQRSTUVWXYZabcdefghijklmnopqrstuvwxyz .,")))&gt;0)),"Last Name, ","")&amp;IF(OR(LEN($E390)&gt;1,AND($E390&lt;&gt;"",SUMPRODUCT(--(ROW($1:$1)&lt;=LEN($E390&amp;"")),--ISERROR(FIND(MID($E390&amp;"",ROW($1:$1),1),"ABCDEFGHIJKLMNOPQRSTUVWXYZabcdefghijklmnopqrstuvwxyz .,")))&gt;0)),"Middle Initial, ","")&amp;IF(OR($F390="",LEN($F390)&gt;75),"Address, ","")&amp;IF(OR($H390="",LEN($H390)&gt;30),"City, ","")&amp;IF(AND($K390="US",OR($I390="",LEN($I390)&lt;&gt;2)),"State, ","")&amp;IF($J390="","ZIP, ","")&amp;IF(OR($K390="",AND($K390&lt;&gt;"US",$K390&lt;&gt;"CA")),"Country, ","")&amp;IF(OR($L390="",AND($L390&lt;&gt;"",OR(NOT(ISNUMBER($L390)),$L390&lt;=DATE(1900,1,1),$L390&gt;TODAY()))),"Birthdate, ","")&amp;IF(AND($N390&lt;&gt;"",NOT(IFERROR(AND(ISNUMBER(SEARCH("@",$N390)),ISNUMBER(SEARCH(".",$N390,SEARCH("@",$N390)+2))),FALSE))),"Email, ","")&amp;IF(OR(AND($B390&lt;&gt;"",$O390=""),AND($O390&lt;&gt;"",$O390&lt;&gt;"Spouse or Common Law Spouse",$O390&lt;&gt;"Domestic Partner",$O390&lt;&gt;"Child",$O390&lt;&gt;"Other",$O390&lt;&gt;"Estate",$O390&lt;&gt;"Unknown")),"Dependent Relationship, ","")&amp;IF($AA390&lt;&gt;"","Household, ","")&amp;IF(OR($P390="",AND($P390&lt;&gt;"",OR(NOT(ISNUMBER($P390)),$P390&lt;=DATE(1900,1,1)))),"Eligibility Date, ","")&amp;IF(OR(AND($R390="Terminated",$Q390=""),AND($Q390&lt;&gt;"",OR(NOT(ISNUMBER($Q390)),$Q390&lt;=DATE(1900,1,1))),AND(ISNUMBER($P390),ISNUMBER($Q390),$Q390&lt;$P390)),"Termination Date, ","")&amp;IF(OR($R390="",AND($R390&lt;&gt;"Active",$R390&lt;&gt;"Terminated"),AND('START HERE'!$C$8="Terminations Only",$R390&lt;&gt;"Terminated")),"Status, ","")&amp;IF($S390="","Plan Name, ","")&amp;IF($T390="","Coverage Level, ","")&amp;IF(AND($U390&lt;&gt;"",OR(NOT(ISNUMBER($U390)),$U390&lt;0)),"Funding, ","")&amp;IF(AND($A390&lt;&gt;"",$S390&lt;&gt;"",COUNTIFS($A$2:$A$501,$A390,$B$2:$B$501,$B390,$S$2:$S$501,$S390)&gt;1),"Duplicate Row, ",""))</f>
        <v/>
      </c>
      <c r="AF390">
        <f>IF(COUNTA($A390:$U390)=0,"",$Y390&amp;$Z390&amp;$AA390&amp;$AB390&amp;$AC390)</f>
        <v/>
      </c>
      <c r="AG390">
        <f>IF($N390="","",LOWER(TRIM($N390)))</f>
        <v/>
      </c>
      <c r="AH390">
        <f>IF($A390="","",COUNTIFS($A$2:$A$501,$A390,$AI$2:$AI$501,1))</f>
        <v/>
      </c>
      <c r="AI390">
        <f>IF(COUNTA($A390:$U390)=0,"",--($AF390&lt;&gt;""))</f>
        <v/>
      </c>
      <c r="AJ390">
        <f>IF(COUNTA($A390:$U390)=0,"",--($AD390&lt;&gt;""))</f>
        <v/>
      </c>
    </row>
    <row r="391" ht="20" customHeight="1">
      <c r="A391" s="80" t="n"/>
      <c r="B391" s="80" t="n"/>
      <c r="C391" s="81" t="n"/>
      <c r="D391" s="81" t="n"/>
      <c r="E391" s="80" t="n"/>
      <c r="F391" s="81" t="n"/>
      <c r="G391" s="81" t="n"/>
      <c r="H391" s="81" t="n"/>
      <c r="I391" s="80" t="n"/>
      <c r="J391" s="80" t="n"/>
      <c r="K391" s="80" t="n"/>
      <c r="L391" s="82" t="n"/>
      <c r="M391" s="80" t="n"/>
      <c r="N391" s="80" t="n"/>
      <c r="O391" s="80" t="n"/>
      <c r="P391" s="82" t="n"/>
      <c r="Q391" s="82" t="n"/>
      <c r="R391" s="80" t="n"/>
      <c r="S391" s="80" t="n"/>
      <c r="T391" s="80" t="n"/>
      <c r="U391" s="83" t="n"/>
      <c r="V391">
        <f>IF($A391="","",IF($A391=$A390,$V390,IF($V390="",0,1-$V390)))</f>
        <v/>
      </c>
      <c r="W391">
        <f>IF($B391&lt;&gt;"",$B391,$A391)</f>
        <v/>
      </c>
      <c r="X391">
        <f>IF(COUNTA($A391:$U391)=0,"",IF(OR($B391&lt;&gt;"",$O391&lt;&gt;""),"Dependent","Employee"))</f>
        <v/>
      </c>
      <c r="Y391">
        <f>IF(COUNTA($A391:$U391)=0,"",IF($A391="","Employee SSN is required; ","")&amp;IF($C391="","First Name is required; ","")&amp;IF(LEN($C391&amp;"")&gt;19,"First Name exceeds 19 characters; ","")&amp;IF(AND($C391&lt;&gt;"",SUMPRODUCT(--(ROW($1:$19)&lt;=LEN($C391&amp;"")),--ISERROR(FIND(MID($C391&amp;"",ROW($1:$19),1),"ABCDEFGHIJKLMNOPQRSTUVWXYZabcdefghijklmnopqrstuvwxyz .,")))&gt;0),"First Name contains unsupported or encoded characters; use plain A-Z letters only; ","")&amp;IF($D391="","Last Name is required; ","")&amp;IF(LEN($D391&amp;"")&gt;26,"Last Name exceeds 26 characters; ","")&amp;IF(AND($D391&lt;&gt;"",SUMPRODUCT(--(ROW($1:$26)&lt;=LEN($D391&amp;"")),--ISERROR(FIND(MID($D391&amp;"",ROW($1:$26),1),"ABCDEFGHIJKLMNOPQRSTUVWXYZabcdefghijklmnopqrstuvwxyz .,")))&gt;0),"Last Name contains unsupported or encoded characters; use plain A-Z letters only; ","")&amp;IF(LEN($E391&amp;"")&gt;1,"Middle Initial may contain only one character; ","")&amp;IF(AND($E391&lt;&gt;"",SUMPRODUCT(--(ROW($1:$1)&lt;=LEN($E391&amp;"")),--ISERROR(FIND(MID($E391&amp;"",ROW($1:$1),1),"ABCDEFGHIJKLMNOPQRSTUVWXYZabcdefghijklmnopqrstuvwxyz .,")))&gt;0),"Middle Initial must be a plain A-Z letter; ","")&amp;IF($F391="","Address is required; ","")&amp;IF(LEN($F391&amp;"")&gt;75,"Address exceeds 75 characters; ","")&amp;IF(LEN($G391&amp;"")&gt;75,"Address 2 exceeds 75 characters; ","")&amp;IF($H391="","City is required; ","")&amp;IF(LEN($H391&amp;"")&gt;30,"City exceeds 30 characters; ","")&amp;IF($K391="","Country is required; ","")&amp;IF(AND($K391&lt;&gt;"",$K391&lt;&gt;"US",$K391&lt;&gt;"CA"),"Country must be US or CA; ","")&amp;IF(AND($K391="US",OR($I391="",LEN($I391&amp;"")&lt;&gt;2)),"Use a 2-letter state code; ","")&amp;IF($J391="","ZIP or postal code is required; ","")&amp;IF(AND($K391="US",$J391&lt;&gt;"",NOT(IFERROR(OR(AND(LEN($J391&amp;"")=5,ISNUMBER(--($J391&amp;""))),AND(LEN($J391&amp;"")=9,ISNUMBER(--($J391&amp;""))),AND(LEN($J391&amp;"")=10,MID($J391&amp;"",6,1)="-",ISNUMBER(--SUBSTITUTE($J391&amp;"","-","")))),FALSE))),"US ZIP must be 5 or 9 digits, with an optional ZIP+4 hyphen; ","")&amp;IF(AND($N391&lt;&gt;"",NOT(IFERROR(AND(ISNUMBER(SEARCH("@",$N391)),ISNUMBER(SEARCH(".",$N391,SEARCH("@",$N391)+2))),FALSE))),"Email format appears invalid; ","")&amp;IF(AND($O391&lt;&gt;"",$B391=""),"Dependent SSN is required for every dependent; ","")&amp;IF(AND($B391&lt;&gt;"",$O391=""),"Dependent Relationship is required when Dependent SSN is entered; ","")&amp;IF(AND($O391&lt;&gt;"",$O391&lt;&gt;"Spouse or Common Law Spouse",$O391&lt;&gt;"Domestic Partner",$O391&lt;&gt;"Child",$O391&lt;&gt;"Other",$O391&lt;&gt;"Estate",$O391&lt;&gt;"Unknown"),"Dependent Relationship must use one of the approved options; ",""))</f>
        <v/>
      </c>
      <c r="Z391">
        <f>IF(COUNTA($A391:$U391)=0,"",IF(AND($A391&lt;&gt;"",NOT(IFERROR(AND(LEN($A391&amp;"")=9,ISNUMBER(--($A391&amp;""))),FALSE))),"Employee SSN must contain exactly 9 digits; ","")&amp;IF(AND($A391&lt;&gt;"",OR($A391="123456789",$A391="987654321",$A391="012345678",$A391=REPT(LEFT($A391&amp;"",1),9))),"Employee SSN appears to be a placeholder; ","")&amp;IF(AND($B391&lt;&gt;"",NOT(IFERROR(AND(LEN($B391&amp;"")=9,ISNUMBER(--($B391&amp;""))),FALSE))),"Dependent SSN must contain exactly 9 digits; ","")&amp;IF(AND($B391&lt;&gt;"",OR($B391="123456789",$B391="987654321",$B391="012345678",$B391=REPT(LEFT($B391&amp;"",1),9))),"Dependent SSN appears to be a placeholder; ","")&amp;IF(AND($A391&lt;&gt;"",$B391&lt;&gt;"",$A391&amp;""=$B391&amp;""),"Dependent SSN cannot match Employee SSN; ","")&amp;IF(AND($W391&lt;&gt;"",OR(COUNTIFS($W$2:$W$501,$W391,$C$2:$C$501,"&lt;&gt;"&amp;$C391)&gt;0,COUNTIFS($W$2:$W$501,$W391,$D$2:$D$501,"&lt;&gt;"&amp;$D391)&gt;0,COUNTIFS($W$2:$W$501,$W391,$L$2:$L$501,"&lt;&gt;"&amp;$L391)&gt;0)),"The same SSN is associated with a different name or birthdate; ",""))</f>
        <v/>
      </c>
      <c r="AA391">
        <f>IF(COUNTA($A391:$U391)=0,"",IF(AND($A391&lt;&gt;"",$S391&lt;&gt;"",COUNTIFS($A$2:$A$501,$A391,$S$2:$S$501,$S391,$B$2:$B$501,"",$O$2:$O$501,"")=0),"Add an employee row for this household and plan; ","")&amp;IF(AND($X391="Dependent",COUNTIFS($A$2:$A391,$A391,$S$2:$S391,$S391,$B$2:$B391,"",$O$2:$O391,"")=0),"Place the employee row before dependent rows for this plan; ","")&amp;IF(AND($X391="Dependent",COUNTIFS($A$2:$A$501,$A391,$S$2:$S$501,$S391,$B$2:$B$501,"",$O$2:$O$501,"")&gt;0,IFERROR(OR($P391&lt;&gt;LOOKUP(2,1/(($A$2:$A$501=$A391)*($S$2:$S$501=$S391)*($B$2:$B$501="")*($O$2:$O$501="")),$P$2:$P$501),$Q391&lt;&gt;LOOKUP(2,1/(($A$2:$A$501=$A391)*($S$2:$S$501=$S391)*($B$2:$B$501="")*($O$2:$O$501="")),$Q$2:$Q$501),$R391&lt;&gt;LOOKUP(2,1/(($A$2:$A$501=$A391)*($S$2:$S$501=$S391)*($B$2:$B$501="")*($O$2:$O$501="")),$R$2:$R$501),$T391&lt;&gt;LOOKUP(2,1/(($A$2:$A$501=$A391)*($S$2:$S$501=$S391)*($B$2:$B$501="")*($O$2:$O$501="")),$T$2:$T$501),$U391&lt;&gt;LOOKUP(2,1/(($A$2:$A$501=$A391)*($S$2:$S$501=$S391)*($B$2:$B$501="")*($O$2:$O$501="")),$U$2:$U$501)),FALSE)),"Dependent row does not match the employee row for eligibility, status, coverage level, or funding; ",""))</f>
        <v/>
      </c>
      <c r="AB391">
        <f>IF(COUNTA($A391:$U391)=0,"",IF($L391="","Birthdate is required; ","")&amp;IF(AND($L391&lt;&gt;"",OR(NOT(ISNUMBER($L391)),$L391&lt;=DATE(1900,1,1),$L391&gt;TODAY())),"Birthdate must be an exact valid past date; ","")&amp;IF($P391="","Eligibility Date is required; ","")&amp;IF(AND($P391&lt;&gt;"",OR(NOT(ISNUMBER($P391)),$P391&lt;=DATE(1900,1,1))),"Eligibility Date must be a valid date; ","")&amp;IF(AND($R391="Terminated",$Q391=""),"Termination Date is required when Status is Terminated; ","")&amp;IF(AND($Q391&lt;&gt;"",OR(NOT(ISNUMBER($Q391)),$Q391&lt;=DATE(1900,1,1))),"Termination Date must be a valid date; ","")&amp;IF(AND(ISNUMBER($P391),ISNUMBER($Q391),$Q391&lt;$P391),"Termination Date cannot be before Eligibility Date; ","")&amp;IF($R391="","Status is required; ","")&amp;IF(AND($R391&lt;&gt;"",$R391&lt;&gt;"Active",$R391&lt;&gt;"Terminated"),"Status must be Active or Terminated; ","")&amp;IF(AND('START HERE'!$C$8="Terminations Only",$R391&lt;&gt;"Terminated"),"Terminations Only files must contain terminated records; ",""))</f>
        <v/>
      </c>
      <c r="AC391">
        <f>IF(COUNTA($A391:$U391)=0,"",IF($S391="","Plan Name is required; ","")&amp;IF($T391="","Benefit Coverage Level is required; ","")&amp;IF(AND($U391&lt;&gt;"",OR(NOT(ISNUMBER($U391)),$U391&lt;0)),"Plan Funding Amount must be a nonnegative number; ","")&amp;IF(AND($A391&lt;&gt;"",$S391&lt;&gt;"",COUNTIFS($A$2:$A$501,$A391,$B$2:$B$501,$B391,$S$2:$S$501,$S391)&gt;1),"Duplicate participant and plan row; ",""))</f>
        <v/>
      </c>
      <c r="AD391">
        <f>IF(COUNTA($A391:$U391)=0,"",IF(AND($X391="Employee",$M391="",$N391=""),"No employee phone or email provided; ","")&amp;IF(AND($R391="Active",$Q391&lt;&gt;""),"Active record includes a Termination Date; confirm this is intentional; ","")&amp;IF(AND($B391&lt;&gt;"",$B391&amp;""&lt;&gt;$A391&amp;"",COUNTIF($A$2:$A$501,$B391)&gt;0),"Dependent SSN also appears as an Employee SSN elsewhere; confirm dual-employee coverage is intentional; ","")&amp;IF(AND($B391&lt;&gt;"",COUNTIF($B$2:$B$501,$B391)&gt;COUNTIFS($A$2:$A$501,$A391,$B$2:$B$501,$B391)),"Dependent SSN appears under more than one employee; confirm duplicate family coverage is intentional; ","")&amp;IF(AND(ROW()&gt;2,$A391&lt;&gt;"",$A391&lt;&gt;$A390,COUNTIF($A$2:$A390,$A391)&gt;0),"This household appears in more than one section of the census; keep the family together; ","")&amp;IF(OR(AND($C391&lt;&gt;"",LEN($C391&amp;"")&lt;&gt;LEN(TRIM($C391&amp;""))),AND($D391&lt;&gt;"",LEN($D391&amp;"")&lt;&gt;LEN(TRIM($D391&amp;""))),AND($E391&lt;&gt;"",LEN($E391&amp;"")&lt;&gt;LEN(TRIM($E391&amp;""))),AND($F391&lt;&gt;"",LEN($F391&amp;"")&lt;&gt;LEN(TRIM($F391&amp;""))),AND($G391&lt;&gt;"",LEN($G391&amp;"")&lt;&gt;LEN(TRIM($G391&amp;""))),AND($H391&lt;&gt;"",LEN($H391&amp;"")&lt;&gt;LEN(TRIM($H391&amp;""))),AND($I391&lt;&gt;"",LEN($I391&amp;"")&lt;&gt;LEN(TRIM($I391&amp;""))),AND($J391&lt;&gt;"",LEN($J391&amp;"")&lt;&gt;LEN(TRIM($J391&amp;""))),AND($K391&lt;&gt;"",LEN($K391&amp;"")&lt;&gt;LEN(TRIM($K391&amp;""))),AND($M391&lt;&gt;"",LEN($M391&amp;"")&lt;&gt;LEN(TRIM($M391&amp;""))),AND($N391&lt;&gt;"",LEN($N391&amp;"")&lt;&gt;LEN(TRIM($N391&amp;""))),AND($O391&lt;&gt;"",LEN($O391&amp;"")&lt;&gt;LEN(TRIM($O391&amp;""))),AND($R391&lt;&gt;"",LEN($R391&amp;"")&lt;&gt;LEN(TRIM($R391&amp;""))),AND($S391&lt;&gt;"",LEN($S391&amp;"")&lt;&gt;LEN(TRIM($S391&amp;""))),AND($T391&lt;&gt;"",LEN($T391&amp;"")&lt;&gt;LEN(TRIM($T391&amp;"")))),"Remove leading or trailing spaces from text fields; ","")&amp;IF(OR(AND(LEN($C391)&gt;1,OR(EXACT($C391,UPPER($C391)),EXACT($C391,LOWER($C391)))),AND(LEN($D391)&gt;1,OR(EXACT($D391,UPPER($D391)),EXACT($D391,LOWER($D391)))),AND(LEN($H391)&gt;1,OR(EXACT($H391,UPPER($H391)),EXACT($H391,LOWER($H391))))),"Review capitalization in First Name, Last Name, or City; ","")&amp;IF(AND($N391&lt;&gt;"",NOT(EXACT($N391,LOWER($N391)))),"Email will be standardized to lowercase in the clean output; ","")&amp;IF(AND(OR('START HERE'!$C$8="Initial Enrollment",'START HERE'!$C$8="Open Enrollment"),$R391="Terminated"),"A terminated row is included in an initial or open enrollment file; confirm this is intentional; ",""))</f>
        <v/>
      </c>
      <c r="AE391">
        <f>IF(COUNTA($A391:$U391)=0,"",IF(OR($A391="",AND($A391&lt;&gt;"",NOT(IFERROR(AND(LEN($A391&amp;"")=9,ISNUMBER(--($A391&amp;""))),FALSE))),AND($A391&lt;&gt;"",OR($A391="123456789",$A391="987654321",$A391="012345678",$A391=REPT(LEFT($A391&amp;"",1),9)))),"Employee SSN, ","")&amp;IF(OR(AND($O391&lt;&gt;"",$B391=""),AND($B391&lt;&gt;"",OR(NOT(IFERROR(AND(LEN($B391&amp;"")=9,ISNUMBER(--($B391&amp;""))),FALSE)),$B391=$A391,$B391="123456789",$B391="987654321",$B391="012345678",$B391=REPT(LEFT($B391&amp;"",1),9)))),"Dependent SSN, ","")&amp;IF(OR($C391="",LEN($C391)&gt;19,AND($C391&lt;&gt;"",SUMPRODUCT(--(ROW($1:$19)&lt;=LEN($C391&amp;"")),--ISERROR(FIND(MID($C391&amp;"",ROW($1:$19),1),"ABCDEFGHIJKLMNOPQRSTUVWXYZabcdefghijklmnopqrstuvwxyz .,")))&gt;0)),"First Name, ","")&amp;IF(OR($D391="",LEN($D391)&gt;26,AND($D391&lt;&gt;"",SUMPRODUCT(--(ROW($1:$26)&lt;=LEN($D391&amp;"")),--ISERROR(FIND(MID($D391&amp;"",ROW($1:$26),1),"ABCDEFGHIJKLMNOPQRSTUVWXYZabcdefghijklmnopqrstuvwxyz .,")))&gt;0)),"Last Name, ","")&amp;IF(OR(LEN($E391)&gt;1,AND($E391&lt;&gt;"",SUMPRODUCT(--(ROW($1:$1)&lt;=LEN($E391&amp;"")),--ISERROR(FIND(MID($E391&amp;"",ROW($1:$1),1),"ABCDEFGHIJKLMNOPQRSTUVWXYZabcdefghijklmnopqrstuvwxyz .,")))&gt;0)),"Middle Initial, ","")&amp;IF(OR($F391="",LEN($F391)&gt;75),"Address, ","")&amp;IF(OR($H391="",LEN($H391)&gt;30),"City, ","")&amp;IF(AND($K391="US",OR($I391="",LEN($I391)&lt;&gt;2)),"State, ","")&amp;IF($J391="","ZIP, ","")&amp;IF(OR($K391="",AND($K391&lt;&gt;"US",$K391&lt;&gt;"CA")),"Country, ","")&amp;IF(OR($L391="",AND($L391&lt;&gt;"",OR(NOT(ISNUMBER($L391)),$L391&lt;=DATE(1900,1,1),$L391&gt;TODAY()))),"Birthdate, ","")&amp;IF(AND($N391&lt;&gt;"",NOT(IFERROR(AND(ISNUMBER(SEARCH("@",$N391)),ISNUMBER(SEARCH(".",$N391,SEARCH("@",$N391)+2))),FALSE))),"Email, ","")&amp;IF(OR(AND($B391&lt;&gt;"",$O391=""),AND($O391&lt;&gt;"",$O391&lt;&gt;"Spouse or Common Law Spouse",$O391&lt;&gt;"Domestic Partner",$O391&lt;&gt;"Child",$O391&lt;&gt;"Other",$O391&lt;&gt;"Estate",$O391&lt;&gt;"Unknown")),"Dependent Relationship, ","")&amp;IF($AA391&lt;&gt;"","Household, ","")&amp;IF(OR($P391="",AND($P391&lt;&gt;"",OR(NOT(ISNUMBER($P391)),$P391&lt;=DATE(1900,1,1)))),"Eligibility Date, ","")&amp;IF(OR(AND($R391="Terminated",$Q391=""),AND($Q391&lt;&gt;"",OR(NOT(ISNUMBER($Q391)),$Q391&lt;=DATE(1900,1,1))),AND(ISNUMBER($P391),ISNUMBER($Q391),$Q391&lt;$P391)),"Termination Date, ","")&amp;IF(OR($R391="",AND($R391&lt;&gt;"Active",$R391&lt;&gt;"Terminated"),AND('START HERE'!$C$8="Terminations Only",$R391&lt;&gt;"Terminated")),"Status, ","")&amp;IF($S391="","Plan Name, ","")&amp;IF($T391="","Coverage Level, ","")&amp;IF(AND($U391&lt;&gt;"",OR(NOT(ISNUMBER($U391)),$U391&lt;0)),"Funding, ","")&amp;IF(AND($A391&lt;&gt;"",$S391&lt;&gt;"",COUNTIFS($A$2:$A$501,$A391,$B$2:$B$501,$B391,$S$2:$S$501,$S391)&gt;1),"Duplicate Row, ",""))</f>
        <v/>
      </c>
      <c r="AF391">
        <f>IF(COUNTA($A391:$U391)=0,"",$Y391&amp;$Z391&amp;$AA391&amp;$AB391&amp;$AC391)</f>
        <v/>
      </c>
      <c r="AG391">
        <f>IF($N391="","",LOWER(TRIM($N391)))</f>
        <v/>
      </c>
      <c r="AH391">
        <f>IF($A391="","",COUNTIFS($A$2:$A$501,$A391,$AI$2:$AI$501,1))</f>
        <v/>
      </c>
      <c r="AI391">
        <f>IF(COUNTA($A391:$U391)=0,"",--($AF391&lt;&gt;""))</f>
        <v/>
      </c>
      <c r="AJ391">
        <f>IF(COUNTA($A391:$U391)=0,"",--($AD391&lt;&gt;""))</f>
        <v/>
      </c>
    </row>
    <row r="392" ht="20" customHeight="1">
      <c r="A392" s="80" t="n"/>
      <c r="B392" s="80" t="n"/>
      <c r="C392" s="81" t="n"/>
      <c r="D392" s="81" t="n"/>
      <c r="E392" s="80" t="n"/>
      <c r="F392" s="81" t="n"/>
      <c r="G392" s="81" t="n"/>
      <c r="H392" s="81" t="n"/>
      <c r="I392" s="80" t="n"/>
      <c r="J392" s="80" t="n"/>
      <c r="K392" s="80" t="n"/>
      <c r="L392" s="82" t="n"/>
      <c r="M392" s="80" t="n"/>
      <c r="N392" s="80" t="n"/>
      <c r="O392" s="80" t="n"/>
      <c r="P392" s="82" t="n"/>
      <c r="Q392" s="82" t="n"/>
      <c r="R392" s="80" t="n"/>
      <c r="S392" s="80" t="n"/>
      <c r="T392" s="80" t="n"/>
      <c r="U392" s="83" t="n"/>
      <c r="V392">
        <f>IF($A392="","",IF($A392=$A391,$V391,IF($V391="",0,1-$V391)))</f>
        <v/>
      </c>
      <c r="W392">
        <f>IF($B392&lt;&gt;"",$B392,$A392)</f>
        <v/>
      </c>
      <c r="X392">
        <f>IF(COUNTA($A392:$U392)=0,"",IF(OR($B392&lt;&gt;"",$O392&lt;&gt;""),"Dependent","Employee"))</f>
        <v/>
      </c>
      <c r="Y392">
        <f>IF(COUNTA($A392:$U392)=0,"",IF($A392="","Employee SSN is required; ","")&amp;IF($C392="","First Name is required; ","")&amp;IF(LEN($C392&amp;"")&gt;19,"First Name exceeds 19 characters; ","")&amp;IF(AND($C392&lt;&gt;"",SUMPRODUCT(--(ROW($1:$19)&lt;=LEN($C392&amp;"")),--ISERROR(FIND(MID($C392&amp;"",ROW($1:$19),1),"ABCDEFGHIJKLMNOPQRSTUVWXYZabcdefghijklmnopqrstuvwxyz .,")))&gt;0),"First Name contains unsupported or encoded characters; use plain A-Z letters only; ","")&amp;IF($D392="","Last Name is required; ","")&amp;IF(LEN($D392&amp;"")&gt;26,"Last Name exceeds 26 characters; ","")&amp;IF(AND($D392&lt;&gt;"",SUMPRODUCT(--(ROW($1:$26)&lt;=LEN($D392&amp;"")),--ISERROR(FIND(MID($D392&amp;"",ROW($1:$26),1),"ABCDEFGHIJKLMNOPQRSTUVWXYZabcdefghijklmnopqrstuvwxyz .,")))&gt;0),"Last Name contains unsupported or encoded characters; use plain A-Z letters only; ","")&amp;IF(LEN($E392&amp;"")&gt;1,"Middle Initial may contain only one character; ","")&amp;IF(AND($E392&lt;&gt;"",SUMPRODUCT(--(ROW($1:$1)&lt;=LEN($E392&amp;"")),--ISERROR(FIND(MID($E392&amp;"",ROW($1:$1),1),"ABCDEFGHIJKLMNOPQRSTUVWXYZabcdefghijklmnopqrstuvwxyz .,")))&gt;0),"Middle Initial must be a plain A-Z letter; ","")&amp;IF($F392="","Address is required; ","")&amp;IF(LEN($F392&amp;"")&gt;75,"Address exceeds 75 characters; ","")&amp;IF(LEN($G392&amp;"")&gt;75,"Address 2 exceeds 75 characters; ","")&amp;IF($H392="","City is required; ","")&amp;IF(LEN($H392&amp;"")&gt;30,"City exceeds 30 characters; ","")&amp;IF($K392="","Country is required; ","")&amp;IF(AND($K392&lt;&gt;"",$K392&lt;&gt;"US",$K392&lt;&gt;"CA"),"Country must be US or CA; ","")&amp;IF(AND($K392="US",OR($I392="",LEN($I392&amp;"")&lt;&gt;2)),"Use a 2-letter state code; ","")&amp;IF($J392="","ZIP or postal code is required; ","")&amp;IF(AND($K392="US",$J392&lt;&gt;"",NOT(IFERROR(OR(AND(LEN($J392&amp;"")=5,ISNUMBER(--($J392&amp;""))),AND(LEN($J392&amp;"")=9,ISNUMBER(--($J392&amp;""))),AND(LEN($J392&amp;"")=10,MID($J392&amp;"",6,1)="-",ISNUMBER(--SUBSTITUTE($J392&amp;"","-","")))),FALSE))),"US ZIP must be 5 or 9 digits, with an optional ZIP+4 hyphen; ","")&amp;IF(AND($N392&lt;&gt;"",NOT(IFERROR(AND(ISNUMBER(SEARCH("@",$N392)),ISNUMBER(SEARCH(".",$N392,SEARCH("@",$N392)+2))),FALSE))),"Email format appears invalid; ","")&amp;IF(AND($O392&lt;&gt;"",$B392=""),"Dependent SSN is required for every dependent; ","")&amp;IF(AND($B392&lt;&gt;"",$O392=""),"Dependent Relationship is required when Dependent SSN is entered; ","")&amp;IF(AND($O392&lt;&gt;"",$O392&lt;&gt;"Spouse or Common Law Spouse",$O392&lt;&gt;"Domestic Partner",$O392&lt;&gt;"Child",$O392&lt;&gt;"Other",$O392&lt;&gt;"Estate",$O392&lt;&gt;"Unknown"),"Dependent Relationship must use one of the approved options; ",""))</f>
        <v/>
      </c>
      <c r="Z392">
        <f>IF(COUNTA($A392:$U392)=0,"",IF(AND($A392&lt;&gt;"",NOT(IFERROR(AND(LEN($A392&amp;"")=9,ISNUMBER(--($A392&amp;""))),FALSE))),"Employee SSN must contain exactly 9 digits; ","")&amp;IF(AND($A392&lt;&gt;"",OR($A392="123456789",$A392="987654321",$A392="012345678",$A392=REPT(LEFT($A392&amp;"",1),9))),"Employee SSN appears to be a placeholder; ","")&amp;IF(AND($B392&lt;&gt;"",NOT(IFERROR(AND(LEN($B392&amp;"")=9,ISNUMBER(--($B392&amp;""))),FALSE))),"Dependent SSN must contain exactly 9 digits; ","")&amp;IF(AND($B392&lt;&gt;"",OR($B392="123456789",$B392="987654321",$B392="012345678",$B392=REPT(LEFT($B392&amp;"",1),9))),"Dependent SSN appears to be a placeholder; ","")&amp;IF(AND($A392&lt;&gt;"",$B392&lt;&gt;"",$A392&amp;""=$B392&amp;""),"Dependent SSN cannot match Employee SSN; ","")&amp;IF(AND($W392&lt;&gt;"",OR(COUNTIFS($W$2:$W$501,$W392,$C$2:$C$501,"&lt;&gt;"&amp;$C392)&gt;0,COUNTIFS($W$2:$W$501,$W392,$D$2:$D$501,"&lt;&gt;"&amp;$D392)&gt;0,COUNTIFS($W$2:$W$501,$W392,$L$2:$L$501,"&lt;&gt;"&amp;$L392)&gt;0)),"The same SSN is associated with a different name or birthdate; ",""))</f>
        <v/>
      </c>
      <c r="AA392">
        <f>IF(COUNTA($A392:$U392)=0,"",IF(AND($A392&lt;&gt;"",$S392&lt;&gt;"",COUNTIFS($A$2:$A$501,$A392,$S$2:$S$501,$S392,$B$2:$B$501,"",$O$2:$O$501,"")=0),"Add an employee row for this household and plan; ","")&amp;IF(AND($X392="Dependent",COUNTIFS($A$2:$A392,$A392,$S$2:$S392,$S392,$B$2:$B392,"",$O$2:$O392,"")=0),"Place the employee row before dependent rows for this plan; ","")&amp;IF(AND($X392="Dependent",COUNTIFS($A$2:$A$501,$A392,$S$2:$S$501,$S392,$B$2:$B$501,"",$O$2:$O$501,"")&gt;0,IFERROR(OR($P392&lt;&gt;LOOKUP(2,1/(($A$2:$A$501=$A392)*($S$2:$S$501=$S392)*($B$2:$B$501="")*($O$2:$O$501="")),$P$2:$P$501),$Q392&lt;&gt;LOOKUP(2,1/(($A$2:$A$501=$A392)*($S$2:$S$501=$S392)*($B$2:$B$501="")*($O$2:$O$501="")),$Q$2:$Q$501),$R392&lt;&gt;LOOKUP(2,1/(($A$2:$A$501=$A392)*($S$2:$S$501=$S392)*($B$2:$B$501="")*($O$2:$O$501="")),$R$2:$R$501),$T392&lt;&gt;LOOKUP(2,1/(($A$2:$A$501=$A392)*($S$2:$S$501=$S392)*($B$2:$B$501="")*($O$2:$O$501="")),$T$2:$T$501),$U392&lt;&gt;LOOKUP(2,1/(($A$2:$A$501=$A392)*($S$2:$S$501=$S392)*($B$2:$B$501="")*($O$2:$O$501="")),$U$2:$U$501)),FALSE)),"Dependent row does not match the employee row for eligibility, status, coverage level, or funding; ",""))</f>
        <v/>
      </c>
      <c r="AB392">
        <f>IF(COUNTA($A392:$U392)=0,"",IF($L392="","Birthdate is required; ","")&amp;IF(AND($L392&lt;&gt;"",OR(NOT(ISNUMBER($L392)),$L392&lt;=DATE(1900,1,1),$L392&gt;TODAY())),"Birthdate must be an exact valid past date; ","")&amp;IF($P392="","Eligibility Date is required; ","")&amp;IF(AND($P392&lt;&gt;"",OR(NOT(ISNUMBER($P392)),$P392&lt;=DATE(1900,1,1))),"Eligibility Date must be a valid date; ","")&amp;IF(AND($R392="Terminated",$Q392=""),"Termination Date is required when Status is Terminated; ","")&amp;IF(AND($Q392&lt;&gt;"",OR(NOT(ISNUMBER($Q392)),$Q392&lt;=DATE(1900,1,1))),"Termination Date must be a valid date; ","")&amp;IF(AND(ISNUMBER($P392),ISNUMBER($Q392),$Q392&lt;$P392),"Termination Date cannot be before Eligibility Date; ","")&amp;IF($R392="","Status is required; ","")&amp;IF(AND($R392&lt;&gt;"",$R392&lt;&gt;"Active",$R392&lt;&gt;"Terminated"),"Status must be Active or Terminated; ","")&amp;IF(AND('START HERE'!$C$8="Terminations Only",$R392&lt;&gt;"Terminated"),"Terminations Only files must contain terminated records; ",""))</f>
        <v/>
      </c>
      <c r="AC392">
        <f>IF(COUNTA($A392:$U392)=0,"",IF($S392="","Plan Name is required; ","")&amp;IF($T392="","Benefit Coverage Level is required; ","")&amp;IF(AND($U392&lt;&gt;"",OR(NOT(ISNUMBER($U392)),$U392&lt;0)),"Plan Funding Amount must be a nonnegative number; ","")&amp;IF(AND($A392&lt;&gt;"",$S392&lt;&gt;"",COUNTIFS($A$2:$A$501,$A392,$B$2:$B$501,$B392,$S$2:$S$501,$S392)&gt;1),"Duplicate participant and plan row; ",""))</f>
        <v/>
      </c>
      <c r="AD392">
        <f>IF(COUNTA($A392:$U392)=0,"",IF(AND($X392="Employee",$M392="",$N392=""),"No employee phone or email provided; ","")&amp;IF(AND($R392="Active",$Q392&lt;&gt;""),"Active record includes a Termination Date; confirm this is intentional; ","")&amp;IF(AND($B392&lt;&gt;"",$B392&amp;""&lt;&gt;$A392&amp;"",COUNTIF($A$2:$A$501,$B392)&gt;0),"Dependent SSN also appears as an Employee SSN elsewhere; confirm dual-employee coverage is intentional; ","")&amp;IF(AND($B392&lt;&gt;"",COUNTIF($B$2:$B$501,$B392)&gt;COUNTIFS($A$2:$A$501,$A392,$B$2:$B$501,$B392)),"Dependent SSN appears under more than one employee; confirm duplicate family coverage is intentional; ","")&amp;IF(AND(ROW()&gt;2,$A392&lt;&gt;"",$A392&lt;&gt;$A391,COUNTIF($A$2:$A391,$A392)&gt;0),"This household appears in more than one section of the census; keep the family together; ","")&amp;IF(OR(AND($C392&lt;&gt;"",LEN($C392&amp;"")&lt;&gt;LEN(TRIM($C392&amp;""))),AND($D392&lt;&gt;"",LEN($D392&amp;"")&lt;&gt;LEN(TRIM($D392&amp;""))),AND($E392&lt;&gt;"",LEN($E392&amp;"")&lt;&gt;LEN(TRIM($E392&amp;""))),AND($F392&lt;&gt;"",LEN($F392&amp;"")&lt;&gt;LEN(TRIM($F392&amp;""))),AND($G392&lt;&gt;"",LEN($G392&amp;"")&lt;&gt;LEN(TRIM($G392&amp;""))),AND($H392&lt;&gt;"",LEN($H392&amp;"")&lt;&gt;LEN(TRIM($H392&amp;""))),AND($I392&lt;&gt;"",LEN($I392&amp;"")&lt;&gt;LEN(TRIM($I392&amp;""))),AND($J392&lt;&gt;"",LEN($J392&amp;"")&lt;&gt;LEN(TRIM($J392&amp;""))),AND($K392&lt;&gt;"",LEN($K392&amp;"")&lt;&gt;LEN(TRIM($K392&amp;""))),AND($M392&lt;&gt;"",LEN($M392&amp;"")&lt;&gt;LEN(TRIM($M392&amp;""))),AND($N392&lt;&gt;"",LEN($N392&amp;"")&lt;&gt;LEN(TRIM($N392&amp;""))),AND($O392&lt;&gt;"",LEN($O392&amp;"")&lt;&gt;LEN(TRIM($O392&amp;""))),AND($R392&lt;&gt;"",LEN($R392&amp;"")&lt;&gt;LEN(TRIM($R392&amp;""))),AND($S392&lt;&gt;"",LEN($S392&amp;"")&lt;&gt;LEN(TRIM($S392&amp;""))),AND($T392&lt;&gt;"",LEN($T392&amp;"")&lt;&gt;LEN(TRIM($T392&amp;"")))),"Remove leading or trailing spaces from text fields; ","")&amp;IF(OR(AND(LEN($C392)&gt;1,OR(EXACT($C392,UPPER($C392)),EXACT($C392,LOWER($C392)))),AND(LEN($D392)&gt;1,OR(EXACT($D392,UPPER($D392)),EXACT($D392,LOWER($D392)))),AND(LEN($H392)&gt;1,OR(EXACT($H392,UPPER($H392)),EXACT($H392,LOWER($H392))))),"Review capitalization in First Name, Last Name, or City; ","")&amp;IF(AND($N392&lt;&gt;"",NOT(EXACT($N392,LOWER($N392)))),"Email will be standardized to lowercase in the clean output; ","")&amp;IF(AND(OR('START HERE'!$C$8="Initial Enrollment",'START HERE'!$C$8="Open Enrollment"),$R392="Terminated"),"A terminated row is included in an initial or open enrollment file; confirm this is intentional; ",""))</f>
        <v/>
      </c>
      <c r="AE392">
        <f>IF(COUNTA($A392:$U392)=0,"",IF(OR($A392="",AND($A392&lt;&gt;"",NOT(IFERROR(AND(LEN($A392&amp;"")=9,ISNUMBER(--($A392&amp;""))),FALSE))),AND($A392&lt;&gt;"",OR($A392="123456789",$A392="987654321",$A392="012345678",$A392=REPT(LEFT($A392&amp;"",1),9)))),"Employee SSN, ","")&amp;IF(OR(AND($O392&lt;&gt;"",$B392=""),AND($B392&lt;&gt;"",OR(NOT(IFERROR(AND(LEN($B392&amp;"")=9,ISNUMBER(--($B392&amp;""))),FALSE)),$B392=$A392,$B392="123456789",$B392="987654321",$B392="012345678",$B392=REPT(LEFT($B392&amp;"",1),9)))),"Dependent SSN, ","")&amp;IF(OR($C392="",LEN($C392)&gt;19,AND($C392&lt;&gt;"",SUMPRODUCT(--(ROW($1:$19)&lt;=LEN($C392&amp;"")),--ISERROR(FIND(MID($C392&amp;"",ROW($1:$19),1),"ABCDEFGHIJKLMNOPQRSTUVWXYZabcdefghijklmnopqrstuvwxyz .,")))&gt;0)),"First Name, ","")&amp;IF(OR($D392="",LEN($D392)&gt;26,AND($D392&lt;&gt;"",SUMPRODUCT(--(ROW($1:$26)&lt;=LEN($D392&amp;"")),--ISERROR(FIND(MID($D392&amp;"",ROW($1:$26),1),"ABCDEFGHIJKLMNOPQRSTUVWXYZabcdefghijklmnopqrstuvwxyz .,")))&gt;0)),"Last Name, ","")&amp;IF(OR(LEN($E392)&gt;1,AND($E392&lt;&gt;"",SUMPRODUCT(--(ROW($1:$1)&lt;=LEN($E392&amp;"")),--ISERROR(FIND(MID($E392&amp;"",ROW($1:$1),1),"ABCDEFGHIJKLMNOPQRSTUVWXYZabcdefghijklmnopqrstuvwxyz .,")))&gt;0)),"Middle Initial, ","")&amp;IF(OR($F392="",LEN($F392)&gt;75),"Address, ","")&amp;IF(OR($H392="",LEN($H392)&gt;30),"City, ","")&amp;IF(AND($K392="US",OR($I392="",LEN($I392)&lt;&gt;2)),"State, ","")&amp;IF($J392="","ZIP, ","")&amp;IF(OR($K392="",AND($K392&lt;&gt;"US",$K392&lt;&gt;"CA")),"Country, ","")&amp;IF(OR($L392="",AND($L392&lt;&gt;"",OR(NOT(ISNUMBER($L392)),$L392&lt;=DATE(1900,1,1),$L392&gt;TODAY()))),"Birthdate, ","")&amp;IF(AND($N392&lt;&gt;"",NOT(IFERROR(AND(ISNUMBER(SEARCH("@",$N392)),ISNUMBER(SEARCH(".",$N392,SEARCH("@",$N392)+2))),FALSE))),"Email, ","")&amp;IF(OR(AND($B392&lt;&gt;"",$O392=""),AND($O392&lt;&gt;"",$O392&lt;&gt;"Spouse or Common Law Spouse",$O392&lt;&gt;"Domestic Partner",$O392&lt;&gt;"Child",$O392&lt;&gt;"Other",$O392&lt;&gt;"Estate",$O392&lt;&gt;"Unknown")),"Dependent Relationship, ","")&amp;IF($AA392&lt;&gt;"","Household, ","")&amp;IF(OR($P392="",AND($P392&lt;&gt;"",OR(NOT(ISNUMBER($P392)),$P392&lt;=DATE(1900,1,1)))),"Eligibility Date, ","")&amp;IF(OR(AND($R392="Terminated",$Q392=""),AND($Q392&lt;&gt;"",OR(NOT(ISNUMBER($Q392)),$Q392&lt;=DATE(1900,1,1))),AND(ISNUMBER($P392),ISNUMBER($Q392),$Q392&lt;$P392)),"Termination Date, ","")&amp;IF(OR($R392="",AND($R392&lt;&gt;"Active",$R392&lt;&gt;"Terminated"),AND('START HERE'!$C$8="Terminations Only",$R392&lt;&gt;"Terminated")),"Status, ","")&amp;IF($S392="","Plan Name, ","")&amp;IF($T392="","Coverage Level, ","")&amp;IF(AND($U392&lt;&gt;"",OR(NOT(ISNUMBER($U392)),$U392&lt;0)),"Funding, ","")&amp;IF(AND($A392&lt;&gt;"",$S392&lt;&gt;"",COUNTIFS($A$2:$A$501,$A392,$B$2:$B$501,$B392,$S$2:$S$501,$S392)&gt;1),"Duplicate Row, ",""))</f>
        <v/>
      </c>
      <c r="AF392">
        <f>IF(COUNTA($A392:$U392)=0,"",$Y392&amp;$Z392&amp;$AA392&amp;$AB392&amp;$AC392)</f>
        <v/>
      </c>
      <c r="AG392">
        <f>IF($N392="","",LOWER(TRIM($N392)))</f>
        <v/>
      </c>
      <c r="AH392">
        <f>IF($A392="","",COUNTIFS($A$2:$A$501,$A392,$AI$2:$AI$501,1))</f>
        <v/>
      </c>
      <c r="AI392">
        <f>IF(COUNTA($A392:$U392)=0,"",--($AF392&lt;&gt;""))</f>
        <v/>
      </c>
      <c r="AJ392">
        <f>IF(COUNTA($A392:$U392)=0,"",--($AD392&lt;&gt;""))</f>
        <v/>
      </c>
    </row>
    <row r="393" ht="20" customHeight="1">
      <c r="A393" s="80" t="n"/>
      <c r="B393" s="80" t="n"/>
      <c r="C393" s="81" t="n"/>
      <c r="D393" s="81" t="n"/>
      <c r="E393" s="80" t="n"/>
      <c r="F393" s="81" t="n"/>
      <c r="G393" s="81" t="n"/>
      <c r="H393" s="81" t="n"/>
      <c r="I393" s="80" t="n"/>
      <c r="J393" s="80" t="n"/>
      <c r="K393" s="80" t="n"/>
      <c r="L393" s="82" t="n"/>
      <c r="M393" s="80" t="n"/>
      <c r="N393" s="80" t="n"/>
      <c r="O393" s="80" t="n"/>
      <c r="P393" s="82" t="n"/>
      <c r="Q393" s="82" t="n"/>
      <c r="R393" s="80" t="n"/>
      <c r="S393" s="80" t="n"/>
      <c r="T393" s="80" t="n"/>
      <c r="U393" s="83" t="n"/>
      <c r="V393">
        <f>IF($A393="","",IF($A393=$A392,$V392,IF($V392="",0,1-$V392)))</f>
        <v/>
      </c>
      <c r="W393">
        <f>IF($B393&lt;&gt;"",$B393,$A393)</f>
        <v/>
      </c>
      <c r="X393">
        <f>IF(COUNTA($A393:$U393)=0,"",IF(OR($B393&lt;&gt;"",$O393&lt;&gt;""),"Dependent","Employee"))</f>
        <v/>
      </c>
      <c r="Y393">
        <f>IF(COUNTA($A393:$U393)=0,"",IF($A393="","Employee SSN is required; ","")&amp;IF($C393="","First Name is required; ","")&amp;IF(LEN($C393&amp;"")&gt;19,"First Name exceeds 19 characters; ","")&amp;IF(AND($C393&lt;&gt;"",SUMPRODUCT(--(ROW($1:$19)&lt;=LEN($C393&amp;"")),--ISERROR(FIND(MID($C393&amp;"",ROW($1:$19),1),"ABCDEFGHIJKLMNOPQRSTUVWXYZabcdefghijklmnopqrstuvwxyz .,")))&gt;0),"First Name contains unsupported or encoded characters; use plain A-Z letters only; ","")&amp;IF($D393="","Last Name is required; ","")&amp;IF(LEN($D393&amp;"")&gt;26,"Last Name exceeds 26 characters; ","")&amp;IF(AND($D393&lt;&gt;"",SUMPRODUCT(--(ROW($1:$26)&lt;=LEN($D393&amp;"")),--ISERROR(FIND(MID($D393&amp;"",ROW($1:$26),1),"ABCDEFGHIJKLMNOPQRSTUVWXYZabcdefghijklmnopqrstuvwxyz .,")))&gt;0),"Last Name contains unsupported or encoded characters; use plain A-Z letters only; ","")&amp;IF(LEN($E393&amp;"")&gt;1,"Middle Initial may contain only one character; ","")&amp;IF(AND($E393&lt;&gt;"",SUMPRODUCT(--(ROW($1:$1)&lt;=LEN($E393&amp;"")),--ISERROR(FIND(MID($E393&amp;"",ROW($1:$1),1),"ABCDEFGHIJKLMNOPQRSTUVWXYZabcdefghijklmnopqrstuvwxyz .,")))&gt;0),"Middle Initial must be a plain A-Z letter; ","")&amp;IF($F393="","Address is required; ","")&amp;IF(LEN($F393&amp;"")&gt;75,"Address exceeds 75 characters; ","")&amp;IF(LEN($G393&amp;"")&gt;75,"Address 2 exceeds 75 characters; ","")&amp;IF($H393="","City is required; ","")&amp;IF(LEN($H393&amp;"")&gt;30,"City exceeds 30 characters; ","")&amp;IF($K393="","Country is required; ","")&amp;IF(AND($K393&lt;&gt;"",$K393&lt;&gt;"US",$K393&lt;&gt;"CA"),"Country must be US or CA; ","")&amp;IF(AND($K393="US",OR($I393="",LEN($I393&amp;"")&lt;&gt;2)),"Use a 2-letter state code; ","")&amp;IF($J393="","ZIP or postal code is required; ","")&amp;IF(AND($K393="US",$J393&lt;&gt;"",NOT(IFERROR(OR(AND(LEN($J393&amp;"")=5,ISNUMBER(--($J393&amp;""))),AND(LEN($J393&amp;"")=9,ISNUMBER(--($J393&amp;""))),AND(LEN($J393&amp;"")=10,MID($J393&amp;"",6,1)="-",ISNUMBER(--SUBSTITUTE($J393&amp;"","-","")))),FALSE))),"US ZIP must be 5 or 9 digits, with an optional ZIP+4 hyphen; ","")&amp;IF(AND($N393&lt;&gt;"",NOT(IFERROR(AND(ISNUMBER(SEARCH("@",$N393)),ISNUMBER(SEARCH(".",$N393,SEARCH("@",$N393)+2))),FALSE))),"Email format appears invalid; ","")&amp;IF(AND($O393&lt;&gt;"",$B393=""),"Dependent SSN is required for every dependent; ","")&amp;IF(AND($B393&lt;&gt;"",$O393=""),"Dependent Relationship is required when Dependent SSN is entered; ","")&amp;IF(AND($O393&lt;&gt;"",$O393&lt;&gt;"Spouse or Common Law Spouse",$O393&lt;&gt;"Domestic Partner",$O393&lt;&gt;"Child",$O393&lt;&gt;"Other",$O393&lt;&gt;"Estate",$O393&lt;&gt;"Unknown"),"Dependent Relationship must use one of the approved options; ",""))</f>
        <v/>
      </c>
      <c r="Z393">
        <f>IF(COUNTA($A393:$U393)=0,"",IF(AND($A393&lt;&gt;"",NOT(IFERROR(AND(LEN($A393&amp;"")=9,ISNUMBER(--($A393&amp;""))),FALSE))),"Employee SSN must contain exactly 9 digits; ","")&amp;IF(AND($A393&lt;&gt;"",OR($A393="123456789",$A393="987654321",$A393="012345678",$A393=REPT(LEFT($A393&amp;"",1),9))),"Employee SSN appears to be a placeholder; ","")&amp;IF(AND($B393&lt;&gt;"",NOT(IFERROR(AND(LEN($B393&amp;"")=9,ISNUMBER(--($B393&amp;""))),FALSE))),"Dependent SSN must contain exactly 9 digits; ","")&amp;IF(AND($B393&lt;&gt;"",OR($B393="123456789",$B393="987654321",$B393="012345678",$B393=REPT(LEFT($B393&amp;"",1),9))),"Dependent SSN appears to be a placeholder; ","")&amp;IF(AND($A393&lt;&gt;"",$B393&lt;&gt;"",$A393&amp;""=$B393&amp;""),"Dependent SSN cannot match Employee SSN; ","")&amp;IF(AND($W393&lt;&gt;"",OR(COUNTIFS($W$2:$W$501,$W393,$C$2:$C$501,"&lt;&gt;"&amp;$C393)&gt;0,COUNTIFS($W$2:$W$501,$W393,$D$2:$D$501,"&lt;&gt;"&amp;$D393)&gt;0,COUNTIFS($W$2:$W$501,$W393,$L$2:$L$501,"&lt;&gt;"&amp;$L393)&gt;0)),"The same SSN is associated with a different name or birthdate; ",""))</f>
        <v/>
      </c>
      <c r="AA393">
        <f>IF(COUNTA($A393:$U393)=0,"",IF(AND($A393&lt;&gt;"",$S393&lt;&gt;"",COUNTIFS($A$2:$A$501,$A393,$S$2:$S$501,$S393,$B$2:$B$501,"",$O$2:$O$501,"")=0),"Add an employee row for this household and plan; ","")&amp;IF(AND($X393="Dependent",COUNTIFS($A$2:$A393,$A393,$S$2:$S393,$S393,$B$2:$B393,"",$O$2:$O393,"")=0),"Place the employee row before dependent rows for this plan; ","")&amp;IF(AND($X393="Dependent",COUNTIFS($A$2:$A$501,$A393,$S$2:$S$501,$S393,$B$2:$B$501,"",$O$2:$O$501,"")&gt;0,IFERROR(OR($P393&lt;&gt;LOOKUP(2,1/(($A$2:$A$501=$A393)*($S$2:$S$501=$S393)*($B$2:$B$501="")*($O$2:$O$501="")),$P$2:$P$501),$Q393&lt;&gt;LOOKUP(2,1/(($A$2:$A$501=$A393)*($S$2:$S$501=$S393)*($B$2:$B$501="")*($O$2:$O$501="")),$Q$2:$Q$501),$R393&lt;&gt;LOOKUP(2,1/(($A$2:$A$501=$A393)*($S$2:$S$501=$S393)*($B$2:$B$501="")*($O$2:$O$501="")),$R$2:$R$501),$T393&lt;&gt;LOOKUP(2,1/(($A$2:$A$501=$A393)*($S$2:$S$501=$S393)*($B$2:$B$501="")*($O$2:$O$501="")),$T$2:$T$501),$U393&lt;&gt;LOOKUP(2,1/(($A$2:$A$501=$A393)*($S$2:$S$501=$S393)*($B$2:$B$501="")*($O$2:$O$501="")),$U$2:$U$501)),FALSE)),"Dependent row does not match the employee row for eligibility, status, coverage level, or funding; ",""))</f>
        <v/>
      </c>
      <c r="AB393">
        <f>IF(COUNTA($A393:$U393)=0,"",IF($L393="","Birthdate is required; ","")&amp;IF(AND($L393&lt;&gt;"",OR(NOT(ISNUMBER($L393)),$L393&lt;=DATE(1900,1,1),$L393&gt;TODAY())),"Birthdate must be an exact valid past date; ","")&amp;IF($P393="","Eligibility Date is required; ","")&amp;IF(AND($P393&lt;&gt;"",OR(NOT(ISNUMBER($P393)),$P393&lt;=DATE(1900,1,1))),"Eligibility Date must be a valid date; ","")&amp;IF(AND($R393="Terminated",$Q393=""),"Termination Date is required when Status is Terminated; ","")&amp;IF(AND($Q393&lt;&gt;"",OR(NOT(ISNUMBER($Q393)),$Q393&lt;=DATE(1900,1,1))),"Termination Date must be a valid date; ","")&amp;IF(AND(ISNUMBER($P393),ISNUMBER($Q393),$Q393&lt;$P393),"Termination Date cannot be before Eligibility Date; ","")&amp;IF($R393="","Status is required; ","")&amp;IF(AND($R393&lt;&gt;"",$R393&lt;&gt;"Active",$R393&lt;&gt;"Terminated"),"Status must be Active or Terminated; ","")&amp;IF(AND('START HERE'!$C$8="Terminations Only",$R393&lt;&gt;"Terminated"),"Terminations Only files must contain terminated records; ",""))</f>
        <v/>
      </c>
      <c r="AC393">
        <f>IF(COUNTA($A393:$U393)=0,"",IF($S393="","Plan Name is required; ","")&amp;IF($T393="","Benefit Coverage Level is required; ","")&amp;IF(AND($U393&lt;&gt;"",OR(NOT(ISNUMBER($U393)),$U393&lt;0)),"Plan Funding Amount must be a nonnegative number; ","")&amp;IF(AND($A393&lt;&gt;"",$S393&lt;&gt;"",COUNTIFS($A$2:$A$501,$A393,$B$2:$B$501,$B393,$S$2:$S$501,$S393)&gt;1),"Duplicate participant and plan row; ",""))</f>
        <v/>
      </c>
      <c r="AD393">
        <f>IF(COUNTA($A393:$U393)=0,"",IF(AND($X393="Employee",$M393="",$N393=""),"No employee phone or email provided; ","")&amp;IF(AND($R393="Active",$Q393&lt;&gt;""),"Active record includes a Termination Date; confirm this is intentional; ","")&amp;IF(AND($B393&lt;&gt;"",$B393&amp;""&lt;&gt;$A393&amp;"",COUNTIF($A$2:$A$501,$B393)&gt;0),"Dependent SSN also appears as an Employee SSN elsewhere; confirm dual-employee coverage is intentional; ","")&amp;IF(AND($B393&lt;&gt;"",COUNTIF($B$2:$B$501,$B393)&gt;COUNTIFS($A$2:$A$501,$A393,$B$2:$B$501,$B393)),"Dependent SSN appears under more than one employee; confirm duplicate family coverage is intentional; ","")&amp;IF(AND(ROW()&gt;2,$A393&lt;&gt;"",$A393&lt;&gt;$A392,COUNTIF($A$2:$A392,$A393)&gt;0),"This household appears in more than one section of the census; keep the family together; ","")&amp;IF(OR(AND($C393&lt;&gt;"",LEN($C393&amp;"")&lt;&gt;LEN(TRIM($C393&amp;""))),AND($D393&lt;&gt;"",LEN($D393&amp;"")&lt;&gt;LEN(TRIM($D393&amp;""))),AND($E393&lt;&gt;"",LEN($E393&amp;"")&lt;&gt;LEN(TRIM($E393&amp;""))),AND($F393&lt;&gt;"",LEN($F393&amp;"")&lt;&gt;LEN(TRIM($F393&amp;""))),AND($G393&lt;&gt;"",LEN($G393&amp;"")&lt;&gt;LEN(TRIM($G393&amp;""))),AND($H393&lt;&gt;"",LEN($H393&amp;"")&lt;&gt;LEN(TRIM($H393&amp;""))),AND($I393&lt;&gt;"",LEN($I393&amp;"")&lt;&gt;LEN(TRIM($I393&amp;""))),AND($J393&lt;&gt;"",LEN($J393&amp;"")&lt;&gt;LEN(TRIM($J393&amp;""))),AND($K393&lt;&gt;"",LEN($K393&amp;"")&lt;&gt;LEN(TRIM($K393&amp;""))),AND($M393&lt;&gt;"",LEN($M393&amp;"")&lt;&gt;LEN(TRIM($M393&amp;""))),AND($N393&lt;&gt;"",LEN($N393&amp;"")&lt;&gt;LEN(TRIM($N393&amp;""))),AND($O393&lt;&gt;"",LEN($O393&amp;"")&lt;&gt;LEN(TRIM($O393&amp;""))),AND($R393&lt;&gt;"",LEN($R393&amp;"")&lt;&gt;LEN(TRIM($R393&amp;""))),AND($S393&lt;&gt;"",LEN($S393&amp;"")&lt;&gt;LEN(TRIM($S393&amp;""))),AND($T393&lt;&gt;"",LEN($T393&amp;"")&lt;&gt;LEN(TRIM($T393&amp;"")))),"Remove leading or trailing spaces from text fields; ","")&amp;IF(OR(AND(LEN($C393)&gt;1,OR(EXACT($C393,UPPER($C393)),EXACT($C393,LOWER($C393)))),AND(LEN($D393)&gt;1,OR(EXACT($D393,UPPER($D393)),EXACT($D393,LOWER($D393)))),AND(LEN($H393)&gt;1,OR(EXACT($H393,UPPER($H393)),EXACT($H393,LOWER($H393))))),"Review capitalization in First Name, Last Name, or City; ","")&amp;IF(AND($N393&lt;&gt;"",NOT(EXACT($N393,LOWER($N393)))),"Email will be standardized to lowercase in the clean output; ","")&amp;IF(AND(OR('START HERE'!$C$8="Initial Enrollment",'START HERE'!$C$8="Open Enrollment"),$R393="Terminated"),"A terminated row is included in an initial or open enrollment file; confirm this is intentional; ",""))</f>
        <v/>
      </c>
      <c r="AE393">
        <f>IF(COUNTA($A393:$U393)=0,"",IF(OR($A393="",AND($A393&lt;&gt;"",NOT(IFERROR(AND(LEN($A393&amp;"")=9,ISNUMBER(--($A393&amp;""))),FALSE))),AND($A393&lt;&gt;"",OR($A393="123456789",$A393="987654321",$A393="012345678",$A393=REPT(LEFT($A393&amp;"",1),9)))),"Employee SSN, ","")&amp;IF(OR(AND($O393&lt;&gt;"",$B393=""),AND($B393&lt;&gt;"",OR(NOT(IFERROR(AND(LEN($B393&amp;"")=9,ISNUMBER(--($B393&amp;""))),FALSE)),$B393=$A393,$B393="123456789",$B393="987654321",$B393="012345678",$B393=REPT(LEFT($B393&amp;"",1),9)))),"Dependent SSN, ","")&amp;IF(OR($C393="",LEN($C393)&gt;19,AND($C393&lt;&gt;"",SUMPRODUCT(--(ROW($1:$19)&lt;=LEN($C393&amp;"")),--ISERROR(FIND(MID($C393&amp;"",ROW($1:$19),1),"ABCDEFGHIJKLMNOPQRSTUVWXYZabcdefghijklmnopqrstuvwxyz .,")))&gt;0)),"First Name, ","")&amp;IF(OR($D393="",LEN($D393)&gt;26,AND($D393&lt;&gt;"",SUMPRODUCT(--(ROW($1:$26)&lt;=LEN($D393&amp;"")),--ISERROR(FIND(MID($D393&amp;"",ROW($1:$26),1),"ABCDEFGHIJKLMNOPQRSTUVWXYZabcdefghijklmnopqrstuvwxyz .,")))&gt;0)),"Last Name, ","")&amp;IF(OR(LEN($E393)&gt;1,AND($E393&lt;&gt;"",SUMPRODUCT(--(ROW($1:$1)&lt;=LEN($E393&amp;"")),--ISERROR(FIND(MID($E393&amp;"",ROW($1:$1),1),"ABCDEFGHIJKLMNOPQRSTUVWXYZabcdefghijklmnopqrstuvwxyz .,")))&gt;0)),"Middle Initial, ","")&amp;IF(OR($F393="",LEN($F393)&gt;75),"Address, ","")&amp;IF(OR($H393="",LEN($H393)&gt;30),"City, ","")&amp;IF(AND($K393="US",OR($I393="",LEN($I393)&lt;&gt;2)),"State, ","")&amp;IF($J393="","ZIP, ","")&amp;IF(OR($K393="",AND($K393&lt;&gt;"US",$K393&lt;&gt;"CA")),"Country, ","")&amp;IF(OR($L393="",AND($L393&lt;&gt;"",OR(NOT(ISNUMBER($L393)),$L393&lt;=DATE(1900,1,1),$L393&gt;TODAY()))),"Birthdate, ","")&amp;IF(AND($N393&lt;&gt;"",NOT(IFERROR(AND(ISNUMBER(SEARCH("@",$N393)),ISNUMBER(SEARCH(".",$N393,SEARCH("@",$N393)+2))),FALSE))),"Email, ","")&amp;IF(OR(AND($B393&lt;&gt;"",$O393=""),AND($O393&lt;&gt;"",$O393&lt;&gt;"Spouse or Common Law Spouse",$O393&lt;&gt;"Domestic Partner",$O393&lt;&gt;"Child",$O393&lt;&gt;"Other",$O393&lt;&gt;"Estate",$O393&lt;&gt;"Unknown")),"Dependent Relationship, ","")&amp;IF($AA393&lt;&gt;"","Household, ","")&amp;IF(OR($P393="",AND($P393&lt;&gt;"",OR(NOT(ISNUMBER($P393)),$P393&lt;=DATE(1900,1,1)))),"Eligibility Date, ","")&amp;IF(OR(AND($R393="Terminated",$Q393=""),AND($Q393&lt;&gt;"",OR(NOT(ISNUMBER($Q393)),$Q393&lt;=DATE(1900,1,1))),AND(ISNUMBER($P393),ISNUMBER($Q393),$Q393&lt;$P393)),"Termination Date, ","")&amp;IF(OR($R393="",AND($R393&lt;&gt;"Active",$R393&lt;&gt;"Terminated"),AND('START HERE'!$C$8="Terminations Only",$R393&lt;&gt;"Terminated")),"Status, ","")&amp;IF($S393="","Plan Name, ","")&amp;IF($T393="","Coverage Level, ","")&amp;IF(AND($U393&lt;&gt;"",OR(NOT(ISNUMBER($U393)),$U393&lt;0)),"Funding, ","")&amp;IF(AND($A393&lt;&gt;"",$S393&lt;&gt;"",COUNTIFS($A$2:$A$501,$A393,$B$2:$B$501,$B393,$S$2:$S$501,$S393)&gt;1),"Duplicate Row, ",""))</f>
        <v/>
      </c>
      <c r="AF393">
        <f>IF(COUNTA($A393:$U393)=0,"",$Y393&amp;$Z393&amp;$AA393&amp;$AB393&amp;$AC393)</f>
        <v/>
      </c>
      <c r="AG393">
        <f>IF($N393="","",LOWER(TRIM($N393)))</f>
        <v/>
      </c>
      <c r="AH393">
        <f>IF($A393="","",COUNTIFS($A$2:$A$501,$A393,$AI$2:$AI$501,1))</f>
        <v/>
      </c>
      <c r="AI393">
        <f>IF(COUNTA($A393:$U393)=0,"",--($AF393&lt;&gt;""))</f>
        <v/>
      </c>
      <c r="AJ393">
        <f>IF(COUNTA($A393:$U393)=0,"",--($AD393&lt;&gt;""))</f>
        <v/>
      </c>
    </row>
    <row r="394" ht="20" customHeight="1">
      <c r="A394" s="80" t="n"/>
      <c r="B394" s="80" t="n"/>
      <c r="C394" s="81" t="n"/>
      <c r="D394" s="81" t="n"/>
      <c r="E394" s="80" t="n"/>
      <c r="F394" s="81" t="n"/>
      <c r="G394" s="81" t="n"/>
      <c r="H394" s="81" t="n"/>
      <c r="I394" s="80" t="n"/>
      <c r="J394" s="80" t="n"/>
      <c r="K394" s="80" t="n"/>
      <c r="L394" s="82" t="n"/>
      <c r="M394" s="80" t="n"/>
      <c r="N394" s="80" t="n"/>
      <c r="O394" s="80" t="n"/>
      <c r="P394" s="82" t="n"/>
      <c r="Q394" s="82" t="n"/>
      <c r="R394" s="80" t="n"/>
      <c r="S394" s="80" t="n"/>
      <c r="T394" s="80" t="n"/>
      <c r="U394" s="83" t="n"/>
      <c r="V394">
        <f>IF($A394="","",IF($A394=$A393,$V393,IF($V393="",0,1-$V393)))</f>
        <v/>
      </c>
      <c r="W394">
        <f>IF($B394&lt;&gt;"",$B394,$A394)</f>
        <v/>
      </c>
      <c r="X394">
        <f>IF(COUNTA($A394:$U394)=0,"",IF(OR($B394&lt;&gt;"",$O394&lt;&gt;""),"Dependent","Employee"))</f>
        <v/>
      </c>
      <c r="Y394">
        <f>IF(COUNTA($A394:$U394)=0,"",IF($A394="","Employee SSN is required; ","")&amp;IF($C394="","First Name is required; ","")&amp;IF(LEN($C394&amp;"")&gt;19,"First Name exceeds 19 characters; ","")&amp;IF(AND($C394&lt;&gt;"",SUMPRODUCT(--(ROW($1:$19)&lt;=LEN($C394&amp;"")),--ISERROR(FIND(MID($C394&amp;"",ROW($1:$19),1),"ABCDEFGHIJKLMNOPQRSTUVWXYZabcdefghijklmnopqrstuvwxyz .,")))&gt;0),"First Name contains unsupported or encoded characters; use plain A-Z letters only; ","")&amp;IF($D394="","Last Name is required; ","")&amp;IF(LEN($D394&amp;"")&gt;26,"Last Name exceeds 26 characters; ","")&amp;IF(AND($D394&lt;&gt;"",SUMPRODUCT(--(ROW($1:$26)&lt;=LEN($D394&amp;"")),--ISERROR(FIND(MID($D394&amp;"",ROW($1:$26),1),"ABCDEFGHIJKLMNOPQRSTUVWXYZabcdefghijklmnopqrstuvwxyz .,")))&gt;0),"Last Name contains unsupported or encoded characters; use plain A-Z letters only; ","")&amp;IF(LEN($E394&amp;"")&gt;1,"Middle Initial may contain only one character; ","")&amp;IF(AND($E394&lt;&gt;"",SUMPRODUCT(--(ROW($1:$1)&lt;=LEN($E394&amp;"")),--ISERROR(FIND(MID($E394&amp;"",ROW($1:$1),1),"ABCDEFGHIJKLMNOPQRSTUVWXYZabcdefghijklmnopqrstuvwxyz .,")))&gt;0),"Middle Initial must be a plain A-Z letter; ","")&amp;IF($F394="","Address is required; ","")&amp;IF(LEN($F394&amp;"")&gt;75,"Address exceeds 75 characters; ","")&amp;IF(LEN($G394&amp;"")&gt;75,"Address 2 exceeds 75 characters; ","")&amp;IF($H394="","City is required; ","")&amp;IF(LEN($H394&amp;"")&gt;30,"City exceeds 30 characters; ","")&amp;IF($K394="","Country is required; ","")&amp;IF(AND($K394&lt;&gt;"",$K394&lt;&gt;"US",$K394&lt;&gt;"CA"),"Country must be US or CA; ","")&amp;IF(AND($K394="US",OR($I394="",LEN($I394&amp;"")&lt;&gt;2)),"Use a 2-letter state code; ","")&amp;IF($J394="","ZIP or postal code is required; ","")&amp;IF(AND($K394="US",$J394&lt;&gt;"",NOT(IFERROR(OR(AND(LEN($J394&amp;"")=5,ISNUMBER(--($J394&amp;""))),AND(LEN($J394&amp;"")=9,ISNUMBER(--($J394&amp;""))),AND(LEN($J394&amp;"")=10,MID($J394&amp;"",6,1)="-",ISNUMBER(--SUBSTITUTE($J394&amp;"","-","")))),FALSE))),"US ZIP must be 5 or 9 digits, with an optional ZIP+4 hyphen; ","")&amp;IF(AND($N394&lt;&gt;"",NOT(IFERROR(AND(ISNUMBER(SEARCH("@",$N394)),ISNUMBER(SEARCH(".",$N394,SEARCH("@",$N394)+2))),FALSE))),"Email format appears invalid; ","")&amp;IF(AND($O394&lt;&gt;"",$B394=""),"Dependent SSN is required for every dependent; ","")&amp;IF(AND($B394&lt;&gt;"",$O394=""),"Dependent Relationship is required when Dependent SSN is entered; ","")&amp;IF(AND($O394&lt;&gt;"",$O394&lt;&gt;"Spouse or Common Law Spouse",$O394&lt;&gt;"Domestic Partner",$O394&lt;&gt;"Child",$O394&lt;&gt;"Other",$O394&lt;&gt;"Estate",$O394&lt;&gt;"Unknown"),"Dependent Relationship must use one of the approved options; ",""))</f>
        <v/>
      </c>
      <c r="Z394">
        <f>IF(COUNTA($A394:$U394)=0,"",IF(AND($A394&lt;&gt;"",NOT(IFERROR(AND(LEN($A394&amp;"")=9,ISNUMBER(--($A394&amp;""))),FALSE))),"Employee SSN must contain exactly 9 digits; ","")&amp;IF(AND($A394&lt;&gt;"",OR($A394="123456789",$A394="987654321",$A394="012345678",$A394=REPT(LEFT($A394&amp;"",1),9))),"Employee SSN appears to be a placeholder; ","")&amp;IF(AND($B394&lt;&gt;"",NOT(IFERROR(AND(LEN($B394&amp;"")=9,ISNUMBER(--($B394&amp;""))),FALSE))),"Dependent SSN must contain exactly 9 digits; ","")&amp;IF(AND($B394&lt;&gt;"",OR($B394="123456789",$B394="987654321",$B394="012345678",$B394=REPT(LEFT($B394&amp;"",1),9))),"Dependent SSN appears to be a placeholder; ","")&amp;IF(AND($A394&lt;&gt;"",$B394&lt;&gt;"",$A394&amp;""=$B394&amp;""),"Dependent SSN cannot match Employee SSN; ","")&amp;IF(AND($W394&lt;&gt;"",OR(COUNTIFS($W$2:$W$501,$W394,$C$2:$C$501,"&lt;&gt;"&amp;$C394)&gt;0,COUNTIFS($W$2:$W$501,$W394,$D$2:$D$501,"&lt;&gt;"&amp;$D394)&gt;0,COUNTIFS($W$2:$W$501,$W394,$L$2:$L$501,"&lt;&gt;"&amp;$L394)&gt;0)),"The same SSN is associated with a different name or birthdate; ",""))</f>
        <v/>
      </c>
      <c r="AA394">
        <f>IF(COUNTA($A394:$U394)=0,"",IF(AND($A394&lt;&gt;"",$S394&lt;&gt;"",COUNTIFS($A$2:$A$501,$A394,$S$2:$S$501,$S394,$B$2:$B$501,"",$O$2:$O$501,"")=0),"Add an employee row for this household and plan; ","")&amp;IF(AND($X394="Dependent",COUNTIFS($A$2:$A394,$A394,$S$2:$S394,$S394,$B$2:$B394,"",$O$2:$O394,"")=0),"Place the employee row before dependent rows for this plan; ","")&amp;IF(AND($X394="Dependent",COUNTIFS($A$2:$A$501,$A394,$S$2:$S$501,$S394,$B$2:$B$501,"",$O$2:$O$501,"")&gt;0,IFERROR(OR($P394&lt;&gt;LOOKUP(2,1/(($A$2:$A$501=$A394)*($S$2:$S$501=$S394)*($B$2:$B$501="")*($O$2:$O$501="")),$P$2:$P$501),$Q394&lt;&gt;LOOKUP(2,1/(($A$2:$A$501=$A394)*($S$2:$S$501=$S394)*($B$2:$B$501="")*($O$2:$O$501="")),$Q$2:$Q$501),$R394&lt;&gt;LOOKUP(2,1/(($A$2:$A$501=$A394)*($S$2:$S$501=$S394)*($B$2:$B$501="")*($O$2:$O$501="")),$R$2:$R$501),$T394&lt;&gt;LOOKUP(2,1/(($A$2:$A$501=$A394)*($S$2:$S$501=$S394)*($B$2:$B$501="")*($O$2:$O$501="")),$T$2:$T$501),$U394&lt;&gt;LOOKUP(2,1/(($A$2:$A$501=$A394)*($S$2:$S$501=$S394)*($B$2:$B$501="")*($O$2:$O$501="")),$U$2:$U$501)),FALSE)),"Dependent row does not match the employee row for eligibility, status, coverage level, or funding; ",""))</f>
        <v/>
      </c>
      <c r="AB394">
        <f>IF(COUNTA($A394:$U394)=0,"",IF($L394="","Birthdate is required; ","")&amp;IF(AND($L394&lt;&gt;"",OR(NOT(ISNUMBER($L394)),$L394&lt;=DATE(1900,1,1),$L394&gt;TODAY())),"Birthdate must be an exact valid past date; ","")&amp;IF($P394="","Eligibility Date is required; ","")&amp;IF(AND($P394&lt;&gt;"",OR(NOT(ISNUMBER($P394)),$P394&lt;=DATE(1900,1,1))),"Eligibility Date must be a valid date; ","")&amp;IF(AND($R394="Terminated",$Q394=""),"Termination Date is required when Status is Terminated; ","")&amp;IF(AND($Q394&lt;&gt;"",OR(NOT(ISNUMBER($Q394)),$Q394&lt;=DATE(1900,1,1))),"Termination Date must be a valid date; ","")&amp;IF(AND(ISNUMBER($P394),ISNUMBER($Q394),$Q394&lt;$P394),"Termination Date cannot be before Eligibility Date; ","")&amp;IF($R394="","Status is required; ","")&amp;IF(AND($R394&lt;&gt;"",$R394&lt;&gt;"Active",$R394&lt;&gt;"Terminated"),"Status must be Active or Terminated; ","")&amp;IF(AND('START HERE'!$C$8="Terminations Only",$R394&lt;&gt;"Terminated"),"Terminations Only files must contain terminated records; ",""))</f>
        <v/>
      </c>
      <c r="AC394">
        <f>IF(COUNTA($A394:$U394)=0,"",IF($S394="","Plan Name is required; ","")&amp;IF($T394="","Benefit Coverage Level is required; ","")&amp;IF(AND($U394&lt;&gt;"",OR(NOT(ISNUMBER($U394)),$U394&lt;0)),"Plan Funding Amount must be a nonnegative number; ","")&amp;IF(AND($A394&lt;&gt;"",$S394&lt;&gt;"",COUNTIFS($A$2:$A$501,$A394,$B$2:$B$501,$B394,$S$2:$S$501,$S394)&gt;1),"Duplicate participant and plan row; ",""))</f>
        <v/>
      </c>
      <c r="AD394">
        <f>IF(COUNTA($A394:$U394)=0,"",IF(AND($X394="Employee",$M394="",$N394=""),"No employee phone or email provided; ","")&amp;IF(AND($R394="Active",$Q394&lt;&gt;""),"Active record includes a Termination Date; confirm this is intentional; ","")&amp;IF(AND($B394&lt;&gt;"",$B394&amp;""&lt;&gt;$A394&amp;"",COUNTIF($A$2:$A$501,$B394)&gt;0),"Dependent SSN also appears as an Employee SSN elsewhere; confirm dual-employee coverage is intentional; ","")&amp;IF(AND($B394&lt;&gt;"",COUNTIF($B$2:$B$501,$B394)&gt;COUNTIFS($A$2:$A$501,$A394,$B$2:$B$501,$B394)),"Dependent SSN appears under more than one employee; confirm duplicate family coverage is intentional; ","")&amp;IF(AND(ROW()&gt;2,$A394&lt;&gt;"",$A394&lt;&gt;$A393,COUNTIF($A$2:$A393,$A394)&gt;0),"This household appears in more than one section of the census; keep the family together; ","")&amp;IF(OR(AND($C394&lt;&gt;"",LEN($C394&amp;"")&lt;&gt;LEN(TRIM($C394&amp;""))),AND($D394&lt;&gt;"",LEN($D394&amp;"")&lt;&gt;LEN(TRIM($D394&amp;""))),AND($E394&lt;&gt;"",LEN($E394&amp;"")&lt;&gt;LEN(TRIM($E394&amp;""))),AND($F394&lt;&gt;"",LEN($F394&amp;"")&lt;&gt;LEN(TRIM($F394&amp;""))),AND($G394&lt;&gt;"",LEN($G394&amp;"")&lt;&gt;LEN(TRIM($G394&amp;""))),AND($H394&lt;&gt;"",LEN($H394&amp;"")&lt;&gt;LEN(TRIM($H394&amp;""))),AND($I394&lt;&gt;"",LEN($I394&amp;"")&lt;&gt;LEN(TRIM($I394&amp;""))),AND($J394&lt;&gt;"",LEN($J394&amp;"")&lt;&gt;LEN(TRIM($J394&amp;""))),AND($K394&lt;&gt;"",LEN($K394&amp;"")&lt;&gt;LEN(TRIM($K394&amp;""))),AND($M394&lt;&gt;"",LEN($M394&amp;"")&lt;&gt;LEN(TRIM($M394&amp;""))),AND($N394&lt;&gt;"",LEN($N394&amp;"")&lt;&gt;LEN(TRIM($N394&amp;""))),AND($O394&lt;&gt;"",LEN($O394&amp;"")&lt;&gt;LEN(TRIM($O394&amp;""))),AND($R394&lt;&gt;"",LEN($R394&amp;"")&lt;&gt;LEN(TRIM($R394&amp;""))),AND($S394&lt;&gt;"",LEN($S394&amp;"")&lt;&gt;LEN(TRIM($S394&amp;""))),AND($T394&lt;&gt;"",LEN($T394&amp;"")&lt;&gt;LEN(TRIM($T394&amp;"")))),"Remove leading or trailing spaces from text fields; ","")&amp;IF(OR(AND(LEN($C394)&gt;1,OR(EXACT($C394,UPPER($C394)),EXACT($C394,LOWER($C394)))),AND(LEN($D394)&gt;1,OR(EXACT($D394,UPPER($D394)),EXACT($D394,LOWER($D394)))),AND(LEN($H394)&gt;1,OR(EXACT($H394,UPPER($H394)),EXACT($H394,LOWER($H394))))),"Review capitalization in First Name, Last Name, or City; ","")&amp;IF(AND($N394&lt;&gt;"",NOT(EXACT($N394,LOWER($N394)))),"Email will be standardized to lowercase in the clean output; ","")&amp;IF(AND(OR('START HERE'!$C$8="Initial Enrollment",'START HERE'!$C$8="Open Enrollment"),$R394="Terminated"),"A terminated row is included in an initial or open enrollment file; confirm this is intentional; ",""))</f>
        <v/>
      </c>
      <c r="AE394">
        <f>IF(COUNTA($A394:$U394)=0,"",IF(OR($A394="",AND($A394&lt;&gt;"",NOT(IFERROR(AND(LEN($A394&amp;"")=9,ISNUMBER(--($A394&amp;""))),FALSE))),AND($A394&lt;&gt;"",OR($A394="123456789",$A394="987654321",$A394="012345678",$A394=REPT(LEFT($A394&amp;"",1),9)))),"Employee SSN, ","")&amp;IF(OR(AND($O394&lt;&gt;"",$B394=""),AND($B394&lt;&gt;"",OR(NOT(IFERROR(AND(LEN($B394&amp;"")=9,ISNUMBER(--($B394&amp;""))),FALSE)),$B394=$A394,$B394="123456789",$B394="987654321",$B394="012345678",$B394=REPT(LEFT($B394&amp;"",1),9)))),"Dependent SSN, ","")&amp;IF(OR($C394="",LEN($C394)&gt;19,AND($C394&lt;&gt;"",SUMPRODUCT(--(ROW($1:$19)&lt;=LEN($C394&amp;"")),--ISERROR(FIND(MID($C394&amp;"",ROW($1:$19),1),"ABCDEFGHIJKLMNOPQRSTUVWXYZabcdefghijklmnopqrstuvwxyz .,")))&gt;0)),"First Name, ","")&amp;IF(OR($D394="",LEN($D394)&gt;26,AND($D394&lt;&gt;"",SUMPRODUCT(--(ROW($1:$26)&lt;=LEN($D394&amp;"")),--ISERROR(FIND(MID($D394&amp;"",ROW($1:$26),1),"ABCDEFGHIJKLMNOPQRSTUVWXYZabcdefghijklmnopqrstuvwxyz .,")))&gt;0)),"Last Name, ","")&amp;IF(OR(LEN($E394)&gt;1,AND($E394&lt;&gt;"",SUMPRODUCT(--(ROW($1:$1)&lt;=LEN($E394&amp;"")),--ISERROR(FIND(MID($E394&amp;"",ROW($1:$1),1),"ABCDEFGHIJKLMNOPQRSTUVWXYZabcdefghijklmnopqrstuvwxyz .,")))&gt;0)),"Middle Initial, ","")&amp;IF(OR($F394="",LEN($F394)&gt;75),"Address, ","")&amp;IF(OR($H394="",LEN($H394)&gt;30),"City, ","")&amp;IF(AND($K394="US",OR($I394="",LEN($I394)&lt;&gt;2)),"State, ","")&amp;IF($J394="","ZIP, ","")&amp;IF(OR($K394="",AND($K394&lt;&gt;"US",$K394&lt;&gt;"CA")),"Country, ","")&amp;IF(OR($L394="",AND($L394&lt;&gt;"",OR(NOT(ISNUMBER($L394)),$L394&lt;=DATE(1900,1,1),$L394&gt;TODAY()))),"Birthdate, ","")&amp;IF(AND($N394&lt;&gt;"",NOT(IFERROR(AND(ISNUMBER(SEARCH("@",$N394)),ISNUMBER(SEARCH(".",$N394,SEARCH("@",$N394)+2))),FALSE))),"Email, ","")&amp;IF(OR(AND($B394&lt;&gt;"",$O394=""),AND($O394&lt;&gt;"",$O394&lt;&gt;"Spouse or Common Law Spouse",$O394&lt;&gt;"Domestic Partner",$O394&lt;&gt;"Child",$O394&lt;&gt;"Other",$O394&lt;&gt;"Estate",$O394&lt;&gt;"Unknown")),"Dependent Relationship, ","")&amp;IF($AA394&lt;&gt;"","Household, ","")&amp;IF(OR($P394="",AND($P394&lt;&gt;"",OR(NOT(ISNUMBER($P394)),$P394&lt;=DATE(1900,1,1)))),"Eligibility Date, ","")&amp;IF(OR(AND($R394="Terminated",$Q394=""),AND($Q394&lt;&gt;"",OR(NOT(ISNUMBER($Q394)),$Q394&lt;=DATE(1900,1,1))),AND(ISNUMBER($P394),ISNUMBER($Q394),$Q394&lt;$P394)),"Termination Date, ","")&amp;IF(OR($R394="",AND($R394&lt;&gt;"Active",$R394&lt;&gt;"Terminated"),AND('START HERE'!$C$8="Terminations Only",$R394&lt;&gt;"Terminated")),"Status, ","")&amp;IF($S394="","Plan Name, ","")&amp;IF($T394="","Coverage Level, ","")&amp;IF(AND($U394&lt;&gt;"",OR(NOT(ISNUMBER($U394)),$U394&lt;0)),"Funding, ","")&amp;IF(AND($A394&lt;&gt;"",$S394&lt;&gt;"",COUNTIFS($A$2:$A$501,$A394,$B$2:$B$501,$B394,$S$2:$S$501,$S394)&gt;1),"Duplicate Row, ",""))</f>
        <v/>
      </c>
      <c r="AF394">
        <f>IF(COUNTA($A394:$U394)=0,"",$Y394&amp;$Z394&amp;$AA394&amp;$AB394&amp;$AC394)</f>
        <v/>
      </c>
      <c r="AG394">
        <f>IF($N394="","",LOWER(TRIM($N394)))</f>
        <v/>
      </c>
      <c r="AH394">
        <f>IF($A394="","",COUNTIFS($A$2:$A$501,$A394,$AI$2:$AI$501,1))</f>
        <v/>
      </c>
      <c r="AI394">
        <f>IF(COUNTA($A394:$U394)=0,"",--($AF394&lt;&gt;""))</f>
        <v/>
      </c>
      <c r="AJ394">
        <f>IF(COUNTA($A394:$U394)=0,"",--($AD394&lt;&gt;""))</f>
        <v/>
      </c>
    </row>
    <row r="395" ht="20" customHeight="1">
      <c r="A395" s="80" t="n"/>
      <c r="B395" s="80" t="n"/>
      <c r="C395" s="81" t="n"/>
      <c r="D395" s="81" t="n"/>
      <c r="E395" s="80" t="n"/>
      <c r="F395" s="81" t="n"/>
      <c r="G395" s="81" t="n"/>
      <c r="H395" s="81" t="n"/>
      <c r="I395" s="80" t="n"/>
      <c r="J395" s="80" t="n"/>
      <c r="K395" s="80" t="n"/>
      <c r="L395" s="82" t="n"/>
      <c r="M395" s="80" t="n"/>
      <c r="N395" s="80" t="n"/>
      <c r="O395" s="80" t="n"/>
      <c r="P395" s="82" t="n"/>
      <c r="Q395" s="82" t="n"/>
      <c r="R395" s="80" t="n"/>
      <c r="S395" s="80" t="n"/>
      <c r="T395" s="80" t="n"/>
      <c r="U395" s="83" t="n"/>
      <c r="V395">
        <f>IF($A395="","",IF($A395=$A394,$V394,IF($V394="",0,1-$V394)))</f>
        <v/>
      </c>
      <c r="W395">
        <f>IF($B395&lt;&gt;"",$B395,$A395)</f>
        <v/>
      </c>
      <c r="X395">
        <f>IF(COUNTA($A395:$U395)=0,"",IF(OR($B395&lt;&gt;"",$O395&lt;&gt;""),"Dependent","Employee"))</f>
        <v/>
      </c>
      <c r="Y395">
        <f>IF(COUNTA($A395:$U395)=0,"",IF($A395="","Employee SSN is required; ","")&amp;IF($C395="","First Name is required; ","")&amp;IF(LEN($C395&amp;"")&gt;19,"First Name exceeds 19 characters; ","")&amp;IF(AND($C395&lt;&gt;"",SUMPRODUCT(--(ROW($1:$19)&lt;=LEN($C395&amp;"")),--ISERROR(FIND(MID($C395&amp;"",ROW($1:$19),1),"ABCDEFGHIJKLMNOPQRSTUVWXYZabcdefghijklmnopqrstuvwxyz .,")))&gt;0),"First Name contains unsupported or encoded characters; use plain A-Z letters only; ","")&amp;IF($D395="","Last Name is required; ","")&amp;IF(LEN($D395&amp;"")&gt;26,"Last Name exceeds 26 characters; ","")&amp;IF(AND($D395&lt;&gt;"",SUMPRODUCT(--(ROW($1:$26)&lt;=LEN($D395&amp;"")),--ISERROR(FIND(MID($D395&amp;"",ROW($1:$26),1),"ABCDEFGHIJKLMNOPQRSTUVWXYZabcdefghijklmnopqrstuvwxyz .,")))&gt;0),"Last Name contains unsupported or encoded characters; use plain A-Z letters only; ","")&amp;IF(LEN($E395&amp;"")&gt;1,"Middle Initial may contain only one character; ","")&amp;IF(AND($E395&lt;&gt;"",SUMPRODUCT(--(ROW($1:$1)&lt;=LEN($E395&amp;"")),--ISERROR(FIND(MID($E395&amp;"",ROW($1:$1),1),"ABCDEFGHIJKLMNOPQRSTUVWXYZabcdefghijklmnopqrstuvwxyz .,")))&gt;0),"Middle Initial must be a plain A-Z letter; ","")&amp;IF($F395="","Address is required; ","")&amp;IF(LEN($F395&amp;"")&gt;75,"Address exceeds 75 characters; ","")&amp;IF(LEN($G395&amp;"")&gt;75,"Address 2 exceeds 75 characters; ","")&amp;IF($H395="","City is required; ","")&amp;IF(LEN($H395&amp;"")&gt;30,"City exceeds 30 characters; ","")&amp;IF($K395="","Country is required; ","")&amp;IF(AND($K395&lt;&gt;"",$K395&lt;&gt;"US",$K395&lt;&gt;"CA"),"Country must be US or CA; ","")&amp;IF(AND($K395="US",OR($I395="",LEN($I395&amp;"")&lt;&gt;2)),"Use a 2-letter state code; ","")&amp;IF($J395="","ZIP or postal code is required; ","")&amp;IF(AND($K395="US",$J395&lt;&gt;"",NOT(IFERROR(OR(AND(LEN($J395&amp;"")=5,ISNUMBER(--($J395&amp;""))),AND(LEN($J395&amp;"")=9,ISNUMBER(--($J395&amp;""))),AND(LEN($J395&amp;"")=10,MID($J395&amp;"",6,1)="-",ISNUMBER(--SUBSTITUTE($J395&amp;"","-","")))),FALSE))),"US ZIP must be 5 or 9 digits, with an optional ZIP+4 hyphen; ","")&amp;IF(AND($N395&lt;&gt;"",NOT(IFERROR(AND(ISNUMBER(SEARCH("@",$N395)),ISNUMBER(SEARCH(".",$N395,SEARCH("@",$N395)+2))),FALSE))),"Email format appears invalid; ","")&amp;IF(AND($O395&lt;&gt;"",$B395=""),"Dependent SSN is required for every dependent; ","")&amp;IF(AND($B395&lt;&gt;"",$O395=""),"Dependent Relationship is required when Dependent SSN is entered; ","")&amp;IF(AND($O395&lt;&gt;"",$O395&lt;&gt;"Spouse or Common Law Spouse",$O395&lt;&gt;"Domestic Partner",$O395&lt;&gt;"Child",$O395&lt;&gt;"Other",$O395&lt;&gt;"Estate",$O395&lt;&gt;"Unknown"),"Dependent Relationship must use one of the approved options; ",""))</f>
        <v/>
      </c>
      <c r="Z395">
        <f>IF(COUNTA($A395:$U395)=0,"",IF(AND($A395&lt;&gt;"",NOT(IFERROR(AND(LEN($A395&amp;"")=9,ISNUMBER(--($A395&amp;""))),FALSE))),"Employee SSN must contain exactly 9 digits; ","")&amp;IF(AND($A395&lt;&gt;"",OR($A395="123456789",$A395="987654321",$A395="012345678",$A395=REPT(LEFT($A395&amp;"",1),9))),"Employee SSN appears to be a placeholder; ","")&amp;IF(AND($B395&lt;&gt;"",NOT(IFERROR(AND(LEN($B395&amp;"")=9,ISNUMBER(--($B395&amp;""))),FALSE))),"Dependent SSN must contain exactly 9 digits; ","")&amp;IF(AND($B395&lt;&gt;"",OR($B395="123456789",$B395="987654321",$B395="012345678",$B395=REPT(LEFT($B395&amp;"",1),9))),"Dependent SSN appears to be a placeholder; ","")&amp;IF(AND($A395&lt;&gt;"",$B395&lt;&gt;"",$A395&amp;""=$B395&amp;""),"Dependent SSN cannot match Employee SSN; ","")&amp;IF(AND($W395&lt;&gt;"",OR(COUNTIFS($W$2:$W$501,$W395,$C$2:$C$501,"&lt;&gt;"&amp;$C395)&gt;0,COUNTIFS($W$2:$W$501,$W395,$D$2:$D$501,"&lt;&gt;"&amp;$D395)&gt;0,COUNTIFS($W$2:$W$501,$W395,$L$2:$L$501,"&lt;&gt;"&amp;$L395)&gt;0)),"The same SSN is associated with a different name or birthdate; ",""))</f>
        <v/>
      </c>
      <c r="AA395">
        <f>IF(COUNTA($A395:$U395)=0,"",IF(AND($A395&lt;&gt;"",$S395&lt;&gt;"",COUNTIFS($A$2:$A$501,$A395,$S$2:$S$501,$S395,$B$2:$B$501,"",$O$2:$O$501,"")=0),"Add an employee row for this household and plan; ","")&amp;IF(AND($X395="Dependent",COUNTIFS($A$2:$A395,$A395,$S$2:$S395,$S395,$B$2:$B395,"",$O$2:$O395,"")=0),"Place the employee row before dependent rows for this plan; ","")&amp;IF(AND($X395="Dependent",COUNTIFS($A$2:$A$501,$A395,$S$2:$S$501,$S395,$B$2:$B$501,"",$O$2:$O$501,"")&gt;0,IFERROR(OR($P395&lt;&gt;LOOKUP(2,1/(($A$2:$A$501=$A395)*($S$2:$S$501=$S395)*($B$2:$B$501="")*($O$2:$O$501="")),$P$2:$P$501),$Q395&lt;&gt;LOOKUP(2,1/(($A$2:$A$501=$A395)*($S$2:$S$501=$S395)*($B$2:$B$501="")*($O$2:$O$501="")),$Q$2:$Q$501),$R395&lt;&gt;LOOKUP(2,1/(($A$2:$A$501=$A395)*($S$2:$S$501=$S395)*($B$2:$B$501="")*($O$2:$O$501="")),$R$2:$R$501),$T395&lt;&gt;LOOKUP(2,1/(($A$2:$A$501=$A395)*($S$2:$S$501=$S395)*($B$2:$B$501="")*($O$2:$O$501="")),$T$2:$T$501),$U395&lt;&gt;LOOKUP(2,1/(($A$2:$A$501=$A395)*($S$2:$S$501=$S395)*($B$2:$B$501="")*($O$2:$O$501="")),$U$2:$U$501)),FALSE)),"Dependent row does not match the employee row for eligibility, status, coverage level, or funding; ",""))</f>
        <v/>
      </c>
      <c r="AB395">
        <f>IF(COUNTA($A395:$U395)=0,"",IF($L395="","Birthdate is required; ","")&amp;IF(AND($L395&lt;&gt;"",OR(NOT(ISNUMBER($L395)),$L395&lt;=DATE(1900,1,1),$L395&gt;TODAY())),"Birthdate must be an exact valid past date; ","")&amp;IF($P395="","Eligibility Date is required; ","")&amp;IF(AND($P395&lt;&gt;"",OR(NOT(ISNUMBER($P395)),$P395&lt;=DATE(1900,1,1))),"Eligibility Date must be a valid date; ","")&amp;IF(AND($R395="Terminated",$Q395=""),"Termination Date is required when Status is Terminated; ","")&amp;IF(AND($Q395&lt;&gt;"",OR(NOT(ISNUMBER($Q395)),$Q395&lt;=DATE(1900,1,1))),"Termination Date must be a valid date; ","")&amp;IF(AND(ISNUMBER($P395),ISNUMBER($Q395),$Q395&lt;$P395),"Termination Date cannot be before Eligibility Date; ","")&amp;IF($R395="","Status is required; ","")&amp;IF(AND($R395&lt;&gt;"",$R395&lt;&gt;"Active",$R395&lt;&gt;"Terminated"),"Status must be Active or Terminated; ","")&amp;IF(AND('START HERE'!$C$8="Terminations Only",$R395&lt;&gt;"Terminated"),"Terminations Only files must contain terminated records; ",""))</f>
        <v/>
      </c>
      <c r="AC395">
        <f>IF(COUNTA($A395:$U395)=0,"",IF($S395="","Plan Name is required; ","")&amp;IF($T395="","Benefit Coverage Level is required; ","")&amp;IF(AND($U395&lt;&gt;"",OR(NOT(ISNUMBER($U395)),$U395&lt;0)),"Plan Funding Amount must be a nonnegative number; ","")&amp;IF(AND($A395&lt;&gt;"",$S395&lt;&gt;"",COUNTIFS($A$2:$A$501,$A395,$B$2:$B$501,$B395,$S$2:$S$501,$S395)&gt;1),"Duplicate participant and plan row; ",""))</f>
        <v/>
      </c>
      <c r="AD395">
        <f>IF(COUNTA($A395:$U395)=0,"",IF(AND($X395="Employee",$M395="",$N395=""),"No employee phone or email provided; ","")&amp;IF(AND($R395="Active",$Q395&lt;&gt;""),"Active record includes a Termination Date; confirm this is intentional; ","")&amp;IF(AND($B395&lt;&gt;"",$B395&amp;""&lt;&gt;$A395&amp;"",COUNTIF($A$2:$A$501,$B395)&gt;0),"Dependent SSN also appears as an Employee SSN elsewhere; confirm dual-employee coverage is intentional; ","")&amp;IF(AND($B395&lt;&gt;"",COUNTIF($B$2:$B$501,$B395)&gt;COUNTIFS($A$2:$A$501,$A395,$B$2:$B$501,$B395)),"Dependent SSN appears under more than one employee; confirm duplicate family coverage is intentional; ","")&amp;IF(AND(ROW()&gt;2,$A395&lt;&gt;"",$A395&lt;&gt;$A394,COUNTIF($A$2:$A394,$A395)&gt;0),"This household appears in more than one section of the census; keep the family together; ","")&amp;IF(OR(AND($C395&lt;&gt;"",LEN($C395&amp;"")&lt;&gt;LEN(TRIM($C395&amp;""))),AND($D395&lt;&gt;"",LEN($D395&amp;"")&lt;&gt;LEN(TRIM($D395&amp;""))),AND($E395&lt;&gt;"",LEN($E395&amp;"")&lt;&gt;LEN(TRIM($E395&amp;""))),AND($F395&lt;&gt;"",LEN($F395&amp;"")&lt;&gt;LEN(TRIM($F395&amp;""))),AND($G395&lt;&gt;"",LEN($G395&amp;"")&lt;&gt;LEN(TRIM($G395&amp;""))),AND($H395&lt;&gt;"",LEN($H395&amp;"")&lt;&gt;LEN(TRIM($H395&amp;""))),AND($I395&lt;&gt;"",LEN($I395&amp;"")&lt;&gt;LEN(TRIM($I395&amp;""))),AND($J395&lt;&gt;"",LEN($J395&amp;"")&lt;&gt;LEN(TRIM($J395&amp;""))),AND($K395&lt;&gt;"",LEN($K395&amp;"")&lt;&gt;LEN(TRIM($K395&amp;""))),AND($M395&lt;&gt;"",LEN($M395&amp;"")&lt;&gt;LEN(TRIM($M395&amp;""))),AND($N395&lt;&gt;"",LEN($N395&amp;"")&lt;&gt;LEN(TRIM($N395&amp;""))),AND($O395&lt;&gt;"",LEN($O395&amp;"")&lt;&gt;LEN(TRIM($O395&amp;""))),AND($R395&lt;&gt;"",LEN($R395&amp;"")&lt;&gt;LEN(TRIM($R395&amp;""))),AND($S395&lt;&gt;"",LEN($S395&amp;"")&lt;&gt;LEN(TRIM($S395&amp;""))),AND($T395&lt;&gt;"",LEN($T395&amp;"")&lt;&gt;LEN(TRIM($T395&amp;"")))),"Remove leading or trailing spaces from text fields; ","")&amp;IF(OR(AND(LEN($C395)&gt;1,OR(EXACT($C395,UPPER($C395)),EXACT($C395,LOWER($C395)))),AND(LEN($D395)&gt;1,OR(EXACT($D395,UPPER($D395)),EXACT($D395,LOWER($D395)))),AND(LEN($H395)&gt;1,OR(EXACT($H395,UPPER($H395)),EXACT($H395,LOWER($H395))))),"Review capitalization in First Name, Last Name, or City; ","")&amp;IF(AND($N395&lt;&gt;"",NOT(EXACT($N395,LOWER($N395)))),"Email will be standardized to lowercase in the clean output; ","")&amp;IF(AND(OR('START HERE'!$C$8="Initial Enrollment",'START HERE'!$C$8="Open Enrollment"),$R395="Terminated"),"A terminated row is included in an initial or open enrollment file; confirm this is intentional; ",""))</f>
        <v/>
      </c>
      <c r="AE395">
        <f>IF(COUNTA($A395:$U395)=0,"",IF(OR($A395="",AND($A395&lt;&gt;"",NOT(IFERROR(AND(LEN($A395&amp;"")=9,ISNUMBER(--($A395&amp;""))),FALSE))),AND($A395&lt;&gt;"",OR($A395="123456789",$A395="987654321",$A395="012345678",$A395=REPT(LEFT($A395&amp;"",1),9)))),"Employee SSN, ","")&amp;IF(OR(AND($O395&lt;&gt;"",$B395=""),AND($B395&lt;&gt;"",OR(NOT(IFERROR(AND(LEN($B395&amp;"")=9,ISNUMBER(--($B395&amp;""))),FALSE)),$B395=$A395,$B395="123456789",$B395="987654321",$B395="012345678",$B395=REPT(LEFT($B395&amp;"",1),9)))),"Dependent SSN, ","")&amp;IF(OR($C395="",LEN($C395)&gt;19,AND($C395&lt;&gt;"",SUMPRODUCT(--(ROW($1:$19)&lt;=LEN($C395&amp;"")),--ISERROR(FIND(MID($C395&amp;"",ROW($1:$19),1),"ABCDEFGHIJKLMNOPQRSTUVWXYZabcdefghijklmnopqrstuvwxyz .,")))&gt;0)),"First Name, ","")&amp;IF(OR($D395="",LEN($D395)&gt;26,AND($D395&lt;&gt;"",SUMPRODUCT(--(ROW($1:$26)&lt;=LEN($D395&amp;"")),--ISERROR(FIND(MID($D395&amp;"",ROW($1:$26),1),"ABCDEFGHIJKLMNOPQRSTUVWXYZabcdefghijklmnopqrstuvwxyz .,")))&gt;0)),"Last Name, ","")&amp;IF(OR(LEN($E395)&gt;1,AND($E395&lt;&gt;"",SUMPRODUCT(--(ROW($1:$1)&lt;=LEN($E395&amp;"")),--ISERROR(FIND(MID($E395&amp;"",ROW($1:$1),1),"ABCDEFGHIJKLMNOPQRSTUVWXYZabcdefghijklmnopqrstuvwxyz .,")))&gt;0)),"Middle Initial, ","")&amp;IF(OR($F395="",LEN($F395)&gt;75),"Address, ","")&amp;IF(OR($H395="",LEN($H395)&gt;30),"City, ","")&amp;IF(AND($K395="US",OR($I395="",LEN($I395)&lt;&gt;2)),"State, ","")&amp;IF($J395="","ZIP, ","")&amp;IF(OR($K395="",AND($K395&lt;&gt;"US",$K395&lt;&gt;"CA")),"Country, ","")&amp;IF(OR($L395="",AND($L395&lt;&gt;"",OR(NOT(ISNUMBER($L395)),$L395&lt;=DATE(1900,1,1),$L395&gt;TODAY()))),"Birthdate, ","")&amp;IF(AND($N395&lt;&gt;"",NOT(IFERROR(AND(ISNUMBER(SEARCH("@",$N395)),ISNUMBER(SEARCH(".",$N395,SEARCH("@",$N395)+2))),FALSE))),"Email, ","")&amp;IF(OR(AND($B395&lt;&gt;"",$O395=""),AND($O395&lt;&gt;"",$O395&lt;&gt;"Spouse or Common Law Spouse",$O395&lt;&gt;"Domestic Partner",$O395&lt;&gt;"Child",$O395&lt;&gt;"Other",$O395&lt;&gt;"Estate",$O395&lt;&gt;"Unknown")),"Dependent Relationship, ","")&amp;IF($AA395&lt;&gt;"","Household, ","")&amp;IF(OR($P395="",AND($P395&lt;&gt;"",OR(NOT(ISNUMBER($P395)),$P395&lt;=DATE(1900,1,1)))),"Eligibility Date, ","")&amp;IF(OR(AND($R395="Terminated",$Q395=""),AND($Q395&lt;&gt;"",OR(NOT(ISNUMBER($Q395)),$Q395&lt;=DATE(1900,1,1))),AND(ISNUMBER($P395),ISNUMBER($Q395),$Q395&lt;$P395)),"Termination Date, ","")&amp;IF(OR($R395="",AND($R395&lt;&gt;"Active",$R395&lt;&gt;"Terminated"),AND('START HERE'!$C$8="Terminations Only",$R395&lt;&gt;"Terminated")),"Status, ","")&amp;IF($S395="","Plan Name, ","")&amp;IF($T395="","Coverage Level, ","")&amp;IF(AND($U395&lt;&gt;"",OR(NOT(ISNUMBER($U395)),$U395&lt;0)),"Funding, ","")&amp;IF(AND($A395&lt;&gt;"",$S395&lt;&gt;"",COUNTIFS($A$2:$A$501,$A395,$B$2:$B$501,$B395,$S$2:$S$501,$S395)&gt;1),"Duplicate Row, ",""))</f>
        <v/>
      </c>
      <c r="AF395">
        <f>IF(COUNTA($A395:$U395)=0,"",$Y395&amp;$Z395&amp;$AA395&amp;$AB395&amp;$AC395)</f>
        <v/>
      </c>
      <c r="AG395">
        <f>IF($N395="","",LOWER(TRIM($N395)))</f>
        <v/>
      </c>
      <c r="AH395">
        <f>IF($A395="","",COUNTIFS($A$2:$A$501,$A395,$AI$2:$AI$501,1))</f>
        <v/>
      </c>
      <c r="AI395">
        <f>IF(COUNTA($A395:$U395)=0,"",--($AF395&lt;&gt;""))</f>
        <v/>
      </c>
      <c r="AJ395">
        <f>IF(COUNTA($A395:$U395)=0,"",--($AD395&lt;&gt;""))</f>
        <v/>
      </c>
    </row>
    <row r="396" ht="20" customHeight="1">
      <c r="A396" s="80" t="n"/>
      <c r="B396" s="80" t="n"/>
      <c r="C396" s="81" t="n"/>
      <c r="D396" s="81" t="n"/>
      <c r="E396" s="80" t="n"/>
      <c r="F396" s="81" t="n"/>
      <c r="G396" s="81" t="n"/>
      <c r="H396" s="81" t="n"/>
      <c r="I396" s="80" t="n"/>
      <c r="J396" s="80" t="n"/>
      <c r="K396" s="80" t="n"/>
      <c r="L396" s="82" t="n"/>
      <c r="M396" s="80" t="n"/>
      <c r="N396" s="80" t="n"/>
      <c r="O396" s="80" t="n"/>
      <c r="P396" s="82" t="n"/>
      <c r="Q396" s="82" t="n"/>
      <c r="R396" s="80" t="n"/>
      <c r="S396" s="80" t="n"/>
      <c r="T396" s="80" t="n"/>
      <c r="U396" s="83" t="n"/>
      <c r="V396">
        <f>IF($A396="","",IF($A396=$A395,$V395,IF($V395="",0,1-$V395)))</f>
        <v/>
      </c>
      <c r="W396">
        <f>IF($B396&lt;&gt;"",$B396,$A396)</f>
        <v/>
      </c>
      <c r="X396">
        <f>IF(COUNTA($A396:$U396)=0,"",IF(OR($B396&lt;&gt;"",$O396&lt;&gt;""),"Dependent","Employee"))</f>
        <v/>
      </c>
      <c r="Y396">
        <f>IF(COUNTA($A396:$U396)=0,"",IF($A396="","Employee SSN is required; ","")&amp;IF($C396="","First Name is required; ","")&amp;IF(LEN($C396&amp;"")&gt;19,"First Name exceeds 19 characters; ","")&amp;IF(AND($C396&lt;&gt;"",SUMPRODUCT(--(ROW($1:$19)&lt;=LEN($C396&amp;"")),--ISERROR(FIND(MID($C396&amp;"",ROW($1:$19),1),"ABCDEFGHIJKLMNOPQRSTUVWXYZabcdefghijklmnopqrstuvwxyz .,")))&gt;0),"First Name contains unsupported or encoded characters; use plain A-Z letters only; ","")&amp;IF($D396="","Last Name is required; ","")&amp;IF(LEN($D396&amp;"")&gt;26,"Last Name exceeds 26 characters; ","")&amp;IF(AND($D396&lt;&gt;"",SUMPRODUCT(--(ROW($1:$26)&lt;=LEN($D396&amp;"")),--ISERROR(FIND(MID($D396&amp;"",ROW($1:$26),1),"ABCDEFGHIJKLMNOPQRSTUVWXYZabcdefghijklmnopqrstuvwxyz .,")))&gt;0),"Last Name contains unsupported or encoded characters; use plain A-Z letters only; ","")&amp;IF(LEN($E396&amp;"")&gt;1,"Middle Initial may contain only one character; ","")&amp;IF(AND($E396&lt;&gt;"",SUMPRODUCT(--(ROW($1:$1)&lt;=LEN($E396&amp;"")),--ISERROR(FIND(MID($E396&amp;"",ROW($1:$1),1),"ABCDEFGHIJKLMNOPQRSTUVWXYZabcdefghijklmnopqrstuvwxyz .,")))&gt;0),"Middle Initial must be a plain A-Z letter; ","")&amp;IF($F396="","Address is required; ","")&amp;IF(LEN($F396&amp;"")&gt;75,"Address exceeds 75 characters; ","")&amp;IF(LEN($G396&amp;"")&gt;75,"Address 2 exceeds 75 characters; ","")&amp;IF($H396="","City is required; ","")&amp;IF(LEN($H396&amp;"")&gt;30,"City exceeds 30 characters; ","")&amp;IF($K396="","Country is required; ","")&amp;IF(AND($K396&lt;&gt;"",$K396&lt;&gt;"US",$K396&lt;&gt;"CA"),"Country must be US or CA; ","")&amp;IF(AND($K396="US",OR($I396="",LEN($I396&amp;"")&lt;&gt;2)),"Use a 2-letter state code; ","")&amp;IF($J396="","ZIP or postal code is required; ","")&amp;IF(AND($K396="US",$J396&lt;&gt;"",NOT(IFERROR(OR(AND(LEN($J396&amp;"")=5,ISNUMBER(--($J396&amp;""))),AND(LEN($J396&amp;"")=9,ISNUMBER(--($J396&amp;""))),AND(LEN($J396&amp;"")=10,MID($J396&amp;"",6,1)="-",ISNUMBER(--SUBSTITUTE($J396&amp;"","-","")))),FALSE))),"US ZIP must be 5 or 9 digits, with an optional ZIP+4 hyphen; ","")&amp;IF(AND($N396&lt;&gt;"",NOT(IFERROR(AND(ISNUMBER(SEARCH("@",$N396)),ISNUMBER(SEARCH(".",$N396,SEARCH("@",$N396)+2))),FALSE))),"Email format appears invalid; ","")&amp;IF(AND($O396&lt;&gt;"",$B396=""),"Dependent SSN is required for every dependent; ","")&amp;IF(AND($B396&lt;&gt;"",$O396=""),"Dependent Relationship is required when Dependent SSN is entered; ","")&amp;IF(AND($O396&lt;&gt;"",$O396&lt;&gt;"Spouse or Common Law Spouse",$O396&lt;&gt;"Domestic Partner",$O396&lt;&gt;"Child",$O396&lt;&gt;"Other",$O396&lt;&gt;"Estate",$O396&lt;&gt;"Unknown"),"Dependent Relationship must use one of the approved options; ",""))</f>
        <v/>
      </c>
      <c r="Z396">
        <f>IF(COUNTA($A396:$U396)=0,"",IF(AND($A396&lt;&gt;"",NOT(IFERROR(AND(LEN($A396&amp;"")=9,ISNUMBER(--($A396&amp;""))),FALSE))),"Employee SSN must contain exactly 9 digits; ","")&amp;IF(AND($A396&lt;&gt;"",OR($A396="123456789",$A396="987654321",$A396="012345678",$A396=REPT(LEFT($A396&amp;"",1),9))),"Employee SSN appears to be a placeholder; ","")&amp;IF(AND($B396&lt;&gt;"",NOT(IFERROR(AND(LEN($B396&amp;"")=9,ISNUMBER(--($B396&amp;""))),FALSE))),"Dependent SSN must contain exactly 9 digits; ","")&amp;IF(AND($B396&lt;&gt;"",OR($B396="123456789",$B396="987654321",$B396="012345678",$B396=REPT(LEFT($B396&amp;"",1),9))),"Dependent SSN appears to be a placeholder; ","")&amp;IF(AND($A396&lt;&gt;"",$B396&lt;&gt;"",$A396&amp;""=$B396&amp;""),"Dependent SSN cannot match Employee SSN; ","")&amp;IF(AND($W396&lt;&gt;"",OR(COUNTIFS($W$2:$W$501,$W396,$C$2:$C$501,"&lt;&gt;"&amp;$C396)&gt;0,COUNTIFS($W$2:$W$501,$W396,$D$2:$D$501,"&lt;&gt;"&amp;$D396)&gt;0,COUNTIFS($W$2:$W$501,$W396,$L$2:$L$501,"&lt;&gt;"&amp;$L396)&gt;0)),"The same SSN is associated with a different name or birthdate; ",""))</f>
        <v/>
      </c>
      <c r="AA396">
        <f>IF(COUNTA($A396:$U396)=0,"",IF(AND($A396&lt;&gt;"",$S396&lt;&gt;"",COUNTIFS($A$2:$A$501,$A396,$S$2:$S$501,$S396,$B$2:$B$501,"",$O$2:$O$501,"")=0),"Add an employee row for this household and plan; ","")&amp;IF(AND($X396="Dependent",COUNTIFS($A$2:$A396,$A396,$S$2:$S396,$S396,$B$2:$B396,"",$O$2:$O396,"")=0),"Place the employee row before dependent rows for this plan; ","")&amp;IF(AND($X396="Dependent",COUNTIFS($A$2:$A$501,$A396,$S$2:$S$501,$S396,$B$2:$B$501,"",$O$2:$O$501,"")&gt;0,IFERROR(OR($P396&lt;&gt;LOOKUP(2,1/(($A$2:$A$501=$A396)*($S$2:$S$501=$S396)*($B$2:$B$501="")*($O$2:$O$501="")),$P$2:$P$501),$Q396&lt;&gt;LOOKUP(2,1/(($A$2:$A$501=$A396)*($S$2:$S$501=$S396)*($B$2:$B$501="")*($O$2:$O$501="")),$Q$2:$Q$501),$R396&lt;&gt;LOOKUP(2,1/(($A$2:$A$501=$A396)*($S$2:$S$501=$S396)*($B$2:$B$501="")*($O$2:$O$501="")),$R$2:$R$501),$T396&lt;&gt;LOOKUP(2,1/(($A$2:$A$501=$A396)*($S$2:$S$501=$S396)*($B$2:$B$501="")*($O$2:$O$501="")),$T$2:$T$501),$U396&lt;&gt;LOOKUP(2,1/(($A$2:$A$501=$A396)*($S$2:$S$501=$S396)*($B$2:$B$501="")*($O$2:$O$501="")),$U$2:$U$501)),FALSE)),"Dependent row does not match the employee row for eligibility, status, coverage level, or funding; ",""))</f>
        <v/>
      </c>
      <c r="AB396">
        <f>IF(COUNTA($A396:$U396)=0,"",IF($L396="","Birthdate is required; ","")&amp;IF(AND($L396&lt;&gt;"",OR(NOT(ISNUMBER($L396)),$L396&lt;=DATE(1900,1,1),$L396&gt;TODAY())),"Birthdate must be an exact valid past date; ","")&amp;IF($P396="","Eligibility Date is required; ","")&amp;IF(AND($P396&lt;&gt;"",OR(NOT(ISNUMBER($P396)),$P396&lt;=DATE(1900,1,1))),"Eligibility Date must be a valid date; ","")&amp;IF(AND($R396="Terminated",$Q396=""),"Termination Date is required when Status is Terminated; ","")&amp;IF(AND($Q396&lt;&gt;"",OR(NOT(ISNUMBER($Q396)),$Q396&lt;=DATE(1900,1,1))),"Termination Date must be a valid date; ","")&amp;IF(AND(ISNUMBER($P396),ISNUMBER($Q396),$Q396&lt;$P396),"Termination Date cannot be before Eligibility Date; ","")&amp;IF($R396="","Status is required; ","")&amp;IF(AND($R396&lt;&gt;"",$R396&lt;&gt;"Active",$R396&lt;&gt;"Terminated"),"Status must be Active or Terminated; ","")&amp;IF(AND('START HERE'!$C$8="Terminations Only",$R396&lt;&gt;"Terminated"),"Terminations Only files must contain terminated records; ",""))</f>
        <v/>
      </c>
      <c r="AC396">
        <f>IF(COUNTA($A396:$U396)=0,"",IF($S396="","Plan Name is required; ","")&amp;IF($T396="","Benefit Coverage Level is required; ","")&amp;IF(AND($U396&lt;&gt;"",OR(NOT(ISNUMBER($U396)),$U396&lt;0)),"Plan Funding Amount must be a nonnegative number; ","")&amp;IF(AND($A396&lt;&gt;"",$S396&lt;&gt;"",COUNTIFS($A$2:$A$501,$A396,$B$2:$B$501,$B396,$S$2:$S$501,$S396)&gt;1),"Duplicate participant and plan row; ",""))</f>
        <v/>
      </c>
      <c r="AD396">
        <f>IF(COUNTA($A396:$U396)=0,"",IF(AND($X396="Employee",$M396="",$N396=""),"No employee phone or email provided; ","")&amp;IF(AND($R396="Active",$Q396&lt;&gt;""),"Active record includes a Termination Date; confirm this is intentional; ","")&amp;IF(AND($B396&lt;&gt;"",$B396&amp;""&lt;&gt;$A396&amp;"",COUNTIF($A$2:$A$501,$B396)&gt;0),"Dependent SSN also appears as an Employee SSN elsewhere; confirm dual-employee coverage is intentional; ","")&amp;IF(AND($B396&lt;&gt;"",COUNTIF($B$2:$B$501,$B396)&gt;COUNTIFS($A$2:$A$501,$A396,$B$2:$B$501,$B396)),"Dependent SSN appears under more than one employee; confirm duplicate family coverage is intentional; ","")&amp;IF(AND(ROW()&gt;2,$A396&lt;&gt;"",$A396&lt;&gt;$A395,COUNTIF($A$2:$A395,$A396)&gt;0),"This household appears in more than one section of the census; keep the family together; ","")&amp;IF(OR(AND($C396&lt;&gt;"",LEN($C396&amp;"")&lt;&gt;LEN(TRIM($C396&amp;""))),AND($D396&lt;&gt;"",LEN($D396&amp;"")&lt;&gt;LEN(TRIM($D396&amp;""))),AND($E396&lt;&gt;"",LEN($E396&amp;"")&lt;&gt;LEN(TRIM($E396&amp;""))),AND($F396&lt;&gt;"",LEN($F396&amp;"")&lt;&gt;LEN(TRIM($F396&amp;""))),AND($G396&lt;&gt;"",LEN($G396&amp;"")&lt;&gt;LEN(TRIM($G396&amp;""))),AND($H396&lt;&gt;"",LEN($H396&amp;"")&lt;&gt;LEN(TRIM($H396&amp;""))),AND($I396&lt;&gt;"",LEN($I396&amp;"")&lt;&gt;LEN(TRIM($I396&amp;""))),AND($J396&lt;&gt;"",LEN($J396&amp;"")&lt;&gt;LEN(TRIM($J396&amp;""))),AND($K396&lt;&gt;"",LEN($K396&amp;"")&lt;&gt;LEN(TRIM($K396&amp;""))),AND($M396&lt;&gt;"",LEN($M396&amp;"")&lt;&gt;LEN(TRIM($M396&amp;""))),AND($N396&lt;&gt;"",LEN($N396&amp;"")&lt;&gt;LEN(TRIM($N396&amp;""))),AND($O396&lt;&gt;"",LEN($O396&amp;"")&lt;&gt;LEN(TRIM($O396&amp;""))),AND($R396&lt;&gt;"",LEN($R396&amp;"")&lt;&gt;LEN(TRIM($R396&amp;""))),AND($S396&lt;&gt;"",LEN($S396&amp;"")&lt;&gt;LEN(TRIM($S396&amp;""))),AND($T396&lt;&gt;"",LEN($T396&amp;"")&lt;&gt;LEN(TRIM($T396&amp;"")))),"Remove leading or trailing spaces from text fields; ","")&amp;IF(OR(AND(LEN($C396)&gt;1,OR(EXACT($C396,UPPER($C396)),EXACT($C396,LOWER($C396)))),AND(LEN($D396)&gt;1,OR(EXACT($D396,UPPER($D396)),EXACT($D396,LOWER($D396)))),AND(LEN($H396)&gt;1,OR(EXACT($H396,UPPER($H396)),EXACT($H396,LOWER($H396))))),"Review capitalization in First Name, Last Name, or City; ","")&amp;IF(AND($N396&lt;&gt;"",NOT(EXACT($N396,LOWER($N396)))),"Email will be standardized to lowercase in the clean output; ","")&amp;IF(AND(OR('START HERE'!$C$8="Initial Enrollment",'START HERE'!$C$8="Open Enrollment"),$R396="Terminated"),"A terminated row is included in an initial or open enrollment file; confirm this is intentional; ",""))</f>
        <v/>
      </c>
      <c r="AE396">
        <f>IF(COUNTA($A396:$U396)=0,"",IF(OR($A396="",AND($A396&lt;&gt;"",NOT(IFERROR(AND(LEN($A396&amp;"")=9,ISNUMBER(--($A396&amp;""))),FALSE))),AND($A396&lt;&gt;"",OR($A396="123456789",$A396="987654321",$A396="012345678",$A396=REPT(LEFT($A396&amp;"",1),9)))),"Employee SSN, ","")&amp;IF(OR(AND($O396&lt;&gt;"",$B396=""),AND($B396&lt;&gt;"",OR(NOT(IFERROR(AND(LEN($B396&amp;"")=9,ISNUMBER(--($B396&amp;""))),FALSE)),$B396=$A396,$B396="123456789",$B396="987654321",$B396="012345678",$B396=REPT(LEFT($B396&amp;"",1),9)))),"Dependent SSN, ","")&amp;IF(OR($C396="",LEN($C396)&gt;19,AND($C396&lt;&gt;"",SUMPRODUCT(--(ROW($1:$19)&lt;=LEN($C396&amp;"")),--ISERROR(FIND(MID($C396&amp;"",ROW($1:$19),1),"ABCDEFGHIJKLMNOPQRSTUVWXYZabcdefghijklmnopqrstuvwxyz .,")))&gt;0)),"First Name, ","")&amp;IF(OR($D396="",LEN($D396)&gt;26,AND($D396&lt;&gt;"",SUMPRODUCT(--(ROW($1:$26)&lt;=LEN($D396&amp;"")),--ISERROR(FIND(MID($D396&amp;"",ROW($1:$26),1),"ABCDEFGHIJKLMNOPQRSTUVWXYZabcdefghijklmnopqrstuvwxyz .,")))&gt;0)),"Last Name, ","")&amp;IF(OR(LEN($E396)&gt;1,AND($E396&lt;&gt;"",SUMPRODUCT(--(ROW($1:$1)&lt;=LEN($E396&amp;"")),--ISERROR(FIND(MID($E396&amp;"",ROW($1:$1),1),"ABCDEFGHIJKLMNOPQRSTUVWXYZabcdefghijklmnopqrstuvwxyz .,")))&gt;0)),"Middle Initial, ","")&amp;IF(OR($F396="",LEN($F396)&gt;75),"Address, ","")&amp;IF(OR($H396="",LEN($H396)&gt;30),"City, ","")&amp;IF(AND($K396="US",OR($I396="",LEN($I396)&lt;&gt;2)),"State, ","")&amp;IF($J396="","ZIP, ","")&amp;IF(OR($K396="",AND($K396&lt;&gt;"US",$K396&lt;&gt;"CA")),"Country, ","")&amp;IF(OR($L396="",AND($L396&lt;&gt;"",OR(NOT(ISNUMBER($L396)),$L396&lt;=DATE(1900,1,1),$L396&gt;TODAY()))),"Birthdate, ","")&amp;IF(AND($N396&lt;&gt;"",NOT(IFERROR(AND(ISNUMBER(SEARCH("@",$N396)),ISNUMBER(SEARCH(".",$N396,SEARCH("@",$N396)+2))),FALSE))),"Email, ","")&amp;IF(OR(AND($B396&lt;&gt;"",$O396=""),AND($O396&lt;&gt;"",$O396&lt;&gt;"Spouse or Common Law Spouse",$O396&lt;&gt;"Domestic Partner",$O396&lt;&gt;"Child",$O396&lt;&gt;"Other",$O396&lt;&gt;"Estate",$O396&lt;&gt;"Unknown")),"Dependent Relationship, ","")&amp;IF($AA396&lt;&gt;"","Household, ","")&amp;IF(OR($P396="",AND($P396&lt;&gt;"",OR(NOT(ISNUMBER($P396)),$P396&lt;=DATE(1900,1,1)))),"Eligibility Date, ","")&amp;IF(OR(AND($R396="Terminated",$Q396=""),AND($Q396&lt;&gt;"",OR(NOT(ISNUMBER($Q396)),$Q396&lt;=DATE(1900,1,1))),AND(ISNUMBER($P396),ISNUMBER($Q396),$Q396&lt;$P396)),"Termination Date, ","")&amp;IF(OR($R396="",AND($R396&lt;&gt;"Active",$R396&lt;&gt;"Terminated"),AND('START HERE'!$C$8="Terminations Only",$R396&lt;&gt;"Terminated")),"Status, ","")&amp;IF($S396="","Plan Name, ","")&amp;IF($T396="","Coverage Level, ","")&amp;IF(AND($U396&lt;&gt;"",OR(NOT(ISNUMBER($U396)),$U396&lt;0)),"Funding, ","")&amp;IF(AND($A396&lt;&gt;"",$S396&lt;&gt;"",COUNTIFS($A$2:$A$501,$A396,$B$2:$B$501,$B396,$S$2:$S$501,$S396)&gt;1),"Duplicate Row, ",""))</f>
        <v/>
      </c>
      <c r="AF396">
        <f>IF(COUNTA($A396:$U396)=0,"",$Y396&amp;$Z396&amp;$AA396&amp;$AB396&amp;$AC396)</f>
        <v/>
      </c>
      <c r="AG396">
        <f>IF($N396="","",LOWER(TRIM($N396)))</f>
        <v/>
      </c>
      <c r="AH396">
        <f>IF($A396="","",COUNTIFS($A$2:$A$501,$A396,$AI$2:$AI$501,1))</f>
        <v/>
      </c>
      <c r="AI396">
        <f>IF(COUNTA($A396:$U396)=0,"",--($AF396&lt;&gt;""))</f>
        <v/>
      </c>
      <c r="AJ396">
        <f>IF(COUNTA($A396:$U396)=0,"",--($AD396&lt;&gt;""))</f>
        <v/>
      </c>
    </row>
    <row r="397" ht="20" customHeight="1">
      <c r="A397" s="80" t="n"/>
      <c r="B397" s="80" t="n"/>
      <c r="C397" s="81" t="n"/>
      <c r="D397" s="81" t="n"/>
      <c r="E397" s="80" t="n"/>
      <c r="F397" s="81" t="n"/>
      <c r="G397" s="81" t="n"/>
      <c r="H397" s="81" t="n"/>
      <c r="I397" s="80" t="n"/>
      <c r="J397" s="80" t="n"/>
      <c r="K397" s="80" t="n"/>
      <c r="L397" s="82" t="n"/>
      <c r="M397" s="80" t="n"/>
      <c r="N397" s="80" t="n"/>
      <c r="O397" s="80" t="n"/>
      <c r="P397" s="82" t="n"/>
      <c r="Q397" s="82" t="n"/>
      <c r="R397" s="80" t="n"/>
      <c r="S397" s="80" t="n"/>
      <c r="T397" s="80" t="n"/>
      <c r="U397" s="83" t="n"/>
      <c r="V397">
        <f>IF($A397="","",IF($A397=$A396,$V396,IF($V396="",0,1-$V396)))</f>
        <v/>
      </c>
      <c r="W397">
        <f>IF($B397&lt;&gt;"",$B397,$A397)</f>
        <v/>
      </c>
      <c r="X397">
        <f>IF(COUNTA($A397:$U397)=0,"",IF(OR($B397&lt;&gt;"",$O397&lt;&gt;""),"Dependent","Employee"))</f>
        <v/>
      </c>
      <c r="Y397">
        <f>IF(COUNTA($A397:$U397)=0,"",IF($A397="","Employee SSN is required; ","")&amp;IF($C397="","First Name is required; ","")&amp;IF(LEN($C397&amp;"")&gt;19,"First Name exceeds 19 characters; ","")&amp;IF(AND($C397&lt;&gt;"",SUMPRODUCT(--(ROW($1:$19)&lt;=LEN($C397&amp;"")),--ISERROR(FIND(MID($C397&amp;"",ROW($1:$19),1),"ABCDEFGHIJKLMNOPQRSTUVWXYZabcdefghijklmnopqrstuvwxyz .,")))&gt;0),"First Name contains unsupported or encoded characters; use plain A-Z letters only; ","")&amp;IF($D397="","Last Name is required; ","")&amp;IF(LEN($D397&amp;"")&gt;26,"Last Name exceeds 26 characters; ","")&amp;IF(AND($D397&lt;&gt;"",SUMPRODUCT(--(ROW($1:$26)&lt;=LEN($D397&amp;"")),--ISERROR(FIND(MID($D397&amp;"",ROW($1:$26),1),"ABCDEFGHIJKLMNOPQRSTUVWXYZabcdefghijklmnopqrstuvwxyz .,")))&gt;0),"Last Name contains unsupported or encoded characters; use plain A-Z letters only; ","")&amp;IF(LEN($E397&amp;"")&gt;1,"Middle Initial may contain only one character; ","")&amp;IF(AND($E397&lt;&gt;"",SUMPRODUCT(--(ROW($1:$1)&lt;=LEN($E397&amp;"")),--ISERROR(FIND(MID($E397&amp;"",ROW($1:$1),1),"ABCDEFGHIJKLMNOPQRSTUVWXYZabcdefghijklmnopqrstuvwxyz .,")))&gt;0),"Middle Initial must be a plain A-Z letter; ","")&amp;IF($F397="","Address is required; ","")&amp;IF(LEN($F397&amp;"")&gt;75,"Address exceeds 75 characters; ","")&amp;IF(LEN($G397&amp;"")&gt;75,"Address 2 exceeds 75 characters; ","")&amp;IF($H397="","City is required; ","")&amp;IF(LEN($H397&amp;"")&gt;30,"City exceeds 30 characters; ","")&amp;IF($K397="","Country is required; ","")&amp;IF(AND($K397&lt;&gt;"",$K397&lt;&gt;"US",$K397&lt;&gt;"CA"),"Country must be US or CA; ","")&amp;IF(AND($K397="US",OR($I397="",LEN($I397&amp;"")&lt;&gt;2)),"Use a 2-letter state code; ","")&amp;IF($J397="","ZIP or postal code is required; ","")&amp;IF(AND($K397="US",$J397&lt;&gt;"",NOT(IFERROR(OR(AND(LEN($J397&amp;"")=5,ISNUMBER(--($J397&amp;""))),AND(LEN($J397&amp;"")=9,ISNUMBER(--($J397&amp;""))),AND(LEN($J397&amp;"")=10,MID($J397&amp;"",6,1)="-",ISNUMBER(--SUBSTITUTE($J397&amp;"","-","")))),FALSE))),"US ZIP must be 5 or 9 digits, with an optional ZIP+4 hyphen; ","")&amp;IF(AND($N397&lt;&gt;"",NOT(IFERROR(AND(ISNUMBER(SEARCH("@",$N397)),ISNUMBER(SEARCH(".",$N397,SEARCH("@",$N397)+2))),FALSE))),"Email format appears invalid; ","")&amp;IF(AND($O397&lt;&gt;"",$B397=""),"Dependent SSN is required for every dependent; ","")&amp;IF(AND($B397&lt;&gt;"",$O397=""),"Dependent Relationship is required when Dependent SSN is entered; ","")&amp;IF(AND($O397&lt;&gt;"",$O397&lt;&gt;"Spouse or Common Law Spouse",$O397&lt;&gt;"Domestic Partner",$O397&lt;&gt;"Child",$O397&lt;&gt;"Other",$O397&lt;&gt;"Estate",$O397&lt;&gt;"Unknown"),"Dependent Relationship must use one of the approved options; ",""))</f>
        <v/>
      </c>
      <c r="Z397">
        <f>IF(COUNTA($A397:$U397)=0,"",IF(AND($A397&lt;&gt;"",NOT(IFERROR(AND(LEN($A397&amp;"")=9,ISNUMBER(--($A397&amp;""))),FALSE))),"Employee SSN must contain exactly 9 digits; ","")&amp;IF(AND($A397&lt;&gt;"",OR($A397="123456789",$A397="987654321",$A397="012345678",$A397=REPT(LEFT($A397&amp;"",1),9))),"Employee SSN appears to be a placeholder; ","")&amp;IF(AND($B397&lt;&gt;"",NOT(IFERROR(AND(LEN($B397&amp;"")=9,ISNUMBER(--($B397&amp;""))),FALSE))),"Dependent SSN must contain exactly 9 digits; ","")&amp;IF(AND($B397&lt;&gt;"",OR($B397="123456789",$B397="987654321",$B397="012345678",$B397=REPT(LEFT($B397&amp;"",1),9))),"Dependent SSN appears to be a placeholder; ","")&amp;IF(AND($A397&lt;&gt;"",$B397&lt;&gt;"",$A397&amp;""=$B397&amp;""),"Dependent SSN cannot match Employee SSN; ","")&amp;IF(AND($W397&lt;&gt;"",OR(COUNTIFS($W$2:$W$501,$W397,$C$2:$C$501,"&lt;&gt;"&amp;$C397)&gt;0,COUNTIFS($W$2:$W$501,$W397,$D$2:$D$501,"&lt;&gt;"&amp;$D397)&gt;0,COUNTIFS($W$2:$W$501,$W397,$L$2:$L$501,"&lt;&gt;"&amp;$L397)&gt;0)),"The same SSN is associated with a different name or birthdate; ",""))</f>
        <v/>
      </c>
      <c r="AA397">
        <f>IF(COUNTA($A397:$U397)=0,"",IF(AND($A397&lt;&gt;"",$S397&lt;&gt;"",COUNTIFS($A$2:$A$501,$A397,$S$2:$S$501,$S397,$B$2:$B$501,"",$O$2:$O$501,"")=0),"Add an employee row for this household and plan; ","")&amp;IF(AND($X397="Dependent",COUNTIFS($A$2:$A397,$A397,$S$2:$S397,$S397,$B$2:$B397,"",$O$2:$O397,"")=0),"Place the employee row before dependent rows for this plan; ","")&amp;IF(AND($X397="Dependent",COUNTIFS($A$2:$A$501,$A397,$S$2:$S$501,$S397,$B$2:$B$501,"",$O$2:$O$501,"")&gt;0,IFERROR(OR($P397&lt;&gt;LOOKUP(2,1/(($A$2:$A$501=$A397)*($S$2:$S$501=$S397)*($B$2:$B$501="")*($O$2:$O$501="")),$P$2:$P$501),$Q397&lt;&gt;LOOKUP(2,1/(($A$2:$A$501=$A397)*($S$2:$S$501=$S397)*($B$2:$B$501="")*($O$2:$O$501="")),$Q$2:$Q$501),$R397&lt;&gt;LOOKUP(2,1/(($A$2:$A$501=$A397)*($S$2:$S$501=$S397)*($B$2:$B$501="")*($O$2:$O$501="")),$R$2:$R$501),$T397&lt;&gt;LOOKUP(2,1/(($A$2:$A$501=$A397)*($S$2:$S$501=$S397)*($B$2:$B$501="")*($O$2:$O$501="")),$T$2:$T$501),$U397&lt;&gt;LOOKUP(2,1/(($A$2:$A$501=$A397)*($S$2:$S$501=$S397)*($B$2:$B$501="")*($O$2:$O$501="")),$U$2:$U$501)),FALSE)),"Dependent row does not match the employee row for eligibility, status, coverage level, or funding; ",""))</f>
        <v/>
      </c>
      <c r="AB397">
        <f>IF(COUNTA($A397:$U397)=0,"",IF($L397="","Birthdate is required; ","")&amp;IF(AND($L397&lt;&gt;"",OR(NOT(ISNUMBER($L397)),$L397&lt;=DATE(1900,1,1),$L397&gt;TODAY())),"Birthdate must be an exact valid past date; ","")&amp;IF($P397="","Eligibility Date is required; ","")&amp;IF(AND($P397&lt;&gt;"",OR(NOT(ISNUMBER($P397)),$P397&lt;=DATE(1900,1,1))),"Eligibility Date must be a valid date; ","")&amp;IF(AND($R397="Terminated",$Q397=""),"Termination Date is required when Status is Terminated; ","")&amp;IF(AND($Q397&lt;&gt;"",OR(NOT(ISNUMBER($Q397)),$Q397&lt;=DATE(1900,1,1))),"Termination Date must be a valid date; ","")&amp;IF(AND(ISNUMBER($P397),ISNUMBER($Q397),$Q397&lt;$P397),"Termination Date cannot be before Eligibility Date; ","")&amp;IF($R397="","Status is required; ","")&amp;IF(AND($R397&lt;&gt;"",$R397&lt;&gt;"Active",$R397&lt;&gt;"Terminated"),"Status must be Active or Terminated; ","")&amp;IF(AND('START HERE'!$C$8="Terminations Only",$R397&lt;&gt;"Terminated"),"Terminations Only files must contain terminated records; ",""))</f>
        <v/>
      </c>
      <c r="AC397">
        <f>IF(COUNTA($A397:$U397)=0,"",IF($S397="","Plan Name is required; ","")&amp;IF($T397="","Benefit Coverage Level is required; ","")&amp;IF(AND($U397&lt;&gt;"",OR(NOT(ISNUMBER($U397)),$U397&lt;0)),"Plan Funding Amount must be a nonnegative number; ","")&amp;IF(AND($A397&lt;&gt;"",$S397&lt;&gt;"",COUNTIFS($A$2:$A$501,$A397,$B$2:$B$501,$B397,$S$2:$S$501,$S397)&gt;1),"Duplicate participant and plan row; ",""))</f>
        <v/>
      </c>
      <c r="AD397">
        <f>IF(COUNTA($A397:$U397)=0,"",IF(AND($X397="Employee",$M397="",$N397=""),"No employee phone or email provided; ","")&amp;IF(AND($R397="Active",$Q397&lt;&gt;""),"Active record includes a Termination Date; confirm this is intentional; ","")&amp;IF(AND($B397&lt;&gt;"",$B397&amp;""&lt;&gt;$A397&amp;"",COUNTIF($A$2:$A$501,$B397)&gt;0),"Dependent SSN also appears as an Employee SSN elsewhere; confirm dual-employee coverage is intentional; ","")&amp;IF(AND($B397&lt;&gt;"",COUNTIF($B$2:$B$501,$B397)&gt;COUNTIFS($A$2:$A$501,$A397,$B$2:$B$501,$B397)),"Dependent SSN appears under more than one employee; confirm duplicate family coverage is intentional; ","")&amp;IF(AND(ROW()&gt;2,$A397&lt;&gt;"",$A397&lt;&gt;$A396,COUNTIF($A$2:$A396,$A397)&gt;0),"This household appears in more than one section of the census; keep the family together; ","")&amp;IF(OR(AND($C397&lt;&gt;"",LEN($C397&amp;"")&lt;&gt;LEN(TRIM($C397&amp;""))),AND($D397&lt;&gt;"",LEN($D397&amp;"")&lt;&gt;LEN(TRIM($D397&amp;""))),AND($E397&lt;&gt;"",LEN($E397&amp;"")&lt;&gt;LEN(TRIM($E397&amp;""))),AND($F397&lt;&gt;"",LEN($F397&amp;"")&lt;&gt;LEN(TRIM($F397&amp;""))),AND($G397&lt;&gt;"",LEN($G397&amp;"")&lt;&gt;LEN(TRIM($G397&amp;""))),AND($H397&lt;&gt;"",LEN($H397&amp;"")&lt;&gt;LEN(TRIM($H397&amp;""))),AND($I397&lt;&gt;"",LEN($I397&amp;"")&lt;&gt;LEN(TRIM($I397&amp;""))),AND($J397&lt;&gt;"",LEN($J397&amp;"")&lt;&gt;LEN(TRIM($J397&amp;""))),AND($K397&lt;&gt;"",LEN($K397&amp;"")&lt;&gt;LEN(TRIM($K397&amp;""))),AND($M397&lt;&gt;"",LEN($M397&amp;"")&lt;&gt;LEN(TRIM($M397&amp;""))),AND($N397&lt;&gt;"",LEN($N397&amp;"")&lt;&gt;LEN(TRIM($N397&amp;""))),AND($O397&lt;&gt;"",LEN($O397&amp;"")&lt;&gt;LEN(TRIM($O397&amp;""))),AND($R397&lt;&gt;"",LEN($R397&amp;"")&lt;&gt;LEN(TRIM($R397&amp;""))),AND($S397&lt;&gt;"",LEN($S397&amp;"")&lt;&gt;LEN(TRIM($S397&amp;""))),AND($T397&lt;&gt;"",LEN($T397&amp;"")&lt;&gt;LEN(TRIM($T397&amp;"")))),"Remove leading or trailing spaces from text fields; ","")&amp;IF(OR(AND(LEN($C397)&gt;1,OR(EXACT($C397,UPPER($C397)),EXACT($C397,LOWER($C397)))),AND(LEN($D397)&gt;1,OR(EXACT($D397,UPPER($D397)),EXACT($D397,LOWER($D397)))),AND(LEN($H397)&gt;1,OR(EXACT($H397,UPPER($H397)),EXACT($H397,LOWER($H397))))),"Review capitalization in First Name, Last Name, or City; ","")&amp;IF(AND($N397&lt;&gt;"",NOT(EXACT($N397,LOWER($N397)))),"Email will be standardized to lowercase in the clean output; ","")&amp;IF(AND(OR('START HERE'!$C$8="Initial Enrollment",'START HERE'!$C$8="Open Enrollment"),$R397="Terminated"),"A terminated row is included in an initial or open enrollment file; confirm this is intentional; ",""))</f>
        <v/>
      </c>
      <c r="AE397">
        <f>IF(COUNTA($A397:$U397)=0,"",IF(OR($A397="",AND($A397&lt;&gt;"",NOT(IFERROR(AND(LEN($A397&amp;"")=9,ISNUMBER(--($A397&amp;""))),FALSE))),AND($A397&lt;&gt;"",OR($A397="123456789",$A397="987654321",$A397="012345678",$A397=REPT(LEFT($A397&amp;"",1),9)))),"Employee SSN, ","")&amp;IF(OR(AND($O397&lt;&gt;"",$B397=""),AND($B397&lt;&gt;"",OR(NOT(IFERROR(AND(LEN($B397&amp;"")=9,ISNUMBER(--($B397&amp;""))),FALSE)),$B397=$A397,$B397="123456789",$B397="987654321",$B397="012345678",$B397=REPT(LEFT($B397&amp;"",1),9)))),"Dependent SSN, ","")&amp;IF(OR($C397="",LEN($C397)&gt;19,AND($C397&lt;&gt;"",SUMPRODUCT(--(ROW($1:$19)&lt;=LEN($C397&amp;"")),--ISERROR(FIND(MID($C397&amp;"",ROW($1:$19),1),"ABCDEFGHIJKLMNOPQRSTUVWXYZabcdefghijklmnopqrstuvwxyz .,")))&gt;0)),"First Name, ","")&amp;IF(OR($D397="",LEN($D397)&gt;26,AND($D397&lt;&gt;"",SUMPRODUCT(--(ROW($1:$26)&lt;=LEN($D397&amp;"")),--ISERROR(FIND(MID($D397&amp;"",ROW($1:$26),1),"ABCDEFGHIJKLMNOPQRSTUVWXYZabcdefghijklmnopqrstuvwxyz .,")))&gt;0)),"Last Name, ","")&amp;IF(OR(LEN($E397)&gt;1,AND($E397&lt;&gt;"",SUMPRODUCT(--(ROW($1:$1)&lt;=LEN($E397&amp;"")),--ISERROR(FIND(MID($E397&amp;"",ROW($1:$1),1),"ABCDEFGHIJKLMNOPQRSTUVWXYZabcdefghijklmnopqrstuvwxyz .,")))&gt;0)),"Middle Initial, ","")&amp;IF(OR($F397="",LEN($F397)&gt;75),"Address, ","")&amp;IF(OR($H397="",LEN($H397)&gt;30),"City, ","")&amp;IF(AND($K397="US",OR($I397="",LEN($I397)&lt;&gt;2)),"State, ","")&amp;IF($J397="","ZIP, ","")&amp;IF(OR($K397="",AND($K397&lt;&gt;"US",$K397&lt;&gt;"CA")),"Country, ","")&amp;IF(OR($L397="",AND($L397&lt;&gt;"",OR(NOT(ISNUMBER($L397)),$L397&lt;=DATE(1900,1,1),$L397&gt;TODAY()))),"Birthdate, ","")&amp;IF(AND($N397&lt;&gt;"",NOT(IFERROR(AND(ISNUMBER(SEARCH("@",$N397)),ISNUMBER(SEARCH(".",$N397,SEARCH("@",$N397)+2))),FALSE))),"Email, ","")&amp;IF(OR(AND($B397&lt;&gt;"",$O397=""),AND($O397&lt;&gt;"",$O397&lt;&gt;"Spouse or Common Law Spouse",$O397&lt;&gt;"Domestic Partner",$O397&lt;&gt;"Child",$O397&lt;&gt;"Other",$O397&lt;&gt;"Estate",$O397&lt;&gt;"Unknown")),"Dependent Relationship, ","")&amp;IF($AA397&lt;&gt;"","Household, ","")&amp;IF(OR($P397="",AND($P397&lt;&gt;"",OR(NOT(ISNUMBER($P397)),$P397&lt;=DATE(1900,1,1)))),"Eligibility Date, ","")&amp;IF(OR(AND($R397="Terminated",$Q397=""),AND($Q397&lt;&gt;"",OR(NOT(ISNUMBER($Q397)),$Q397&lt;=DATE(1900,1,1))),AND(ISNUMBER($P397),ISNUMBER($Q397),$Q397&lt;$P397)),"Termination Date, ","")&amp;IF(OR($R397="",AND($R397&lt;&gt;"Active",$R397&lt;&gt;"Terminated"),AND('START HERE'!$C$8="Terminations Only",$R397&lt;&gt;"Terminated")),"Status, ","")&amp;IF($S397="","Plan Name, ","")&amp;IF($T397="","Coverage Level, ","")&amp;IF(AND($U397&lt;&gt;"",OR(NOT(ISNUMBER($U397)),$U397&lt;0)),"Funding, ","")&amp;IF(AND($A397&lt;&gt;"",$S397&lt;&gt;"",COUNTIFS($A$2:$A$501,$A397,$B$2:$B$501,$B397,$S$2:$S$501,$S397)&gt;1),"Duplicate Row, ",""))</f>
        <v/>
      </c>
      <c r="AF397">
        <f>IF(COUNTA($A397:$U397)=0,"",$Y397&amp;$Z397&amp;$AA397&amp;$AB397&amp;$AC397)</f>
        <v/>
      </c>
      <c r="AG397">
        <f>IF($N397="","",LOWER(TRIM($N397)))</f>
        <v/>
      </c>
      <c r="AH397">
        <f>IF($A397="","",COUNTIFS($A$2:$A$501,$A397,$AI$2:$AI$501,1))</f>
        <v/>
      </c>
      <c r="AI397">
        <f>IF(COUNTA($A397:$U397)=0,"",--($AF397&lt;&gt;""))</f>
        <v/>
      </c>
      <c r="AJ397">
        <f>IF(COUNTA($A397:$U397)=0,"",--($AD397&lt;&gt;""))</f>
        <v/>
      </c>
    </row>
    <row r="398" ht="20" customHeight="1">
      <c r="A398" s="80" t="n"/>
      <c r="B398" s="80" t="n"/>
      <c r="C398" s="81" t="n"/>
      <c r="D398" s="81" t="n"/>
      <c r="E398" s="80" t="n"/>
      <c r="F398" s="81" t="n"/>
      <c r="G398" s="81" t="n"/>
      <c r="H398" s="81" t="n"/>
      <c r="I398" s="80" t="n"/>
      <c r="J398" s="80" t="n"/>
      <c r="K398" s="80" t="n"/>
      <c r="L398" s="82" t="n"/>
      <c r="M398" s="80" t="n"/>
      <c r="N398" s="80" t="n"/>
      <c r="O398" s="80" t="n"/>
      <c r="P398" s="82" t="n"/>
      <c r="Q398" s="82" t="n"/>
      <c r="R398" s="80" t="n"/>
      <c r="S398" s="80" t="n"/>
      <c r="T398" s="80" t="n"/>
      <c r="U398" s="83" t="n"/>
      <c r="V398">
        <f>IF($A398="","",IF($A398=$A397,$V397,IF($V397="",0,1-$V397)))</f>
        <v/>
      </c>
      <c r="W398">
        <f>IF($B398&lt;&gt;"",$B398,$A398)</f>
        <v/>
      </c>
      <c r="X398">
        <f>IF(COUNTA($A398:$U398)=0,"",IF(OR($B398&lt;&gt;"",$O398&lt;&gt;""),"Dependent","Employee"))</f>
        <v/>
      </c>
      <c r="Y398">
        <f>IF(COUNTA($A398:$U398)=0,"",IF($A398="","Employee SSN is required; ","")&amp;IF($C398="","First Name is required; ","")&amp;IF(LEN($C398&amp;"")&gt;19,"First Name exceeds 19 characters; ","")&amp;IF(AND($C398&lt;&gt;"",SUMPRODUCT(--(ROW($1:$19)&lt;=LEN($C398&amp;"")),--ISERROR(FIND(MID($C398&amp;"",ROW($1:$19),1),"ABCDEFGHIJKLMNOPQRSTUVWXYZabcdefghijklmnopqrstuvwxyz .,")))&gt;0),"First Name contains unsupported or encoded characters; use plain A-Z letters only; ","")&amp;IF($D398="","Last Name is required; ","")&amp;IF(LEN($D398&amp;"")&gt;26,"Last Name exceeds 26 characters; ","")&amp;IF(AND($D398&lt;&gt;"",SUMPRODUCT(--(ROW($1:$26)&lt;=LEN($D398&amp;"")),--ISERROR(FIND(MID($D398&amp;"",ROW($1:$26),1),"ABCDEFGHIJKLMNOPQRSTUVWXYZabcdefghijklmnopqrstuvwxyz .,")))&gt;0),"Last Name contains unsupported or encoded characters; use plain A-Z letters only; ","")&amp;IF(LEN($E398&amp;"")&gt;1,"Middle Initial may contain only one character; ","")&amp;IF(AND($E398&lt;&gt;"",SUMPRODUCT(--(ROW($1:$1)&lt;=LEN($E398&amp;"")),--ISERROR(FIND(MID($E398&amp;"",ROW($1:$1),1),"ABCDEFGHIJKLMNOPQRSTUVWXYZabcdefghijklmnopqrstuvwxyz .,")))&gt;0),"Middle Initial must be a plain A-Z letter; ","")&amp;IF($F398="","Address is required; ","")&amp;IF(LEN($F398&amp;"")&gt;75,"Address exceeds 75 characters; ","")&amp;IF(LEN($G398&amp;"")&gt;75,"Address 2 exceeds 75 characters; ","")&amp;IF($H398="","City is required; ","")&amp;IF(LEN($H398&amp;"")&gt;30,"City exceeds 30 characters; ","")&amp;IF($K398="","Country is required; ","")&amp;IF(AND($K398&lt;&gt;"",$K398&lt;&gt;"US",$K398&lt;&gt;"CA"),"Country must be US or CA; ","")&amp;IF(AND($K398="US",OR($I398="",LEN($I398&amp;"")&lt;&gt;2)),"Use a 2-letter state code; ","")&amp;IF($J398="","ZIP or postal code is required; ","")&amp;IF(AND($K398="US",$J398&lt;&gt;"",NOT(IFERROR(OR(AND(LEN($J398&amp;"")=5,ISNUMBER(--($J398&amp;""))),AND(LEN($J398&amp;"")=9,ISNUMBER(--($J398&amp;""))),AND(LEN($J398&amp;"")=10,MID($J398&amp;"",6,1)="-",ISNUMBER(--SUBSTITUTE($J398&amp;"","-","")))),FALSE))),"US ZIP must be 5 or 9 digits, with an optional ZIP+4 hyphen; ","")&amp;IF(AND($N398&lt;&gt;"",NOT(IFERROR(AND(ISNUMBER(SEARCH("@",$N398)),ISNUMBER(SEARCH(".",$N398,SEARCH("@",$N398)+2))),FALSE))),"Email format appears invalid; ","")&amp;IF(AND($O398&lt;&gt;"",$B398=""),"Dependent SSN is required for every dependent; ","")&amp;IF(AND($B398&lt;&gt;"",$O398=""),"Dependent Relationship is required when Dependent SSN is entered; ","")&amp;IF(AND($O398&lt;&gt;"",$O398&lt;&gt;"Spouse or Common Law Spouse",$O398&lt;&gt;"Domestic Partner",$O398&lt;&gt;"Child",$O398&lt;&gt;"Other",$O398&lt;&gt;"Estate",$O398&lt;&gt;"Unknown"),"Dependent Relationship must use one of the approved options; ",""))</f>
        <v/>
      </c>
      <c r="Z398">
        <f>IF(COUNTA($A398:$U398)=0,"",IF(AND($A398&lt;&gt;"",NOT(IFERROR(AND(LEN($A398&amp;"")=9,ISNUMBER(--($A398&amp;""))),FALSE))),"Employee SSN must contain exactly 9 digits; ","")&amp;IF(AND($A398&lt;&gt;"",OR($A398="123456789",$A398="987654321",$A398="012345678",$A398=REPT(LEFT($A398&amp;"",1),9))),"Employee SSN appears to be a placeholder; ","")&amp;IF(AND($B398&lt;&gt;"",NOT(IFERROR(AND(LEN($B398&amp;"")=9,ISNUMBER(--($B398&amp;""))),FALSE))),"Dependent SSN must contain exactly 9 digits; ","")&amp;IF(AND($B398&lt;&gt;"",OR($B398="123456789",$B398="987654321",$B398="012345678",$B398=REPT(LEFT($B398&amp;"",1),9))),"Dependent SSN appears to be a placeholder; ","")&amp;IF(AND($A398&lt;&gt;"",$B398&lt;&gt;"",$A398&amp;""=$B398&amp;""),"Dependent SSN cannot match Employee SSN; ","")&amp;IF(AND($W398&lt;&gt;"",OR(COUNTIFS($W$2:$W$501,$W398,$C$2:$C$501,"&lt;&gt;"&amp;$C398)&gt;0,COUNTIFS($W$2:$W$501,$W398,$D$2:$D$501,"&lt;&gt;"&amp;$D398)&gt;0,COUNTIFS($W$2:$W$501,$W398,$L$2:$L$501,"&lt;&gt;"&amp;$L398)&gt;0)),"The same SSN is associated with a different name or birthdate; ",""))</f>
        <v/>
      </c>
      <c r="AA398">
        <f>IF(COUNTA($A398:$U398)=0,"",IF(AND($A398&lt;&gt;"",$S398&lt;&gt;"",COUNTIFS($A$2:$A$501,$A398,$S$2:$S$501,$S398,$B$2:$B$501,"",$O$2:$O$501,"")=0),"Add an employee row for this household and plan; ","")&amp;IF(AND($X398="Dependent",COUNTIFS($A$2:$A398,$A398,$S$2:$S398,$S398,$B$2:$B398,"",$O$2:$O398,"")=0),"Place the employee row before dependent rows for this plan; ","")&amp;IF(AND($X398="Dependent",COUNTIFS($A$2:$A$501,$A398,$S$2:$S$501,$S398,$B$2:$B$501,"",$O$2:$O$501,"")&gt;0,IFERROR(OR($P398&lt;&gt;LOOKUP(2,1/(($A$2:$A$501=$A398)*($S$2:$S$501=$S398)*($B$2:$B$501="")*($O$2:$O$501="")),$P$2:$P$501),$Q398&lt;&gt;LOOKUP(2,1/(($A$2:$A$501=$A398)*($S$2:$S$501=$S398)*($B$2:$B$501="")*($O$2:$O$501="")),$Q$2:$Q$501),$R398&lt;&gt;LOOKUP(2,1/(($A$2:$A$501=$A398)*($S$2:$S$501=$S398)*($B$2:$B$501="")*($O$2:$O$501="")),$R$2:$R$501),$T398&lt;&gt;LOOKUP(2,1/(($A$2:$A$501=$A398)*($S$2:$S$501=$S398)*($B$2:$B$501="")*($O$2:$O$501="")),$T$2:$T$501),$U398&lt;&gt;LOOKUP(2,1/(($A$2:$A$501=$A398)*($S$2:$S$501=$S398)*($B$2:$B$501="")*($O$2:$O$501="")),$U$2:$U$501)),FALSE)),"Dependent row does not match the employee row for eligibility, status, coverage level, or funding; ",""))</f>
        <v/>
      </c>
      <c r="AB398">
        <f>IF(COUNTA($A398:$U398)=0,"",IF($L398="","Birthdate is required; ","")&amp;IF(AND($L398&lt;&gt;"",OR(NOT(ISNUMBER($L398)),$L398&lt;=DATE(1900,1,1),$L398&gt;TODAY())),"Birthdate must be an exact valid past date; ","")&amp;IF($P398="","Eligibility Date is required; ","")&amp;IF(AND($P398&lt;&gt;"",OR(NOT(ISNUMBER($P398)),$P398&lt;=DATE(1900,1,1))),"Eligibility Date must be a valid date; ","")&amp;IF(AND($R398="Terminated",$Q398=""),"Termination Date is required when Status is Terminated; ","")&amp;IF(AND($Q398&lt;&gt;"",OR(NOT(ISNUMBER($Q398)),$Q398&lt;=DATE(1900,1,1))),"Termination Date must be a valid date; ","")&amp;IF(AND(ISNUMBER($P398),ISNUMBER($Q398),$Q398&lt;$P398),"Termination Date cannot be before Eligibility Date; ","")&amp;IF($R398="","Status is required; ","")&amp;IF(AND($R398&lt;&gt;"",$R398&lt;&gt;"Active",$R398&lt;&gt;"Terminated"),"Status must be Active or Terminated; ","")&amp;IF(AND('START HERE'!$C$8="Terminations Only",$R398&lt;&gt;"Terminated"),"Terminations Only files must contain terminated records; ",""))</f>
        <v/>
      </c>
      <c r="AC398">
        <f>IF(COUNTA($A398:$U398)=0,"",IF($S398="","Plan Name is required; ","")&amp;IF($T398="","Benefit Coverage Level is required; ","")&amp;IF(AND($U398&lt;&gt;"",OR(NOT(ISNUMBER($U398)),$U398&lt;0)),"Plan Funding Amount must be a nonnegative number; ","")&amp;IF(AND($A398&lt;&gt;"",$S398&lt;&gt;"",COUNTIFS($A$2:$A$501,$A398,$B$2:$B$501,$B398,$S$2:$S$501,$S398)&gt;1),"Duplicate participant and plan row; ",""))</f>
        <v/>
      </c>
      <c r="AD398">
        <f>IF(COUNTA($A398:$U398)=0,"",IF(AND($X398="Employee",$M398="",$N398=""),"No employee phone or email provided; ","")&amp;IF(AND($R398="Active",$Q398&lt;&gt;""),"Active record includes a Termination Date; confirm this is intentional; ","")&amp;IF(AND($B398&lt;&gt;"",$B398&amp;""&lt;&gt;$A398&amp;"",COUNTIF($A$2:$A$501,$B398)&gt;0),"Dependent SSN also appears as an Employee SSN elsewhere; confirm dual-employee coverage is intentional; ","")&amp;IF(AND($B398&lt;&gt;"",COUNTIF($B$2:$B$501,$B398)&gt;COUNTIFS($A$2:$A$501,$A398,$B$2:$B$501,$B398)),"Dependent SSN appears under more than one employee; confirm duplicate family coverage is intentional; ","")&amp;IF(AND(ROW()&gt;2,$A398&lt;&gt;"",$A398&lt;&gt;$A397,COUNTIF($A$2:$A397,$A398)&gt;0),"This household appears in more than one section of the census; keep the family together; ","")&amp;IF(OR(AND($C398&lt;&gt;"",LEN($C398&amp;"")&lt;&gt;LEN(TRIM($C398&amp;""))),AND($D398&lt;&gt;"",LEN($D398&amp;"")&lt;&gt;LEN(TRIM($D398&amp;""))),AND($E398&lt;&gt;"",LEN($E398&amp;"")&lt;&gt;LEN(TRIM($E398&amp;""))),AND($F398&lt;&gt;"",LEN($F398&amp;"")&lt;&gt;LEN(TRIM($F398&amp;""))),AND($G398&lt;&gt;"",LEN($G398&amp;"")&lt;&gt;LEN(TRIM($G398&amp;""))),AND($H398&lt;&gt;"",LEN($H398&amp;"")&lt;&gt;LEN(TRIM($H398&amp;""))),AND($I398&lt;&gt;"",LEN($I398&amp;"")&lt;&gt;LEN(TRIM($I398&amp;""))),AND($J398&lt;&gt;"",LEN($J398&amp;"")&lt;&gt;LEN(TRIM($J398&amp;""))),AND($K398&lt;&gt;"",LEN($K398&amp;"")&lt;&gt;LEN(TRIM($K398&amp;""))),AND($M398&lt;&gt;"",LEN($M398&amp;"")&lt;&gt;LEN(TRIM($M398&amp;""))),AND($N398&lt;&gt;"",LEN($N398&amp;"")&lt;&gt;LEN(TRIM($N398&amp;""))),AND($O398&lt;&gt;"",LEN($O398&amp;"")&lt;&gt;LEN(TRIM($O398&amp;""))),AND($R398&lt;&gt;"",LEN($R398&amp;"")&lt;&gt;LEN(TRIM($R398&amp;""))),AND($S398&lt;&gt;"",LEN($S398&amp;"")&lt;&gt;LEN(TRIM($S398&amp;""))),AND($T398&lt;&gt;"",LEN($T398&amp;"")&lt;&gt;LEN(TRIM($T398&amp;"")))),"Remove leading or trailing spaces from text fields; ","")&amp;IF(OR(AND(LEN($C398)&gt;1,OR(EXACT($C398,UPPER($C398)),EXACT($C398,LOWER($C398)))),AND(LEN($D398)&gt;1,OR(EXACT($D398,UPPER($D398)),EXACT($D398,LOWER($D398)))),AND(LEN($H398)&gt;1,OR(EXACT($H398,UPPER($H398)),EXACT($H398,LOWER($H398))))),"Review capitalization in First Name, Last Name, or City; ","")&amp;IF(AND($N398&lt;&gt;"",NOT(EXACT($N398,LOWER($N398)))),"Email will be standardized to lowercase in the clean output; ","")&amp;IF(AND(OR('START HERE'!$C$8="Initial Enrollment",'START HERE'!$C$8="Open Enrollment"),$R398="Terminated"),"A terminated row is included in an initial or open enrollment file; confirm this is intentional; ",""))</f>
        <v/>
      </c>
      <c r="AE398">
        <f>IF(COUNTA($A398:$U398)=0,"",IF(OR($A398="",AND($A398&lt;&gt;"",NOT(IFERROR(AND(LEN($A398&amp;"")=9,ISNUMBER(--($A398&amp;""))),FALSE))),AND($A398&lt;&gt;"",OR($A398="123456789",$A398="987654321",$A398="012345678",$A398=REPT(LEFT($A398&amp;"",1),9)))),"Employee SSN, ","")&amp;IF(OR(AND($O398&lt;&gt;"",$B398=""),AND($B398&lt;&gt;"",OR(NOT(IFERROR(AND(LEN($B398&amp;"")=9,ISNUMBER(--($B398&amp;""))),FALSE)),$B398=$A398,$B398="123456789",$B398="987654321",$B398="012345678",$B398=REPT(LEFT($B398&amp;"",1),9)))),"Dependent SSN, ","")&amp;IF(OR($C398="",LEN($C398)&gt;19,AND($C398&lt;&gt;"",SUMPRODUCT(--(ROW($1:$19)&lt;=LEN($C398&amp;"")),--ISERROR(FIND(MID($C398&amp;"",ROW($1:$19),1),"ABCDEFGHIJKLMNOPQRSTUVWXYZabcdefghijklmnopqrstuvwxyz .,")))&gt;0)),"First Name, ","")&amp;IF(OR($D398="",LEN($D398)&gt;26,AND($D398&lt;&gt;"",SUMPRODUCT(--(ROW($1:$26)&lt;=LEN($D398&amp;"")),--ISERROR(FIND(MID($D398&amp;"",ROW($1:$26),1),"ABCDEFGHIJKLMNOPQRSTUVWXYZabcdefghijklmnopqrstuvwxyz .,")))&gt;0)),"Last Name, ","")&amp;IF(OR(LEN($E398)&gt;1,AND($E398&lt;&gt;"",SUMPRODUCT(--(ROW($1:$1)&lt;=LEN($E398&amp;"")),--ISERROR(FIND(MID($E398&amp;"",ROW($1:$1),1),"ABCDEFGHIJKLMNOPQRSTUVWXYZabcdefghijklmnopqrstuvwxyz .,")))&gt;0)),"Middle Initial, ","")&amp;IF(OR($F398="",LEN($F398)&gt;75),"Address, ","")&amp;IF(OR($H398="",LEN($H398)&gt;30),"City, ","")&amp;IF(AND($K398="US",OR($I398="",LEN($I398)&lt;&gt;2)),"State, ","")&amp;IF($J398="","ZIP, ","")&amp;IF(OR($K398="",AND($K398&lt;&gt;"US",$K398&lt;&gt;"CA")),"Country, ","")&amp;IF(OR($L398="",AND($L398&lt;&gt;"",OR(NOT(ISNUMBER($L398)),$L398&lt;=DATE(1900,1,1),$L398&gt;TODAY()))),"Birthdate, ","")&amp;IF(AND($N398&lt;&gt;"",NOT(IFERROR(AND(ISNUMBER(SEARCH("@",$N398)),ISNUMBER(SEARCH(".",$N398,SEARCH("@",$N398)+2))),FALSE))),"Email, ","")&amp;IF(OR(AND($B398&lt;&gt;"",$O398=""),AND($O398&lt;&gt;"",$O398&lt;&gt;"Spouse or Common Law Spouse",$O398&lt;&gt;"Domestic Partner",$O398&lt;&gt;"Child",$O398&lt;&gt;"Other",$O398&lt;&gt;"Estate",$O398&lt;&gt;"Unknown")),"Dependent Relationship, ","")&amp;IF($AA398&lt;&gt;"","Household, ","")&amp;IF(OR($P398="",AND($P398&lt;&gt;"",OR(NOT(ISNUMBER($P398)),$P398&lt;=DATE(1900,1,1)))),"Eligibility Date, ","")&amp;IF(OR(AND($R398="Terminated",$Q398=""),AND($Q398&lt;&gt;"",OR(NOT(ISNUMBER($Q398)),$Q398&lt;=DATE(1900,1,1))),AND(ISNUMBER($P398),ISNUMBER($Q398),$Q398&lt;$P398)),"Termination Date, ","")&amp;IF(OR($R398="",AND($R398&lt;&gt;"Active",$R398&lt;&gt;"Terminated"),AND('START HERE'!$C$8="Terminations Only",$R398&lt;&gt;"Terminated")),"Status, ","")&amp;IF($S398="","Plan Name, ","")&amp;IF($T398="","Coverage Level, ","")&amp;IF(AND($U398&lt;&gt;"",OR(NOT(ISNUMBER($U398)),$U398&lt;0)),"Funding, ","")&amp;IF(AND($A398&lt;&gt;"",$S398&lt;&gt;"",COUNTIFS($A$2:$A$501,$A398,$B$2:$B$501,$B398,$S$2:$S$501,$S398)&gt;1),"Duplicate Row, ",""))</f>
        <v/>
      </c>
      <c r="AF398">
        <f>IF(COUNTA($A398:$U398)=0,"",$Y398&amp;$Z398&amp;$AA398&amp;$AB398&amp;$AC398)</f>
        <v/>
      </c>
      <c r="AG398">
        <f>IF($N398="","",LOWER(TRIM($N398)))</f>
        <v/>
      </c>
      <c r="AH398">
        <f>IF($A398="","",COUNTIFS($A$2:$A$501,$A398,$AI$2:$AI$501,1))</f>
        <v/>
      </c>
      <c r="AI398">
        <f>IF(COUNTA($A398:$U398)=0,"",--($AF398&lt;&gt;""))</f>
        <v/>
      </c>
      <c r="AJ398">
        <f>IF(COUNTA($A398:$U398)=0,"",--($AD398&lt;&gt;""))</f>
        <v/>
      </c>
    </row>
    <row r="399" ht="20" customHeight="1">
      <c r="A399" s="80" t="n"/>
      <c r="B399" s="80" t="n"/>
      <c r="C399" s="81" t="n"/>
      <c r="D399" s="81" t="n"/>
      <c r="E399" s="80" t="n"/>
      <c r="F399" s="81" t="n"/>
      <c r="G399" s="81" t="n"/>
      <c r="H399" s="81" t="n"/>
      <c r="I399" s="80" t="n"/>
      <c r="J399" s="80" t="n"/>
      <c r="K399" s="80" t="n"/>
      <c r="L399" s="82" t="n"/>
      <c r="M399" s="80" t="n"/>
      <c r="N399" s="80" t="n"/>
      <c r="O399" s="80" t="n"/>
      <c r="P399" s="82" t="n"/>
      <c r="Q399" s="82" t="n"/>
      <c r="R399" s="80" t="n"/>
      <c r="S399" s="80" t="n"/>
      <c r="T399" s="80" t="n"/>
      <c r="U399" s="83" t="n"/>
      <c r="V399">
        <f>IF($A399="","",IF($A399=$A398,$V398,IF($V398="",0,1-$V398)))</f>
        <v/>
      </c>
      <c r="W399">
        <f>IF($B399&lt;&gt;"",$B399,$A399)</f>
        <v/>
      </c>
      <c r="X399">
        <f>IF(COUNTA($A399:$U399)=0,"",IF(OR($B399&lt;&gt;"",$O399&lt;&gt;""),"Dependent","Employee"))</f>
        <v/>
      </c>
      <c r="Y399">
        <f>IF(COUNTA($A399:$U399)=0,"",IF($A399="","Employee SSN is required; ","")&amp;IF($C399="","First Name is required; ","")&amp;IF(LEN($C399&amp;"")&gt;19,"First Name exceeds 19 characters; ","")&amp;IF(AND($C399&lt;&gt;"",SUMPRODUCT(--(ROW($1:$19)&lt;=LEN($C399&amp;"")),--ISERROR(FIND(MID($C399&amp;"",ROW($1:$19),1),"ABCDEFGHIJKLMNOPQRSTUVWXYZabcdefghijklmnopqrstuvwxyz .,")))&gt;0),"First Name contains unsupported or encoded characters; use plain A-Z letters only; ","")&amp;IF($D399="","Last Name is required; ","")&amp;IF(LEN($D399&amp;"")&gt;26,"Last Name exceeds 26 characters; ","")&amp;IF(AND($D399&lt;&gt;"",SUMPRODUCT(--(ROW($1:$26)&lt;=LEN($D399&amp;"")),--ISERROR(FIND(MID($D399&amp;"",ROW($1:$26),1),"ABCDEFGHIJKLMNOPQRSTUVWXYZabcdefghijklmnopqrstuvwxyz .,")))&gt;0),"Last Name contains unsupported or encoded characters; use plain A-Z letters only; ","")&amp;IF(LEN($E399&amp;"")&gt;1,"Middle Initial may contain only one character; ","")&amp;IF(AND($E399&lt;&gt;"",SUMPRODUCT(--(ROW($1:$1)&lt;=LEN($E399&amp;"")),--ISERROR(FIND(MID($E399&amp;"",ROW($1:$1),1),"ABCDEFGHIJKLMNOPQRSTUVWXYZabcdefghijklmnopqrstuvwxyz .,")))&gt;0),"Middle Initial must be a plain A-Z letter; ","")&amp;IF($F399="","Address is required; ","")&amp;IF(LEN($F399&amp;"")&gt;75,"Address exceeds 75 characters; ","")&amp;IF(LEN($G399&amp;"")&gt;75,"Address 2 exceeds 75 characters; ","")&amp;IF($H399="","City is required; ","")&amp;IF(LEN($H399&amp;"")&gt;30,"City exceeds 30 characters; ","")&amp;IF($K399="","Country is required; ","")&amp;IF(AND($K399&lt;&gt;"",$K399&lt;&gt;"US",$K399&lt;&gt;"CA"),"Country must be US or CA; ","")&amp;IF(AND($K399="US",OR($I399="",LEN($I399&amp;"")&lt;&gt;2)),"Use a 2-letter state code; ","")&amp;IF($J399="","ZIP or postal code is required; ","")&amp;IF(AND($K399="US",$J399&lt;&gt;"",NOT(IFERROR(OR(AND(LEN($J399&amp;"")=5,ISNUMBER(--($J399&amp;""))),AND(LEN($J399&amp;"")=9,ISNUMBER(--($J399&amp;""))),AND(LEN($J399&amp;"")=10,MID($J399&amp;"",6,1)="-",ISNUMBER(--SUBSTITUTE($J399&amp;"","-","")))),FALSE))),"US ZIP must be 5 or 9 digits, with an optional ZIP+4 hyphen; ","")&amp;IF(AND($N399&lt;&gt;"",NOT(IFERROR(AND(ISNUMBER(SEARCH("@",$N399)),ISNUMBER(SEARCH(".",$N399,SEARCH("@",$N399)+2))),FALSE))),"Email format appears invalid; ","")&amp;IF(AND($O399&lt;&gt;"",$B399=""),"Dependent SSN is required for every dependent; ","")&amp;IF(AND($B399&lt;&gt;"",$O399=""),"Dependent Relationship is required when Dependent SSN is entered; ","")&amp;IF(AND($O399&lt;&gt;"",$O399&lt;&gt;"Spouse or Common Law Spouse",$O399&lt;&gt;"Domestic Partner",$O399&lt;&gt;"Child",$O399&lt;&gt;"Other",$O399&lt;&gt;"Estate",$O399&lt;&gt;"Unknown"),"Dependent Relationship must use one of the approved options; ",""))</f>
        <v/>
      </c>
      <c r="Z399">
        <f>IF(COUNTA($A399:$U399)=0,"",IF(AND($A399&lt;&gt;"",NOT(IFERROR(AND(LEN($A399&amp;"")=9,ISNUMBER(--($A399&amp;""))),FALSE))),"Employee SSN must contain exactly 9 digits; ","")&amp;IF(AND($A399&lt;&gt;"",OR($A399="123456789",$A399="987654321",$A399="012345678",$A399=REPT(LEFT($A399&amp;"",1),9))),"Employee SSN appears to be a placeholder; ","")&amp;IF(AND($B399&lt;&gt;"",NOT(IFERROR(AND(LEN($B399&amp;"")=9,ISNUMBER(--($B399&amp;""))),FALSE))),"Dependent SSN must contain exactly 9 digits; ","")&amp;IF(AND($B399&lt;&gt;"",OR($B399="123456789",$B399="987654321",$B399="012345678",$B399=REPT(LEFT($B399&amp;"",1),9))),"Dependent SSN appears to be a placeholder; ","")&amp;IF(AND($A399&lt;&gt;"",$B399&lt;&gt;"",$A399&amp;""=$B399&amp;""),"Dependent SSN cannot match Employee SSN; ","")&amp;IF(AND($W399&lt;&gt;"",OR(COUNTIFS($W$2:$W$501,$W399,$C$2:$C$501,"&lt;&gt;"&amp;$C399)&gt;0,COUNTIFS($W$2:$W$501,$W399,$D$2:$D$501,"&lt;&gt;"&amp;$D399)&gt;0,COUNTIFS($W$2:$W$501,$W399,$L$2:$L$501,"&lt;&gt;"&amp;$L399)&gt;0)),"The same SSN is associated with a different name or birthdate; ",""))</f>
        <v/>
      </c>
      <c r="AA399">
        <f>IF(COUNTA($A399:$U399)=0,"",IF(AND($A399&lt;&gt;"",$S399&lt;&gt;"",COUNTIFS($A$2:$A$501,$A399,$S$2:$S$501,$S399,$B$2:$B$501,"",$O$2:$O$501,"")=0),"Add an employee row for this household and plan; ","")&amp;IF(AND($X399="Dependent",COUNTIFS($A$2:$A399,$A399,$S$2:$S399,$S399,$B$2:$B399,"",$O$2:$O399,"")=0),"Place the employee row before dependent rows for this plan; ","")&amp;IF(AND($X399="Dependent",COUNTIFS($A$2:$A$501,$A399,$S$2:$S$501,$S399,$B$2:$B$501,"",$O$2:$O$501,"")&gt;0,IFERROR(OR($P399&lt;&gt;LOOKUP(2,1/(($A$2:$A$501=$A399)*($S$2:$S$501=$S399)*($B$2:$B$501="")*($O$2:$O$501="")),$P$2:$P$501),$Q399&lt;&gt;LOOKUP(2,1/(($A$2:$A$501=$A399)*($S$2:$S$501=$S399)*($B$2:$B$501="")*($O$2:$O$501="")),$Q$2:$Q$501),$R399&lt;&gt;LOOKUP(2,1/(($A$2:$A$501=$A399)*($S$2:$S$501=$S399)*($B$2:$B$501="")*($O$2:$O$501="")),$R$2:$R$501),$T399&lt;&gt;LOOKUP(2,1/(($A$2:$A$501=$A399)*($S$2:$S$501=$S399)*($B$2:$B$501="")*($O$2:$O$501="")),$T$2:$T$501),$U399&lt;&gt;LOOKUP(2,1/(($A$2:$A$501=$A399)*($S$2:$S$501=$S399)*($B$2:$B$501="")*($O$2:$O$501="")),$U$2:$U$501)),FALSE)),"Dependent row does not match the employee row for eligibility, status, coverage level, or funding; ",""))</f>
        <v/>
      </c>
      <c r="AB399">
        <f>IF(COUNTA($A399:$U399)=0,"",IF($L399="","Birthdate is required; ","")&amp;IF(AND($L399&lt;&gt;"",OR(NOT(ISNUMBER($L399)),$L399&lt;=DATE(1900,1,1),$L399&gt;TODAY())),"Birthdate must be an exact valid past date; ","")&amp;IF($P399="","Eligibility Date is required; ","")&amp;IF(AND($P399&lt;&gt;"",OR(NOT(ISNUMBER($P399)),$P399&lt;=DATE(1900,1,1))),"Eligibility Date must be a valid date; ","")&amp;IF(AND($R399="Terminated",$Q399=""),"Termination Date is required when Status is Terminated; ","")&amp;IF(AND($Q399&lt;&gt;"",OR(NOT(ISNUMBER($Q399)),$Q399&lt;=DATE(1900,1,1))),"Termination Date must be a valid date; ","")&amp;IF(AND(ISNUMBER($P399),ISNUMBER($Q399),$Q399&lt;$P399),"Termination Date cannot be before Eligibility Date; ","")&amp;IF($R399="","Status is required; ","")&amp;IF(AND($R399&lt;&gt;"",$R399&lt;&gt;"Active",$R399&lt;&gt;"Terminated"),"Status must be Active or Terminated; ","")&amp;IF(AND('START HERE'!$C$8="Terminations Only",$R399&lt;&gt;"Terminated"),"Terminations Only files must contain terminated records; ",""))</f>
        <v/>
      </c>
      <c r="AC399">
        <f>IF(COUNTA($A399:$U399)=0,"",IF($S399="","Plan Name is required; ","")&amp;IF($T399="","Benefit Coverage Level is required; ","")&amp;IF(AND($U399&lt;&gt;"",OR(NOT(ISNUMBER($U399)),$U399&lt;0)),"Plan Funding Amount must be a nonnegative number; ","")&amp;IF(AND($A399&lt;&gt;"",$S399&lt;&gt;"",COUNTIFS($A$2:$A$501,$A399,$B$2:$B$501,$B399,$S$2:$S$501,$S399)&gt;1),"Duplicate participant and plan row; ",""))</f>
        <v/>
      </c>
      <c r="AD399">
        <f>IF(COUNTA($A399:$U399)=0,"",IF(AND($X399="Employee",$M399="",$N399=""),"No employee phone or email provided; ","")&amp;IF(AND($R399="Active",$Q399&lt;&gt;""),"Active record includes a Termination Date; confirm this is intentional; ","")&amp;IF(AND($B399&lt;&gt;"",$B399&amp;""&lt;&gt;$A399&amp;"",COUNTIF($A$2:$A$501,$B399)&gt;0),"Dependent SSN also appears as an Employee SSN elsewhere; confirm dual-employee coverage is intentional; ","")&amp;IF(AND($B399&lt;&gt;"",COUNTIF($B$2:$B$501,$B399)&gt;COUNTIFS($A$2:$A$501,$A399,$B$2:$B$501,$B399)),"Dependent SSN appears under more than one employee; confirm duplicate family coverage is intentional; ","")&amp;IF(AND(ROW()&gt;2,$A399&lt;&gt;"",$A399&lt;&gt;$A398,COUNTIF($A$2:$A398,$A399)&gt;0),"This household appears in more than one section of the census; keep the family together; ","")&amp;IF(OR(AND($C399&lt;&gt;"",LEN($C399&amp;"")&lt;&gt;LEN(TRIM($C399&amp;""))),AND($D399&lt;&gt;"",LEN($D399&amp;"")&lt;&gt;LEN(TRIM($D399&amp;""))),AND($E399&lt;&gt;"",LEN($E399&amp;"")&lt;&gt;LEN(TRIM($E399&amp;""))),AND($F399&lt;&gt;"",LEN($F399&amp;"")&lt;&gt;LEN(TRIM($F399&amp;""))),AND($G399&lt;&gt;"",LEN($G399&amp;"")&lt;&gt;LEN(TRIM($G399&amp;""))),AND($H399&lt;&gt;"",LEN($H399&amp;"")&lt;&gt;LEN(TRIM($H399&amp;""))),AND($I399&lt;&gt;"",LEN($I399&amp;"")&lt;&gt;LEN(TRIM($I399&amp;""))),AND($J399&lt;&gt;"",LEN($J399&amp;"")&lt;&gt;LEN(TRIM($J399&amp;""))),AND($K399&lt;&gt;"",LEN($K399&amp;"")&lt;&gt;LEN(TRIM($K399&amp;""))),AND($M399&lt;&gt;"",LEN($M399&amp;"")&lt;&gt;LEN(TRIM($M399&amp;""))),AND($N399&lt;&gt;"",LEN($N399&amp;"")&lt;&gt;LEN(TRIM($N399&amp;""))),AND($O399&lt;&gt;"",LEN($O399&amp;"")&lt;&gt;LEN(TRIM($O399&amp;""))),AND($R399&lt;&gt;"",LEN($R399&amp;"")&lt;&gt;LEN(TRIM($R399&amp;""))),AND($S399&lt;&gt;"",LEN($S399&amp;"")&lt;&gt;LEN(TRIM($S399&amp;""))),AND($T399&lt;&gt;"",LEN($T399&amp;"")&lt;&gt;LEN(TRIM($T399&amp;"")))),"Remove leading or trailing spaces from text fields; ","")&amp;IF(OR(AND(LEN($C399)&gt;1,OR(EXACT($C399,UPPER($C399)),EXACT($C399,LOWER($C399)))),AND(LEN($D399)&gt;1,OR(EXACT($D399,UPPER($D399)),EXACT($D399,LOWER($D399)))),AND(LEN($H399)&gt;1,OR(EXACT($H399,UPPER($H399)),EXACT($H399,LOWER($H399))))),"Review capitalization in First Name, Last Name, or City; ","")&amp;IF(AND($N399&lt;&gt;"",NOT(EXACT($N399,LOWER($N399)))),"Email will be standardized to lowercase in the clean output; ","")&amp;IF(AND(OR('START HERE'!$C$8="Initial Enrollment",'START HERE'!$C$8="Open Enrollment"),$R399="Terminated"),"A terminated row is included in an initial or open enrollment file; confirm this is intentional; ",""))</f>
        <v/>
      </c>
      <c r="AE399">
        <f>IF(COUNTA($A399:$U399)=0,"",IF(OR($A399="",AND($A399&lt;&gt;"",NOT(IFERROR(AND(LEN($A399&amp;"")=9,ISNUMBER(--($A399&amp;""))),FALSE))),AND($A399&lt;&gt;"",OR($A399="123456789",$A399="987654321",$A399="012345678",$A399=REPT(LEFT($A399&amp;"",1),9)))),"Employee SSN, ","")&amp;IF(OR(AND($O399&lt;&gt;"",$B399=""),AND($B399&lt;&gt;"",OR(NOT(IFERROR(AND(LEN($B399&amp;"")=9,ISNUMBER(--($B399&amp;""))),FALSE)),$B399=$A399,$B399="123456789",$B399="987654321",$B399="012345678",$B399=REPT(LEFT($B399&amp;"",1),9)))),"Dependent SSN, ","")&amp;IF(OR($C399="",LEN($C399)&gt;19,AND($C399&lt;&gt;"",SUMPRODUCT(--(ROW($1:$19)&lt;=LEN($C399&amp;"")),--ISERROR(FIND(MID($C399&amp;"",ROW($1:$19),1),"ABCDEFGHIJKLMNOPQRSTUVWXYZabcdefghijklmnopqrstuvwxyz .,")))&gt;0)),"First Name, ","")&amp;IF(OR($D399="",LEN($D399)&gt;26,AND($D399&lt;&gt;"",SUMPRODUCT(--(ROW($1:$26)&lt;=LEN($D399&amp;"")),--ISERROR(FIND(MID($D399&amp;"",ROW($1:$26),1),"ABCDEFGHIJKLMNOPQRSTUVWXYZabcdefghijklmnopqrstuvwxyz .,")))&gt;0)),"Last Name, ","")&amp;IF(OR(LEN($E399)&gt;1,AND($E399&lt;&gt;"",SUMPRODUCT(--(ROW($1:$1)&lt;=LEN($E399&amp;"")),--ISERROR(FIND(MID($E399&amp;"",ROW($1:$1),1),"ABCDEFGHIJKLMNOPQRSTUVWXYZabcdefghijklmnopqrstuvwxyz .,")))&gt;0)),"Middle Initial, ","")&amp;IF(OR($F399="",LEN($F399)&gt;75),"Address, ","")&amp;IF(OR($H399="",LEN($H399)&gt;30),"City, ","")&amp;IF(AND($K399="US",OR($I399="",LEN($I399)&lt;&gt;2)),"State, ","")&amp;IF($J399="","ZIP, ","")&amp;IF(OR($K399="",AND($K399&lt;&gt;"US",$K399&lt;&gt;"CA")),"Country, ","")&amp;IF(OR($L399="",AND($L399&lt;&gt;"",OR(NOT(ISNUMBER($L399)),$L399&lt;=DATE(1900,1,1),$L399&gt;TODAY()))),"Birthdate, ","")&amp;IF(AND($N399&lt;&gt;"",NOT(IFERROR(AND(ISNUMBER(SEARCH("@",$N399)),ISNUMBER(SEARCH(".",$N399,SEARCH("@",$N399)+2))),FALSE))),"Email, ","")&amp;IF(OR(AND($B399&lt;&gt;"",$O399=""),AND($O399&lt;&gt;"",$O399&lt;&gt;"Spouse or Common Law Spouse",$O399&lt;&gt;"Domestic Partner",$O399&lt;&gt;"Child",$O399&lt;&gt;"Other",$O399&lt;&gt;"Estate",$O399&lt;&gt;"Unknown")),"Dependent Relationship, ","")&amp;IF($AA399&lt;&gt;"","Household, ","")&amp;IF(OR($P399="",AND($P399&lt;&gt;"",OR(NOT(ISNUMBER($P399)),$P399&lt;=DATE(1900,1,1)))),"Eligibility Date, ","")&amp;IF(OR(AND($R399="Terminated",$Q399=""),AND($Q399&lt;&gt;"",OR(NOT(ISNUMBER($Q399)),$Q399&lt;=DATE(1900,1,1))),AND(ISNUMBER($P399),ISNUMBER($Q399),$Q399&lt;$P399)),"Termination Date, ","")&amp;IF(OR($R399="",AND($R399&lt;&gt;"Active",$R399&lt;&gt;"Terminated"),AND('START HERE'!$C$8="Terminations Only",$R399&lt;&gt;"Terminated")),"Status, ","")&amp;IF($S399="","Plan Name, ","")&amp;IF($T399="","Coverage Level, ","")&amp;IF(AND($U399&lt;&gt;"",OR(NOT(ISNUMBER($U399)),$U399&lt;0)),"Funding, ","")&amp;IF(AND($A399&lt;&gt;"",$S399&lt;&gt;"",COUNTIFS($A$2:$A$501,$A399,$B$2:$B$501,$B399,$S$2:$S$501,$S399)&gt;1),"Duplicate Row, ",""))</f>
        <v/>
      </c>
      <c r="AF399">
        <f>IF(COUNTA($A399:$U399)=0,"",$Y399&amp;$Z399&amp;$AA399&amp;$AB399&amp;$AC399)</f>
        <v/>
      </c>
      <c r="AG399">
        <f>IF($N399="","",LOWER(TRIM($N399)))</f>
        <v/>
      </c>
      <c r="AH399">
        <f>IF($A399="","",COUNTIFS($A$2:$A$501,$A399,$AI$2:$AI$501,1))</f>
        <v/>
      </c>
      <c r="AI399">
        <f>IF(COUNTA($A399:$U399)=0,"",--($AF399&lt;&gt;""))</f>
        <v/>
      </c>
      <c r="AJ399">
        <f>IF(COUNTA($A399:$U399)=0,"",--($AD399&lt;&gt;""))</f>
        <v/>
      </c>
    </row>
    <row r="400" ht="20" customHeight="1">
      <c r="A400" s="80" t="n"/>
      <c r="B400" s="80" t="n"/>
      <c r="C400" s="81" t="n"/>
      <c r="D400" s="81" t="n"/>
      <c r="E400" s="80" t="n"/>
      <c r="F400" s="81" t="n"/>
      <c r="G400" s="81" t="n"/>
      <c r="H400" s="81" t="n"/>
      <c r="I400" s="80" t="n"/>
      <c r="J400" s="80" t="n"/>
      <c r="K400" s="80" t="n"/>
      <c r="L400" s="82" t="n"/>
      <c r="M400" s="80" t="n"/>
      <c r="N400" s="80" t="n"/>
      <c r="O400" s="80" t="n"/>
      <c r="P400" s="82" t="n"/>
      <c r="Q400" s="82" t="n"/>
      <c r="R400" s="80" t="n"/>
      <c r="S400" s="80" t="n"/>
      <c r="T400" s="80" t="n"/>
      <c r="U400" s="83" t="n"/>
      <c r="V400">
        <f>IF($A400="","",IF($A400=$A399,$V399,IF($V399="",0,1-$V399)))</f>
        <v/>
      </c>
      <c r="W400">
        <f>IF($B400&lt;&gt;"",$B400,$A400)</f>
        <v/>
      </c>
      <c r="X400">
        <f>IF(COUNTA($A400:$U400)=0,"",IF(OR($B400&lt;&gt;"",$O400&lt;&gt;""),"Dependent","Employee"))</f>
        <v/>
      </c>
      <c r="Y400">
        <f>IF(COUNTA($A400:$U400)=0,"",IF($A400="","Employee SSN is required; ","")&amp;IF($C400="","First Name is required; ","")&amp;IF(LEN($C400&amp;"")&gt;19,"First Name exceeds 19 characters; ","")&amp;IF(AND($C400&lt;&gt;"",SUMPRODUCT(--(ROW($1:$19)&lt;=LEN($C400&amp;"")),--ISERROR(FIND(MID($C400&amp;"",ROW($1:$19),1),"ABCDEFGHIJKLMNOPQRSTUVWXYZabcdefghijklmnopqrstuvwxyz .,")))&gt;0),"First Name contains unsupported or encoded characters; use plain A-Z letters only; ","")&amp;IF($D400="","Last Name is required; ","")&amp;IF(LEN($D400&amp;"")&gt;26,"Last Name exceeds 26 characters; ","")&amp;IF(AND($D400&lt;&gt;"",SUMPRODUCT(--(ROW($1:$26)&lt;=LEN($D400&amp;"")),--ISERROR(FIND(MID($D400&amp;"",ROW($1:$26),1),"ABCDEFGHIJKLMNOPQRSTUVWXYZabcdefghijklmnopqrstuvwxyz .,")))&gt;0),"Last Name contains unsupported or encoded characters; use plain A-Z letters only; ","")&amp;IF(LEN($E400&amp;"")&gt;1,"Middle Initial may contain only one character; ","")&amp;IF(AND($E400&lt;&gt;"",SUMPRODUCT(--(ROW($1:$1)&lt;=LEN($E400&amp;"")),--ISERROR(FIND(MID($E400&amp;"",ROW($1:$1),1),"ABCDEFGHIJKLMNOPQRSTUVWXYZabcdefghijklmnopqrstuvwxyz .,")))&gt;0),"Middle Initial must be a plain A-Z letter; ","")&amp;IF($F400="","Address is required; ","")&amp;IF(LEN($F400&amp;"")&gt;75,"Address exceeds 75 characters; ","")&amp;IF(LEN($G400&amp;"")&gt;75,"Address 2 exceeds 75 characters; ","")&amp;IF($H400="","City is required; ","")&amp;IF(LEN($H400&amp;"")&gt;30,"City exceeds 30 characters; ","")&amp;IF($K400="","Country is required; ","")&amp;IF(AND($K400&lt;&gt;"",$K400&lt;&gt;"US",$K400&lt;&gt;"CA"),"Country must be US or CA; ","")&amp;IF(AND($K400="US",OR($I400="",LEN($I400&amp;"")&lt;&gt;2)),"Use a 2-letter state code; ","")&amp;IF($J400="","ZIP or postal code is required; ","")&amp;IF(AND($K400="US",$J400&lt;&gt;"",NOT(IFERROR(OR(AND(LEN($J400&amp;"")=5,ISNUMBER(--($J400&amp;""))),AND(LEN($J400&amp;"")=9,ISNUMBER(--($J400&amp;""))),AND(LEN($J400&amp;"")=10,MID($J400&amp;"",6,1)="-",ISNUMBER(--SUBSTITUTE($J400&amp;"","-","")))),FALSE))),"US ZIP must be 5 or 9 digits, with an optional ZIP+4 hyphen; ","")&amp;IF(AND($N400&lt;&gt;"",NOT(IFERROR(AND(ISNUMBER(SEARCH("@",$N400)),ISNUMBER(SEARCH(".",$N400,SEARCH("@",$N400)+2))),FALSE))),"Email format appears invalid; ","")&amp;IF(AND($O400&lt;&gt;"",$B400=""),"Dependent SSN is required for every dependent; ","")&amp;IF(AND($B400&lt;&gt;"",$O400=""),"Dependent Relationship is required when Dependent SSN is entered; ","")&amp;IF(AND($O400&lt;&gt;"",$O400&lt;&gt;"Spouse or Common Law Spouse",$O400&lt;&gt;"Domestic Partner",$O400&lt;&gt;"Child",$O400&lt;&gt;"Other",$O400&lt;&gt;"Estate",$O400&lt;&gt;"Unknown"),"Dependent Relationship must use one of the approved options; ",""))</f>
        <v/>
      </c>
      <c r="Z400">
        <f>IF(COUNTA($A400:$U400)=0,"",IF(AND($A400&lt;&gt;"",NOT(IFERROR(AND(LEN($A400&amp;"")=9,ISNUMBER(--($A400&amp;""))),FALSE))),"Employee SSN must contain exactly 9 digits; ","")&amp;IF(AND($A400&lt;&gt;"",OR($A400="123456789",$A400="987654321",$A400="012345678",$A400=REPT(LEFT($A400&amp;"",1),9))),"Employee SSN appears to be a placeholder; ","")&amp;IF(AND($B400&lt;&gt;"",NOT(IFERROR(AND(LEN($B400&amp;"")=9,ISNUMBER(--($B400&amp;""))),FALSE))),"Dependent SSN must contain exactly 9 digits; ","")&amp;IF(AND($B400&lt;&gt;"",OR($B400="123456789",$B400="987654321",$B400="012345678",$B400=REPT(LEFT($B400&amp;"",1),9))),"Dependent SSN appears to be a placeholder; ","")&amp;IF(AND($A400&lt;&gt;"",$B400&lt;&gt;"",$A400&amp;""=$B400&amp;""),"Dependent SSN cannot match Employee SSN; ","")&amp;IF(AND($W400&lt;&gt;"",OR(COUNTIFS($W$2:$W$501,$W400,$C$2:$C$501,"&lt;&gt;"&amp;$C400)&gt;0,COUNTIFS($W$2:$W$501,$W400,$D$2:$D$501,"&lt;&gt;"&amp;$D400)&gt;0,COUNTIFS($W$2:$W$501,$W400,$L$2:$L$501,"&lt;&gt;"&amp;$L400)&gt;0)),"The same SSN is associated with a different name or birthdate; ",""))</f>
        <v/>
      </c>
      <c r="AA400">
        <f>IF(COUNTA($A400:$U400)=0,"",IF(AND($A400&lt;&gt;"",$S400&lt;&gt;"",COUNTIFS($A$2:$A$501,$A400,$S$2:$S$501,$S400,$B$2:$B$501,"",$O$2:$O$501,"")=0),"Add an employee row for this household and plan; ","")&amp;IF(AND($X400="Dependent",COUNTIFS($A$2:$A400,$A400,$S$2:$S400,$S400,$B$2:$B400,"",$O$2:$O400,"")=0),"Place the employee row before dependent rows for this plan; ","")&amp;IF(AND($X400="Dependent",COUNTIFS($A$2:$A$501,$A400,$S$2:$S$501,$S400,$B$2:$B$501,"",$O$2:$O$501,"")&gt;0,IFERROR(OR($P400&lt;&gt;LOOKUP(2,1/(($A$2:$A$501=$A400)*($S$2:$S$501=$S400)*($B$2:$B$501="")*($O$2:$O$501="")),$P$2:$P$501),$Q400&lt;&gt;LOOKUP(2,1/(($A$2:$A$501=$A400)*($S$2:$S$501=$S400)*($B$2:$B$501="")*($O$2:$O$501="")),$Q$2:$Q$501),$R400&lt;&gt;LOOKUP(2,1/(($A$2:$A$501=$A400)*($S$2:$S$501=$S400)*($B$2:$B$501="")*($O$2:$O$501="")),$R$2:$R$501),$T400&lt;&gt;LOOKUP(2,1/(($A$2:$A$501=$A400)*($S$2:$S$501=$S400)*($B$2:$B$501="")*($O$2:$O$501="")),$T$2:$T$501),$U400&lt;&gt;LOOKUP(2,1/(($A$2:$A$501=$A400)*($S$2:$S$501=$S400)*($B$2:$B$501="")*($O$2:$O$501="")),$U$2:$U$501)),FALSE)),"Dependent row does not match the employee row for eligibility, status, coverage level, or funding; ",""))</f>
        <v/>
      </c>
      <c r="AB400">
        <f>IF(COUNTA($A400:$U400)=0,"",IF($L400="","Birthdate is required; ","")&amp;IF(AND($L400&lt;&gt;"",OR(NOT(ISNUMBER($L400)),$L400&lt;=DATE(1900,1,1),$L400&gt;TODAY())),"Birthdate must be an exact valid past date; ","")&amp;IF($P400="","Eligibility Date is required; ","")&amp;IF(AND($P400&lt;&gt;"",OR(NOT(ISNUMBER($P400)),$P400&lt;=DATE(1900,1,1))),"Eligibility Date must be a valid date; ","")&amp;IF(AND($R400="Terminated",$Q400=""),"Termination Date is required when Status is Terminated; ","")&amp;IF(AND($Q400&lt;&gt;"",OR(NOT(ISNUMBER($Q400)),$Q400&lt;=DATE(1900,1,1))),"Termination Date must be a valid date; ","")&amp;IF(AND(ISNUMBER($P400),ISNUMBER($Q400),$Q400&lt;$P400),"Termination Date cannot be before Eligibility Date; ","")&amp;IF($R400="","Status is required; ","")&amp;IF(AND($R400&lt;&gt;"",$R400&lt;&gt;"Active",$R400&lt;&gt;"Terminated"),"Status must be Active or Terminated; ","")&amp;IF(AND('START HERE'!$C$8="Terminations Only",$R400&lt;&gt;"Terminated"),"Terminations Only files must contain terminated records; ",""))</f>
        <v/>
      </c>
      <c r="AC400">
        <f>IF(COUNTA($A400:$U400)=0,"",IF($S400="","Plan Name is required; ","")&amp;IF($T400="","Benefit Coverage Level is required; ","")&amp;IF(AND($U400&lt;&gt;"",OR(NOT(ISNUMBER($U400)),$U400&lt;0)),"Plan Funding Amount must be a nonnegative number; ","")&amp;IF(AND($A400&lt;&gt;"",$S400&lt;&gt;"",COUNTIFS($A$2:$A$501,$A400,$B$2:$B$501,$B400,$S$2:$S$501,$S400)&gt;1),"Duplicate participant and plan row; ",""))</f>
        <v/>
      </c>
      <c r="AD400">
        <f>IF(COUNTA($A400:$U400)=0,"",IF(AND($X400="Employee",$M400="",$N400=""),"No employee phone or email provided; ","")&amp;IF(AND($R400="Active",$Q400&lt;&gt;""),"Active record includes a Termination Date; confirm this is intentional; ","")&amp;IF(AND($B400&lt;&gt;"",$B400&amp;""&lt;&gt;$A400&amp;"",COUNTIF($A$2:$A$501,$B400)&gt;0),"Dependent SSN also appears as an Employee SSN elsewhere; confirm dual-employee coverage is intentional; ","")&amp;IF(AND($B400&lt;&gt;"",COUNTIF($B$2:$B$501,$B400)&gt;COUNTIFS($A$2:$A$501,$A400,$B$2:$B$501,$B400)),"Dependent SSN appears under more than one employee; confirm duplicate family coverage is intentional; ","")&amp;IF(AND(ROW()&gt;2,$A400&lt;&gt;"",$A400&lt;&gt;$A399,COUNTIF($A$2:$A399,$A400)&gt;0),"This household appears in more than one section of the census; keep the family together; ","")&amp;IF(OR(AND($C400&lt;&gt;"",LEN($C400&amp;"")&lt;&gt;LEN(TRIM($C400&amp;""))),AND($D400&lt;&gt;"",LEN($D400&amp;"")&lt;&gt;LEN(TRIM($D400&amp;""))),AND($E400&lt;&gt;"",LEN($E400&amp;"")&lt;&gt;LEN(TRIM($E400&amp;""))),AND($F400&lt;&gt;"",LEN($F400&amp;"")&lt;&gt;LEN(TRIM($F400&amp;""))),AND($G400&lt;&gt;"",LEN($G400&amp;"")&lt;&gt;LEN(TRIM($G400&amp;""))),AND($H400&lt;&gt;"",LEN($H400&amp;"")&lt;&gt;LEN(TRIM($H400&amp;""))),AND($I400&lt;&gt;"",LEN($I400&amp;"")&lt;&gt;LEN(TRIM($I400&amp;""))),AND($J400&lt;&gt;"",LEN($J400&amp;"")&lt;&gt;LEN(TRIM($J400&amp;""))),AND($K400&lt;&gt;"",LEN($K400&amp;"")&lt;&gt;LEN(TRIM($K400&amp;""))),AND($M400&lt;&gt;"",LEN($M400&amp;"")&lt;&gt;LEN(TRIM($M400&amp;""))),AND($N400&lt;&gt;"",LEN($N400&amp;"")&lt;&gt;LEN(TRIM($N400&amp;""))),AND($O400&lt;&gt;"",LEN($O400&amp;"")&lt;&gt;LEN(TRIM($O400&amp;""))),AND($R400&lt;&gt;"",LEN($R400&amp;"")&lt;&gt;LEN(TRIM($R400&amp;""))),AND($S400&lt;&gt;"",LEN($S400&amp;"")&lt;&gt;LEN(TRIM($S400&amp;""))),AND($T400&lt;&gt;"",LEN($T400&amp;"")&lt;&gt;LEN(TRIM($T400&amp;"")))),"Remove leading or trailing spaces from text fields; ","")&amp;IF(OR(AND(LEN($C400)&gt;1,OR(EXACT($C400,UPPER($C400)),EXACT($C400,LOWER($C400)))),AND(LEN($D400)&gt;1,OR(EXACT($D400,UPPER($D400)),EXACT($D400,LOWER($D400)))),AND(LEN($H400)&gt;1,OR(EXACT($H400,UPPER($H400)),EXACT($H400,LOWER($H400))))),"Review capitalization in First Name, Last Name, or City; ","")&amp;IF(AND($N400&lt;&gt;"",NOT(EXACT($N400,LOWER($N400)))),"Email will be standardized to lowercase in the clean output; ","")&amp;IF(AND(OR('START HERE'!$C$8="Initial Enrollment",'START HERE'!$C$8="Open Enrollment"),$R400="Terminated"),"A terminated row is included in an initial or open enrollment file; confirm this is intentional; ",""))</f>
        <v/>
      </c>
      <c r="AE400">
        <f>IF(COUNTA($A400:$U400)=0,"",IF(OR($A400="",AND($A400&lt;&gt;"",NOT(IFERROR(AND(LEN($A400&amp;"")=9,ISNUMBER(--($A400&amp;""))),FALSE))),AND($A400&lt;&gt;"",OR($A400="123456789",$A400="987654321",$A400="012345678",$A400=REPT(LEFT($A400&amp;"",1),9)))),"Employee SSN, ","")&amp;IF(OR(AND($O400&lt;&gt;"",$B400=""),AND($B400&lt;&gt;"",OR(NOT(IFERROR(AND(LEN($B400&amp;"")=9,ISNUMBER(--($B400&amp;""))),FALSE)),$B400=$A400,$B400="123456789",$B400="987654321",$B400="012345678",$B400=REPT(LEFT($B400&amp;"",1),9)))),"Dependent SSN, ","")&amp;IF(OR($C400="",LEN($C400)&gt;19,AND($C400&lt;&gt;"",SUMPRODUCT(--(ROW($1:$19)&lt;=LEN($C400&amp;"")),--ISERROR(FIND(MID($C400&amp;"",ROW($1:$19),1),"ABCDEFGHIJKLMNOPQRSTUVWXYZabcdefghijklmnopqrstuvwxyz .,")))&gt;0)),"First Name, ","")&amp;IF(OR($D400="",LEN($D400)&gt;26,AND($D400&lt;&gt;"",SUMPRODUCT(--(ROW($1:$26)&lt;=LEN($D400&amp;"")),--ISERROR(FIND(MID($D400&amp;"",ROW($1:$26),1),"ABCDEFGHIJKLMNOPQRSTUVWXYZabcdefghijklmnopqrstuvwxyz .,")))&gt;0)),"Last Name, ","")&amp;IF(OR(LEN($E400)&gt;1,AND($E400&lt;&gt;"",SUMPRODUCT(--(ROW($1:$1)&lt;=LEN($E400&amp;"")),--ISERROR(FIND(MID($E400&amp;"",ROW($1:$1),1),"ABCDEFGHIJKLMNOPQRSTUVWXYZabcdefghijklmnopqrstuvwxyz .,")))&gt;0)),"Middle Initial, ","")&amp;IF(OR($F400="",LEN($F400)&gt;75),"Address, ","")&amp;IF(OR($H400="",LEN($H400)&gt;30),"City, ","")&amp;IF(AND($K400="US",OR($I400="",LEN($I400)&lt;&gt;2)),"State, ","")&amp;IF($J400="","ZIP, ","")&amp;IF(OR($K400="",AND($K400&lt;&gt;"US",$K400&lt;&gt;"CA")),"Country, ","")&amp;IF(OR($L400="",AND($L400&lt;&gt;"",OR(NOT(ISNUMBER($L400)),$L400&lt;=DATE(1900,1,1),$L400&gt;TODAY()))),"Birthdate, ","")&amp;IF(AND($N400&lt;&gt;"",NOT(IFERROR(AND(ISNUMBER(SEARCH("@",$N400)),ISNUMBER(SEARCH(".",$N400,SEARCH("@",$N400)+2))),FALSE))),"Email, ","")&amp;IF(OR(AND($B400&lt;&gt;"",$O400=""),AND($O400&lt;&gt;"",$O400&lt;&gt;"Spouse or Common Law Spouse",$O400&lt;&gt;"Domestic Partner",$O400&lt;&gt;"Child",$O400&lt;&gt;"Other",$O400&lt;&gt;"Estate",$O400&lt;&gt;"Unknown")),"Dependent Relationship, ","")&amp;IF($AA400&lt;&gt;"","Household, ","")&amp;IF(OR($P400="",AND($P400&lt;&gt;"",OR(NOT(ISNUMBER($P400)),$P400&lt;=DATE(1900,1,1)))),"Eligibility Date, ","")&amp;IF(OR(AND($R400="Terminated",$Q400=""),AND($Q400&lt;&gt;"",OR(NOT(ISNUMBER($Q400)),$Q400&lt;=DATE(1900,1,1))),AND(ISNUMBER($P400),ISNUMBER($Q400),$Q400&lt;$P400)),"Termination Date, ","")&amp;IF(OR($R400="",AND($R400&lt;&gt;"Active",$R400&lt;&gt;"Terminated"),AND('START HERE'!$C$8="Terminations Only",$R400&lt;&gt;"Terminated")),"Status, ","")&amp;IF($S400="","Plan Name, ","")&amp;IF($T400="","Coverage Level, ","")&amp;IF(AND($U400&lt;&gt;"",OR(NOT(ISNUMBER($U400)),$U400&lt;0)),"Funding, ","")&amp;IF(AND($A400&lt;&gt;"",$S400&lt;&gt;"",COUNTIFS($A$2:$A$501,$A400,$B$2:$B$501,$B400,$S$2:$S$501,$S400)&gt;1),"Duplicate Row, ",""))</f>
        <v/>
      </c>
      <c r="AF400">
        <f>IF(COUNTA($A400:$U400)=0,"",$Y400&amp;$Z400&amp;$AA400&amp;$AB400&amp;$AC400)</f>
        <v/>
      </c>
      <c r="AG400">
        <f>IF($N400="","",LOWER(TRIM($N400)))</f>
        <v/>
      </c>
      <c r="AH400">
        <f>IF($A400="","",COUNTIFS($A$2:$A$501,$A400,$AI$2:$AI$501,1))</f>
        <v/>
      </c>
      <c r="AI400">
        <f>IF(COUNTA($A400:$U400)=0,"",--($AF400&lt;&gt;""))</f>
        <v/>
      </c>
      <c r="AJ400">
        <f>IF(COUNTA($A400:$U400)=0,"",--($AD400&lt;&gt;""))</f>
        <v/>
      </c>
    </row>
    <row r="401" ht="20" customHeight="1">
      <c r="A401" s="80" t="n"/>
      <c r="B401" s="80" t="n"/>
      <c r="C401" s="81" t="n"/>
      <c r="D401" s="81" t="n"/>
      <c r="E401" s="80" t="n"/>
      <c r="F401" s="81" t="n"/>
      <c r="G401" s="81" t="n"/>
      <c r="H401" s="81" t="n"/>
      <c r="I401" s="80" t="n"/>
      <c r="J401" s="80" t="n"/>
      <c r="K401" s="80" t="n"/>
      <c r="L401" s="82" t="n"/>
      <c r="M401" s="80" t="n"/>
      <c r="N401" s="80" t="n"/>
      <c r="O401" s="80" t="n"/>
      <c r="P401" s="82" t="n"/>
      <c r="Q401" s="82" t="n"/>
      <c r="R401" s="80" t="n"/>
      <c r="S401" s="80" t="n"/>
      <c r="T401" s="80" t="n"/>
      <c r="U401" s="83" t="n"/>
      <c r="V401">
        <f>IF($A401="","",IF($A401=$A400,$V400,IF($V400="",0,1-$V400)))</f>
        <v/>
      </c>
      <c r="W401">
        <f>IF($B401&lt;&gt;"",$B401,$A401)</f>
        <v/>
      </c>
      <c r="X401">
        <f>IF(COUNTA($A401:$U401)=0,"",IF(OR($B401&lt;&gt;"",$O401&lt;&gt;""),"Dependent","Employee"))</f>
        <v/>
      </c>
      <c r="Y401">
        <f>IF(COUNTA($A401:$U401)=0,"",IF($A401="","Employee SSN is required; ","")&amp;IF($C401="","First Name is required; ","")&amp;IF(LEN($C401&amp;"")&gt;19,"First Name exceeds 19 characters; ","")&amp;IF(AND($C401&lt;&gt;"",SUMPRODUCT(--(ROW($1:$19)&lt;=LEN($C401&amp;"")),--ISERROR(FIND(MID($C401&amp;"",ROW($1:$19),1),"ABCDEFGHIJKLMNOPQRSTUVWXYZabcdefghijklmnopqrstuvwxyz .,")))&gt;0),"First Name contains unsupported or encoded characters; use plain A-Z letters only; ","")&amp;IF($D401="","Last Name is required; ","")&amp;IF(LEN($D401&amp;"")&gt;26,"Last Name exceeds 26 characters; ","")&amp;IF(AND($D401&lt;&gt;"",SUMPRODUCT(--(ROW($1:$26)&lt;=LEN($D401&amp;"")),--ISERROR(FIND(MID($D401&amp;"",ROW($1:$26),1),"ABCDEFGHIJKLMNOPQRSTUVWXYZabcdefghijklmnopqrstuvwxyz .,")))&gt;0),"Last Name contains unsupported or encoded characters; use plain A-Z letters only; ","")&amp;IF(LEN($E401&amp;"")&gt;1,"Middle Initial may contain only one character; ","")&amp;IF(AND($E401&lt;&gt;"",SUMPRODUCT(--(ROW($1:$1)&lt;=LEN($E401&amp;"")),--ISERROR(FIND(MID($E401&amp;"",ROW($1:$1),1),"ABCDEFGHIJKLMNOPQRSTUVWXYZabcdefghijklmnopqrstuvwxyz .,")))&gt;0),"Middle Initial must be a plain A-Z letter; ","")&amp;IF($F401="","Address is required; ","")&amp;IF(LEN($F401&amp;"")&gt;75,"Address exceeds 75 characters; ","")&amp;IF(LEN($G401&amp;"")&gt;75,"Address 2 exceeds 75 characters; ","")&amp;IF($H401="","City is required; ","")&amp;IF(LEN($H401&amp;"")&gt;30,"City exceeds 30 characters; ","")&amp;IF($K401="","Country is required; ","")&amp;IF(AND($K401&lt;&gt;"",$K401&lt;&gt;"US",$K401&lt;&gt;"CA"),"Country must be US or CA; ","")&amp;IF(AND($K401="US",OR($I401="",LEN($I401&amp;"")&lt;&gt;2)),"Use a 2-letter state code; ","")&amp;IF($J401="","ZIP or postal code is required; ","")&amp;IF(AND($K401="US",$J401&lt;&gt;"",NOT(IFERROR(OR(AND(LEN($J401&amp;"")=5,ISNUMBER(--($J401&amp;""))),AND(LEN($J401&amp;"")=9,ISNUMBER(--($J401&amp;""))),AND(LEN($J401&amp;"")=10,MID($J401&amp;"",6,1)="-",ISNUMBER(--SUBSTITUTE($J401&amp;"","-","")))),FALSE))),"US ZIP must be 5 or 9 digits, with an optional ZIP+4 hyphen; ","")&amp;IF(AND($N401&lt;&gt;"",NOT(IFERROR(AND(ISNUMBER(SEARCH("@",$N401)),ISNUMBER(SEARCH(".",$N401,SEARCH("@",$N401)+2))),FALSE))),"Email format appears invalid; ","")&amp;IF(AND($O401&lt;&gt;"",$B401=""),"Dependent SSN is required for every dependent; ","")&amp;IF(AND($B401&lt;&gt;"",$O401=""),"Dependent Relationship is required when Dependent SSN is entered; ","")&amp;IF(AND($O401&lt;&gt;"",$O401&lt;&gt;"Spouse or Common Law Spouse",$O401&lt;&gt;"Domestic Partner",$O401&lt;&gt;"Child",$O401&lt;&gt;"Other",$O401&lt;&gt;"Estate",$O401&lt;&gt;"Unknown"),"Dependent Relationship must use one of the approved options; ",""))</f>
        <v/>
      </c>
      <c r="Z401">
        <f>IF(COUNTA($A401:$U401)=0,"",IF(AND($A401&lt;&gt;"",NOT(IFERROR(AND(LEN($A401&amp;"")=9,ISNUMBER(--($A401&amp;""))),FALSE))),"Employee SSN must contain exactly 9 digits; ","")&amp;IF(AND($A401&lt;&gt;"",OR($A401="123456789",$A401="987654321",$A401="012345678",$A401=REPT(LEFT($A401&amp;"",1),9))),"Employee SSN appears to be a placeholder; ","")&amp;IF(AND($B401&lt;&gt;"",NOT(IFERROR(AND(LEN($B401&amp;"")=9,ISNUMBER(--($B401&amp;""))),FALSE))),"Dependent SSN must contain exactly 9 digits; ","")&amp;IF(AND($B401&lt;&gt;"",OR($B401="123456789",$B401="987654321",$B401="012345678",$B401=REPT(LEFT($B401&amp;"",1),9))),"Dependent SSN appears to be a placeholder; ","")&amp;IF(AND($A401&lt;&gt;"",$B401&lt;&gt;"",$A401&amp;""=$B401&amp;""),"Dependent SSN cannot match Employee SSN; ","")&amp;IF(AND($W401&lt;&gt;"",OR(COUNTIFS($W$2:$W$501,$W401,$C$2:$C$501,"&lt;&gt;"&amp;$C401)&gt;0,COUNTIFS($W$2:$W$501,$W401,$D$2:$D$501,"&lt;&gt;"&amp;$D401)&gt;0,COUNTIFS($W$2:$W$501,$W401,$L$2:$L$501,"&lt;&gt;"&amp;$L401)&gt;0)),"The same SSN is associated with a different name or birthdate; ",""))</f>
        <v/>
      </c>
      <c r="AA401">
        <f>IF(COUNTA($A401:$U401)=0,"",IF(AND($A401&lt;&gt;"",$S401&lt;&gt;"",COUNTIFS($A$2:$A$501,$A401,$S$2:$S$501,$S401,$B$2:$B$501,"",$O$2:$O$501,"")=0),"Add an employee row for this household and plan; ","")&amp;IF(AND($X401="Dependent",COUNTIFS($A$2:$A401,$A401,$S$2:$S401,$S401,$B$2:$B401,"",$O$2:$O401,"")=0),"Place the employee row before dependent rows for this plan; ","")&amp;IF(AND($X401="Dependent",COUNTIFS($A$2:$A$501,$A401,$S$2:$S$501,$S401,$B$2:$B$501,"",$O$2:$O$501,"")&gt;0,IFERROR(OR($P401&lt;&gt;LOOKUP(2,1/(($A$2:$A$501=$A401)*($S$2:$S$501=$S401)*($B$2:$B$501="")*($O$2:$O$501="")),$P$2:$P$501),$Q401&lt;&gt;LOOKUP(2,1/(($A$2:$A$501=$A401)*($S$2:$S$501=$S401)*($B$2:$B$501="")*($O$2:$O$501="")),$Q$2:$Q$501),$R401&lt;&gt;LOOKUP(2,1/(($A$2:$A$501=$A401)*($S$2:$S$501=$S401)*($B$2:$B$501="")*($O$2:$O$501="")),$R$2:$R$501),$T401&lt;&gt;LOOKUP(2,1/(($A$2:$A$501=$A401)*($S$2:$S$501=$S401)*($B$2:$B$501="")*($O$2:$O$501="")),$T$2:$T$501),$U401&lt;&gt;LOOKUP(2,1/(($A$2:$A$501=$A401)*($S$2:$S$501=$S401)*($B$2:$B$501="")*($O$2:$O$501="")),$U$2:$U$501)),FALSE)),"Dependent row does not match the employee row for eligibility, status, coverage level, or funding; ",""))</f>
        <v/>
      </c>
      <c r="AB401">
        <f>IF(COUNTA($A401:$U401)=0,"",IF($L401="","Birthdate is required; ","")&amp;IF(AND($L401&lt;&gt;"",OR(NOT(ISNUMBER($L401)),$L401&lt;=DATE(1900,1,1),$L401&gt;TODAY())),"Birthdate must be an exact valid past date; ","")&amp;IF($P401="","Eligibility Date is required; ","")&amp;IF(AND($P401&lt;&gt;"",OR(NOT(ISNUMBER($P401)),$P401&lt;=DATE(1900,1,1))),"Eligibility Date must be a valid date; ","")&amp;IF(AND($R401="Terminated",$Q401=""),"Termination Date is required when Status is Terminated; ","")&amp;IF(AND($Q401&lt;&gt;"",OR(NOT(ISNUMBER($Q401)),$Q401&lt;=DATE(1900,1,1))),"Termination Date must be a valid date; ","")&amp;IF(AND(ISNUMBER($P401),ISNUMBER($Q401),$Q401&lt;$P401),"Termination Date cannot be before Eligibility Date; ","")&amp;IF($R401="","Status is required; ","")&amp;IF(AND($R401&lt;&gt;"",$R401&lt;&gt;"Active",$R401&lt;&gt;"Terminated"),"Status must be Active or Terminated; ","")&amp;IF(AND('START HERE'!$C$8="Terminations Only",$R401&lt;&gt;"Terminated"),"Terminations Only files must contain terminated records; ",""))</f>
        <v/>
      </c>
      <c r="AC401">
        <f>IF(COUNTA($A401:$U401)=0,"",IF($S401="","Plan Name is required; ","")&amp;IF($T401="","Benefit Coverage Level is required; ","")&amp;IF(AND($U401&lt;&gt;"",OR(NOT(ISNUMBER($U401)),$U401&lt;0)),"Plan Funding Amount must be a nonnegative number; ","")&amp;IF(AND($A401&lt;&gt;"",$S401&lt;&gt;"",COUNTIFS($A$2:$A$501,$A401,$B$2:$B$501,$B401,$S$2:$S$501,$S401)&gt;1),"Duplicate participant and plan row; ",""))</f>
        <v/>
      </c>
      <c r="AD401">
        <f>IF(COUNTA($A401:$U401)=0,"",IF(AND($X401="Employee",$M401="",$N401=""),"No employee phone or email provided; ","")&amp;IF(AND($R401="Active",$Q401&lt;&gt;""),"Active record includes a Termination Date; confirm this is intentional; ","")&amp;IF(AND($B401&lt;&gt;"",$B401&amp;""&lt;&gt;$A401&amp;"",COUNTIF($A$2:$A$501,$B401)&gt;0),"Dependent SSN also appears as an Employee SSN elsewhere; confirm dual-employee coverage is intentional; ","")&amp;IF(AND($B401&lt;&gt;"",COUNTIF($B$2:$B$501,$B401)&gt;COUNTIFS($A$2:$A$501,$A401,$B$2:$B$501,$B401)),"Dependent SSN appears under more than one employee; confirm duplicate family coverage is intentional; ","")&amp;IF(AND(ROW()&gt;2,$A401&lt;&gt;"",$A401&lt;&gt;$A400,COUNTIF($A$2:$A400,$A401)&gt;0),"This household appears in more than one section of the census; keep the family together; ","")&amp;IF(OR(AND($C401&lt;&gt;"",LEN($C401&amp;"")&lt;&gt;LEN(TRIM($C401&amp;""))),AND($D401&lt;&gt;"",LEN($D401&amp;"")&lt;&gt;LEN(TRIM($D401&amp;""))),AND($E401&lt;&gt;"",LEN($E401&amp;"")&lt;&gt;LEN(TRIM($E401&amp;""))),AND($F401&lt;&gt;"",LEN($F401&amp;"")&lt;&gt;LEN(TRIM($F401&amp;""))),AND($G401&lt;&gt;"",LEN($G401&amp;"")&lt;&gt;LEN(TRIM($G401&amp;""))),AND($H401&lt;&gt;"",LEN($H401&amp;"")&lt;&gt;LEN(TRIM($H401&amp;""))),AND($I401&lt;&gt;"",LEN($I401&amp;"")&lt;&gt;LEN(TRIM($I401&amp;""))),AND($J401&lt;&gt;"",LEN($J401&amp;"")&lt;&gt;LEN(TRIM($J401&amp;""))),AND($K401&lt;&gt;"",LEN($K401&amp;"")&lt;&gt;LEN(TRIM($K401&amp;""))),AND($M401&lt;&gt;"",LEN($M401&amp;"")&lt;&gt;LEN(TRIM($M401&amp;""))),AND($N401&lt;&gt;"",LEN($N401&amp;"")&lt;&gt;LEN(TRIM($N401&amp;""))),AND($O401&lt;&gt;"",LEN($O401&amp;"")&lt;&gt;LEN(TRIM($O401&amp;""))),AND($R401&lt;&gt;"",LEN($R401&amp;"")&lt;&gt;LEN(TRIM($R401&amp;""))),AND($S401&lt;&gt;"",LEN($S401&amp;"")&lt;&gt;LEN(TRIM($S401&amp;""))),AND($T401&lt;&gt;"",LEN($T401&amp;"")&lt;&gt;LEN(TRIM($T401&amp;"")))),"Remove leading or trailing spaces from text fields; ","")&amp;IF(OR(AND(LEN($C401)&gt;1,OR(EXACT($C401,UPPER($C401)),EXACT($C401,LOWER($C401)))),AND(LEN($D401)&gt;1,OR(EXACT($D401,UPPER($D401)),EXACT($D401,LOWER($D401)))),AND(LEN($H401)&gt;1,OR(EXACT($H401,UPPER($H401)),EXACT($H401,LOWER($H401))))),"Review capitalization in First Name, Last Name, or City; ","")&amp;IF(AND($N401&lt;&gt;"",NOT(EXACT($N401,LOWER($N401)))),"Email will be standardized to lowercase in the clean output; ","")&amp;IF(AND(OR('START HERE'!$C$8="Initial Enrollment",'START HERE'!$C$8="Open Enrollment"),$R401="Terminated"),"A terminated row is included in an initial or open enrollment file; confirm this is intentional; ",""))</f>
        <v/>
      </c>
      <c r="AE401">
        <f>IF(COUNTA($A401:$U401)=0,"",IF(OR($A401="",AND($A401&lt;&gt;"",NOT(IFERROR(AND(LEN($A401&amp;"")=9,ISNUMBER(--($A401&amp;""))),FALSE))),AND($A401&lt;&gt;"",OR($A401="123456789",$A401="987654321",$A401="012345678",$A401=REPT(LEFT($A401&amp;"",1),9)))),"Employee SSN, ","")&amp;IF(OR(AND($O401&lt;&gt;"",$B401=""),AND($B401&lt;&gt;"",OR(NOT(IFERROR(AND(LEN($B401&amp;"")=9,ISNUMBER(--($B401&amp;""))),FALSE)),$B401=$A401,$B401="123456789",$B401="987654321",$B401="012345678",$B401=REPT(LEFT($B401&amp;"",1),9)))),"Dependent SSN, ","")&amp;IF(OR($C401="",LEN($C401)&gt;19,AND($C401&lt;&gt;"",SUMPRODUCT(--(ROW($1:$19)&lt;=LEN($C401&amp;"")),--ISERROR(FIND(MID($C401&amp;"",ROW($1:$19),1),"ABCDEFGHIJKLMNOPQRSTUVWXYZabcdefghijklmnopqrstuvwxyz .,")))&gt;0)),"First Name, ","")&amp;IF(OR($D401="",LEN($D401)&gt;26,AND($D401&lt;&gt;"",SUMPRODUCT(--(ROW($1:$26)&lt;=LEN($D401&amp;"")),--ISERROR(FIND(MID($D401&amp;"",ROW($1:$26),1),"ABCDEFGHIJKLMNOPQRSTUVWXYZabcdefghijklmnopqrstuvwxyz .,")))&gt;0)),"Last Name, ","")&amp;IF(OR(LEN($E401)&gt;1,AND($E401&lt;&gt;"",SUMPRODUCT(--(ROW($1:$1)&lt;=LEN($E401&amp;"")),--ISERROR(FIND(MID($E401&amp;"",ROW($1:$1),1),"ABCDEFGHIJKLMNOPQRSTUVWXYZabcdefghijklmnopqrstuvwxyz .,")))&gt;0)),"Middle Initial, ","")&amp;IF(OR($F401="",LEN($F401)&gt;75),"Address, ","")&amp;IF(OR($H401="",LEN($H401)&gt;30),"City, ","")&amp;IF(AND($K401="US",OR($I401="",LEN($I401)&lt;&gt;2)),"State, ","")&amp;IF($J401="","ZIP, ","")&amp;IF(OR($K401="",AND($K401&lt;&gt;"US",$K401&lt;&gt;"CA")),"Country, ","")&amp;IF(OR($L401="",AND($L401&lt;&gt;"",OR(NOT(ISNUMBER($L401)),$L401&lt;=DATE(1900,1,1),$L401&gt;TODAY()))),"Birthdate, ","")&amp;IF(AND($N401&lt;&gt;"",NOT(IFERROR(AND(ISNUMBER(SEARCH("@",$N401)),ISNUMBER(SEARCH(".",$N401,SEARCH("@",$N401)+2))),FALSE))),"Email, ","")&amp;IF(OR(AND($B401&lt;&gt;"",$O401=""),AND($O401&lt;&gt;"",$O401&lt;&gt;"Spouse or Common Law Spouse",$O401&lt;&gt;"Domestic Partner",$O401&lt;&gt;"Child",$O401&lt;&gt;"Other",$O401&lt;&gt;"Estate",$O401&lt;&gt;"Unknown")),"Dependent Relationship, ","")&amp;IF($AA401&lt;&gt;"","Household, ","")&amp;IF(OR($P401="",AND($P401&lt;&gt;"",OR(NOT(ISNUMBER($P401)),$P401&lt;=DATE(1900,1,1)))),"Eligibility Date, ","")&amp;IF(OR(AND($R401="Terminated",$Q401=""),AND($Q401&lt;&gt;"",OR(NOT(ISNUMBER($Q401)),$Q401&lt;=DATE(1900,1,1))),AND(ISNUMBER($P401),ISNUMBER($Q401),$Q401&lt;$P401)),"Termination Date, ","")&amp;IF(OR($R401="",AND($R401&lt;&gt;"Active",$R401&lt;&gt;"Terminated"),AND('START HERE'!$C$8="Terminations Only",$R401&lt;&gt;"Terminated")),"Status, ","")&amp;IF($S401="","Plan Name, ","")&amp;IF($T401="","Coverage Level, ","")&amp;IF(AND($U401&lt;&gt;"",OR(NOT(ISNUMBER($U401)),$U401&lt;0)),"Funding, ","")&amp;IF(AND($A401&lt;&gt;"",$S401&lt;&gt;"",COUNTIFS($A$2:$A$501,$A401,$B$2:$B$501,$B401,$S$2:$S$501,$S401)&gt;1),"Duplicate Row, ",""))</f>
        <v/>
      </c>
      <c r="AF401">
        <f>IF(COUNTA($A401:$U401)=0,"",$Y401&amp;$Z401&amp;$AA401&amp;$AB401&amp;$AC401)</f>
        <v/>
      </c>
      <c r="AG401">
        <f>IF($N401="","",LOWER(TRIM($N401)))</f>
        <v/>
      </c>
      <c r="AH401">
        <f>IF($A401="","",COUNTIFS($A$2:$A$501,$A401,$AI$2:$AI$501,1))</f>
        <v/>
      </c>
      <c r="AI401">
        <f>IF(COUNTA($A401:$U401)=0,"",--($AF401&lt;&gt;""))</f>
        <v/>
      </c>
      <c r="AJ401">
        <f>IF(COUNTA($A401:$U401)=0,"",--($AD401&lt;&gt;""))</f>
        <v/>
      </c>
    </row>
    <row r="402" ht="20" customHeight="1">
      <c r="A402" s="80" t="n"/>
      <c r="B402" s="80" t="n"/>
      <c r="C402" s="81" t="n"/>
      <c r="D402" s="81" t="n"/>
      <c r="E402" s="80" t="n"/>
      <c r="F402" s="81" t="n"/>
      <c r="G402" s="81" t="n"/>
      <c r="H402" s="81" t="n"/>
      <c r="I402" s="80" t="n"/>
      <c r="J402" s="80" t="n"/>
      <c r="K402" s="80" t="n"/>
      <c r="L402" s="82" t="n"/>
      <c r="M402" s="80" t="n"/>
      <c r="N402" s="80" t="n"/>
      <c r="O402" s="80" t="n"/>
      <c r="P402" s="82" t="n"/>
      <c r="Q402" s="82" t="n"/>
      <c r="R402" s="80" t="n"/>
      <c r="S402" s="80" t="n"/>
      <c r="T402" s="80" t="n"/>
      <c r="U402" s="83" t="n"/>
      <c r="V402">
        <f>IF($A402="","",IF($A402=$A401,$V401,IF($V401="",0,1-$V401)))</f>
        <v/>
      </c>
      <c r="W402">
        <f>IF($B402&lt;&gt;"",$B402,$A402)</f>
        <v/>
      </c>
      <c r="X402">
        <f>IF(COUNTA($A402:$U402)=0,"",IF(OR($B402&lt;&gt;"",$O402&lt;&gt;""),"Dependent","Employee"))</f>
        <v/>
      </c>
      <c r="Y402">
        <f>IF(COUNTA($A402:$U402)=0,"",IF($A402="","Employee SSN is required; ","")&amp;IF($C402="","First Name is required; ","")&amp;IF(LEN($C402&amp;"")&gt;19,"First Name exceeds 19 characters; ","")&amp;IF(AND($C402&lt;&gt;"",SUMPRODUCT(--(ROW($1:$19)&lt;=LEN($C402&amp;"")),--ISERROR(FIND(MID($C402&amp;"",ROW($1:$19),1),"ABCDEFGHIJKLMNOPQRSTUVWXYZabcdefghijklmnopqrstuvwxyz .,")))&gt;0),"First Name contains unsupported or encoded characters; use plain A-Z letters only; ","")&amp;IF($D402="","Last Name is required; ","")&amp;IF(LEN($D402&amp;"")&gt;26,"Last Name exceeds 26 characters; ","")&amp;IF(AND($D402&lt;&gt;"",SUMPRODUCT(--(ROW($1:$26)&lt;=LEN($D402&amp;"")),--ISERROR(FIND(MID($D402&amp;"",ROW($1:$26),1),"ABCDEFGHIJKLMNOPQRSTUVWXYZabcdefghijklmnopqrstuvwxyz .,")))&gt;0),"Last Name contains unsupported or encoded characters; use plain A-Z letters only; ","")&amp;IF(LEN($E402&amp;"")&gt;1,"Middle Initial may contain only one character; ","")&amp;IF(AND($E402&lt;&gt;"",SUMPRODUCT(--(ROW($1:$1)&lt;=LEN($E402&amp;"")),--ISERROR(FIND(MID($E402&amp;"",ROW($1:$1),1),"ABCDEFGHIJKLMNOPQRSTUVWXYZabcdefghijklmnopqrstuvwxyz .,")))&gt;0),"Middle Initial must be a plain A-Z letter; ","")&amp;IF($F402="","Address is required; ","")&amp;IF(LEN($F402&amp;"")&gt;75,"Address exceeds 75 characters; ","")&amp;IF(LEN($G402&amp;"")&gt;75,"Address 2 exceeds 75 characters; ","")&amp;IF($H402="","City is required; ","")&amp;IF(LEN($H402&amp;"")&gt;30,"City exceeds 30 characters; ","")&amp;IF($K402="","Country is required; ","")&amp;IF(AND($K402&lt;&gt;"",$K402&lt;&gt;"US",$K402&lt;&gt;"CA"),"Country must be US or CA; ","")&amp;IF(AND($K402="US",OR($I402="",LEN($I402&amp;"")&lt;&gt;2)),"Use a 2-letter state code; ","")&amp;IF($J402="","ZIP or postal code is required; ","")&amp;IF(AND($K402="US",$J402&lt;&gt;"",NOT(IFERROR(OR(AND(LEN($J402&amp;"")=5,ISNUMBER(--($J402&amp;""))),AND(LEN($J402&amp;"")=9,ISNUMBER(--($J402&amp;""))),AND(LEN($J402&amp;"")=10,MID($J402&amp;"",6,1)="-",ISNUMBER(--SUBSTITUTE($J402&amp;"","-","")))),FALSE))),"US ZIP must be 5 or 9 digits, with an optional ZIP+4 hyphen; ","")&amp;IF(AND($N402&lt;&gt;"",NOT(IFERROR(AND(ISNUMBER(SEARCH("@",$N402)),ISNUMBER(SEARCH(".",$N402,SEARCH("@",$N402)+2))),FALSE))),"Email format appears invalid; ","")&amp;IF(AND($O402&lt;&gt;"",$B402=""),"Dependent SSN is required for every dependent; ","")&amp;IF(AND($B402&lt;&gt;"",$O402=""),"Dependent Relationship is required when Dependent SSN is entered; ","")&amp;IF(AND($O402&lt;&gt;"",$O402&lt;&gt;"Spouse or Common Law Spouse",$O402&lt;&gt;"Domestic Partner",$O402&lt;&gt;"Child",$O402&lt;&gt;"Other",$O402&lt;&gt;"Estate",$O402&lt;&gt;"Unknown"),"Dependent Relationship must use one of the approved options; ",""))</f>
        <v/>
      </c>
      <c r="Z402">
        <f>IF(COUNTA($A402:$U402)=0,"",IF(AND($A402&lt;&gt;"",NOT(IFERROR(AND(LEN($A402&amp;"")=9,ISNUMBER(--($A402&amp;""))),FALSE))),"Employee SSN must contain exactly 9 digits; ","")&amp;IF(AND($A402&lt;&gt;"",OR($A402="123456789",$A402="987654321",$A402="012345678",$A402=REPT(LEFT($A402&amp;"",1),9))),"Employee SSN appears to be a placeholder; ","")&amp;IF(AND($B402&lt;&gt;"",NOT(IFERROR(AND(LEN($B402&amp;"")=9,ISNUMBER(--($B402&amp;""))),FALSE))),"Dependent SSN must contain exactly 9 digits; ","")&amp;IF(AND($B402&lt;&gt;"",OR($B402="123456789",$B402="987654321",$B402="012345678",$B402=REPT(LEFT($B402&amp;"",1),9))),"Dependent SSN appears to be a placeholder; ","")&amp;IF(AND($A402&lt;&gt;"",$B402&lt;&gt;"",$A402&amp;""=$B402&amp;""),"Dependent SSN cannot match Employee SSN; ","")&amp;IF(AND($W402&lt;&gt;"",OR(COUNTIFS($W$2:$W$501,$W402,$C$2:$C$501,"&lt;&gt;"&amp;$C402)&gt;0,COUNTIFS($W$2:$W$501,$W402,$D$2:$D$501,"&lt;&gt;"&amp;$D402)&gt;0,COUNTIFS($W$2:$W$501,$W402,$L$2:$L$501,"&lt;&gt;"&amp;$L402)&gt;0)),"The same SSN is associated with a different name or birthdate; ",""))</f>
        <v/>
      </c>
      <c r="AA402">
        <f>IF(COUNTA($A402:$U402)=0,"",IF(AND($A402&lt;&gt;"",$S402&lt;&gt;"",COUNTIFS($A$2:$A$501,$A402,$S$2:$S$501,$S402,$B$2:$B$501,"",$O$2:$O$501,"")=0),"Add an employee row for this household and plan; ","")&amp;IF(AND($X402="Dependent",COUNTIFS($A$2:$A402,$A402,$S$2:$S402,$S402,$B$2:$B402,"",$O$2:$O402,"")=0),"Place the employee row before dependent rows for this plan; ","")&amp;IF(AND($X402="Dependent",COUNTIFS($A$2:$A$501,$A402,$S$2:$S$501,$S402,$B$2:$B$501,"",$O$2:$O$501,"")&gt;0,IFERROR(OR($P402&lt;&gt;LOOKUP(2,1/(($A$2:$A$501=$A402)*($S$2:$S$501=$S402)*($B$2:$B$501="")*($O$2:$O$501="")),$P$2:$P$501),$Q402&lt;&gt;LOOKUP(2,1/(($A$2:$A$501=$A402)*($S$2:$S$501=$S402)*($B$2:$B$501="")*($O$2:$O$501="")),$Q$2:$Q$501),$R402&lt;&gt;LOOKUP(2,1/(($A$2:$A$501=$A402)*($S$2:$S$501=$S402)*($B$2:$B$501="")*($O$2:$O$501="")),$R$2:$R$501),$T402&lt;&gt;LOOKUP(2,1/(($A$2:$A$501=$A402)*($S$2:$S$501=$S402)*($B$2:$B$501="")*($O$2:$O$501="")),$T$2:$T$501),$U402&lt;&gt;LOOKUP(2,1/(($A$2:$A$501=$A402)*($S$2:$S$501=$S402)*($B$2:$B$501="")*($O$2:$O$501="")),$U$2:$U$501)),FALSE)),"Dependent row does not match the employee row for eligibility, status, coverage level, or funding; ",""))</f>
        <v/>
      </c>
      <c r="AB402">
        <f>IF(COUNTA($A402:$U402)=0,"",IF($L402="","Birthdate is required; ","")&amp;IF(AND($L402&lt;&gt;"",OR(NOT(ISNUMBER($L402)),$L402&lt;=DATE(1900,1,1),$L402&gt;TODAY())),"Birthdate must be an exact valid past date; ","")&amp;IF($P402="","Eligibility Date is required; ","")&amp;IF(AND($P402&lt;&gt;"",OR(NOT(ISNUMBER($P402)),$P402&lt;=DATE(1900,1,1))),"Eligibility Date must be a valid date; ","")&amp;IF(AND($R402="Terminated",$Q402=""),"Termination Date is required when Status is Terminated; ","")&amp;IF(AND($Q402&lt;&gt;"",OR(NOT(ISNUMBER($Q402)),$Q402&lt;=DATE(1900,1,1))),"Termination Date must be a valid date; ","")&amp;IF(AND(ISNUMBER($P402),ISNUMBER($Q402),$Q402&lt;$P402),"Termination Date cannot be before Eligibility Date; ","")&amp;IF($R402="","Status is required; ","")&amp;IF(AND($R402&lt;&gt;"",$R402&lt;&gt;"Active",$R402&lt;&gt;"Terminated"),"Status must be Active or Terminated; ","")&amp;IF(AND('START HERE'!$C$8="Terminations Only",$R402&lt;&gt;"Terminated"),"Terminations Only files must contain terminated records; ",""))</f>
        <v/>
      </c>
      <c r="AC402">
        <f>IF(COUNTA($A402:$U402)=0,"",IF($S402="","Plan Name is required; ","")&amp;IF($T402="","Benefit Coverage Level is required; ","")&amp;IF(AND($U402&lt;&gt;"",OR(NOT(ISNUMBER($U402)),$U402&lt;0)),"Plan Funding Amount must be a nonnegative number; ","")&amp;IF(AND($A402&lt;&gt;"",$S402&lt;&gt;"",COUNTIFS($A$2:$A$501,$A402,$B$2:$B$501,$B402,$S$2:$S$501,$S402)&gt;1),"Duplicate participant and plan row; ",""))</f>
        <v/>
      </c>
      <c r="AD402">
        <f>IF(COUNTA($A402:$U402)=0,"",IF(AND($X402="Employee",$M402="",$N402=""),"No employee phone or email provided; ","")&amp;IF(AND($R402="Active",$Q402&lt;&gt;""),"Active record includes a Termination Date; confirm this is intentional; ","")&amp;IF(AND($B402&lt;&gt;"",$B402&amp;""&lt;&gt;$A402&amp;"",COUNTIF($A$2:$A$501,$B402)&gt;0),"Dependent SSN also appears as an Employee SSN elsewhere; confirm dual-employee coverage is intentional; ","")&amp;IF(AND($B402&lt;&gt;"",COUNTIF($B$2:$B$501,$B402)&gt;COUNTIFS($A$2:$A$501,$A402,$B$2:$B$501,$B402)),"Dependent SSN appears under more than one employee; confirm duplicate family coverage is intentional; ","")&amp;IF(AND(ROW()&gt;2,$A402&lt;&gt;"",$A402&lt;&gt;$A401,COUNTIF($A$2:$A401,$A402)&gt;0),"This household appears in more than one section of the census; keep the family together; ","")&amp;IF(OR(AND($C402&lt;&gt;"",LEN($C402&amp;"")&lt;&gt;LEN(TRIM($C402&amp;""))),AND($D402&lt;&gt;"",LEN($D402&amp;"")&lt;&gt;LEN(TRIM($D402&amp;""))),AND($E402&lt;&gt;"",LEN($E402&amp;"")&lt;&gt;LEN(TRIM($E402&amp;""))),AND($F402&lt;&gt;"",LEN($F402&amp;"")&lt;&gt;LEN(TRIM($F402&amp;""))),AND($G402&lt;&gt;"",LEN($G402&amp;"")&lt;&gt;LEN(TRIM($G402&amp;""))),AND($H402&lt;&gt;"",LEN($H402&amp;"")&lt;&gt;LEN(TRIM($H402&amp;""))),AND($I402&lt;&gt;"",LEN($I402&amp;"")&lt;&gt;LEN(TRIM($I402&amp;""))),AND($J402&lt;&gt;"",LEN($J402&amp;"")&lt;&gt;LEN(TRIM($J402&amp;""))),AND($K402&lt;&gt;"",LEN($K402&amp;"")&lt;&gt;LEN(TRIM($K402&amp;""))),AND($M402&lt;&gt;"",LEN($M402&amp;"")&lt;&gt;LEN(TRIM($M402&amp;""))),AND($N402&lt;&gt;"",LEN($N402&amp;"")&lt;&gt;LEN(TRIM($N402&amp;""))),AND($O402&lt;&gt;"",LEN($O402&amp;"")&lt;&gt;LEN(TRIM($O402&amp;""))),AND($R402&lt;&gt;"",LEN($R402&amp;"")&lt;&gt;LEN(TRIM($R402&amp;""))),AND($S402&lt;&gt;"",LEN($S402&amp;"")&lt;&gt;LEN(TRIM($S402&amp;""))),AND($T402&lt;&gt;"",LEN($T402&amp;"")&lt;&gt;LEN(TRIM($T402&amp;"")))),"Remove leading or trailing spaces from text fields; ","")&amp;IF(OR(AND(LEN($C402)&gt;1,OR(EXACT($C402,UPPER($C402)),EXACT($C402,LOWER($C402)))),AND(LEN($D402)&gt;1,OR(EXACT($D402,UPPER($D402)),EXACT($D402,LOWER($D402)))),AND(LEN($H402)&gt;1,OR(EXACT($H402,UPPER($H402)),EXACT($H402,LOWER($H402))))),"Review capitalization in First Name, Last Name, or City; ","")&amp;IF(AND($N402&lt;&gt;"",NOT(EXACT($N402,LOWER($N402)))),"Email will be standardized to lowercase in the clean output; ","")&amp;IF(AND(OR('START HERE'!$C$8="Initial Enrollment",'START HERE'!$C$8="Open Enrollment"),$R402="Terminated"),"A terminated row is included in an initial or open enrollment file; confirm this is intentional; ",""))</f>
        <v/>
      </c>
      <c r="AE402">
        <f>IF(COUNTA($A402:$U402)=0,"",IF(OR($A402="",AND($A402&lt;&gt;"",NOT(IFERROR(AND(LEN($A402&amp;"")=9,ISNUMBER(--($A402&amp;""))),FALSE))),AND($A402&lt;&gt;"",OR($A402="123456789",$A402="987654321",$A402="012345678",$A402=REPT(LEFT($A402&amp;"",1),9)))),"Employee SSN, ","")&amp;IF(OR(AND($O402&lt;&gt;"",$B402=""),AND($B402&lt;&gt;"",OR(NOT(IFERROR(AND(LEN($B402&amp;"")=9,ISNUMBER(--($B402&amp;""))),FALSE)),$B402=$A402,$B402="123456789",$B402="987654321",$B402="012345678",$B402=REPT(LEFT($B402&amp;"",1),9)))),"Dependent SSN, ","")&amp;IF(OR($C402="",LEN($C402)&gt;19,AND($C402&lt;&gt;"",SUMPRODUCT(--(ROW($1:$19)&lt;=LEN($C402&amp;"")),--ISERROR(FIND(MID($C402&amp;"",ROW($1:$19),1),"ABCDEFGHIJKLMNOPQRSTUVWXYZabcdefghijklmnopqrstuvwxyz .,")))&gt;0)),"First Name, ","")&amp;IF(OR($D402="",LEN($D402)&gt;26,AND($D402&lt;&gt;"",SUMPRODUCT(--(ROW($1:$26)&lt;=LEN($D402&amp;"")),--ISERROR(FIND(MID($D402&amp;"",ROW($1:$26),1),"ABCDEFGHIJKLMNOPQRSTUVWXYZabcdefghijklmnopqrstuvwxyz .,")))&gt;0)),"Last Name, ","")&amp;IF(OR(LEN($E402)&gt;1,AND($E402&lt;&gt;"",SUMPRODUCT(--(ROW($1:$1)&lt;=LEN($E402&amp;"")),--ISERROR(FIND(MID($E402&amp;"",ROW($1:$1),1),"ABCDEFGHIJKLMNOPQRSTUVWXYZabcdefghijklmnopqrstuvwxyz .,")))&gt;0)),"Middle Initial, ","")&amp;IF(OR($F402="",LEN($F402)&gt;75),"Address, ","")&amp;IF(OR($H402="",LEN($H402)&gt;30),"City, ","")&amp;IF(AND($K402="US",OR($I402="",LEN($I402)&lt;&gt;2)),"State, ","")&amp;IF($J402="","ZIP, ","")&amp;IF(OR($K402="",AND($K402&lt;&gt;"US",$K402&lt;&gt;"CA")),"Country, ","")&amp;IF(OR($L402="",AND($L402&lt;&gt;"",OR(NOT(ISNUMBER($L402)),$L402&lt;=DATE(1900,1,1),$L402&gt;TODAY()))),"Birthdate, ","")&amp;IF(AND($N402&lt;&gt;"",NOT(IFERROR(AND(ISNUMBER(SEARCH("@",$N402)),ISNUMBER(SEARCH(".",$N402,SEARCH("@",$N402)+2))),FALSE))),"Email, ","")&amp;IF(OR(AND($B402&lt;&gt;"",$O402=""),AND($O402&lt;&gt;"",$O402&lt;&gt;"Spouse or Common Law Spouse",$O402&lt;&gt;"Domestic Partner",$O402&lt;&gt;"Child",$O402&lt;&gt;"Other",$O402&lt;&gt;"Estate",$O402&lt;&gt;"Unknown")),"Dependent Relationship, ","")&amp;IF($AA402&lt;&gt;"","Household, ","")&amp;IF(OR($P402="",AND($P402&lt;&gt;"",OR(NOT(ISNUMBER($P402)),$P402&lt;=DATE(1900,1,1)))),"Eligibility Date, ","")&amp;IF(OR(AND($R402="Terminated",$Q402=""),AND($Q402&lt;&gt;"",OR(NOT(ISNUMBER($Q402)),$Q402&lt;=DATE(1900,1,1))),AND(ISNUMBER($P402),ISNUMBER($Q402),$Q402&lt;$P402)),"Termination Date, ","")&amp;IF(OR($R402="",AND($R402&lt;&gt;"Active",$R402&lt;&gt;"Terminated"),AND('START HERE'!$C$8="Terminations Only",$R402&lt;&gt;"Terminated")),"Status, ","")&amp;IF($S402="","Plan Name, ","")&amp;IF($T402="","Coverage Level, ","")&amp;IF(AND($U402&lt;&gt;"",OR(NOT(ISNUMBER($U402)),$U402&lt;0)),"Funding, ","")&amp;IF(AND($A402&lt;&gt;"",$S402&lt;&gt;"",COUNTIFS($A$2:$A$501,$A402,$B$2:$B$501,$B402,$S$2:$S$501,$S402)&gt;1),"Duplicate Row, ",""))</f>
        <v/>
      </c>
      <c r="AF402">
        <f>IF(COUNTA($A402:$U402)=0,"",$Y402&amp;$Z402&amp;$AA402&amp;$AB402&amp;$AC402)</f>
        <v/>
      </c>
      <c r="AG402">
        <f>IF($N402="","",LOWER(TRIM($N402)))</f>
        <v/>
      </c>
      <c r="AH402">
        <f>IF($A402="","",COUNTIFS($A$2:$A$501,$A402,$AI$2:$AI$501,1))</f>
        <v/>
      </c>
      <c r="AI402">
        <f>IF(COUNTA($A402:$U402)=0,"",--($AF402&lt;&gt;""))</f>
        <v/>
      </c>
      <c r="AJ402">
        <f>IF(COUNTA($A402:$U402)=0,"",--($AD402&lt;&gt;""))</f>
        <v/>
      </c>
    </row>
    <row r="403" ht="20" customHeight="1">
      <c r="A403" s="80" t="n"/>
      <c r="B403" s="80" t="n"/>
      <c r="C403" s="81" t="n"/>
      <c r="D403" s="81" t="n"/>
      <c r="E403" s="80" t="n"/>
      <c r="F403" s="81" t="n"/>
      <c r="G403" s="81" t="n"/>
      <c r="H403" s="81" t="n"/>
      <c r="I403" s="80" t="n"/>
      <c r="J403" s="80" t="n"/>
      <c r="K403" s="80" t="n"/>
      <c r="L403" s="82" t="n"/>
      <c r="M403" s="80" t="n"/>
      <c r="N403" s="80" t="n"/>
      <c r="O403" s="80" t="n"/>
      <c r="P403" s="82" t="n"/>
      <c r="Q403" s="82" t="n"/>
      <c r="R403" s="80" t="n"/>
      <c r="S403" s="80" t="n"/>
      <c r="T403" s="80" t="n"/>
      <c r="U403" s="83" t="n"/>
      <c r="V403">
        <f>IF($A403="","",IF($A403=$A402,$V402,IF($V402="",0,1-$V402)))</f>
        <v/>
      </c>
      <c r="W403">
        <f>IF($B403&lt;&gt;"",$B403,$A403)</f>
        <v/>
      </c>
      <c r="X403">
        <f>IF(COUNTA($A403:$U403)=0,"",IF(OR($B403&lt;&gt;"",$O403&lt;&gt;""),"Dependent","Employee"))</f>
        <v/>
      </c>
      <c r="Y403">
        <f>IF(COUNTA($A403:$U403)=0,"",IF($A403="","Employee SSN is required; ","")&amp;IF($C403="","First Name is required; ","")&amp;IF(LEN($C403&amp;"")&gt;19,"First Name exceeds 19 characters; ","")&amp;IF(AND($C403&lt;&gt;"",SUMPRODUCT(--(ROW($1:$19)&lt;=LEN($C403&amp;"")),--ISERROR(FIND(MID($C403&amp;"",ROW($1:$19),1),"ABCDEFGHIJKLMNOPQRSTUVWXYZabcdefghijklmnopqrstuvwxyz .,")))&gt;0),"First Name contains unsupported or encoded characters; use plain A-Z letters only; ","")&amp;IF($D403="","Last Name is required; ","")&amp;IF(LEN($D403&amp;"")&gt;26,"Last Name exceeds 26 characters; ","")&amp;IF(AND($D403&lt;&gt;"",SUMPRODUCT(--(ROW($1:$26)&lt;=LEN($D403&amp;"")),--ISERROR(FIND(MID($D403&amp;"",ROW($1:$26),1),"ABCDEFGHIJKLMNOPQRSTUVWXYZabcdefghijklmnopqrstuvwxyz .,")))&gt;0),"Last Name contains unsupported or encoded characters; use plain A-Z letters only; ","")&amp;IF(LEN($E403&amp;"")&gt;1,"Middle Initial may contain only one character; ","")&amp;IF(AND($E403&lt;&gt;"",SUMPRODUCT(--(ROW($1:$1)&lt;=LEN($E403&amp;"")),--ISERROR(FIND(MID($E403&amp;"",ROW($1:$1),1),"ABCDEFGHIJKLMNOPQRSTUVWXYZabcdefghijklmnopqrstuvwxyz .,")))&gt;0),"Middle Initial must be a plain A-Z letter; ","")&amp;IF($F403="","Address is required; ","")&amp;IF(LEN($F403&amp;"")&gt;75,"Address exceeds 75 characters; ","")&amp;IF(LEN($G403&amp;"")&gt;75,"Address 2 exceeds 75 characters; ","")&amp;IF($H403="","City is required; ","")&amp;IF(LEN($H403&amp;"")&gt;30,"City exceeds 30 characters; ","")&amp;IF($K403="","Country is required; ","")&amp;IF(AND($K403&lt;&gt;"",$K403&lt;&gt;"US",$K403&lt;&gt;"CA"),"Country must be US or CA; ","")&amp;IF(AND($K403="US",OR($I403="",LEN($I403&amp;"")&lt;&gt;2)),"Use a 2-letter state code; ","")&amp;IF($J403="","ZIP or postal code is required; ","")&amp;IF(AND($K403="US",$J403&lt;&gt;"",NOT(IFERROR(OR(AND(LEN($J403&amp;"")=5,ISNUMBER(--($J403&amp;""))),AND(LEN($J403&amp;"")=9,ISNUMBER(--($J403&amp;""))),AND(LEN($J403&amp;"")=10,MID($J403&amp;"",6,1)="-",ISNUMBER(--SUBSTITUTE($J403&amp;"","-","")))),FALSE))),"US ZIP must be 5 or 9 digits, with an optional ZIP+4 hyphen; ","")&amp;IF(AND($N403&lt;&gt;"",NOT(IFERROR(AND(ISNUMBER(SEARCH("@",$N403)),ISNUMBER(SEARCH(".",$N403,SEARCH("@",$N403)+2))),FALSE))),"Email format appears invalid; ","")&amp;IF(AND($O403&lt;&gt;"",$B403=""),"Dependent SSN is required for every dependent; ","")&amp;IF(AND($B403&lt;&gt;"",$O403=""),"Dependent Relationship is required when Dependent SSN is entered; ","")&amp;IF(AND($O403&lt;&gt;"",$O403&lt;&gt;"Spouse or Common Law Spouse",$O403&lt;&gt;"Domestic Partner",$O403&lt;&gt;"Child",$O403&lt;&gt;"Other",$O403&lt;&gt;"Estate",$O403&lt;&gt;"Unknown"),"Dependent Relationship must use one of the approved options; ",""))</f>
        <v/>
      </c>
      <c r="Z403">
        <f>IF(COUNTA($A403:$U403)=0,"",IF(AND($A403&lt;&gt;"",NOT(IFERROR(AND(LEN($A403&amp;"")=9,ISNUMBER(--($A403&amp;""))),FALSE))),"Employee SSN must contain exactly 9 digits; ","")&amp;IF(AND($A403&lt;&gt;"",OR($A403="123456789",$A403="987654321",$A403="012345678",$A403=REPT(LEFT($A403&amp;"",1),9))),"Employee SSN appears to be a placeholder; ","")&amp;IF(AND($B403&lt;&gt;"",NOT(IFERROR(AND(LEN($B403&amp;"")=9,ISNUMBER(--($B403&amp;""))),FALSE))),"Dependent SSN must contain exactly 9 digits; ","")&amp;IF(AND($B403&lt;&gt;"",OR($B403="123456789",$B403="987654321",$B403="012345678",$B403=REPT(LEFT($B403&amp;"",1),9))),"Dependent SSN appears to be a placeholder; ","")&amp;IF(AND($A403&lt;&gt;"",$B403&lt;&gt;"",$A403&amp;""=$B403&amp;""),"Dependent SSN cannot match Employee SSN; ","")&amp;IF(AND($W403&lt;&gt;"",OR(COUNTIFS($W$2:$W$501,$W403,$C$2:$C$501,"&lt;&gt;"&amp;$C403)&gt;0,COUNTIFS($W$2:$W$501,$W403,$D$2:$D$501,"&lt;&gt;"&amp;$D403)&gt;0,COUNTIFS($W$2:$W$501,$W403,$L$2:$L$501,"&lt;&gt;"&amp;$L403)&gt;0)),"The same SSN is associated with a different name or birthdate; ",""))</f>
        <v/>
      </c>
      <c r="AA403">
        <f>IF(COUNTA($A403:$U403)=0,"",IF(AND($A403&lt;&gt;"",$S403&lt;&gt;"",COUNTIFS($A$2:$A$501,$A403,$S$2:$S$501,$S403,$B$2:$B$501,"",$O$2:$O$501,"")=0),"Add an employee row for this household and plan; ","")&amp;IF(AND($X403="Dependent",COUNTIFS($A$2:$A403,$A403,$S$2:$S403,$S403,$B$2:$B403,"",$O$2:$O403,"")=0),"Place the employee row before dependent rows for this plan; ","")&amp;IF(AND($X403="Dependent",COUNTIFS($A$2:$A$501,$A403,$S$2:$S$501,$S403,$B$2:$B$501,"",$O$2:$O$501,"")&gt;0,IFERROR(OR($P403&lt;&gt;LOOKUP(2,1/(($A$2:$A$501=$A403)*($S$2:$S$501=$S403)*($B$2:$B$501="")*($O$2:$O$501="")),$P$2:$P$501),$Q403&lt;&gt;LOOKUP(2,1/(($A$2:$A$501=$A403)*($S$2:$S$501=$S403)*($B$2:$B$501="")*($O$2:$O$501="")),$Q$2:$Q$501),$R403&lt;&gt;LOOKUP(2,1/(($A$2:$A$501=$A403)*($S$2:$S$501=$S403)*($B$2:$B$501="")*($O$2:$O$501="")),$R$2:$R$501),$T403&lt;&gt;LOOKUP(2,1/(($A$2:$A$501=$A403)*($S$2:$S$501=$S403)*($B$2:$B$501="")*($O$2:$O$501="")),$T$2:$T$501),$U403&lt;&gt;LOOKUP(2,1/(($A$2:$A$501=$A403)*($S$2:$S$501=$S403)*($B$2:$B$501="")*($O$2:$O$501="")),$U$2:$U$501)),FALSE)),"Dependent row does not match the employee row for eligibility, status, coverage level, or funding; ",""))</f>
        <v/>
      </c>
      <c r="AB403">
        <f>IF(COUNTA($A403:$U403)=0,"",IF($L403="","Birthdate is required; ","")&amp;IF(AND($L403&lt;&gt;"",OR(NOT(ISNUMBER($L403)),$L403&lt;=DATE(1900,1,1),$L403&gt;TODAY())),"Birthdate must be an exact valid past date; ","")&amp;IF($P403="","Eligibility Date is required; ","")&amp;IF(AND($P403&lt;&gt;"",OR(NOT(ISNUMBER($P403)),$P403&lt;=DATE(1900,1,1))),"Eligibility Date must be a valid date; ","")&amp;IF(AND($R403="Terminated",$Q403=""),"Termination Date is required when Status is Terminated; ","")&amp;IF(AND($Q403&lt;&gt;"",OR(NOT(ISNUMBER($Q403)),$Q403&lt;=DATE(1900,1,1))),"Termination Date must be a valid date; ","")&amp;IF(AND(ISNUMBER($P403),ISNUMBER($Q403),$Q403&lt;$P403),"Termination Date cannot be before Eligibility Date; ","")&amp;IF($R403="","Status is required; ","")&amp;IF(AND($R403&lt;&gt;"",$R403&lt;&gt;"Active",$R403&lt;&gt;"Terminated"),"Status must be Active or Terminated; ","")&amp;IF(AND('START HERE'!$C$8="Terminations Only",$R403&lt;&gt;"Terminated"),"Terminations Only files must contain terminated records; ",""))</f>
        <v/>
      </c>
      <c r="AC403">
        <f>IF(COUNTA($A403:$U403)=0,"",IF($S403="","Plan Name is required; ","")&amp;IF($T403="","Benefit Coverage Level is required; ","")&amp;IF(AND($U403&lt;&gt;"",OR(NOT(ISNUMBER($U403)),$U403&lt;0)),"Plan Funding Amount must be a nonnegative number; ","")&amp;IF(AND($A403&lt;&gt;"",$S403&lt;&gt;"",COUNTIFS($A$2:$A$501,$A403,$B$2:$B$501,$B403,$S$2:$S$501,$S403)&gt;1),"Duplicate participant and plan row; ",""))</f>
        <v/>
      </c>
      <c r="AD403">
        <f>IF(COUNTA($A403:$U403)=0,"",IF(AND($X403="Employee",$M403="",$N403=""),"No employee phone or email provided; ","")&amp;IF(AND($R403="Active",$Q403&lt;&gt;""),"Active record includes a Termination Date; confirm this is intentional; ","")&amp;IF(AND($B403&lt;&gt;"",$B403&amp;""&lt;&gt;$A403&amp;"",COUNTIF($A$2:$A$501,$B403)&gt;0),"Dependent SSN also appears as an Employee SSN elsewhere; confirm dual-employee coverage is intentional; ","")&amp;IF(AND($B403&lt;&gt;"",COUNTIF($B$2:$B$501,$B403)&gt;COUNTIFS($A$2:$A$501,$A403,$B$2:$B$501,$B403)),"Dependent SSN appears under more than one employee; confirm duplicate family coverage is intentional; ","")&amp;IF(AND(ROW()&gt;2,$A403&lt;&gt;"",$A403&lt;&gt;$A402,COUNTIF($A$2:$A402,$A403)&gt;0),"This household appears in more than one section of the census; keep the family together; ","")&amp;IF(OR(AND($C403&lt;&gt;"",LEN($C403&amp;"")&lt;&gt;LEN(TRIM($C403&amp;""))),AND($D403&lt;&gt;"",LEN($D403&amp;"")&lt;&gt;LEN(TRIM($D403&amp;""))),AND($E403&lt;&gt;"",LEN($E403&amp;"")&lt;&gt;LEN(TRIM($E403&amp;""))),AND($F403&lt;&gt;"",LEN($F403&amp;"")&lt;&gt;LEN(TRIM($F403&amp;""))),AND($G403&lt;&gt;"",LEN($G403&amp;"")&lt;&gt;LEN(TRIM($G403&amp;""))),AND($H403&lt;&gt;"",LEN($H403&amp;"")&lt;&gt;LEN(TRIM($H403&amp;""))),AND($I403&lt;&gt;"",LEN($I403&amp;"")&lt;&gt;LEN(TRIM($I403&amp;""))),AND($J403&lt;&gt;"",LEN($J403&amp;"")&lt;&gt;LEN(TRIM($J403&amp;""))),AND($K403&lt;&gt;"",LEN($K403&amp;"")&lt;&gt;LEN(TRIM($K403&amp;""))),AND($M403&lt;&gt;"",LEN($M403&amp;"")&lt;&gt;LEN(TRIM($M403&amp;""))),AND($N403&lt;&gt;"",LEN($N403&amp;"")&lt;&gt;LEN(TRIM($N403&amp;""))),AND($O403&lt;&gt;"",LEN($O403&amp;"")&lt;&gt;LEN(TRIM($O403&amp;""))),AND($R403&lt;&gt;"",LEN($R403&amp;"")&lt;&gt;LEN(TRIM($R403&amp;""))),AND($S403&lt;&gt;"",LEN($S403&amp;"")&lt;&gt;LEN(TRIM($S403&amp;""))),AND($T403&lt;&gt;"",LEN($T403&amp;"")&lt;&gt;LEN(TRIM($T403&amp;"")))),"Remove leading or trailing spaces from text fields; ","")&amp;IF(OR(AND(LEN($C403)&gt;1,OR(EXACT($C403,UPPER($C403)),EXACT($C403,LOWER($C403)))),AND(LEN($D403)&gt;1,OR(EXACT($D403,UPPER($D403)),EXACT($D403,LOWER($D403)))),AND(LEN($H403)&gt;1,OR(EXACT($H403,UPPER($H403)),EXACT($H403,LOWER($H403))))),"Review capitalization in First Name, Last Name, or City; ","")&amp;IF(AND($N403&lt;&gt;"",NOT(EXACT($N403,LOWER($N403)))),"Email will be standardized to lowercase in the clean output; ","")&amp;IF(AND(OR('START HERE'!$C$8="Initial Enrollment",'START HERE'!$C$8="Open Enrollment"),$R403="Terminated"),"A terminated row is included in an initial or open enrollment file; confirm this is intentional; ",""))</f>
        <v/>
      </c>
      <c r="AE403">
        <f>IF(COUNTA($A403:$U403)=0,"",IF(OR($A403="",AND($A403&lt;&gt;"",NOT(IFERROR(AND(LEN($A403&amp;"")=9,ISNUMBER(--($A403&amp;""))),FALSE))),AND($A403&lt;&gt;"",OR($A403="123456789",$A403="987654321",$A403="012345678",$A403=REPT(LEFT($A403&amp;"",1),9)))),"Employee SSN, ","")&amp;IF(OR(AND($O403&lt;&gt;"",$B403=""),AND($B403&lt;&gt;"",OR(NOT(IFERROR(AND(LEN($B403&amp;"")=9,ISNUMBER(--($B403&amp;""))),FALSE)),$B403=$A403,$B403="123456789",$B403="987654321",$B403="012345678",$B403=REPT(LEFT($B403&amp;"",1),9)))),"Dependent SSN, ","")&amp;IF(OR($C403="",LEN($C403)&gt;19,AND($C403&lt;&gt;"",SUMPRODUCT(--(ROW($1:$19)&lt;=LEN($C403&amp;"")),--ISERROR(FIND(MID($C403&amp;"",ROW($1:$19),1),"ABCDEFGHIJKLMNOPQRSTUVWXYZabcdefghijklmnopqrstuvwxyz .,")))&gt;0)),"First Name, ","")&amp;IF(OR($D403="",LEN($D403)&gt;26,AND($D403&lt;&gt;"",SUMPRODUCT(--(ROW($1:$26)&lt;=LEN($D403&amp;"")),--ISERROR(FIND(MID($D403&amp;"",ROW($1:$26),1),"ABCDEFGHIJKLMNOPQRSTUVWXYZabcdefghijklmnopqrstuvwxyz .,")))&gt;0)),"Last Name, ","")&amp;IF(OR(LEN($E403)&gt;1,AND($E403&lt;&gt;"",SUMPRODUCT(--(ROW($1:$1)&lt;=LEN($E403&amp;"")),--ISERROR(FIND(MID($E403&amp;"",ROW($1:$1),1),"ABCDEFGHIJKLMNOPQRSTUVWXYZabcdefghijklmnopqrstuvwxyz .,")))&gt;0)),"Middle Initial, ","")&amp;IF(OR($F403="",LEN($F403)&gt;75),"Address, ","")&amp;IF(OR($H403="",LEN($H403)&gt;30),"City, ","")&amp;IF(AND($K403="US",OR($I403="",LEN($I403)&lt;&gt;2)),"State, ","")&amp;IF($J403="","ZIP, ","")&amp;IF(OR($K403="",AND($K403&lt;&gt;"US",$K403&lt;&gt;"CA")),"Country, ","")&amp;IF(OR($L403="",AND($L403&lt;&gt;"",OR(NOT(ISNUMBER($L403)),$L403&lt;=DATE(1900,1,1),$L403&gt;TODAY()))),"Birthdate, ","")&amp;IF(AND($N403&lt;&gt;"",NOT(IFERROR(AND(ISNUMBER(SEARCH("@",$N403)),ISNUMBER(SEARCH(".",$N403,SEARCH("@",$N403)+2))),FALSE))),"Email, ","")&amp;IF(OR(AND($B403&lt;&gt;"",$O403=""),AND($O403&lt;&gt;"",$O403&lt;&gt;"Spouse or Common Law Spouse",$O403&lt;&gt;"Domestic Partner",$O403&lt;&gt;"Child",$O403&lt;&gt;"Other",$O403&lt;&gt;"Estate",$O403&lt;&gt;"Unknown")),"Dependent Relationship, ","")&amp;IF($AA403&lt;&gt;"","Household, ","")&amp;IF(OR($P403="",AND($P403&lt;&gt;"",OR(NOT(ISNUMBER($P403)),$P403&lt;=DATE(1900,1,1)))),"Eligibility Date, ","")&amp;IF(OR(AND($R403="Terminated",$Q403=""),AND($Q403&lt;&gt;"",OR(NOT(ISNUMBER($Q403)),$Q403&lt;=DATE(1900,1,1))),AND(ISNUMBER($P403),ISNUMBER($Q403),$Q403&lt;$P403)),"Termination Date, ","")&amp;IF(OR($R403="",AND($R403&lt;&gt;"Active",$R403&lt;&gt;"Terminated"),AND('START HERE'!$C$8="Terminations Only",$R403&lt;&gt;"Terminated")),"Status, ","")&amp;IF($S403="","Plan Name, ","")&amp;IF($T403="","Coverage Level, ","")&amp;IF(AND($U403&lt;&gt;"",OR(NOT(ISNUMBER($U403)),$U403&lt;0)),"Funding, ","")&amp;IF(AND($A403&lt;&gt;"",$S403&lt;&gt;"",COUNTIFS($A$2:$A$501,$A403,$B$2:$B$501,$B403,$S$2:$S$501,$S403)&gt;1),"Duplicate Row, ",""))</f>
        <v/>
      </c>
      <c r="AF403">
        <f>IF(COUNTA($A403:$U403)=0,"",$Y403&amp;$Z403&amp;$AA403&amp;$AB403&amp;$AC403)</f>
        <v/>
      </c>
      <c r="AG403">
        <f>IF($N403="","",LOWER(TRIM($N403)))</f>
        <v/>
      </c>
      <c r="AH403">
        <f>IF($A403="","",COUNTIFS($A$2:$A$501,$A403,$AI$2:$AI$501,1))</f>
        <v/>
      </c>
      <c r="AI403">
        <f>IF(COUNTA($A403:$U403)=0,"",--($AF403&lt;&gt;""))</f>
        <v/>
      </c>
      <c r="AJ403">
        <f>IF(COUNTA($A403:$U403)=0,"",--($AD403&lt;&gt;""))</f>
        <v/>
      </c>
    </row>
    <row r="404" ht="20" customHeight="1">
      <c r="A404" s="80" t="n"/>
      <c r="B404" s="80" t="n"/>
      <c r="C404" s="81" t="n"/>
      <c r="D404" s="81" t="n"/>
      <c r="E404" s="80" t="n"/>
      <c r="F404" s="81" t="n"/>
      <c r="G404" s="81" t="n"/>
      <c r="H404" s="81" t="n"/>
      <c r="I404" s="80" t="n"/>
      <c r="J404" s="80" t="n"/>
      <c r="K404" s="80" t="n"/>
      <c r="L404" s="82" t="n"/>
      <c r="M404" s="80" t="n"/>
      <c r="N404" s="80" t="n"/>
      <c r="O404" s="80" t="n"/>
      <c r="P404" s="82" t="n"/>
      <c r="Q404" s="82" t="n"/>
      <c r="R404" s="80" t="n"/>
      <c r="S404" s="80" t="n"/>
      <c r="T404" s="80" t="n"/>
      <c r="U404" s="83" t="n"/>
      <c r="V404">
        <f>IF($A404="","",IF($A404=$A403,$V403,IF($V403="",0,1-$V403)))</f>
        <v/>
      </c>
      <c r="W404">
        <f>IF($B404&lt;&gt;"",$B404,$A404)</f>
        <v/>
      </c>
      <c r="X404">
        <f>IF(COUNTA($A404:$U404)=0,"",IF(OR($B404&lt;&gt;"",$O404&lt;&gt;""),"Dependent","Employee"))</f>
        <v/>
      </c>
      <c r="Y404">
        <f>IF(COUNTA($A404:$U404)=0,"",IF($A404="","Employee SSN is required; ","")&amp;IF($C404="","First Name is required; ","")&amp;IF(LEN($C404&amp;"")&gt;19,"First Name exceeds 19 characters; ","")&amp;IF(AND($C404&lt;&gt;"",SUMPRODUCT(--(ROW($1:$19)&lt;=LEN($C404&amp;"")),--ISERROR(FIND(MID($C404&amp;"",ROW($1:$19),1),"ABCDEFGHIJKLMNOPQRSTUVWXYZabcdefghijklmnopqrstuvwxyz .,")))&gt;0),"First Name contains unsupported or encoded characters; use plain A-Z letters only; ","")&amp;IF($D404="","Last Name is required; ","")&amp;IF(LEN($D404&amp;"")&gt;26,"Last Name exceeds 26 characters; ","")&amp;IF(AND($D404&lt;&gt;"",SUMPRODUCT(--(ROW($1:$26)&lt;=LEN($D404&amp;"")),--ISERROR(FIND(MID($D404&amp;"",ROW($1:$26),1),"ABCDEFGHIJKLMNOPQRSTUVWXYZabcdefghijklmnopqrstuvwxyz .,")))&gt;0),"Last Name contains unsupported or encoded characters; use plain A-Z letters only; ","")&amp;IF(LEN($E404&amp;"")&gt;1,"Middle Initial may contain only one character; ","")&amp;IF(AND($E404&lt;&gt;"",SUMPRODUCT(--(ROW($1:$1)&lt;=LEN($E404&amp;"")),--ISERROR(FIND(MID($E404&amp;"",ROW($1:$1),1),"ABCDEFGHIJKLMNOPQRSTUVWXYZabcdefghijklmnopqrstuvwxyz .,")))&gt;0),"Middle Initial must be a plain A-Z letter; ","")&amp;IF($F404="","Address is required; ","")&amp;IF(LEN($F404&amp;"")&gt;75,"Address exceeds 75 characters; ","")&amp;IF(LEN($G404&amp;"")&gt;75,"Address 2 exceeds 75 characters; ","")&amp;IF($H404="","City is required; ","")&amp;IF(LEN($H404&amp;"")&gt;30,"City exceeds 30 characters; ","")&amp;IF($K404="","Country is required; ","")&amp;IF(AND($K404&lt;&gt;"",$K404&lt;&gt;"US",$K404&lt;&gt;"CA"),"Country must be US or CA; ","")&amp;IF(AND($K404="US",OR($I404="",LEN($I404&amp;"")&lt;&gt;2)),"Use a 2-letter state code; ","")&amp;IF($J404="","ZIP or postal code is required; ","")&amp;IF(AND($K404="US",$J404&lt;&gt;"",NOT(IFERROR(OR(AND(LEN($J404&amp;"")=5,ISNUMBER(--($J404&amp;""))),AND(LEN($J404&amp;"")=9,ISNUMBER(--($J404&amp;""))),AND(LEN($J404&amp;"")=10,MID($J404&amp;"",6,1)="-",ISNUMBER(--SUBSTITUTE($J404&amp;"","-","")))),FALSE))),"US ZIP must be 5 or 9 digits, with an optional ZIP+4 hyphen; ","")&amp;IF(AND($N404&lt;&gt;"",NOT(IFERROR(AND(ISNUMBER(SEARCH("@",$N404)),ISNUMBER(SEARCH(".",$N404,SEARCH("@",$N404)+2))),FALSE))),"Email format appears invalid; ","")&amp;IF(AND($O404&lt;&gt;"",$B404=""),"Dependent SSN is required for every dependent; ","")&amp;IF(AND($B404&lt;&gt;"",$O404=""),"Dependent Relationship is required when Dependent SSN is entered; ","")&amp;IF(AND($O404&lt;&gt;"",$O404&lt;&gt;"Spouse or Common Law Spouse",$O404&lt;&gt;"Domestic Partner",$O404&lt;&gt;"Child",$O404&lt;&gt;"Other",$O404&lt;&gt;"Estate",$O404&lt;&gt;"Unknown"),"Dependent Relationship must use one of the approved options; ",""))</f>
        <v/>
      </c>
      <c r="Z404">
        <f>IF(COUNTA($A404:$U404)=0,"",IF(AND($A404&lt;&gt;"",NOT(IFERROR(AND(LEN($A404&amp;"")=9,ISNUMBER(--($A404&amp;""))),FALSE))),"Employee SSN must contain exactly 9 digits; ","")&amp;IF(AND($A404&lt;&gt;"",OR($A404="123456789",$A404="987654321",$A404="012345678",$A404=REPT(LEFT($A404&amp;"",1),9))),"Employee SSN appears to be a placeholder; ","")&amp;IF(AND($B404&lt;&gt;"",NOT(IFERROR(AND(LEN($B404&amp;"")=9,ISNUMBER(--($B404&amp;""))),FALSE))),"Dependent SSN must contain exactly 9 digits; ","")&amp;IF(AND($B404&lt;&gt;"",OR($B404="123456789",$B404="987654321",$B404="012345678",$B404=REPT(LEFT($B404&amp;"",1),9))),"Dependent SSN appears to be a placeholder; ","")&amp;IF(AND($A404&lt;&gt;"",$B404&lt;&gt;"",$A404&amp;""=$B404&amp;""),"Dependent SSN cannot match Employee SSN; ","")&amp;IF(AND($W404&lt;&gt;"",OR(COUNTIFS($W$2:$W$501,$W404,$C$2:$C$501,"&lt;&gt;"&amp;$C404)&gt;0,COUNTIFS($W$2:$W$501,$W404,$D$2:$D$501,"&lt;&gt;"&amp;$D404)&gt;0,COUNTIFS($W$2:$W$501,$W404,$L$2:$L$501,"&lt;&gt;"&amp;$L404)&gt;0)),"The same SSN is associated with a different name or birthdate; ",""))</f>
        <v/>
      </c>
      <c r="AA404">
        <f>IF(COUNTA($A404:$U404)=0,"",IF(AND($A404&lt;&gt;"",$S404&lt;&gt;"",COUNTIFS($A$2:$A$501,$A404,$S$2:$S$501,$S404,$B$2:$B$501,"",$O$2:$O$501,"")=0),"Add an employee row for this household and plan; ","")&amp;IF(AND($X404="Dependent",COUNTIFS($A$2:$A404,$A404,$S$2:$S404,$S404,$B$2:$B404,"",$O$2:$O404,"")=0),"Place the employee row before dependent rows for this plan; ","")&amp;IF(AND($X404="Dependent",COUNTIFS($A$2:$A$501,$A404,$S$2:$S$501,$S404,$B$2:$B$501,"",$O$2:$O$501,"")&gt;0,IFERROR(OR($P404&lt;&gt;LOOKUP(2,1/(($A$2:$A$501=$A404)*($S$2:$S$501=$S404)*($B$2:$B$501="")*($O$2:$O$501="")),$P$2:$P$501),$Q404&lt;&gt;LOOKUP(2,1/(($A$2:$A$501=$A404)*($S$2:$S$501=$S404)*($B$2:$B$501="")*($O$2:$O$501="")),$Q$2:$Q$501),$R404&lt;&gt;LOOKUP(2,1/(($A$2:$A$501=$A404)*($S$2:$S$501=$S404)*($B$2:$B$501="")*($O$2:$O$501="")),$R$2:$R$501),$T404&lt;&gt;LOOKUP(2,1/(($A$2:$A$501=$A404)*($S$2:$S$501=$S404)*($B$2:$B$501="")*($O$2:$O$501="")),$T$2:$T$501),$U404&lt;&gt;LOOKUP(2,1/(($A$2:$A$501=$A404)*($S$2:$S$501=$S404)*($B$2:$B$501="")*($O$2:$O$501="")),$U$2:$U$501)),FALSE)),"Dependent row does not match the employee row for eligibility, status, coverage level, or funding; ",""))</f>
        <v/>
      </c>
      <c r="AB404">
        <f>IF(COUNTA($A404:$U404)=0,"",IF($L404="","Birthdate is required; ","")&amp;IF(AND($L404&lt;&gt;"",OR(NOT(ISNUMBER($L404)),$L404&lt;=DATE(1900,1,1),$L404&gt;TODAY())),"Birthdate must be an exact valid past date; ","")&amp;IF($P404="","Eligibility Date is required; ","")&amp;IF(AND($P404&lt;&gt;"",OR(NOT(ISNUMBER($P404)),$P404&lt;=DATE(1900,1,1))),"Eligibility Date must be a valid date; ","")&amp;IF(AND($R404="Terminated",$Q404=""),"Termination Date is required when Status is Terminated; ","")&amp;IF(AND($Q404&lt;&gt;"",OR(NOT(ISNUMBER($Q404)),$Q404&lt;=DATE(1900,1,1))),"Termination Date must be a valid date; ","")&amp;IF(AND(ISNUMBER($P404),ISNUMBER($Q404),$Q404&lt;$P404),"Termination Date cannot be before Eligibility Date; ","")&amp;IF($R404="","Status is required; ","")&amp;IF(AND($R404&lt;&gt;"",$R404&lt;&gt;"Active",$R404&lt;&gt;"Terminated"),"Status must be Active or Terminated; ","")&amp;IF(AND('START HERE'!$C$8="Terminations Only",$R404&lt;&gt;"Terminated"),"Terminations Only files must contain terminated records; ",""))</f>
        <v/>
      </c>
      <c r="AC404">
        <f>IF(COUNTA($A404:$U404)=0,"",IF($S404="","Plan Name is required; ","")&amp;IF($T404="","Benefit Coverage Level is required; ","")&amp;IF(AND($U404&lt;&gt;"",OR(NOT(ISNUMBER($U404)),$U404&lt;0)),"Plan Funding Amount must be a nonnegative number; ","")&amp;IF(AND($A404&lt;&gt;"",$S404&lt;&gt;"",COUNTIFS($A$2:$A$501,$A404,$B$2:$B$501,$B404,$S$2:$S$501,$S404)&gt;1),"Duplicate participant and plan row; ",""))</f>
        <v/>
      </c>
      <c r="AD404">
        <f>IF(COUNTA($A404:$U404)=0,"",IF(AND($X404="Employee",$M404="",$N404=""),"No employee phone or email provided; ","")&amp;IF(AND($R404="Active",$Q404&lt;&gt;""),"Active record includes a Termination Date; confirm this is intentional; ","")&amp;IF(AND($B404&lt;&gt;"",$B404&amp;""&lt;&gt;$A404&amp;"",COUNTIF($A$2:$A$501,$B404)&gt;0),"Dependent SSN also appears as an Employee SSN elsewhere; confirm dual-employee coverage is intentional; ","")&amp;IF(AND($B404&lt;&gt;"",COUNTIF($B$2:$B$501,$B404)&gt;COUNTIFS($A$2:$A$501,$A404,$B$2:$B$501,$B404)),"Dependent SSN appears under more than one employee; confirm duplicate family coverage is intentional; ","")&amp;IF(AND(ROW()&gt;2,$A404&lt;&gt;"",$A404&lt;&gt;$A403,COUNTIF($A$2:$A403,$A404)&gt;0),"This household appears in more than one section of the census; keep the family together; ","")&amp;IF(OR(AND($C404&lt;&gt;"",LEN($C404&amp;"")&lt;&gt;LEN(TRIM($C404&amp;""))),AND($D404&lt;&gt;"",LEN($D404&amp;"")&lt;&gt;LEN(TRIM($D404&amp;""))),AND($E404&lt;&gt;"",LEN($E404&amp;"")&lt;&gt;LEN(TRIM($E404&amp;""))),AND($F404&lt;&gt;"",LEN($F404&amp;"")&lt;&gt;LEN(TRIM($F404&amp;""))),AND($G404&lt;&gt;"",LEN($G404&amp;"")&lt;&gt;LEN(TRIM($G404&amp;""))),AND($H404&lt;&gt;"",LEN($H404&amp;"")&lt;&gt;LEN(TRIM($H404&amp;""))),AND($I404&lt;&gt;"",LEN($I404&amp;"")&lt;&gt;LEN(TRIM($I404&amp;""))),AND($J404&lt;&gt;"",LEN($J404&amp;"")&lt;&gt;LEN(TRIM($J404&amp;""))),AND($K404&lt;&gt;"",LEN($K404&amp;"")&lt;&gt;LEN(TRIM($K404&amp;""))),AND($M404&lt;&gt;"",LEN($M404&amp;"")&lt;&gt;LEN(TRIM($M404&amp;""))),AND($N404&lt;&gt;"",LEN($N404&amp;"")&lt;&gt;LEN(TRIM($N404&amp;""))),AND($O404&lt;&gt;"",LEN($O404&amp;"")&lt;&gt;LEN(TRIM($O404&amp;""))),AND($R404&lt;&gt;"",LEN($R404&amp;"")&lt;&gt;LEN(TRIM($R404&amp;""))),AND($S404&lt;&gt;"",LEN($S404&amp;"")&lt;&gt;LEN(TRIM($S404&amp;""))),AND($T404&lt;&gt;"",LEN($T404&amp;"")&lt;&gt;LEN(TRIM($T404&amp;"")))),"Remove leading or trailing spaces from text fields; ","")&amp;IF(OR(AND(LEN($C404)&gt;1,OR(EXACT($C404,UPPER($C404)),EXACT($C404,LOWER($C404)))),AND(LEN($D404)&gt;1,OR(EXACT($D404,UPPER($D404)),EXACT($D404,LOWER($D404)))),AND(LEN($H404)&gt;1,OR(EXACT($H404,UPPER($H404)),EXACT($H404,LOWER($H404))))),"Review capitalization in First Name, Last Name, or City; ","")&amp;IF(AND($N404&lt;&gt;"",NOT(EXACT($N404,LOWER($N404)))),"Email will be standardized to lowercase in the clean output; ","")&amp;IF(AND(OR('START HERE'!$C$8="Initial Enrollment",'START HERE'!$C$8="Open Enrollment"),$R404="Terminated"),"A terminated row is included in an initial or open enrollment file; confirm this is intentional; ",""))</f>
        <v/>
      </c>
      <c r="AE404">
        <f>IF(COUNTA($A404:$U404)=0,"",IF(OR($A404="",AND($A404&lt;&gt;"",NOT(IFERROR(AND(LEN($A404&amp;"")=9,ISNUMBER(--($A404&amp;""))),FALSE))),AND($A404&lt;&gt;"",OR($A404="123456789",$A404="987654321",$A404="012345678",$A404=REPT(LEFT($A404&amp;"",1),9)))),"Employee SSN, ","")&amp;IF(OR(AND($O404&lt;&gt;"",$B404=""),AND($B404&lt;&gt;"",OR(NOT(IFERROR(AND(LEN($B404&amp;"")=9,ISNUMBER(--($B404&amp;""))),FALSE)),$B404=$A404,$B404="123456789",$B404="987654321",$B404="012345678",$B404=REPT(LEFT($B404&amp;"",1),9)))),"Dependent SSN, ","")&amp;IF(OR($C404="",LEN($C404)&gt;19,AND($C404&lt;&gt;"",SUMPRODUCT(--(ROW($1:$19)&lt;=LEN($C404&amp;"")),--ISERROR(FIND(MID($C404&amp;"",ROW($1:$19),1),"ABCDEFGHIJKLMNOPQRSTUVWXYZabcdefghijklmnopqrstuvwxyz .,")))&gt;0)),"First Name, ","")&amp;IF(OR($D404="",LEN($D404)&gt;26,AND($D404&lt;&gt;"",SUMPRODUCT(--(ROW($1:$26)&lt;=LEN($D404&amp;"")),--ISERROR(FIND(MID($D404&amp;"",ROW($1:$26),1),"ABCDEFGHIJKLMNOPQRSTUVWXYZabcdefghijklmnopqrstuvwxyz .,")))&gt;0)),"Last Name, ","")&amp;IF(OR(LEN($E404)&gt;1,AND($E404&lt;&gt;"",SUMPRODUCT(--(ROW($1:$1)&lt;=LEN($E404&amp;"")),--ISERROR(FIND(MID($E404&amp;"",ROW($1:$1),1),"ABCDEFGHIJKLMNOPQRSTUVWXYZabcdefghijklmnopqrstuvwxyz .,")))&gt;0)),"Middle Initial, ","")&amp;IF(OR($F404="",LEN($F404)&gt;75),"Address, ","")&amp;IF(OR($H404="",LEN($H404)&gt;30),"City, ","")&amp;IF(AND($K404="US",OR($I404="",LEN($I404)&lt;&gt;2)),"State, ","")&amp;IF($J404="","ZIP, ","")&amp;IF(OR($K404="",AND($K404&lt;&gt;"US",$K404&lt;&gt;"CA")),"Country, ","")&amp;IF(OR($L404="",AND($L404&lt;&gt;"",OR(NOT(ISNUMBER($L404)),$L404&lt;=DATE(1900,1,1),$L404&gt;TODAY()))),"Birthdate, ","")&amp;IF(AND($N404&lt;&gt;"",NOT(IFERROR(AND(ISNUMBER(SEARCH("@",$N404)),ISNUMBER(SEARCH(".",$N404,SEARCH("@",$N404)+2))),FALSE))),"Email, ","")&amp;IF(OR(AND($B404&lt;&gt;"",$O404=""),AND($O404&lt;&gt;"",$O404&lt;&gt;"Spouse or Common Law Spouse",$O404&lt;&gt;"Domestic Partner",$O404&lt;&gt;"Child",$O404&lt;&gt;"Other",$O404&lt;&gt;"Estate",$O404&lt;&gt;"Unknown")),"Dependent Relationship, ","")&amp;IF($AA404&lt;&gt;"","Household, ","")&amp;IF(OR($P404="",AND($P404&lt;&gt;"",OR(NOT(ISNUMBER($P404)),$P404&lt;=DATE(1900,1,1)))),"Eligibility Date, ","")&amp;IF(OR(AND($R404="Terminated",$Q404=""),AND($Q404&lt;&gt;"",OR(NOT(ISNUMBER($Q404)),$Q404&lt;=DATE(1900,1,1))),AND(ISNUMBER($P404),ISNUMBER($Q404),$Q404&lt;$P404)),"Termination Date, ","")&amp;IF(OR($R404="",AND($R404&lt;&gt;"Active",$R404&lt;&gt;"Terminated"),AND('START HERE'!$C$8="Terminations Only",$R404&lt;&gt;"Terminated")),"Status, ","")&amp;IF($S404="","Plan Name, ","")&amp;IF($T404="","Coverage Level, ","")&amp;IF(AND($U404&lt;&gt;"",OR(NOT(ISNUMBER($U404)),$U404&lt;0)),"Funding, ","")&amp;IF(AND($A404&lt;&gt;"",$S404&lt;&gt;"",COUNTIFS($A$2:$A$501,$A404,$B$2:$B$501,$B404,$S$2:$S$501,$S404)&gt;1),"Duplicate Row, ",""))</f>
        <v/>
      </c>
      <c r="AF404">
        <f>IF(COUNTA($A404:$U404)=0,"",$Y404&amp;$Z404&amp;$AA404&amp;$AB404&amp;$AC404)</f>
        <v/>
      </c>
      <c r="AG404">
        <f>IF($N404="","",LOWER(TRIM($N404)))</f>
        <v/>
      </c>
      <c r="AH404">
        <f>IF($A404="","",COUNTIFS($A$2:$A$501,$A404,$AI$2:$AI$501,1))</f>
        <v/>
      </c>
      <c r="AI404">
        <f>IF(COUNTA($A404:$U404)=0,"",--($AF404&lt;&gt;""))</f>
        <v/>
      </c>
      <c r="AJ404">
        <f>IF(COUNTA($A404:$U404)=0,"",--($AD404&lt;&gt;""))</f>
        <v/>
      </c>
    </row>
    <row r="405" ht="20" customHeight="1">
      <c r="A405" s="80" t="n"/>
      <c r="B405" s="80" t="n"/>
      <c r="C405" s="81" t="n"/>
      <c r="D405" s="81" t="n"/>
      <c r="E405" s="80" t="n"/>
      <c r="F405" s="81" t="n"/>
      <c r="G405" s="81" t="n"/>
      <c r="H405" s="81" t="n"/>
      <c r="I405" s="80" t="n"/>
      <c r="J405" s="80" t="n"/>
      <c r="K405" s="80" t="n"/>
      <c r="L405" s="82" t="n"/>
      <c r="M405" s="80" t="n"/>
      <c r="N405" s="80" t="n"/>
      <c r="O405" s="80" t="n"/>
      <c r="P405" s="82" t="n"/>
      <c r="Q405" s="82" t="n"/>
      <c r="R405" s="80" t="n"/>
      <c r="S405" s="80" t="n"/>
      <c r="T405" s="80" t="n"/>
      <c r="U405" s="83" t="n"/>
      <c r="V405">
        <f>IF($A405="","",IF($A405=$A404,$V404,IF($V404="",0,1-$V404)))</f>
        <v/>
      </c>
      <c r="W405">
        <f>IF($B405&lt;&gt;"",$B405,$A405)</f>
        <v/>
      </c>
      <c r="X405">
        <f>IF(COUNTA($A405:$U405)=0,"",IF(OR($B405&lt;&gt;"",$O405&lt;&gt;""),"Dependent","Employee"))</f>
        <v/>
      </c>
      <c r="Y405">
        <f>IF(COUNTA($A405:$U405)=0,"",IF($A405="","Employee SSN is required; ","")&amp;IF($C405="","First Name is required; ","")&amp;IF(LEN($C405&amp;"")&gt;19,"First Name exceeds 19 characters; ","")&amp;IF(AND($C405&lt;&gt;"",SUMPRODUCT(--(ROW($1:$19)&lt;=LEN($C405&amp;"")),--ISERROR(FIND(MID($C405&amp;"",ROW($1:$19),1),"ABCDEFGHIJKLMNOPQRSTUVWXYZabcdefghijklmnopqrstuvwxyz .,")))&gt;0),"First Name contains unsupported or encoded characters; use plain A-Z letters only; ","")&amp;IF($D405="","Last Name is required; ","")&amp;IF(LEN($D405&amp;"")&gt;26,"Last Name exceeds 26 characters; ","")&amp;IF(AND($D405&lt;&gt;"",SUMPRODUCT(--(ROW($1:$26)&lt;=LEN($D405&amp;"")),--ISERROR(FIND(MID($D405&amp;"",ROW($1:$26),1),"ABCDEFGHIJKLMNOPQRSTUVWXYZabcdefghijklmnopqrstuvwxyz .,")))&gt;0),"Last Name contains unsupported or encoded characters; use plain A-Z letters only; ","")&amp;IF(LEN($E405&amp;"")&gt;1,"Middle Initial may contain only one character; ","")&amp;IF(AND($E405&lt;&gt;"",SUMPRODUCT(--(ROW($1:$1)&lt;=LEN($E405&amp;"")),--ISERROR(FIND(MID($E405&amp;"",ROW($1:$1),1),"ABCDEFGHIJKLMNOPQRSTUVWXYZabcdefghijklmnopqrstuvwxyz .,")))&gt;0),"Middle Initial must be a plain A-Z letter; ","")&amp;IF($F405="","Address is required; ","")&amp;IF(LEN($F405&amp;"")&gt;75,"Address exceeds 75 characters; ","")&amp;IF(LEN($G405&amp;"")&gt;75,"Address 2 exceeds 75 characters; ","")&amp;IF($H405="","City is required; ","")&amp;IF(LEN($H405&amp;"")&gt;30,"City exceeds 30 characters; ","")&amp;IF($K405="","Country is required; ","")&amp;IF(AND($K405&lt;&gt;"",$K405&lt;&gt;"US",$K405&lt;&gt;"CA"),"Country must be US or CA; ","")&amp;IF(AND($K405="US",OR($I405="",LEN($I405&amp;"")&lt;&gt;2)),"Use a 2-letter state code; ","")&amp;IF($J405="","ZIP or postal code is required; ","")&amp;IF(AND($K405="US",$J405&lt;&gt;"",NOT(IFERROR(OR(AND(LEN($J405&amp;"")=5,ISNUMBER(--($J405&amp;""))),AND(LEN($J405&amp;"")=9,ISNUMBER(--($J405&amp;""))),AND(LEN($J405&amp;"")=10,MID($J405&amp;"",6,1)="-",ISNUMBER(--SUBSTITUTE($J405&amp;"","-","")))),FALSE))),"US ZIP must be 5 or 9 digits, with an optional ZIP+4 hyphen; ","")&amp;IF(AND($N405&lt;&gt;"",NOT(IFERROR(AND(ISNUMBER(SEARCH("@",$N405)),ISNUMBER(SEARCH(".",$N405,SEARCH("@",$N405)+2))),FALSE))),"Email format appears invalid; ","")&amp;IF(AND($O405&lt;&gt;"",$B405=""),"Dependent SSN is required for every dependent; ","")&amp;IF(AND($B405&lt;&gt;"",$O405=""),"Dependent Relationship is required when Dependent SSN is entered; ","")&amp;IF(AND($O405&lt;&gt;"",$O405&lt;&gt;"Spouse or Common Law Spouse",$O405&lt;&gt;"Domestic Partner",$O405&lt;&gt;"Child",$O405&lt;&gt;"Other",$O405&lt;&gt;"Estate",$O405&lt;&gt;"Unknown"),"Dependent Relationship must use one of the approved options; ",""))</f>
        <v/>
      </c>
      <c r="Z405">
        <f>IF(COUNTA($A405:$U405)=0,"",IF(AND($A405&lt;&gt;"",NOT(IFERROR(AND(LEN($A405&amp;"")=9,ISNUMBER(--($A405&amp;""))),FALSE))),"Employee SSN must contain exactly 9 digits; ","")&amp;IF(AND($A405&lt;&gt;"",OR($A405="123456789",$A405="987654321",$A405="012345678",$A405=REPT(LEFT($A405&amp;"",1),9))),"Employee SSN appears to be a placeholder; ","")&amp;IF(AND($B405&lt;&gt;"",NOT(IFERROR(AND(LEN($B405&amp;"")=9,ISNUMBER(--($B405&amp;""))),FALSE))),"Dependent SSN must contain exactly 9 digits; ","")&amp;IF(AND($B405&lt;&gt;"",OR($B405="123456789",$B405="987654321",$B405="012345678",$B405=REPT(LEFT($B405&amp;"",1),9))),"Dependent SSN appears to be a placeholder; ","")&amp;IF(AND($A405&lt;&gt;"",$B405&lt;&gt;"",$A405&amp;""=$B405&amp;""),"Dependent SSN cannot match Employee SSN; ","")&amp;IF(AND($W405&lt;&gt;"",OR(COUNTIFS($W$2:$W$501,$W405,$C$2:$C$501,"&lt;&gt;"&amp;$C405)&gt;0,COUNTIFS($W$2:$W$501,$W405,$D$2:$D$501,"&lt;&gt;"&amp;$D405)&gt;0,COUNTIFS($W$2:$W$501,$W405,$L$2:$L$501,"&lt;&gt;"&amp;$L405)&gt;0)),"The same SSN is associated with a different name or birthdate; ",""))</f>
        <v/>
      </c>
      <c r="AA405">
        <f>IF(COUNTA($A405:$U405)=0,"",IF(AND($A405&lt;&gt;"",$S405&lt;&gt;"",COUNTIFS($A$2:$A$501,$A405,$S$2:$S$501,$S405,$B$2:$B$501,"",$O$2:$O$501,"")=0),"Add an employee row for this household and plan; ","")&amp;IF(AND($X405="Dependent",COUNTIFS($A$2:$A405,$A405,$S$2:$S405,$S405,$B$2:$B405,"",$O$2:$O405,"")=0),"Place the employee row before dependent rows for this plan; ","")&amp;IF(AND($X405="Dependent",COUNTIFS($A$2:$A$501,$A405,$S$2:$S$501,$S405,$B$2:$B$501,"",$O$2:$O$501,"")&gt;0,IFERROR(OR($P405&lt;&gt;LOOKUP(2,1/(($A$2:$A$501=$A405)*($S$2:$S$501=$S405)*($B$2:$B$501="")*($O$2:$O$501="")),$P$2:$P$501),$Q405&lt;&gt;LOOKUP(2,1/(($A$2:$A$501=$A405)*($S$2:$S$501=$S405)*($B$2:$B$501="")*($O$2:$O$501="")),$Q$2:$Q$501),$R405&lt;&gt;LOOKUP(2,1/(($A$2:$A$501=$A405)*($S$2:$S$501=$S405)*($B$2:$B$501="")*($O$2:$O$501="")),$R$2:$R$501),$T405&lt;&gt;LOOKUP(2,1/(($A$2:$A$501=$A405)*($S$2:$S$501=$S405)*($B$2:$B$501="")*($O$2:$O$501="")),$T$2:$T$501),$U405&lt;&gt;LOOKUP(2,1/(($A$2:$A$501=$A405)*($S$2:$S$501=$S405)*($B$2:$B$501="")*($O$2:$O$501="")),$U$2:$U$501)),FALSE)),"Dependent row does not match the employee row for eligibility, status, coverage level, or funding; ",""))</f>
        <v/>
      </c>
      <c r="AB405">
        <f>IF(COUNTA($A405:$U405)=0,"",IF($L405="","Birthdate is required; ","")&amp;IF(AND($L405&lt;&gt;"",OR(NOT(ISNUMBER($L405)),$L405&lt;=DATE(1900,1,1),$L405&gt;TODAY())),"Birthdate must be an exact valid past date; ","")&amp;IF($P405="","Eligibility Date is required; ","")&amp;IF(AND($P405&lt;&gt;"",OR(NOT(ISNUMBER($P405)),$P405&lt;=DATE(1900,1,1))),"Eligibility Date must be a valid date; ","")&amp;IF(AND($R405="Terminated",$Q405=""),"Termination Date is required when Status is Terminated; ","")&amp;IF(AND($Q405&lt;&gt;"",OR(NOT(ISNUMBER($Q405)),$Q405&lt;=DATE(1900,1,1))),"Termination Date must be a valid date; ","")&amp;IF(AND(ISNUMBER($P405),ISNUMBER($Q405),$Q405&lt;$P405),"Termination Date cannot be before Eligibility Date; ","")&amp;IF($R405="","Status is required; ","")&amp;IF(AND($R405&lt;&gt;"",$R405&lt;&gt;"Active",$R405&lt;&gt;"Terminated"),"Status must be Active or Terminated; ","")&amp;IF(AND('START HERE'!$C$8="Terminations Only",$R405&lt;&gt;"Terminated"),"Terminations Only files must contain terminated records; ",""))</f>
        <v/>
      </c>
      <c r="AC405">
        <f>IF(COUNTA($A405:$U405)=0,"",IF($S405="","Plan Name is required; ","")&amp;IF($T405="","Benefit Coverage Level is required; ","")&amp;IF(AND($U405&lt;&gt;"",OR(NOT(ISNUMBER($U405)),$U405&lt;0)),"Plan Funding Amount must be a nonnegative number; ","")&amp;IF(AND($A405&lt;&gt;"",$S405&lt;&gt;"",COUNTIFS($A$2:$A$501,$A405,$B$2:$B$501,$B405,$S$2:$S$501,$S405)&gt;1),"Duplicate participant and plan row; ",""))</f>
        <v/>
      </c>
      <c r="AD405">
        <f>IF(COUNTA($A405:$U405)=0,"",IF(AND($X405="Employee",$M405="",$N405=""),"No employee phone or email provided; ","")&amp;IF(AND($R405="Active",$Q405&lt;&gt;""),"Active record includes a Termination Date; confirm this is intentional; ","")&amp;IF(AND($B405&lt;&gt;"",$B405&amp;""&lt;&gt;$A405&amp;"",COUNTIF($A$2:$A$501,$B405)&gt;0),"Dependent SSN also appears as an Employee SSN elsewhere; confirm dual-employee coverage is intentional; ","")&amp;IF(AND($B405&lt;&gt;"",COUNTIF($B$2:$B$501,$B405)&gt;COUNTIFS($A$2:$A$501,$A405,$B$2:$B$501,$B405)),"Dependent SSN appears under more than one employee; confirm duplicate family coverage is intentional; ","")&amp;IF(AND(ROW()&gt;2,$A405&lt;&gt;"",$A405&lt;&gt;$A404,COUNTIF($A$2:$A404,$A405)&gt;0),"This household appears in more than one section of the census; keep the family together; ","")&amp;IF(OR(AND($C405&lt;&gt;"",LEN($C405&amp;"")&lt;&gt;LEN(TRIM($C405&amp;""))),AND($D405&lt;&gt;"",LEN($D405&amp;"")&lt;&gt;LEN(TRIM($D405&amp;""))),AND($E405&lt;&gt;"",LEN($E405&amp;"")&lt;&gt;LEN(TRIM($E405&amp;""))),AND($F405&lt;&gt;"",LEN($F405&amp;"")&lt;&gt;LEN(TRIM($F405&amp;""))),AND($G405&lt;&gt;"",LEN($G405&amp;"")&lt;&gt;LEN(TRIM($G405&amp;""))),AND($H405&lt;&gt;"",LEN($H405&amp;"")&lt;&gt;LEN(TRIM($H405&amp;""))),AND($I405&lt;&gt;"",LEN($I405&amp;"")&lt;&gt;LEN(TRIM($I405&amp;""))),AND($J405&lt;&gt;"",LEN($J405&amp;"")&lt;&gt;LEN(TRIM($J405&amp;""))),AND($K405&lt;&gt;"",LEN($K405&amp;"")&lt;&gt;LEN(TRIM($K405&amp;""))),AND($M405&lt;&gt;"",LEN($M405&amp;"")&lt;&gt;LEN(TRIM($M405&amp;""))),AND($N405&lt;&gt;"",LEN($N405&amp;"")&lt;&gt;LEN(TRIM($N405&amp;""))),AND($O405&lt;&gt;"",LEN($O405&amp;"")&lt;&gt;LEN(TRIM($O405&amp;""))),AND($R405&lt;&gt;"",LEN($R405&amp;"")&lt;&gt;LEN(TRIM($R405&amp;""))),AND($S405&lt;&gt;"",LEN($S405&amp;"")&lt;&gt;LEN(TRIM($S405&amp;""))),AND($T405&lt;&gt;"",LEN($T405&amp;"")&lt;&gt;LEN(TRIM($T405&amp;"")))),"Remove leading or trailing spaces from text fields; ","")&amp;IF(OR(AND(LEN($C405)&gt;1,OR(EXACT($C405,UPPER($C405)),EXACT($C405,LOWER($C405)))),AND(LEN($D405)&gt;1,OR(EXACT($D405,UPPER($D405)),EXACT($D405,LOWER($D405)))),AND(LEN($H405)&gt;1,OR(EXACT($H405,UPPER($H405)),EXACT($H405,LOWER($H405))))),"Review capitalization in First Name, Last Name, or City; ","")&amp;IF(AND($N405&lt;&gt;"",NOT(EXACT($N405,LOWER($N405)))),"Email will be standardized to lowercase in the clean output; ","")&amp;IF(AND(OR('START HERE'!$C$8="Initial Enrollment",'START HERE'!$C$8="Open Enrollment"),$R405="Terminated"),"A terminated row is included in an initial or open enrollment file; confirm this is intentional; ",""))</f>
        <v/>
      </c>
      <c r="AE405">
        <f>IF(COUNTA($A405:$U405)=0,"",IF(OR($A405="",AND($A405&lt;&gt;"",NOT(IFERROR(AND(LEN($A405&amp;"")=9,ISNUMBER(--($A405&amp;""))),FALSE))),AND($A405&lt;&gt;"",OR($A405="123456789",$A405="987654321",$A405="012345678",$A405=REPT(LEFT($A405&amp;"",1),9)))),"Employee SSN, ","")&amp;IF(OR(AND($O405&lt;&gt;"",$B405=""),AND($B405&lt;&gt;"",OR(NOT(IFERROR(AND(LEN($B405&amp;"")=9,ISNUMBER(--($B405&amp;""))),FALSE)),$B405=$A405,$B405="123456789",$B405="987654321",$B405="012345678",$B405=REPT(LEFT($B405&amp;"",1),9)))),"Dependent SSN, ","")&amp;IF(OR($C405="",LEN($C405)&gt;19,AND($C405&lt;&gt;"",SUMPRODUCT(--(ROW($1:$19)&lt;=LEN($C405&amp;"")),--ISERROR(FIND(MID($C405&amp;"",ROW($1:$19),1),"ABCDEFGHIJKLMNOPQRSTUVWXYZabcdefghijklmnopqrstuvwxyz .,")))&gt;0)),"First Name, ","")&amp;IF(OR($D405="",LEN($D405)&gt;26,AND($D405&lt;&gt;"",SUMPRODUCT(--(ROW($1:$26)&lt;=LEN($D405&amp;"")),--ISERROR(FIND(MID($D405&amp;"",ROW($1:$26),1),"ABCDEFGHIJKLMNOPQRSTUVWXYZabcdefghijklmnopqrstuvwxyz .,")))&gt;0)),"Last Name, ","")&amp;IF(OR(LEN($E405)&gt;1,AND($E405&lt;&gt;"",SUMPRODUCT(--(ROW($1:$1)&lt;=LEN($E405&amp;"")),--ISERROR(FIND(MID($E405&amp;"",ROW($1:$1),1),"ABCDEFGHIJKLMNOPQRSTUVWXYZabcdefghijklmnopqrstuvwxyz .,")))&gt;0)),"Middle Initial, ","")&amp;IF(OR($F405="",LEN($F405)&gt;75),"Address, ","")&amp;IF(OR($H405="",LEN($H405)&gt;30),"City, ","")&amp;IF(AND($K405="US",OR($I405="",LEN($I405)&lt;&gt;2)),"State, ","")&amp;IF($J405="","ZIP, ","")&amp;IF(OR($K405="",AND($K405&lt;&gt;"US",$K405&lt;&gt;"CA")),"Country, ","")&amp;IF(OR($L405="",AND($L405&lt;&gt;"",OR(NOT(ISNUMBER($L405)),$L405&lt;=DATE(1900,1,1),$L405&gt;TODAY()))),"Birthdate, ","")&amp;IF(AND($N405&lt;&gt;"",NOT(IFERROR(AND(ISNUMBER(SEARCH("@",$N405)),ISNUMBER(SEARCH(".",$N405,SEARCH("@",$N405)+2))),FALSE))),"Email, ","")&amp;IF(OR(AND($B405&lt;&gt;"",$O405=""),AND($O405&lt;&gt;"",$O405&lt;&gt;"Spouse or Common Law Spouse",$O405&lt;&gt;"Domestic Partner",$O405&lt;&gt;"Child",$O405&lt;&gt;"Other",$O405&lt;&gt;"Estate",$O405&lt;&gt;"Unknown")),"Dependent Relationship, ","")&amp;IF($AA405&lt;&gt;"","Household, ","")&amp;IF(OR($P405="",AND($P405&lt;&gt;"",OR(NOT(ISNUMBER($P405)),$P405&lt;=DATE(1900,1,1)))),"Eligibility Date, ","")&amp;IF(OR(AND($R405="Terminated",$Q405=""),AND($Q405&lt;&gt;"",OR(NOT(ISNUMBER($Q405)),$Q405&lt;=DATE(1900,1,1))),AND(ISNUMBER($P405),ISNUMBER($Q405),$Q405&lt;$P405)),"Termination Date, ","")&amp;IF(OR($R405="",AND($R405&lt;&gt;"Active",$R405&lt;&gt;"Terminated"),AND('START HERE'!$C$8="Terminations Only",$R405&lt;&gt;"Terminated")),"Status, ","")&amp;IF($S405="","Plan Name, ","")&amp;IF($T405="","Coverage Level, ","")&amp;IF(AND($U405&lt;&gt;"",OR(NOT(ISNUMBER($U405)),$U405&lt;0)),"Funding, ","")&amp;IF(AND($A405&lt;&gt;"",$S405&lt;&gt;"",COUNTIFS($A$2:$A$501,$A405,$B$2:$B$501,$B405,$S$2:$S$501,$S405)&gt;1),"Duplicate Row, ",""))</f>
        <v/>
      </c>
      <c r="AF405">
        <f>IF(COUNTA($A405:$U405)=0,"",$Y405&amp;$Z405&amp;$AA405&amp;$AB405&amp;$AC405)</f>
        <v/>
      </c>
      <c r="AG405">
        <f>IF($N405="","",LOWER(TRIM($N405)))</f>
        <v/>
      </c>
      <c r="AH405">
        <f>IF($A405="","",COUNTIFS($A$2:$A$501,$A405,$AI$2:$AI$501,1))</f>
        <v/>
      </c>
      <c r="AI405">
        <f>IF(COUNTA($A405:$U405)=0,"",--($AF405&lt;&gt;""))</f>
        <v/>
      </c>
      <c r="AJ405">
        <f>IF(COUNTA($A405:$U405)=0,"",--($AD405&lt;&gt;""))</f>
        <v/>
      </c>
    </row>
    <row r="406" ht="20" customHeight="1">
      <c r="A406" s="80" t="n"/>
      <c r="B406" s="80" t="n"/>
      <c r="C406" s="81" t="n"/>
      <c r="D406" s="81" t="n"/>
      <c r="E406" s="80" t="n"/>
      <c r="F406" s="81" t="n"/>
      <c r="G406" s="81" t="n"/>
      <c r="H406" s="81" t="n"/>
      <c r="I406" s="80" t="n"/>
      <c r="J406" s="80" t="n"/>
      <c r="K406" s="80" t="n"/>
      <c r="L406" s="82" t="n"/>
      <c r="M406" s="80" t="n"/>
      <c r="N406" s="80" t="n"/>
      <c r="O406" s="80" t="n"/>
      <c r="P406" s="82" t="n"/>
      <c r="Q406" s="82" t="n"/>
      <c r="R406" s="80" t="n"/>
      <c r="S406" s="80" t="n"/>
      <c r="T406" s="80" t="n"/>
      <c r="U406" s="83" t="n"/>
      <c r="V406">
        <f>IF($A406="","",IF($A406=$A405,$V405,IF($V405="",0,1-$V405)))</f>
        <v/>
      </c>
      <c r="W406">
        <f>IF($B406&lt;&gt;"",$B406,$A406)</f>
        <v/>
      </c>
      <c r="X406">
        <f>IF(COUNTA($A406:$U406)=0,"",IF(OR($B406&lt;&gt;"",$O406&lt;&gt;""),"Dependent","Employee"))</f>
        <v/>
      </c>
      <c r="Y406">
        <f>IF(COUNTA($A406:$U406)=0,"",IF($A406="","Employee SSN is required; ","")&amp;IF($C406="","First Name is required; ","")&amp;IF(LEN($C406&amp;"")&gt;19,"First Name exceeds 19 characters; ","")&amp;IF(AND($C406&lt;&gt;"",SUMPRODUCT(--(ROW($1:$19)&lt;=LEN($C406&amp;"")),--ISERROR(FIND(MID($C406&amp;"",ROW($1:$19),1),"ABCDEFGHIJKLMNOPQRSTUVWXYZabcdefghijklmnopqrstuvwxyz .,")))&gt;0),"First Name contains unsupported or encoded characters; use plain A-Z letters only; ","")&amp;IF($D406="","Last Name is required; ","")&amp;IF(LEN($D406&amp;"")&gt;26,"Last Name exceeds 26 characters; ","")&amp;IF(AND($D406&lt;&gt;"",SUMPRODUCT(--(ROW($1:$26)&lt;=LEN($D406&amp;"")),--ISERROR(FIND(MID($D406&amp;"",ROW($1:$26),1),"ABCDEFGHIJKLMNOPQRSTUVWXYZabcdefghijklmnopqrstuvwxyz .,")))&gt;0),"Last Name contains unsupported or encoded characters; use plain A-Z letters only; ","")&amp;IF(LEN($E406&amp;"")&gt;1,"Middle Initial may contain only one character; ","")&amp;IF(AND($E406&lt;&gt;"",SUMPRODUCT(--(ROW($1:$1)&lt;=LEN($E406&amp;"")),--ISERROR(FIND(MID($E406&amp;"",ROW($1:$1),1),"ABCDEFGHIJKLMNOPQRSTUVWXYZabcdefghijklmnopqrstuvwxyz .,")))&gt;0),"Middle Initial must be a plain A-Z letter; ","")&amp;IF($F406="","Address is required; ","")&amp;IF(LEN($F406&amp;"")&gt;75,"Address exceeds 75 characters; ","")&amp;IF(LEN($G406&amp;"")&gt;75,"Address 2 exceeds 75 characters; ","")&amp;IF($H406="","City is required; ","")&amp;IF(LEN($H406&amp;"")&gt;30,"City exceeds 30 characters; ","")&amp;IF($K406="","Country is required; ","")&amp;IF(AND($K406&lt;&gt;"",$K406&lt;&gt;"US",$K406&lt;&gt;"CA"),"Country must be US or CA; ","")&amp;IF(AND($K406="US",OR($I406="",LEN($I406&amp;"")&lt;&gt;2)),"Use a 2-letter state code; ","")&amp;IF($J406="","ZIP or postal code is required; ","")&amp;IF(AND($K406="US",$J406&lt;&gt;"",NOT(IFERROR(OR(AND(LEN($J406&amp;"")=5,ISNUMBER(--($J406&amp;""))),AND(LEN($J406&amp;"")=9,ISNUMBER(--($J406&amp;""))),AND(LEN($J406&amp;"")=10,MID($J406&amp;"",6,1)="-",ISNUMBER(--SUBSTITUTE($J406&amp;"","-","")))),FALSE))),"US ZIP must be 5 or 9 digits, with an optional ZIP+4 hyphen; ","")&amp;IF(AND($N406&lt;&gt;"",NOT(IFERROR(AND(ISNUMBER(SEARCH("@",$N406)),ISNUMBER(SEARCH(".",$N406,SEARCH("@",$N406)+2))),FALSE))),"Email format appears invalid; ","")&amp;IF(AND($O406&lt;&gt;"",$B406=""),"Dependent SSN is required for every dependent; ","")&amp;IF(AND($B406&lt;&gt;"",$O406=""),"Dependent Relationship is required when Dependent SSN is entered; ","")&amp;IF(AND($O406&lt;&gt;"",$O406&lt;&gt;"Spouse or Common Law Spouse",$O406&lt;&gt;"Domestic Partner",$O406&lt;&gt;"Child",$O406&lt;&gt;"Other",$O406&lt;&gt;"Estate",$O406&lt;&gt;"Unknown"),"Dependent Relationship must use one of the approved options; ",""))</f>
        <v/>
      </c>
      <c r="Z406">
        <f>IF(COUNTA($A406:$U406)=0,"",IF(AND($A406&lt;&gt;"",NOT(IFERROR(AND(LEN($A406&amp;"")=9,ISNUMBER(--($A406&amp;""))),FALSE))),"Employee SSN must contain exactly 9 digits; ","")&amp;IF(AND($A406&lt;&gt;"",OR($A406="123456789",$A406="987654321",$A406="012345678",$A406=REPT(LEFT($A406&amp;"",1),9))),"Employee SSN appears to be a placeholder; ","")&amp;IF(AND($B406&lt;&gt;"",NOT(IFERROR(AND(LEN($B406&amp;"")=9,ISNUMBER(--($B406&amp;""))),FALSE))),"Dependent SSN must contain exactly 9 digits; ","")&amp;IF(AND($B406&lt;&gt;"",OR($B406="123456789",$B406="987654321",$B406="012345678",$B406=REPT(LEFT($B406&amp;"",1),9))),"Dependent SSN appears to be a placeholder; ","")&amp;IF(AND($A406&lt;&gt;"",$B406&lt;&gt;"",$A406&amp;""=$B406&amp;""),"Dependent SSN cannot match Employee SSN; ","")&amp;IF(AND($W406&lt;&gt;"",OR(COUNTIFS($W$2:$W$501,$W406,$C$2:$C$501,"&lt;&gt;"&amp;$C406)&gt;0,COUNTIFS($W$2:$W$501,$W406,$D$2:$D$501,"&lt;&gt;"&amp;$D406)&gt;0,COUNTIFS($W$2:$W$501,$W406,$L$2:$L$501,"&lt;&gt;"&amp;$L406)&gt;0)),"The same SSN is associated with a different name or birthdate; ",""))</f>
        <v/>
      </c>
      <c r="AA406">
        <f>IF(COUNTA($A406:$U406)=0,"",IF(AND($A406&lt;&gt;"",$S406&lt;&gt;"",COUNTIFS($A$2:$A$501,$A406,$S$2:$S$501,$S406,$B$2:$B$501,"",$O$2:$O$501,"")=0),"Add an employee row for this household and plan; ","")&amp;IF(AND($X406="Dependent",COUNTIFS($A$2:$A406,$A406,$S$2:$S406,$S406,$B$2:$B406,"",$O$2:$O406,"")=0),"Place the employee row before dependent rows for this plan; ","")&amp;IF(AND($X406="Dependent",COUNTIFS($A$2:$A$501,$A406,$S$2:$S$501,$S406,$B$2:$B$501,"",$O$2:$O$501,"")&gt;0,IFERROR(OR($P406&lt;&gt;LOOKUP(2,1/(($A$2:$A$501=$A406)*($S$2:$S$501=$S406)*($B$2:$B$501="")*($O$2:$O$501="")),$P$2:$P$501),$Q406&lt;&gt;LOOKUP(2,1/(($A$2:$A$501=$A406)*($S$2:$S$501=$S406)*($B$2:$B$501="")*($O$2:$O$501="")),$Q$2:$Q$501),$R406&lt;&gt;LOOKUP(2,1/(($A$2:$A$501=$A406)*($S$2:$S$501=$S406)*($B$2:$B$501="")*($O$2:$O$501="")),$R$2:$R$501),$T406&lt;&gt;LOOKUP(2,1/(($A$2:$A$501=$A406)*($S$2:$S$501=$S406)*($B$2:$B$501="")*($O$2:$O$501="")),$T$2:$T$501),$U406&lt;&gt;LOOKUP(2,1/(($A$2:$A$501=$A406)*($S$2:$S$501=$S406)*($B$2:$B$501="")*($O$2:$O$501="")),$U$2:$U$501)),FALSE)),"Dependent row does not match the employee row for eligibility, status, coverage level, or funding; ",""))</f>
        <v/>
      </c>
      <c r="AB406">
        <f>IF(COUNTA($A406:$U406)=0,"",IF($L406="","Birthdate is required; ","")&amp;IF(AND($L406&lt;&gt;"",OR(NOT(ISNUMBER($L406)),$L406&lt;=DATE(1900,1,1),$L406&gt;TODAY())),"Birthdate must be an exact valid past date; ","")&amp;IF($P406="","Eligibility Date is required; ","")&amp;IF(AND($P406&lt;&gt;"",OR(NOT(ISNUMBER($P406)),$P406&lt;=DATE(1900,1,1))),"Eligibility Date must be a valid date; ","")&amp;IF(AND($R406="Terminated",$Q406=""),"Termination Date is required when Status is Terminated; ","")&amp;IF(AND($Q406&lt;&gt;"",OR(NOT(ISNUMBER($Q406)),$Q406&lt;=DATE(1900,1,1))),"Termination Date must be a valid date; ","")&amp;IF(AND(ISNUMBER($P406),ISNUMBER($Q406),$Q406&lt;$P406),"Termination Date cannot be before Eligibility Date; ","")&amp;IF($R406="","Status is required; ","")&amp;IF(AND($R406&lt;&gt;"",$R406&lt;&gt;"Active",$R406&lt;&gt;"Terminated"),"Status must be Active or Terminated; ","")&amp;IF(AND('START HERE'!$C$8="Terminations Only",$R406&lt;&gt;"Terminated"),"Terminations Only files must contain terminated records; ",""))</f>
        <v/>
      </c>
      <c r="AC406">
        <f>IF(COUNTA($A406:$U406)=0,"",IF($S406="","Plan Name is required; ","")&amp;IF($T406="","Benefit Coverage Level is required; ","")&amp;IF(AND($U406&lt;&gt;"",OR(NOT(ISNUMBER($U406)),$U406&lt;0)),"Plan Funding Amount must be a nonnegative number; ","")&amp;IF(AND($A406&lt;&gt;"",$S406&lt;&gt;"",COUNTIFS($A$2:$A$501,$A406,$B$2:$B$501,$B406,$S$2:$S$501,$S406)&gt;1),"Duplicate participant and plan row; ",""))</f>
        <v/>
      </c>
      <c r="AD406">
        <f>IF(COUNTA($A406:$U406)=0,"",IF(AND($X406="Employee",$M406="",$N406=""),"No employee phone or email provided; ","")&amp;IF(AND($R406="Active",$Q406&lt;&gt;""),"Active record includes a Termination Date; confirm this is intentional; ","")&amp;IF(AND($B406&lt;&gt;"",$B406&amp;""&lt;&gt;$A406&amp;"",COUNTIF($A$2:$A$501,$B406)&gt;0),"Dependent SSN also appears as an Employee SSN elsewhere; confirm dual-employee coverage is intentional; ","")&amp;IF(AND($B406&lt;&gt;"",COUNTIF($B$2:$B$501,$B406)&gt;COUNTIFS($A$2:$A$501,$A406,$B$2:$B$501,$B406)),"Dependent SSN appears under more than one employee; confirm duplicate family coverage is intentional; ","")&amp;IF(AND(ROW()&gt;2,$A406&lt;&gt;"",$A406&lt;&gt;$A405,COUNTIF($A$2:$A405,$A406)&gt;0),"This household appears in more than one section of the census; keep the family together; ","")&amp;IF(OR(AND($C406&lt;&gt;"",LEN($C406&amp;"")&lt;&gt;LEN(TRIM($C406&amp;""))),AND($D406&lt;&gt;"",LEN($D406&amp;"")&lt;&gt;LEN(TRIM($D406&amp;""))),AND($E406&lt;&gt;"",LEN($E406&amp;"")&lt;&gt;LEN(TRIM($E406&amp;""))),AND($F406&lt;&gt;"",LEN($F406&amp;"")&lt;&gt;LEN(TRIM($F406&amp;""))),AND($G406&lt;&gt;"",LEN($G406&amp;"")&lt;&gt;LEN(TRIM($G406&amp;""))),AND($H406&lt;&gt;"",LEN($H406&amp;"")&lt;&gt;LEN(TRIM($H406&amp;""))),AND($I406&lt;&gt;"",LEN($I406&amp;"")&lt;&gt;LEN(TRIM($I406&amp;""))),AND($J406&lt;&gt;"",LEN($J406&amp;"")&lt;&gt;LEN(TRIM($J406&amp;""))),AND($K406&lt;&gt;"",LEN($K406&amp;"")&lt;&gt;LEN(TRIM($K406&amp;""))),AND($M406&lt;&gt;"",LEN($M406&amp;"")&lt;&gt;LEN(TRIM($M406&amp;""))),AND($N406&lt;&gt;"",LEN($N406&amp;"")&lt;&gt;LEN(TRIM($N406&amp;""))),AND($O406&lt;&gt;"",LEN($O406&amp;"")&lt;&gt;LEN(TRIM($O406&amp;""))),AND($R406&lt;&gt;"",LEN($R406&amp;"")&lt;&gt;LEN(TRIM($R406&amp;""))),AND($S406&lt;&gt;"",LEN($S406&amp;"")&lt;&gt;LEN(TRIM($S406&amp;""))),AND($T406&lt;&gt;"",LEN($T406&amp;"")&lt;&gt;LEN(TRIM($T406&amp;"")))),"Remove leading or trailing spaces from text fields; ","")&amp;IF(OR(AND(LEN($C406)&gt;1,OR(EXACT($C406,UPPER($C406)),EXACT($C406,LOWER($C406)))),AND(LEN($D406)&gt;1,OR(EXACT($D406,UPPER($D406)),EXACT($D406,LOWER($D406)))),AND(LEN($H406)&gt;1,OR(EXACT($H406,UPPER($H406)),EXACT($H406,LOWER($H406))))),"Review capitalization in First Name, Last Name, or City; ","")&amp;IF(AND($N406&lt;&gt;"",NOT(EXACT($N406,LOWER($N406)))),"Email will be standardized to lowercase in the clean output; ","")&amp;IF(AND(OR('START HERE'!$C$8="Initial Enrollment",'START HERE'!$C$8="Open Enrollment"),$R406="Terminated"),"A terminated row is included in an initial or open enrollment file; confirm this is intentional; ",""))</f>
        <v/>
      </c>
      <c r="AE406">
        <f>IF(COUNTA($A406:$U406)=0,"",IF(OR($A406="",AND($A406&lt;&gt;"",NOT(IFERROR(AND(LEN($A406&amp;"")=9,ISNUMBER(--($A406&amp;""))),FALSE))),AND($A406&lt;&gt;"",OR($A406="123456789",$A406="987654321",$A406="012345678",$A406=REPT(LEFT($A406&amp;"",1),9)))),"Employee SSN, ","")&amp;IF(OR(AND($O406&lt;&gt;"",$B406=""),AND($B406&lt;&gt;"",OR(NOT(IFERROR(AND(LEN($B406&amp;"")=9,ISNUMBER(--($B406&amp;""))),FALSE)),$B406=$A406,$B406="123456789",$B406="987654321",$B406="012345678",$B406=REPT(LEFT($B406&amp;"",1),9)))),"Dependent SSN, ","")&amp;IF(OR($C406="",LEN($C406)&gt;19,AND($C406&lt;&gt;"",SUMPRODUCT(--(ROW($1:$19)&lt;=LEN($C406&amp;"")),--ISERROR(FIND(MID($C406&amp;"",ROW($1:$19),1),"ABCDEFGHIJKLMNOPQRSTUVWXYZabcdefghijklmnopqrstuvwxyz .,")))&gt;0)),"First Name, ","")&amp;IF(OR($D406="",LEN($D406)&gt;26,AND($D406&lt;&gt;"",SUMPRODUCT(--(ROW($1:$26)&lt;=LEN($D406&amp;"")),--ISERROR(FIND(MID($D406&amp;"",ROW($1:$26),1),"ABCDEFGHIJKLMNOPQRSTUVWXYZabcdefghijklmnopqrstuvwxyz .,")))&gt;0)),"Last Name, ","")&amp;IF(OR(LEN($E406)&gt;1,AND($E406&lt;&gt;"",SUMPRODUCT(--(ROW($1:$1)&lt;=LEN($E406&amp;"")),--ISERROR(FIND(MID($E406&amp;"",ROW($1:$1),1),"ABCDEFGHIJKLMNOPQRSTUVWXYZabcdefghijklmnopqrstuvwxyz .,")))&gt;0)),"Middle Initial, ","")&amp;IF(OR($F406="",LEN($F406)&gt;75),"Address, ","")&amp;IF(OR($H406="",LEN($H406)&gt;30),"City, ","")&amp;IF(AND($K406="US",OR($I406="",LEN($I406)&lt;&gt;2)),"State, ","")&amp;IF($J406="","ZIP, ","")&amp;IF(OR($K406="",AND($K406&lt;&gt;"US",$K406&lt;&gt;"CA")),"Country, ","")&amp;IF(OR($L406="",AND($L406&lt;&gt;"",OR(NOT(ISNUMBER($L406)),$L406&lt;=DATE(1900,1,1),$L406&gt;TODAY()))),"Birthdate, ","")&amp;IF(AND($N406&lt;&gt;"",NOT(IFERROR(AND(ISNUMBER(SEARCH("@",$N406)),ISNUMBER(SEARCH(".",$N406,SEARCH("@",$N406)+2))),FALSE))),"Email, ","")&amp;IF(OR(AND($B406&lt;&gt;"",$O406=""),AND($O406&lt;&gt;"",$O406&lt;&gt;"Spouse or Common Law Spouse",$O406&lt;&gt;"Domestic Partner",$O406&lt;&gt;"Child",$O406&lt;&gt;"Other",$O406&lt;&gt;"Estate",$O406&lt;&gt;"Unknown")),"Dependent Relationship, ","")&amp;IF($AA406&lt;&gt;"","Household, ","")&amp;IF(OR($P406="",AND($P406&lt;&gt;"",OR(NOT(ISNUMBER($P406)),$P406&lt;=DATE(1900,1,1)))),"Eligibility Date, ","")&amp;IF(OR(AND($R406="Terminated",$Q406=""),AND($Q406&lt;&gt;"",OR(NOT(ISNUMBER($Q406)),$Q406&lt;=DATE(1900,1,1))),AND(ISNUMBER($P406),ISNUMBER($Q406),$Q406&lt;$P406)),"Termination Date, ","")&amp;IF(OR($R406="",AND($R406&lt;&gt;"Active",$R406&lt;&gt;"Terminated"),AND('START HERE'!$C$8="Terminations Only",$R406&lt;&gt;"Terminated")),"Status, ","")&amp;IF($S406="","Plan Name, ","")&amp;IF($T406="","Coverage Level, ","")&amp;IF(AND($U406&lt;&gt;"",OR(NOT(ISNUMBER($U406)),$U406&lt;0)),"Funding, ","")&amp;IF(AND($A406&lt;&gt;"",$S406&lt;&gt;"",COUNTIFS($A$2:$A$501,$A406,$B$2:$B$501,$B406,$S$2:$S$501,$S406)&gt;1),"Duplicate Row, ",""))</f>
        <v/>
      </c>
      <c r="AF406">
        <f>IF(COUNTA($A406:$U406)=0,"",$Y406&amp;$Z406&amp;$AA406&amp;$AB406&amp;$AC406)</f>
        <v/>
      </c>
      <c r="AG406">
        <f>IF($N406="","",LOWER(TRIM($N406)))</f>
        <v/>
      </c>
      <c r="AH406">
        <f>IF($A406="","",COUNTIFS($A$2:$A$501,$A406,$AI$2:$AI$501,1))</f>
        <v/>
      </c>
      <c r="AI406">
        <f>IF(COUNTA($A406:$U406)=0,"",--($AF406&lt;&gt;""))</f>
        <v/>
      </c>
      <c r="AJ406">
        <f>IF(COUNTA($A406:$U406)=0,"",--($AD406&lt;&gt;""))</f>
        <v/>
      </c>
    </row>
    <row r="407" ht="20" customHeight="1">
      <c r="A407" s="80" t="n"/>
      <c r="B407" s="80" t="n"/>
      <c r="C407" s="81" t="n"/>
      <c r="D407" s="81" t="n"/>
      <c r="E407" s="80" t="n"/>
      <c r="F407" s="81" t="n"/>
      <c r="G407" s="81" t="n"/>
      <c r="H407" s="81" t="n"/>
      <c r="I407" s="80" t="n"/>
      <c r="J407" s="80" t="n"/>
      <c r="K407" s="80" t="n"/>
      <c r="L407" s="82" t="n"/>
      <c r="M407" s="80" t="n"/>
      <c r="N407" s="80" t="n"/>
      <c r="O407" s="80" t="n"/>
      <c r="P407" s="82" t="n"/>
      <c r="Q407" s="82" t="n"/>
      <c r="R407" s="80" t="n"/>
      <c r="S407" s="80" t="n"/>
      <c r="T407" s="80" t="n"/>
      <c r="U407" s="83" t="n"/>
      <c r="V407">
        <f>IF($A407="","",IF($A407=$A406,$V406,IF($V406="",0,1-$V406)))</f>
        <v/>
      </c>
      <c r="W407">
        <f>IF($B407&lt;&gt;"",$B407,$A407)</f>
        <v/>
      </c>
      <c r="X407">
        <f>IF(COUNTA($A407:$U407)=0,"",IF(OR($B407&lt;&gt;"",$O407&lt;&gt;""),"Dependent","Employee"))</f>
        <v/>
      </c>
      <c r="Y407">
        <f>IF(COUNTA($A407:$U407)=0,"",IF($A407="","Employee SSN is required; ","")&amp;IF($C407="","First Name is required; ","")&amp;IF(LEN($C407&amp;"")&gt;19,"First Name exceeds 19 characters; ","")&amp;IF(AND($C407&lt;&gt;"",SUMPRODUCT(--(ROW($1:$19)&lt;=LEN($C407&amp;"")),--ISERROR(FIND(MID($C407&amp;"",ROW($1:$19),1),"ABCDEFGHIJKLMNOPQRSTUVWXYZabcdefghijklmnopqrstuvwxyz .,")))&gt;0),"First Name contains unsupported or encoded characters; use plain A-Z letters only; ","")&amp;IF($D407="","Last Name is required; ","")&amp;IF(LEN($D407&amp;"")&gt;26,"Last Name exceeds 26 characters; ","")&amp;IF(AND($D407&lt;&gt;"",SUMPRODUCT(--(ROW($1:$26)&lt;=LEN($D407&amp;"")),--ISERROR(FIND(MID($D407&amp;"",ROW($1:$26),1),"ABCDEFGHIJKLMNOPQRSTUVWXYZabcdefghijklmnopqrstuvwxyz .,")))&gt;0),"Last Name contains unsupported or encoded characters; use plain A-Z letters only; ","")&amp;IF(LEN($E407&amp;"")&gt;1,"Middle Initial may contain only one character; ","")&amp;IF(AND($E407&lt;&gt;"",SUMPRODUCT(--(ROW($1:$1)&lt;=LEN($E407&amp;"")),--ISERROR(FIND(MID($E407&amp;"",ROW($1:$1),1),"ABCDEFGHIJKLMNOPQRSTUVWXYZabcdefghijklmnopqrstuvwxyz .,")))&gt;0),"Middle Initial must be a plain A-Z letter; ","")&amp;IF($F407="","Address is required; ","")&amp;IF(LEN($F407&amp;"")&gt;75,"Address exceeds 75 characters; ","")&amp;IF(LEN($G407&amp;"")&gt;75,"Address 2 exceeds 75 characters; ","")&amp;IF($H407="","City is required; ","")&amp;IF(LEN($H407&amp;"")&gt;30,"City exceeds 30 characters; ","")&amp;IF($K407="","Country is required; ","")&amp;IF(AND($K407&lt;&gt;"",$K407&lt;&gt;"US",$K407&lt;&gt;"CA"),"Country must be US or CA; ","")&amp;IF(AND($K407="US",OR($I407="",LEN($I407&amp;"")&lt;&gt;2)),"Use a 2-letter state code; ","")&amp;IF($J407="","ZIP or postal code is required; ","")&amp;IF(AND($K407="US",$J407&lt;&gt;"",NOT(IFERROR(OR(AND(LEN($J407&amp;"")=5,ISNUMBER(--($J407&amp;""))),AND(LEN($J407&amp;"")=9,ISNUMBER(--($J407&amp;""))),AND(LEN($J407&amp;"")=10,MID($J407&amp;"",6,1)="-",ISNUMBER(--SUBSTITUTE($J407&amp;"","-","")))),FALSE))),"US ZIP must be 5 or 9 digits, with an optional ZIP+4 hyphen; ","")&amp;IF(AND($N407&lt;&gt;"",NOT(IFERROR(AND(ISNUMBER(SEARCH("@",$N407)),ISNUMBER(SEARCH(".",$N407,SEARCH("@",$N407)+2))),FALSE))),"Email format appears invalid; ","")&amp;IF(AND($O407&lt;&gt;"",$B407=""),"Dependent SSN is required for every dependent; ","")&amp;IF(AND($B407&lt;&gt;"",$O407=""),"Dependent Relationship is required when Dependent SSN is entered; ","")&amp;IF(AND($O407&lt;&gt;"",$O407&lt;&gt;"Spouse or Common Law Spouse",$O407&lt;&gt;"Domestic Partner",$O407&lt;&gt;"Child",$O407&lt;&gt;"Other",$O407&lt;&gt;"Estate",$O407&lt;&gt;"Unknown"),"Dependent Relationship must use one of the approved options; ",""))</f>
        <v/>
      </c>
      <c r="Z407">
        <f>IF(COUNTA($A407:$U407)=0,"",IF(AND($A407&lt;&gt;"",NOT(IFERROR(AND(LEN($A407&amp;"")=9,ISNUMBER(--($A407&amp;""))),FALSE))),"Employee SSN must contain exactly 9 digits; ","")&amp;IF(AND($A407&lt;&gt;"",OR($A407="123456789",$A407="987654321",$A407="012345678",$A407=REPT(LEFT($A407&amp;"",1),9))),"Employee SSN appears to be a placeholder; ","")&amp;IF(AND($B407&lt;&gt;"",NOT(IFERROR(AND(LEN($B407&amp;"")=9,ISNUMBER(--($B407&amp;""))),FALSE))),"Dependent SSN must contain exactly 9 digits; ","")&amp;IF(AND($B407&lt;&gt;"",OR($B407="123456789",$B407="987654321",$B407="012345678",$B407=REPT(LEFT($B407&amp;"",1),9))),"Dependent SSN appears to be a placeholder; ","")&amp;IF(AND($A407&lt;&gt;"",$B407&lt;&gt;"",$A407&amp;""=$B407&amp;""),"Dependent SSN cannot match Employee SSN; ","")&amp;IF(AND($W407&lt;&gt;"",OR(COUNTIFS($W$2:$W$501,$W407,$C$2:$C$501,"&lt;&gt;"&amp;$C407)&gt;0,COUNTIFS($W$2:$W$501,$W407,$D$2:$D$501,"&lt;&gt;"&amp;$D407)&gt;0,COUNTIFS($W$2:$W$501,$W407,$L$2:$L$501,"&lt;&gt;"&amp;$L407)&gt;0)),"The same SSN is associated with a different name or birthdate; ",""))</f>
        <v/>
      </c>
      <c r="AA407">
        <f>IF(COUNTA($A407:$U407)=0,"",IF(AND($A407&lt;&gt;"",$S407&lt;&gt;"",COUNTIFS($A$2:$A$501,$A407,$S$2:$S$501,$S407,$B$2:$B$501,"",$O$2:$O$501,"")=0),"Add an employee row for this household and plan; ","")&amp;IF(AND($X407="Dependent",COUNTIFS($A$2:$A407,$A407,$S$2:$S407,$S407,$B$2:$B407,"",$O$2:$O407,"")=0),"Place the employee row before dependent rows for this plan; ","")&amp;IF(AND($X407="Dependent",COUNTIFS($A$2:$A$501,$A407,$S$2:$S$501,$S407,$B$2:$B$501,"",$O$2:$O$501,"")&gt;0,IFERROR(OR($P407&lt;&gt;LOOKUP(2,1/(($A$2:$A$501=$A407)*($S$2:$S$501=$S407)*($B$2:$B$501="")*($O$2:$O$501="")),$P$2:$P$501),$Q407&lt;&gt;LOOKUP(2,1/(($A$2:$A$501=$A407)*($S$2:$S$501=$S407)*($B$2:$B$501="")*($O$2:$O$501="")),$Q$2:$Q$501),$R407&lt;&gt;LOOKUP(2,1/(($A$2:$A$501=$A407)*($S$2:$S$501=$S407)*($B$2:$B$501="")*($O$2:$O$501="")),$R$2:$R$501),$T407&lt;&gt;LOOKUP(2,1/(($A$2:$A$501=$A407)*($S$2:$S$501=$S407)*($B$2:$B$501="")*($O$2:$O$501="")),$T$2:$T$501),$U407&lt;&gt;LOOKUP(2,1/(($A$2:$A$501=$A407)*($S$2:$S$501=$S407)*($B$2:$B$501="")*($O$2:$O$501="")),$U$2:$U$501)),FALSE)),"Dependent row does not match the employee row for eligibility, status, coverage level, or funding; ",""))</f>
        <v/>
      </c>
      <c r="AB407">
        <f>IF(COUNTA($A407:$U407)=0,"",IF($L407="","Birthdate is required; ","")&amp;IF(AND($L407&lt;&gt;"",OR(NOT(ISNUMBER($L407)),$L407&lt;=DATE(1900,1,1),$L407&gt;TODAY())),"Birthdate must be an exact valid past date; ","")&amp;IF($P407="","Eligibility Date is required; ","")&amp;IF(AND($P407&lt;&gt;"",OR(NOT(ISNUMBER($P407)),$P407&lt;=DATE(1900,1,1))),"Eligibility Date must be a valid date; ","")&amp;IF(AND($R407="Terminated",$Q407=""),"Termination Date is required when Status is Terminated; ","")&amp;IF(AND($Q407&lt;&gt;"",OR(NOT(ISNUMBER($Q407)),$Q407&lt;=DATE(1900,1,1))),"Termination Date must be a valid date; ","")&amp;IF(AND(ISNUMBER($P407),ISNUMBER($Q407),$Q407&lt;$P407),"Termination Date cannot be before Eligibility Date; ","")&amp;IF($R407="","Status is required; ","")&amp;IF(AND($R407&lt;&gt;"",$R407&lt;&gt;"Active",$R407&lt;&gt;"Terminated"),"Status must be Active or Terminated; ","")&amp;IF(AND('START HERE'!$C$8="Terminations Only",$R407&lt;&gt;"Terminated"),"Terminations Only files must contain terminated records; ",""))</f>
        <v/>
      </c>
      <c r="AC407">
        <f>IF(COUNTA($A407:$U407)=0,"",IF($S407="","Plan Name is required; ","")&amp;IF($T407="","Benefit Coverage Level is required; ","")&amp;IF(AND($U407&lt;&gt;"",OR(NOT(ISNUMBER($U407)),$U407&lt;0)),"Plan Funding Amount must be a nonnegative number; ","")&amp;IF(AND($A407&lt;&gt;"",$S407&lt;&gt;"",COUNTIFS($A$2:$A$501,$A407,$B$2:$B$501,$B407,$S$2:$S$501,$S407)&gt;1),"Duplicate participant and plan row; ",""))</f>
        <v/>
      </c>
      <c r="AD407">
        <f>IF(COUNTA($A407:$U407)=0,"",IF(AND($X407="Employee",$M407="",$N407=""),"No employee phone or email provided; ","")&amp;IF(AND($R407="Active",$Q407&lt;&gt;""),"Active record includes a Termination Date; confirm this is intentional; ","")&amp;IF(AND($B407&lt;&gt;"",$B407&amp;""&lt;&gt;$A407&amp;"",COUNTIF($A$2:$A$501,$B407)&gt;0),"Dependent SSN also appears as an Employee SSN elsewhere; confirm dual-employee coverage is intentional; ","")&amp;IF(AND($B407&lt;&gt;"",COUNTIF($B$2:$B$501,$B407)&gt;COUNTIFS($A$2:$A$501,$A407,$B$2:$B$501,$B407)),"Dependent SSN appears under more than one employee; confirm duplicate family coverage is intentional; ","")&amp;IF(AND(ROW()&gt;2,$A407&lt;&gt;"",$A407&lt;&gt;$A406,COUNTIF($A$2:$A406,$A407)&gt;0),"This household appears in more than one section of the census; keep the family together; ","")&amp;IF(OR(AND($C407&lt;&gt;"",LEN($C407&amp;"")&lt;&gt;LEN(TRIM($C407&amp;""))),AND($D407&lt;&gt;"",LEN($D407&amp;"")&lt;&gt;LEN(TRIM($D407&amp;""))),AND($E407&lt;&gt;"",LEN($E407&amp;"")&lt;&gt;LEN(TRIM($E407&amp;""))),AND($F407&lt;&gt;"",LEN($F407&amp;"")&lt;&gt;LEN(TRIM($F407&amp;""))),AND($G407&lt;&gt;"",LEN($G407&amp;"")&lt;&gt;LEN(TRIM($G407&amp;""))),AND($H407&lt;&gt;"",LEN($H407&amp;"")&lt;&gt;LEN(TRIM($H407&amp;""))),AND($I407&lt;&gt;"",LEN($I407&amp;"")&lt;&gt;LEN(TRIM($I407&amp;""))),AND($J407&lt;&gt;"",LEN($J407&amp;"")&lt;&gt;LEN(TRIM($J407&amp;""))),AND($K407&lt;&gt;"",LEN($K407&amp;"")&lt;&gt;LEN(TRIM($K407&amp;""))),AND($M407&lt;&gt;"",LEN($M407&amp;"")&lt;&gt;LEN(TRIM($M407&amp;""))),AND($N407&lt;&gt;"",LEN($N407&amp;"")&lt;&gt;LEN(TRIM($N407&amp;""))),AND($O407&lt;&gt;"",LEN($O407&amp;"")&lt;&gt;LEN(TRIM($O407&amp;""))),AND($R407&lt;&gt;"",LEN($R407&amp;"")&lt;&gt;LEN(TRIM($R407&amp;""))),AND($S407&lt;&gt;"",LEN($S407&amp;"")&lt;&gt;LEN(TRIM($S407&amp;""))),AND($T407&lt;&gt;"",LEN($T407&amp;"")&lt;&gt;LEN(TRIM($T407&amp;"")))),"Remove leading or trailing spaces from text fields; ","")&amp;IF(OR(AND(LEN($C407)&gt;1,OR(EXACT($C407,UPPER($C407)),EXACT($C407,LOWER($C407)))),AND(LEN($D407)&gt;1,OR(EXACT($D407,UPPER($D407)),EXACT($D407,LOWER($D407)))),AND(LEN($H407)&gt;1,OR(EXACT($H407,UPPER($H407)),EXACT($H407,LOWER($H407))))),"Review capitalization in First Name, Last Name, or City; ","")&amp;IF(AND($N407&lt;&gt;"",NOT(EXACT($N407,LOWER($N407)))),"Email will be standardized to lowercase in the clean output; ","")&amp;IF(AND(OR('START HERE'!$C$8="Initial Enrollment",'START HERE'!$C$8="Open Enrollment"),$R407="Terminated"),"A terminated row is included in an initial or open enrollment file; confirm this is intentional; ",""))</f>
        <v/>
      </c>
      <c r="AE407">
        <f>IF(COUNTA($A407:$U407)=0,"",IF(OR($A407="",AND($A407&lt;&gt;"",NOT(IFERROR(AND(LEN($A407&amp;"")=9,ISNUMBER(--($A407&amp;""))),FALSE))),AND($A407&lt;&gt;"",OR($A407="123456789",$A407="987654321",$A407="012345678",$A407=REPT(LEFT($A407&amp;"",1),9)))),"Employee SSN, ","")&amp;IF(OR(AND($O407&lt;&gt;"",$B407=""),AND($B407&lt;&gt;"",OR(NOT(IFERROR(AND(LEN($B407&amp;"")=9,ISNUMBER(--($B407&amp;""))),FALSE)),$B407=$A407,$B407="123456789",$B407="987654321",$B407="012345678",$B407=REPT(LEFT($B407&amp;"",1),9)))),"Dependent SSN, ","")&amp;IF(OR($C407="",LEN($C407)&gt;19,AND($C407&lt;&gt;"",SUMPRODUCT(--(ROW($1:$19)&lt;=LEN($C407&amp;"")),--ISERROR(FIND(MID($C407&amp;"",ROW($1:$19),1),"ABCDEFGHIJKLMNOPQRSTUVWXYZabcdefghijklmnopqrstuvwxyz .,")))&gt;0)),"First Name, ","")&amp;IF(OR($D407="",LEN($D407)&gt;26,AND($D407&lt;&gt;"",SUMPRODUCT(--(ROW($1:$26)&lt;=LEN($D407&amp;"")),--ISERROR(FIND(MID($D407&amp;"",ROW($1:$26),1),"ABCDEFGHIJKLMNOPQRSTUVWXYZabcdefghijklmnopqrstuvwxyz .,")))&gt;0)),"Last Name, ","")&amp;IF(OR(LEN($E407)&gt;1,AND($E407&lt;&gt;"",SUMPRODUCT(--(ROW($1:$1)&lt;=LEN($E407&amp;"")),--ISERROR(FIND(MID($E407&amp;"",ROW($1:$1),1),"ABCDEFGHIJKLMNOPQRSTUVWXYZabcdefghijklmnopqrstuvwxyz .,")))&gt;0)),"Middle Initial, ","")&amp;IF(OR($F407="",LEN($F407)&gt;75),"Address, ","")&amp;IF(OR($H407="",LEN($H407)&gt;30),"City, ","")&amp;IF(AND($K407="US",OR($I407="",LEN($I407)&lt;&gt;2)),"State, ","")&amp;IF($J407="","ZIP, ","")&amp;IF(OR($K407="",AND($K407&lt;&gt;"US",$K407&lt;&gt;"CA")),"Country, ","")&amp;IF(OR($L407="",AND($L407&lt;&gt;"",OR(NOT(ISNUMBER($L407)),$L407&lt;=DATE(1900,1,1),$L407&gt;TODAY()))),"Birthdate, ","")&amp;IF(AND($N407&lt;&gt;"",NOT(IFERROR(AND(ISNUMBER(SEARCH("@",$N407)),ISNUMBER(SEARCH(".",$N407,SEARCH("@",$N407)+2))),FALSE))),"Email, ","")&amp;IF(OR(AND($B407&lt;&gt;"",$O407=""),AND($O407&lt;&gt;"",$O407&lt;&gt;"Spouse or Common Law Spouse",$O407&lt;&gt;"Domestic Partner",$O407&lt;&gt;"Child",$O407&lt;&gt;"Other",$O407&lt;&gt;"Estate",$O407&lt;&gt;"Unknown")),"Dependent Relationship, ","")&amp;IF($AA407&lt;&gt;"","Household, ","")&amp;IF(OR($P407="",AND($P407&lt;&gt;"",OR(NOT(ISNUMBER($P407)),$P407&lt;=DATE(1900,1,1)))),"Eligibility Date, ","")&amp;IF(OR(AND($R407="Terminated",$Q407=""),AND($Q407&lt;&gt;"",OR(NOT(ISNUMBER($Q407)),$Q407&lt;=DATE(1900,1,1))),AND(ISNUMBER($P407),ISNUMBER($Q407),$Q407&lt;$P407)),"Termination Date, ","")&amp;IF(OR($R407="",AND($R407&lt;&gt;"Active",$R407&lt;&gt;"Terminated"),AND('START HERE'!$C$8="Terminations Only",$R407&lt;&gt;"Terminated")),"Status, ","")&amp;IF($S407="","Plan Name, ","")&amp;IF($T407="","Coverage Level, ","")&amp;IF(AND($U407&lt;&gt;"",OR(NOT(ISNUMBER($U407)),$U407&lt;0)),"Funding, ","")&amp;IF(AND($A407&lt;&gt;"",$S407&lt;&gt;"",COUNTIFS($A$2:$A$501,$A407,$B$2:$B$501,$B407,$S$2:$S$501,$S407)&gt;1),"Duplicate Row, ",""))</f>
        <v/>
      </c>
      <c r="AF407">
        <f>IF(COUNTA($A407:$U407)=0,"",$Y407&amp;$Z407&amp;$AA407&amp;$AB407&amp;$AC407)</f>
        <v/>
      </c>
      <c r="AG407">
        <f>IF($N407="","",LOWER(TRIM($N407)))</f>
        <v/>
      </c>
      <c r="AH407">
        <f>IF($A407="","",COUNTIFS($A$2:$A$501,$A407,$AI$2:$AI$501,1))</f>
        <v/>
      </c>
      <c r="AI407">
        <f>IF(COUNTA($A407:$U407)=0,"",--($AF407&lt;&gt;""))</f>
        <v/>
      </c>
      <c r="AJ407">
        <f>IF(COUNTA($A407:$U407)=0,"",--($AD407&lt;&gt;""))</f>
        <v/>
      </c>
    </row>
    <row r="408" ht="20" customHeight="1">
      <c r="A408" s="80" t="n"/>
      <c r="B408" s="80" t="n"/>
      <c r="C408" s="81" t="n"/>
      <c r="D408" s="81" t="n"/>
      <c r="E408" s="80" t="n"/>
      <c r="F408" s="81" t="n"/>
      <c r="G408" s="81" t="n"/>
      <c r="H408" s="81" t="n"/>
      <c r="I408" s="80" t="n"/>
      <c r="J408" s="80" t="n"/>
      <c r="K408" s="80" t="n"/>
      <c r="L408" s="82" t="n"/>
      <c r="M408" s="80" t="n"/>
      <c r="N408" s="80" t="n"/>
      <c r="O408" s="80" t="n"/>
      <c r="P408" s="82" t="n"/>
      <c r="Q408" s="82" t="n"/>
      <c r="R408" s="80" t="n"/>
      <c r="S408" s="80" t="n"/>
      <c r="T408" s="80" t="n"/>
      <c r="U408" s="83" t="n"/>
      <c r="V408">
        <f>IF($A408="","",IF($A408=$A407,$V407,IF($V407="",0,1-$V407)))</f>
        <v/>
      </c>
      <c r="W408">
        <f>IF($B408&lt;&gt;"",$B408,$A408)</f>
        <v/>
      </c>
      <c r="X408">
        <f>IF(COUNTA($A408:$U408)=0,"",IF(OR($B408&lt;&gt;"",$O408&lt;&gt;""),"Dependent","Employee"))</f>
        <v/>
      </c>
      <c r="Y408">
        <f>IF(COUNTA($A408:$U408)=0,"",IF($A408="","Employee SSN is required; ","")&amp;IF($C408="","First Name is required; ","")&amp;IF(LEN($C408&amp;"")&gt;19,"First Name exceeds 19 characters; ","")&amp;IF(AND($C408&lt;&gt;"",SUMPRODUCT(--(ROW($1:$19)&lt;=LEN($C408&amp;"")),--ISERROR(FIND(MID($C408&amp;"",ROW($1:$19),1),"ABCDEFGHIJKLMNOPQRSTUVWXYZabcdefghijklmnopqrstuvwxyz .,")))&gt;0),"First Name contains unsupported or encoded characters; use plain A-Z letters only; ","")&amp;IF($D408="","Last Name is required; ","")&amp;IF(LEN($D408&amp;"")&gt;26,"Last Name exceeds 26 characters; ","")&amp;IF(AND($D408&lt;&gt;"",SUMPRODUCT(--(ROW($1:$26)&lt;=LEN($D408&amp;"")),--ISERROR(FIND(MID($D408&amp;"",ROW($1:$26),1),"ABCDEFGHIJKLMNOPQRSTUVWXYZabcdefghijklmnopqrstuvwxyz .,")))&gt;0),"Last Name contains unsupported or encoded characters; use plain A-Z letters only; ","")&amp;IF(LEN($E408&amp;"")&gt;1,"Middle Initial may contain only one character; ","")&amp;IF(AND($E408&lt;&gt;"",SUMPRODUCT(--(ROW($1:$1)&lt;=LEN($E408&amp;"")),--ISERROR(FIND(MID($E408&amp;"",ROW($1:$1),1),"ABCDEFGHIJKLMNOPQRSTUVWXYZabcdefghijklmnopqrstuvwxyz .,")))&gt;0),"Middle Initial must be a plain A-Z letter; ","")&amp;IF($F408="","Address is required; ","")&amp;IF(LEN($F408&amp;"")&gt;75,"Address exceeds 75 characters; ","")&amp;IF(LEN($G408&amp;"")&gt;75,"Address 2 exceeds 75 characters; ","")&amp;IF($H408="","City is required; ","")&amp;IF(LEN($H408&amp;"")&gt;30,"City exceeds 30 characters; ","")&amp;IF($K408="","Country is required; ","")&amp;IF(AND($K408&lt;&gt;"",$K408&lt;&gt;"US",$K408&lt;&gt;"CA"),"Country must be US or CA; ","")&amp;IF(AND($K408="US",OR($I408="",LEN($I408&amp;"")&lt;&gt;2)),"Use a 2-letter state code; ","")&amp;IF($J408="","ZIP or postal code is required; ","")&amp;IF(AND($K408="US",$J408&lt;&gt;"",NOT(IFERROR(OR(AND(LEN($J408&amp;"")=5,ISNUMBER(--($J408&amp;""))),AND(LEN($J408&amp;"")=9,ISNUMBER(--($J408&amp;""))),AND(LEN($J408&amp;"")=10,MID($J408&amp;"",6,1)="-",ISNUMBER(--SUBSTITUTE($J408&amp;"","-","")))),FALSE))),"US ZIP must be 5 or 9 digits, with an optional ZIP+4 hyphen; ","")&amp;IF(AND($N408&lt;&gt;"",NOT(IFERROR(AND(ISNUMBER(SEARCH("@",$N408)),ISNUMBER(SEARCH(".",$N408,SEARCH("@",$N408)+2))),FALSE))),"Email format appears invalid; ","")&amp;IF(AND($O408&lt;&gt;"",$B408=""),"Dependent SSN is required for every dependent; ","")&amp;IF(AND($B408&lt;&gt;"",$O408=""),"Dependent Relationship is required when Dependent SSN is entered; ","")&amp;IF(AND($O408&lt;&gt;"",$O408&lt;&gt;"Spouse or Common Law Spouse",$O408&lt;&gt;"Domestic Partner",$O408&lt;&gt;"Child",$O408&lt;&gt;"Other",$O408&lt;&gt;"Estate",$O408&lt;&gt;"Unknown"),"Dependent Relationship must use one of the approved options; ",""))</f>
        <v/>
      </c>
      <c r="Z408">
        <f>IF(COUNTA($A408:$U408)=0,"",IF(AND($A408&lt;&gt;"",NOT(IFERROR(AND(LEN($A408&amp;"")=9,ISNUMBER(--($A408&amp;""))),FALSE))),"Employee SSN must contain exactly 9 digits; ","")&amp;IF(AND($A408&lt;&gt;"",OR($A408="123456789",$A408="987654321",$A408="012345678",$A408=REPT(LEFT($A408&amp;"",1),9))),"Employee SSN appears to be a placeholder; ","")&amp;IF(AND($B408&lt;&gt;"",NOT(IFERROR(AND(LEN($B408&amp;"")=9,ISNUMBER(--($B408&amp;""))),FALSE))),"Dependent SSN must contain exactly 9 digits; ","")&amp;IF(AND($B408&lt;&gt;"",OR($B408="123456789",$B408="987654321",$B408="012345678",$B408=REPT(LEFT($B408&amp;"",1),9))),"Dependent SSN appears to be a placeholder; ","")&amp;IF(AND($A408&lt;&gt;"",$B408&lt;&gt;"",$A408&amp;""=$B408&amp;""),"Dependent SSN cannot match Employee SSN; ","")&amp;IF(AND($W408&lt;&gt;"",OR(COUNTIFS($W$2:$W$501,$W408,$C$2:$C$501,"&lt;&gt;"&amp;$C408)&gt;0,COUNTIFS($W$2:$W$501,$W408,$D$2:$D$501,"&lt;&gt;"&amp;$D408)&gt;0,COUNTIFS($W$2:$W$501,$W408,$L$2:$L$501,"&lt;&gt;"&amp;$L408)&gt;0)),"The same SSN is associated with a different name or birthdate; ",""))</f>
        <v/>
      </c>
      <c r="AA408">
        <f>IF(COUNTA($A408:$U408)=0,"",IF(AND($A408&lt;&gt;"",$S408&lt;&gt;"",COUNTIFS($A$2:$A$501,$A408,$S$2:$S$501,$S408,$B$2:$B$501,"",$O$2:$O$501,"")=0),"Add an employee row for this household and plan; ","")&amp;IF(AND($X408="Dependent",COUNTIFS($A$2:$A408,$A408,$S$2:$S408,$S408,$B$2:$B408,"",$O$2:$O408,"")=0),"Place the employee row before dependent rows for this plan; ","")&amp;IF(AND($X408="Dependent",COUNTIFS($A$2:$A$501,$A408,$S$2:$S$501,$S408,$B$2:$B$501,"",$O$2:$O$501,"")&gt;0,IFERROR(OR($P408&lt;&gt;LOOKUP(2,1/(($A$2:$A$501=$A408)*($S$2:$S$501=$S408)*($B$2:$B$501="")*($O$2:$O$501="")),$P$2:$P$501),$Q408&lt;&gt;LOOKUP(2,1/(($A$2:$A$501=$A408)*($S$2:$S$501=$S408)*($B$2:$B$501="")*($O$2:$O$501="")),$Q$2:$Q$501),$R408&lt;&gt;LOOKUP(2,1/(($A$2:$A$501=$A408)*($S$2:$S$501=$S408)*($B$2:$B$501="")*($O$2:$O$501="")),$R$2:$R$501),$T408&lt;&gt;LOOKUP(2,1/(($A$2:$A$501=$A408)*($S$2:$S$501=$S408)*($B$2:$B$501="")*($O$2:$O$501="")),$T$2:$T$501),$U408&lt;&gt;LOOKUP(2,1/(($A$2:$A$501=$A408)*($S$2:$S$501=$S408)*($B$2:$B$501="")*($O$2:$O$501="")),$U$2:$U$501)),FALSE)),"Dependent row does not match the employee row for eligibility, status, coverage level, or funding; ",""))</f>
        <v/>
      </c>
      <c r="AB408">
        <f>IF(COUNTA($A408:$U408)=0,"",IF($L408="","Birthdate is required; ","")&amp;IF(AND($L408&lt;&gt;"",OR(NOT(ISNUMBER($L408)),$L408&lt;=DATE(1900,1,1),$L408&gt;TODAY())),"Birthdate must be an exact valid past date; ","")&amp;IF($P408="","Eligibility Date is required; ","")&amp;IF(AND($P408&lt;&gt;"",OR(NOT(ISNUMBER($P408)),$P408&lt;=DATE(1900,1,1))),"Eligibility Date must be a valid date; ","")&amp;IF(AND($R408="Terminated",$Q408=""),"Termination Date is required when Status is Terminated; ","")&amp;IF(AND($Q408&lt;&gt;"",OR(NOT(ISNUMBER($Q408)),$Q408&lt;=DATE(1900,1,1))),"Termination Date must be a valid date; ","")&amp;IF(AND(ISNUMBER($P408),ISNUMBER($Q408),$Q408&lt;$P408),"Termination Date cannot be before Eligibility Date; ","")&amp;IF($R408="","Status is required; ","")&amp;IF(AND($R408&lt;&gt;"",$R408&lt;&gt;"Active",$R408&lt;&gt;"Terminated"),"Status must be Active or Terminated; ","")&amp;IF(AND('START HERE'!$C$8="Terminations Only",$R408&lt;&gt;"Terminated"),"Terminations Only files must contain terminated records; ",""))</f>
        <v/>
      </c>
      <c r="AC408">
        <f>IF(COUNTA($A408:$U408)=0,"",IF($S408="","Plan Name is required; ","")&amp;IF($T408="","Benefit Coverage Level is required; ","")&amp;IF(AND($U408&lt;&gt;"",OR(NOT(ISNUMBER($U408)),$U408&lt;0)),"Plan Funding Amount must be a nonnegative number; ","")&amp;IF(AND($A408&lt;&gt;"",$S408&lt;&gt;"",COUNTIFS($A$2:$A$501,$A408,$B$2:$B$501,$B408,$S$2:$S$501,$S408)&gt;1),"Duplicate participant and plan row; ",""))</f>
        <v/>
      </c>
      <c r="AD408">
        <f>IF(COUNTA($A408:$U408)=0,"",IF(AND($X408="Employee",$M408="",$N408=""),"No employee phone or email provided; ","")&amp;IF(AND($R408="Active",$Q408&lt;&gt;""),"Active record includes a Termination Date; confirm this is intentional; ","")&amp;IF(AND($B408&lt;&gt;"",$B408&amp;""&lt;&gt;$A408&amp;"",COUNTIF($A$2:$A$501,$B408)&gt;0),"Dependent SSN also appears as an Employee SSN elsewhere; confirm dual-employee coverage is intentional; ","")&amp;IF(AND($B408&lt;&gt;"",COUNTIF($B$2:$B$501,$B408)&gt;COUNTIFS($A$2:$A$501,$A408,$B$2:$B$501,$B408)),"Dependent SSN appears under more than one employee; confirm duplicate family coverage is intentional; ","")&amp;IF(AND(ROW()&gt;2,$A408&lt;&gt;"",$A408&lt;&gt;$A407,COUNTIF($A$2:$A407,$A408)&gt;0),"This household appears in more than one section of the census; keep the family together; ","")&amp;IF(OR(AND($C408&lt;&gt;"",LEN($C408&amp;"")&lt;&gt;LEN(TRIM($C408&amp;""))),AND($D408&lt;&gt;"",LEN($D408&amp;"")&lt;&gt;LEN(TRIM($D408&amp;""))),AND($E408&lt;&gt;"",LEN($E408&amp;"")&lt;&gt;LEN(TRIM($E408&amp;""))),AND($F408&lt;&gt;"",LEN($F408&amp;"")&lt;&gt;LEN(TRIM($F408&amp;""))),AND($G408&lt;&gt;"",LEN($G408&amp;"")&lt;&gt;LEN(TRIM($G408&amp;""))),AND($H408&lt;&gt;"",LEN($H408&amp;"")&lt;&gt;LEN(TRIM($H408&amp;""))),AND($I408&lt;&gt;"",LEN($I408&amp;"")&lt;&gt;LEN(TRIM($I408&amp;""))),AND($J408&lt;&gt;"",LEN($J408&amp;"")&lt;&gt;LEN(TRIM($J408&amp;""))),AND($K408&lt;&gt;"",LEN($K408&amp;"")&lt;&gt;LEN(TRIM($K408&amp;""))),AND($M408&lt;&gt;"",LEN($M408&amp;"")&lt;&gt;LEN(TRIM($M408&amp;""))),AND($N408&lt;&gt;"",LEN($N408&amp;"")&lt;&gt;LEN(TRIM($N408&amp;""))),AND($O408&lt;&gt;"",LEN($O408&amp;"")&lt;&gt;LEN(TRIM($O408&amp;""))),AND($R408&lt;&gt;"",LEN($R408&amp;"")&lt;&gt;LEN(TRIM($R408&amp;""))),AND($S408&lt;&gt;"",LEN($S408&amp;"")&lt;&gt;LEN(TRIM($S408&amp;""))),AND($T408&lt;&gt;"",LEN($T408&amp;"")&lt;&gt;LEN(TRIM($T408&amp;"")))),"Remove leading or trailing spaces from text fields; ","")&amp;IF(OR(AND(LEN($C408)&gt;1,OR(EXACT($C408,UPPER($C408)),EXACT($C408,LOWER($C408)))),AND(LEN($D408)&gt;1,OR(EXACT($D408,UPPER($D408)),EXACT($D408,LOWER($D408)))),AND(LEN($H408)&gt;1,OR(EXACT($H408,UPPER($H408)),EXACT($H408,LOWER($H408))))),"Review capitalization in First Name, Last Name, or City; ","")&amp;IF(AND($N408&lt;&gt;"",NOT(EXACT($N408,LOWER($N408)))),"Email will be standardized to lowercase in the clean output; ","")&amp;IF(AND(OR('START HERE'!$C$8="Initial Enrollment",'START HERE'!$C$8="Open Enrollment"),$R408="Terminated"),"A terminated row is included in an initial or open enrollment file; confirm this is intentional; ",""))</f>
        <v/>
      </c>
      <c r="AE408">
        <f>IF(COUNTA($A408:$U408)=0,"",IF(OR($A408="",AND($A408&lt;&gt;"",NOT(IFERROR(AND(LEN($A408&amp;"")=9,ISNUMBER(--($A408&amp;""))),FALSE))),AND($A408&lt;&gt;"",OR($A408="123456789",$A408="987654321",$A408="012345678",$A408=REPT(LEFT($A408&amp;"",1),9)))),"Employee SSN, ","")&amp;IF(OR(AND($O408&lt;&gt;"",$B408=""),AND($B408&lt;&gt;"",OR(NOT(IFERROR(AND(LEN($B408&amp;"")=9,ISNUMBER(--($B408&amp;""))),FALSE)),$B408=$A408,$B408="123456789",$B408="987654321",$B408="012345678",$B408=REPT(LEFT($B408&amp;"",1),9)))),"Dependent SSN, ","")&amp;IF(OR($C408="",LEN($C408)&gt;19,AND($C408&lt;&gt;"",SUMPRODUCT(--(ROW($1:$19)&lt;=LEN($C408&amp;"")),--ISERROR(FIND(MID($C408&amp;"",ROW($1:$19),1),"ABCDEFGHIJKLMNOPQRSTUVWXYZabcdefghijklmnopqrstuvwxyz .,")))&gt;0)),"First Name, ","")&amp;IF(OR($D408="",LEN($D408)&gt;26,AND($D408&lt;&gt;"",SUMPRODUCT(--(ROW($1:$26)&lt;=LEN($D408&amp;"")),--ISERROR(FIND(MID($D408&amp;"",ROW($1:$26),1),"ABCDEFGHIJKLMNOPQRSTUVWXYZabcdefghijklmnopqrstuvwxyz .,")))&gt;0)),"Last Name, ","")&amp;IF(OR(LEN($E408)&gt;1,AND($E408&lt;&gt;"",SUMPRODUCT(--(ROW($1:$1)&lt;=LEN($E408&amp;"")),--ISERROR(FIND(MID($E408&amp;"",ROW($1:$1),1),"ABCDEFGHIJKLMNOPQRSTUVWXYZabcdefghijklmnopqrstuvwxyz .,")))&gt;0)),"Middle Initial, ","")&amp;IF(OR($F408="",LEN($F408)&gt;75),"Address, ","")&amp;IF(OR($H408="",LEN($H408)&gt;30),"City, ","")&amp;IF(AND($K408="US",OR($I408="",LEN($I408)&lt;&gt;2)),"State, ","")&amp;IF($J408="","ZIP, ","")&amp;IF(OR($K408="",AND($K408&lt;&gt;"US",$K408&lt;&gt;"CA")),"Country, ","")&amp;IF(OR($L408="",AND($L408&lt;&gt;"",OR(NOT(ISNUMBER($L408)),$L408&lt;=DATE(1900,1,1),$L408&gt;TODAY()))),"Birthdate, ","")&amp;IF(AND($N408&lt;&gt;"",NOT(IFERROR(AND(ISNUMBER(SEARCH("@",$N408)),ISNUMBER(SEARCH(".",$N408,SEARCH("@",$N408)+2))),FALSE))),"Email, ","")&amp;IF(OR(AND($B408&lt;&gt;"",$O408=""),AND($O408&lt;&gt;"",$O408&lt;&gt;"Spouse or Common Law Spouse",$O408&lt;&gt;"Domestic Partner",$O408&lt;&gt;"Child",$O408&lt;&gt;"Other",$O408&lt;&gt;"Estate",$O408&lt;&gt;"Unknown")),"Dependent Relationship, ","")&amp;IF($AA408&lt;&gt;"","Household, ","")&amp;IF(OR($P408="",AND($P408&lt;&gt;"",OR(NOT(ISNUMBER($P408)),$P408&lt;=DATE(1900,1,1)))),"Eligibility Date, ","")&amp;IF(OR(AND($R408="Terminated",$Q408=""),AND($Q408&lt;&gt;"",OR(NOT(ISNUMBER($Q408)),$Q408&lt;=DATE(1900,1,1))),AND(ISNUMBER($P408),ISNUMBER($Q408),$Q408&lt;$P408)),"Termination Date, ","")&amp;IF(OR($R408="",AND($R408&lt;&gt;"Active",$R408&lt;&gt;"Terminated"),AND('START HERE'!$C$8="Terminations Only",$R408&lt;&gt;"Terminated")),"Status, ","")&amp;IF($S408="","Plan Name, ","")&amp;IF($T408="","Coverage Level, ","")&amp;IF(AND($U408&lt;&gt;"",OR(NOT(ISNUMBER($U408)),$U408&lt;0)),"Funding, ","")&amp;IF(AND($A408&lt;&gt;"",$S408&lt;&gt;"",COUNTIFS($A$2:$A$501,$A408,$B$2:$B$501,$B408,$S$2:$S$501,$S408)&gt;1),"Duplicate Row, ",""))</f>
        <v/>
      </c>
      <c r="AF408">
        <f>IF(COUNTA($A408:$U408)=0,"",$Y408&amp;$Z408&amp;$AA408&amp;$AB408&amp;$AC408)</f>
        <v/>
      </c>
      <c r="AG408">
        <f>IF($N408="","",LOWER(TRIM($N408)))</f>
        <v/>
      </c>
      <c r="AH408">
        <f>IF($A408="","",COUNTIFS($A$2:$A$501,$A408,$AI$2:$AI$501,1))</f>
        <v/>
      </c>
      <c r="AI408">
        <f>IF(COUNTA($A408:$U408)=0,"",--($AF408&lt;&gt;""))</f>
        <v/>
      </c>
      <c r="AJ408">
        <f>IF(COUNTA($A408:$U408)=0,"",--($AD408&lt;&gt;""))</f>
        <v/>
      </c>
    </row>
    <row r="409" ht="20" customHeight="1">
      <c r="A409" s="80" t="n"/>
      <c r="B409" s="80" t="n"/>
      <c r="C409" s="81" t="n"/>
      <c r="D409" s="81" t="n"/>
      <c r="E409" s="80" t="n"/>
      <c r="F409" s="81" t="n"/>
      <c r="G409" s="81" t="n"/>
      <c r="H409" s="81" t="n"/>
      <c r="I409" s="80" t="n"/>
      <c r="J409" s="80" t="n"/>
      <c r="K409" s="80" t="n"/>
      <c r="L409" s="82" t="n"/>
      <c r="M409" s="80" t="n"/>
      <c r="N409" s="80" t="n"/>
      <c r="O409" s="80" t="n"/>
      <c r="P409" s="82" t="n"/>
      <c r="Q409" s="82" t="n"/>
      <c r="R409" s="80" t="n"/>
      <c r="S409" s="80" t="n"/>
      <c r="T409" s="80" t="n"/>
      <c r="U409" s="83" t="n"/>
      <c r="V409">
        <f>IF($A409="","",IF($A409=$A408,$V408,IF($V408="",0,1-$V408)))</f>
        <v/>
      </c>
      <c r="W409">
        <f>IF($B409&lt;&gt;"",$B409,$A409)</f>
        <v/>
      </c>
      <c r="X409">
        <f>IF(COUNTA($A409:$U409)=0,"",IF(OR($B409&lt;&gt;"",$O409&lt;&gt;""),"Dependent","Employee"))</f>
        <v/>
      </c>
      <c r="Y409">
        <f>IF(COUNTA($A409:$U409)=0,"",IF($A409="","Employee SSN is required; ","")&amp;IF($C409="","First Name is required; ","")&amp;IF(LEN($C409&amp;"")&gt;19,"First Name exceeds 19 characters; ","")&amp;IF(AND($C409&lt;&gt;"",SUMPRODUCT(--(ROW($1:$19)&lt;=LEN($C409&amp;"")),--ISERROR(FIND(MID($C409&amp;"",ROW($1:$19),1),"ABCDEFGHIJKLMNOPQRSTUVWXYZabcdefghijklmnopqrstuvwxyz .,")))&gt;0),"First Name contains unsupported or encoded characters; use plain A-Z letters only; ","")&amp;IF($D409="","Last Name is required; ","")&amp;IF(LEN($D409&amp;"")&gt;26,"Last Name exceeds 26 characters; ","")&amp;IF(AND($D409&lt;&gt;"",SUMPRODUCT(--(ROW($1:$26)&lt;=LEN($D409&amp;"")),--ISERROR(FIND(MID($D409&amp;"",ROW($1:$26),1),"ABCDEFGHIJKLMNOPQRSTUVWXYZabcdefghijklmnopqrstuvwxyz .,")))&gt;0),"Last Name contains unsupported or encoded characters; use plain A-Z letters only; ","")&amp;IF(LEN($E409&amp;"")&gt;1,"Middle Initial may contain only one character; ","")&amp;IF(AND($E409&lt;&gt;"",SUMPRODUCT(--(ROW($1:$1)&lt;=LEN($E409&amp;"")),--ISERROR(FIND(MID($E409&amp;"",ROW($1:$1),1),"ABCDEFGHIJKLMNOPQRSTUVWXYZabcdefghijklmnopqrstuvwxyz .,")))&gt;0),"Middle Initial must be a plain A-Z letter; ","")&amp;IF($F409="","Address is required; ","")&amp;IF(LEN($F409&amp;"")&gt;75,"Address exceeds 75 characters; ","")&amp;IF(LEN($G409&amp;"")&gt;75,"Address 2 exceeds 75 characters; ","")&amp;IF($H409="","City is required; ","")&amp;IF(LEN($H409&amp;"")&gt;30,"City exceeds 30 characters; ","")&amp;IF($K409="","Country is required; ","")&amp;IF(AND($K409&lt;&gt;"",$K409&lt;&gt;"US",$K409&lt;&gt;"CA"),"Country must be US or CA; ","")&amp;IF(AND($K409="US",OR($I409="",LEN($I409&amp;"")&lt;&gt;2)),"Use a 2-letter state code; ","")&amp;IF($J409="","ZIP or postal code is required; ","")&amp;IF(AND($K409="US",$J409&lt;&gt;"",NOT(IFERROR(OR(AND(LEN($J409&amp;"")=5,ISNUMBER(--($J409&amp;""))),AND(LEN($J409&amp;"")=9,ISNUMBER(--($J409&amp;""))),AND(LEN($J409&amp;"")=10,MID($J409&amp;"",6,1)="-",ISNUMBER(--SUBSTITUTE($J409&amp;"","-","")))),FALSE))),"US ZIP must be 5 or 9 digits, with an optional ZIP+4 hyphen; ","")&amp;IF(AND($N409&lt;&gt;"",NOT(IFERROR(AND(ISNUMBER(SEARCH("@",$N409)),ISNUMBER(SEARCH(".",$N409,SEARCH("@",$N409)+2))),FALSE))),"Email format appears invalid; ","")&amp;IF(AND($O409&lt;&gt;"",$B409=""),"Dependent SSN is required for every dependent; ","")&amp;IF(AND($B409&lt;&gt;"",$O409=""),"Dependent Relationship is required when Dependent SSN is entered; ","")&amp;IF(AND($O409&lt;&gt;"",$O409&lt;&gt;"Spouse or Common Law Spouse",$O409&lt;&gt;"Domestic Partner",$O409&lt;&gt;"Child",$O409&lt;&gt;"Other",$O409&lt;&gt;"Estate",$O409&lt;&gt;"Unknown"),"Dependent Relationship must use one of the approved options; ",""))</f>
        <v/>
      </c>
      <c r="Z409">
        <f>IF(COUNTA($A409:$U409)=0,"",IF(AND($A409&lt;&gt;"",NOT(IFERROR(AND(LEN($A409&amp;"")=9,ISNUMBER(--($A409&amp;""))),FALSE))),"Employee SSN must contain exactly 9 digits; ","")&amp;IF(AND($A409&lt;&gt;"",OR($A409="123456789",$A409="987654321",$A409="012345678",$A409=REPT(LEFT($A409&amp;"",1),9))),"Employee SSN appears to be a placeholder; ","")&amp;IF(AND($B409&lt;&gt;"",NOT(IFERROR(AND(LEN($B409&amp;"")=9,ISNUMBER(--($B409&amp;""))),FALSE))),"Dependent SSN must contain exactly 9 digits; ","")&amp;IF(AND($B409&lt;&gt;"",OR($B409="123456789",$B409="987654321",$B409="012345678",$B409=REPT(LEFT($B409&amp;"",1),9))),"Dependent SSN appears to be a placeholder; ","")&amp;IF(AND($A409&lt;&gt;"",$B409&lt;&gt;"",$A409&amp;""=$B409&amp;""),"Dependent SSN cannot match Employee SSN; ","")&amp;IF(AND($W409&lt;&gt;"",OR(COUNTIFS($W$2:$W$501,$W409,$C$2:$C$501,"&lt;&gt;"&amp;$C409)&gt;0,COUNTIFS($W$2:$W$501,$W409,$D$2:$D$501,"&lt;&gt;"&amp;$D409)&gt;0,COUNTIFS($W$2:$W$501,$W409,$L$2:$L$501,"&lt;&gt;"&amp;$L409)&gt;0)),"The same SSN is associated with a different name or birthdate; ",""))</f>
        <v/>
      </c>
      <c r="AA409">
        <f>IF(COUNTA($A409:$U409)=0,"",IF(AND($A409&lt;&gt;"",$S409&lt;&gt;"",COUNTIFS($A$2:$A$501,$A409,$S$2:$S$501,$S409,$B$2:$B$501,"",$O$2:$O$501,"")=0),"Add an employee row for this household and plan; ","")&amp;IF(AND($X409="Dependent",COUNTIFS($A$2:$A409,$A409,$S$2:$S409,$S409,$B$2:$B409,"",$O$2:$O409,"")=0),"Place the employee row before dependent rows for this plan; ","")&amp;IF(AND($X409="Dependent",COUNTIFS($A$2:$A$501,$A409,$S$2:$S$501,$S409,$B$2:$B$501,"",$O$2:$O$501,"")&gt;0,IFERROR(OR($P409&lt;&gt;LOOKUP(2,1/(($A$2:$A$501=$A409)*($S$2:$S$501=$S409)*($B$2:$B$501="")*($O$2:$O$501="")),$P$2:$P$501),$Q409&lt;&gt;LOOKUP(2,1/(($A$2:$A$501=$A409)*($S$2:$S$501=$S409)*($B$2:$B$501="")*($O$2:$O$501="")),$Q$2:$Q$501),$R409&lt;&gt;LOOKUP(2,1/(($A$2:$A$501=$A409)*($S$2:$S$501=$S409)*($B$2:$B$501="")*($O$2:$O$501="")),$R$2:$R$501),$T409&lt;&gt;LOOKUP(2,1/(($A$2:$A$501=$A409)*($S$2:$S$501=$S409)*($B$2:$B$501="")*($O$2:$O$501="")),$T$2:$T$501),$U409&lt;&gt;LOOKUP(2,1/(($A$2:$A$501=$A409)*($S$2:$S$501=$S409)*($B$2:$B$501="")*($O$2:$O$501="")),$U$2:$U$501)),FALSE)),"Dependent row does not match the employee row for eligibility, status, coverage level, or funding; ",""))</f>
        <v/>
      </c>
      <c r="AB409">
        <f>IF(COUNTA($A409:$U409)=0,"",IF($L409="","Birthdate is required; ","")&amp;IF(AND($L409&lt;&gt;"",OR(NOT(ISNUMBER($L409)),$L409&lt;=DATE(1900,1,1),$L409&gt;TODAY())),"Birthdate must be an exact valid past date; ","")&amp;IF($P409="","Eligibility Date is required; ","")&amp;IF(AND($P409&lt;&gt;"",OR(NOT(ISNUMBER($P409)),$P409&lt;=DATE(1900,1,1))),"Eligibility Date must be a valid date; ","")&amp;IF(AND($R409="Terminated",$Q409=""),"Termination Date is required when Status is Terminated; ","")&amp;IF(AND($Q409&lt;&gt;"",OR(NOT(ISNUMBER($Q409)),$Q409&lt;=DATE(1900,1,1))),"Termination Date must be a valid date; ","")&amp;IF(AND(ISNUMBER($P409),ISNUMBER($Q409),$Q409&lt;$P409),"Termination Date cannot be before Eligibility Date; ","")&amp;IF($R409="","Status is required; ","")&amp;IF(AND($R409&lt;&gt;"",$R409&lt;&gt;"Active",$R409&lt;&gt;"Terminated"),"Status must be Active or Terminated; ","")&amp;IF(AND('START HERE'!$C$8="Terminations Only",$R409&lt;&gt;"Terminated"),"Terminations Only files must contain terminated records; ",""))</f>
        <v/>
      </c>
      <c r="AC409">
        <f>IF(COUNTA($A409:$U409)=0,"",IF($S409="","Plan Name is required; ","")&amp;IF($T409="","Benefit Coverage Level is required; ","")&amp;IF(AND($U409&lt;&gt;"",OR(NOT(ISNUMBER($U409)),$U409&lt;0)),"Plan Funding Amount must be a nonnegative number; ","")&amp;IF(AND($A409&lt;&gt;"",$S409&lt;&gt;"",COUNTIFS($A$2:$A$501,$A409,$B$2:$B$501,$B409,$S$2:$S$501,$S409)&gt;1),"Duplicate participant and plan row; ",""))</f>
        <v/>
      </c>
      <c r="AD409">
        <f>IF(COUNTA($A409:$U409)=0,"",IF(AND($X409="Employee",$M409="",$N409=""),"No employee phone or email provided; ","")&amp;IF(AND($R409="Active",$Q409&lt;&gt;""),"Active record includes a Termination Date; confirm this is intentional; ","")&amp;IF(AND($B409&lt;&gt;"",$B409&amp;""&lt;&gt;$A409&amp;"",COUNTIF($A$2:$A$501,$B409)&gt;0),"Dependent SSN also appears as an Employee SSN elsewhere; confirm dual-employee coverage is intentional; ","")&amp;IF(AND($B409&lt;&gt;"",COUNTIF($B$2:$B$501,$B409)&gt;COUNTIFS($A$2:$A$501,$A409,$B$2:$B$501,$B409)),"Dependent SSN appears under more than one employee; confirm duplicate family coverage is intentional; ","")&amp;IF(AND(ROW()&gt;2,$A409&lt;&gt;"",$A409&lt;&gt;$A408,COUNTIF($A$2:$A408,$A409)&gt;0),"This household appears in more than one section of the census; keep the family together; ","")&amp;IF(OR(AND($C409&lt;&gt;"",LEN($C409&amp;"")&lt;&gt;LEN(TRIM($C409&amp;""))),AND($D409&lt;&gt;"",LEN($D409&amp;"")&lt;&gt;LEN(TRIM($D409&amp;""))),AND($E409&lt;&gt;"",LEN($E409&amp;"")&lt;&gt;LEN(TRIM($E409&amp;""))),AND($F409&lt;&gt;"",LEN($F409&amp;"")&lt;&gt;LEN(TRIM($F409&amp;""))),AND($G409&lt;&gt;"",LEN($G409&amp;"")&lt;&gt;LEN(TRIM($G409&amp;""))),AND($H409&lt;&gt;"",LEN($H409&amp;"")&lt;&gt;LEN(TRIM($H409&amp;""))),AND($I409&lt;&gt;"",LEN($I409&amp;"")&lt;&gt;LEN(TRIM($I409&amp;""))),AND($J409&lt;&gt;"",LEN($J409&amp;"")&lt;&gt;LEN(TRIM($J409&amp;""))),AND($K409&lt;&gt;"",LEN($K409&amp;"")&lt;&gt;LEN(TRIM($K409&amp;""))),AND($M409&lt;&gt;"",LEN($M409&amp;"")&lt;&gt;LEN(TRIM($M409&amp;""))),AND($N409&lt;&gt;"",LEN($N409&amp;"")&lt;&gt;LEN(TRIM($N409&amp;""))),AND($O409&lt;&gt;"",LEN($O409&amp;"")&lt;&gt;LEN(TRIM($O409&amp;""))),AND($R409&lt;&gt;"",LEN($R409&amp;"")&lt;&gt;LEN(TRIM($R409&amp;""))),AND($S409&lt;&gt;"",LEN($S409&amp;"")&lt;&gt;LEN(TRIM($S409&amp;""))),AND($T409&lt;&gt;"",LEN($T409&amp;"")&lt;&gt;LEN(TRIM($T409&amp;"")))),"Remove leading or trailing spaces from text fields; ","")&amp;IF(OR(AND(LEN($C409)&gt;1,OR(EXACT($C409,UPPER($C409)),EXACT($C409,LOWER($C409)))),AND(LEN($D409)&gt;1,OR(EXACT($D409,UPPER($D409)),EXACT($D409,LOWER($D409)))),AND(LEN($H409)&gt;1,OR(EXACT($H409,UPPER($H409)),EXACT($H409,LOWER($H409))))),"Review capitalization in First Name, Last Name, or City; ","")&amp;IF(AND($N409&lt;&gt;"",NOT(EXACT($N409,LOWER($N409)))),"Email will be standardized to lowercase in the clean output; ","")&amp;IF(AND(OR('START HERE'!$C$8="Initial Enrollment",'START HERE'!$C$8="Open Enrollment"),$R409="Terminated"),"A terminated row is included in an initial or open enrollment file; confirm this is intentional; ",""))</f>
        <v/>
      </c>
      <c r="AE409">
        <f>IF(COUNTA($A409:$U409)=0,"",IF(OR($A409="",AND($A409&lt;&gt;"",NOT(IFERROR(AND(LEN($A409&amp;"")=9,ISNUMBER(--($A409&amp;""))),FALSE))),AND($A409&lt;&gt;"",OR($A409="123456789",$A409="987654321",$A409="012345678",$A409=REPT(LEFT($A409&amp;"",1),9)))),"Employee SSN, ","")&amp;IF(OR(AND($O409&lt;&gt;"",$B409=""),AND($B409&lt;&gt;"",OR(NOT(IFERROR(AND(LEN($B409&amp;"")=9,ISNUMBER(--($B409&amp;""))),FALSE)),$B409=$A409,$B409="123456789",$B409="987654321",$B409="012345678",$B409=REPT(LEFT($B409&amp;"",1),9)))),"Dependent SSN, ","")&amp;IF(OR($C409="",LEN($C409)&gt;19,AND($C409&lt;&gt;"",SUMPRODUCT(--(ROW($1:$19)&lt;=LEN($C409&amp;"")),--ISERROR(FIND(MID($C409&amp;"",ROW($1:$19),1),"ABCDEFGHIJKLMNOPQRSTUVWXYZabcdefghijklmnopqrstuvwxyz .,")))&gt;0)),"First Name, ","")&amp;IF(OR($D409="",LEN($D409)&gt;26,AND($D409&lt;&gt;"",SUMPRODUCT(--(ROW($1:$26)&lt;=LEN($D409&amp;"")),--ISERROR(FIND(MID($D409&amp;"",ROW($1:$26),1),"ABCDEFGHIJKLMNOPQRSTUVWXYZabcdefghijklmnopqrstuvwxyz .,")))&gt;0)),"Last Name, ","")&amp;IF(OR(LEN($E409)&gt;1,AND($E409&lt;&gt;"",SUMPRODUCT(--(ROW($1:$1)&lt;=LEN($E409&amp;"")),--ISERROR(FIND(MID($E409&amp;"",ROW($1:$1),1),"ABCDEFGHIJKLMNOPQRSTUVWXYZabcdefghijklmnopqrstuvwxyz .,")))&gt;0)),"Middle Initial, ","")&amp;IF(OR($F409="",LEN($F409)&gt;75),"Address, ","")&amp;IF(OR($H409="",LEN($H409)&gt;30),"City, ","")&amp;IF(AND($K409="US",OR($I409="",LEN($I409)&lt;&gt;2)),"State, ","")&amp;IF($J409="","ZIP, ","")&amp;IF(OR($K409="",AND($K409&lt;&gt;"US",$K409&lt;&gt;"CA")),"Country, ","")&amp;IF(OR($L409="",AND($L409&lt;&gt;"",OR(NOT(ISNUMBER($L409)),$L409&lt;=DATE(1900,1,1),$L409&gt;TODAY()))),"Birthdate, ","")&amp;IF(AND($N409&lt;&gt;"",NOT(IFERROR(AND(ISNUMBER(SEARCH("@",$N409)),ISNUMBER(SEARCH(".",$N409,SEARCH("@",$N409)+2))),FALSE))),"Email, ","")&amp;IF(OR(AND($B409&lt;&gt;"",$O409=""),AND($O409&lt;&gt;"",$O409&lt;&gt;"Spouse or Common Law Spouse",$O409&lt;&gt;"Domestic Partner",$O409&lt;&gt;"Child",$O409&lt;&gt;"Other",$O409&lt;&gt;"Estate",$O409&lt;&gt;"Unknown")),"Dependent Relationship, ","")&amp;IF($AA409&lt;&gt;"","Household, ","")&amp;IF(OR($P409="",AND($P409&lt;&gt;"",OR(NOT(ISNUMBER($P409)),$P409&lt;=DATE(1900,1,1)))),"Eligibility Date, ","")&amp;IF(OR(AND($R409="Terminated",$Q409=""),AND($Q409&lt;&gt;"",OR(NOT(ISNUMBER($Q409)),$Q409&lt;=DATE(1900,1,1))),AND(ISNUMBER($P409),ISNUMBER($Q409),$Q409&lt;$P409)),"Termination Date, ","")&amp;IF(OR($R409="",AND($R409&lt;&gt;"Active",$R409&lt;&gt;"Terminated"),AND('START HERE'!$C$8="Terminations Only",$R409&lt;&gt;"Terminated")),"Status, ","")&amp;IF($S409="","Plan Name, ","")&amp;IF($T409="","Coverage Level, ","")&amp;IF(AND($U409&lt;&gt;"",OR(NOT(ISNUMBER($U409)),$U409&lt;0)),"Funding, ","")&amp;IF(AND($A409&lt;&gt;"",$S409&lt;&gt;"",COUNTIFS($A$2:$A$501,$A409,$B$2:$B$501,$B409,$S$2:$S$501,$S409)&gt;1),"Duplicate Row, ",""))</f>
        <v/>
      </c>
      <c r="AF409">
        <f>IF(COUNTA($A409:$U409)=0,"",$Y409&amp;$Z409&amp;$AA409&amp;$AB409&amp;$AC409)</f>
        <v/>
      </c>
      <c r="AG409">
        <f>IF($N409="","",LOWER(TRIM($N409)))</f>
        <v/>
      </c>
      <c r="AH409">
        <f>IF($A409="","",COUNTIFS($A$2:$A$501,$A409,$AI$2:$AI$501,1))</f>
        <v/>
      </c>
      <c r="AI409">
        <f>IF(COUNTA($A409:$U409)=0,"",--($AF409&lt;&gt;""))</f>
        <v/>
      </c>
      <c r="AJ409">
        <f>IF(COUNTA($A409:$U409)=0,"",--($AD409&lt;&gt;""))</f>
        <v/>
      </c>
    </row>
    <row r="410" ht="20" customHeight="1">
      <c r="A410" s="80" t="n"/>
      <c r="B410" s="80" t="n"/>
      <c r="C410" s="81" t="n"/>
      <c r="D410" s="81" t="n"/>
      <c r="E410" s="80" t="n"/>
      <c r="F410" s="81" t="n"/>
      <c r="G410" s="81" t="n"/>
      <c r="H410" s="81" t="n"/>
      <c r="I410" s="80" t="n"/>
      <c r="J410" s="80" t="n"/>
      <c r="K410" s="80" t="n"/>
      <c r="L410" s="82" t="n"/>
      <c r="M410" s="80" t="n"/>
      <c r="N410" s="80" t="n"/>
      <c r="O410" s="80" t="n"/>
      <c r="P410" s="82" t="n"/>
      <c r="Q410" s="82" t="n"/>
      <c r="R410" s="80" t="n"/>
      <c r="S410" s="80" t="n"/>
      <c r="T410" s="80" t="n"/>
      <c r="U410" s="83" t="n"/>
      <c r="V410">
        <f>IF($A410="","",IF($A410=$A409,$V409,IF($V409="",0,1-$V409)))</f>
        <v/>
      </c>
      <c r="W410">
        <f>IF($B410&lt;&gt;"",$B410,$A410)</f>
        <v/>
      </c>
      <c r="X410">
        <f>IF(COUNTA($A410:$U410)=0,"",IF(OR($B410&lt;&gt;"",$O410&lt;&gt;""),"Dependent","Employee"))</f>
        <v/>
      </c>
      <c r="Y410">
        <f>IF(COUNTA($A410:$U410)=0,"",IF($A410="","Employee SSN is required; ","")&amp;IF($C410="","First Name is required; ","")&amp;IF(LEN($C410&amp;"")&gt;19,"First Name exceeds 19 characters; ","")&amp;IF(AND($C410&lt;&gt;"",SUMPRODUCT(--(ROW($1:$19)&lt;=LEN($C410&amp;"")),--ISERROR(FIND(MID($C410&amp;"",ROW($1:$19),1),"ABCDEFGHIJKLMNOPQRSTUVWXYZabcdefghijklmnopqrstuvwxyz .,")))&gt;0),"First Name contains unsupported or encoded characters; use plain A-Z letters only; ","")&amp;IF($D410="","Last Name is required; ","")&amp;IF(LEN($D410&amp;"")&gt;26,"Last Name exceeds 26 characters; ","")&amp;IF(AND($D410&lt;&gt;"",SUMPRODUCT(--(ROW($1:$26)&lt;=LEN($D410&amp;"")),--ISERROR(FIND(MID($D410&amp;"",ROW($1:$26),1),"ABCDEFGHIJKLMNOPQRSTUVWXYZabcdefghijklmnopqrstuvwxyz .,")))&gt;0),"Last Name contains unsupported or encoded characters; use plain A-Z letters only; ","")&amp;IF(LEN($E410&amp;"")&gt;1,"Middle Initial may contain only one character; ","")&amp;IF(AND($E410&lt;&gt;"",SUMPRODUCT(--(ROW($1:$1)&lt;=LEN($E410&amp;"")),--ISERROR(FIND(MID($E410&amp;"",ROW($1:$1),1),"ABCDEFGHIJKLMNOPQRSTUVWXYZabcdefghijklmnopqrstuvwxyz .,")))&gt;0),"Middle Initial must be a plain A-Z letter; ","")&amp;IF($F410="","Address is required; ","")&amp;IF(LEN($F410&amp;"")&gt;75,"Address exceeds 75 characters; ","")&amp;IF(LEN($G410&amp;"")&gt;75,"Address 2 exceeds 75 characters; ","")&amp;IF($H410="","City is required; ","")&amp;IF(LEN($H410&amp;"")&gt;30,"City exceeds 30 characters; ","")&amp;IF($K410="","Country is required; ","")&amp;IF(AND($K410&lt;&gt;"",$K410&lt;&gt;"US",$K410&lt;&gt;"CA"),"Country must be US or CA; ","")&amp;IF(AND($K410="US",OR($I410="",LEN($I410&amp;"")&lt;&gt;2)),"Use a 2-letter state code; ","")&amp;IF($J410="","ZIP or postal code is required; ","")&amp;IF(AND($K410="US",$J410&lt;&gt;"",NOT(IFERROR(OR(AND(LEN($J410&amp;"")=5,ISNUMBER(--($J410&amp;""))),AND(LEN($J410&amp;"")=9,ISNUMBER(--($J410&amp;""))),AND(LEN($J410&amp;"")=10,MID($J410&amp;"",6,1)="-",ISNUMBER(--SUBSTITUTE($J410&amp;"","-","")))),FALSE))),"US ZIP must be 5 or 9 digits, with an optional ZIP+4 hyphen; ","")&amp;IF(AND($N410&lt;&gt;"",NOT(IFERROR(AND(ISNUMBER(SEARCH("@",$N410)),ISNUMBER(SEARCH(".",$N410,SEARCH("@",$N410)+2))),FALSE))),"Email format appears invalid; ","")&amp;IF(AND($O410&lt;&gt;"",$B410=""),"Dependent SSN is required for every dependent; ","")&amp;IF(AND($B410&lt;&gt;"",$O410=""),"Dependent Relationship is required when Dependent SSN is entered; ","")&amp;IF(AND($O410&lt;&gt;"",$O410&lt;&gt;"Spouse or Common Law Spouse",$O410&lt;&gt;"Domestic Partner",$O410&lt;&gt;"Child",$O410&lt;&gt;"Other",$O410&lt;&gt;"Estate",$O410&lt;&gt;"Unknown"),"Dependent Relationship must use one of the approved options; ",""))</f>
        <v/>
      </c>
      <c r="Z410">
        <f>IF(COUNTA($A410:$U410)=0,"",IF(AND($A410&lt;&gt;"",NOT(IFERROR(AND(LEN($A410&amp;"")=9,ISNUMBER(--($A410&amp;""))),FALSE))),"Employee SSN must contain exactly 9 digits; ","")&amp;IF(AND($A410&lt;&gt;"",OR($A410="123456789",$A410="987654321",$A410="012345678",$A410=REPT(LEFT($A410&amp;"",1),9))),"Employee SSN appears to be a placeholder; ","")&amp;IF(AND($B410&lt;&gt;"",NOT(IFERROR(AND(LEN($B410&amp;"")=9,ISNUMBER(--($B410&amp;""))),FALSE))),"Dependent SSN must contain exactly 9 digits; ","")&amp;IF(AND($B410&lt;&gt;"",OR($B410="123456789",$B410="987654321",$B410="012345678",$B410=REPT(LEFT($B410&amp;"",1),9))),"Dependent SSN appears to be a placeholder; ","")&amp;IF(AND($A410&lt;&gt;"",$B410&lt;&gt;"",$A410&amp;""=$B410&amp;""),"Dependent SSN cannot match Employee SSN; ","")&amp;IF(AND($W410&lt;&gt;"",OR(COUNTIFS($W$2:$W$501,$W410,$C$2:$C$501,"&lt;&gt;"&amp;$C410)&gt;0,COUNTIFS($W$2:$W$501,$W410,$D$2:$D$501,"&lt;&gt;"&amp;$D410)&gt;0,COUNTIFS($W$2:$W$501,$W410,$L$2:$L$501,"&lt;&gt;"&amp;$L410)&gt;0)),"The same SSN is associated with a different name or birthdate; ",""))</f>
        <v/>
      </c>
      <c r="AA410">
        <f>IF(COUNTA($A410:$U410)=0,"",IF(AND($A410&lt;&gt;"",$S410&lt;&gt;"",COUNTIFS($A$2:$A$501,$A410,$S$2:$S$501,$S410,$B$2:$B$501,"",$O$2:$O$501,"")=0),"Add an employee row for this household and plan; ","")&amp;IF(AND($X410="Dependent",COUNTIFS($A$2:$A410,$A410,$S$2:$S410,$S410,$B$2:$B410,"",$O$2:$O410,"")=0),"Place the employee row before dependent rows for this plan; ","")&amp;IF(AND($X410="Dependent",COUNTIFS($A$2:$A$501,$A410,$S$2:$S$501,$S410,$B$2:$B$501,"",$O$2:$O$501,"")&gt;0,IFERROR(OR($P410&lt;&gt;LOOKUP(2,1/(($A$2:$A$501=$A410)*($S$2:$S$501=$S410)*($B$2:$B$501="")*($O$2:$O$501="")),$P$2:$P$501),$Q410&lt;&gt;LOOKUP(2,1/(($A$2:$A$501=$A410)*($S$2:$S$501=$S410)*($B$2:$B$501="")*($O$2:$O$501="")),$Q$2:$Q$501),$R410&lt;&gt;LOOKUP(2,1/(($A$2:$A$501=$A410)*($S$2:$S$501=$S410)*($B$2:$B$501="")*($O$2:$O$501="")),$R$2:$R$501),$T410&lt;&gt;LOOKUP(2,1/(($A$2:$A$501=$A410)*($S$2:$S$501=$S410)*($B$2:$B$501="")*($O$2:$O$501="")),$T$2:$T$501),$U410&lt;&gt;LOOKUP(2,1/(($A$2:$A$501=$A410)*($S$2:$S$501=$S410)*($B$2:$B$501="")*($O$2:$O$501="")),$U$2:$U$501)),FALSE)),"Dependent row does not match the employee row for eligibility, status, coverage level, or funding; ",""))</f>
        <v/>
      </c>
      <c r="AB410">
        <f>IF(COUNTA($A410:$U410)=0,"",IF($L410="","Birthdate is required; ","")&amp;IF(AND($L410&lt;&gt;"",OR(NOT(ISNUMBER($L410)),$L410&lt;=DATE(1900,1,1),$L410&gt;TODAY())),"Birthdate must be an exact valid past date; ","")&amp;IF($P410="","Eligibility Date is required; ","")&amp;IF(AND($P410&lt;&gt;"",OR(NOT(ISNUMBER($P410)),$P410&lt;=DATE(1900,1,1))),"Eligibility Date must be a valid date; ","")&amp;IF(AND($R410="Terminated",$Q410=""),"Termination Date is required when Status is Terminated; ","")&amp;IF(AND($Q410&lt;&gt;"",OR(NOT(ISNUMBER($Q410)),$Q410&lt;=DATE(1900,1,1))),"Termination Date must be a valid date; ","")&amp;IF(AND(ISNUMBER($P410),ISNUMBER($Q410),$Q410&lt;$P410),"Termination Date cannot be before Eligibility Date; ","")&amp;IF($R410="","Status is required; ","")&amp;IF(AND($R410&lt;&gt;"",$R410&lt;&gt;"Active",$R410&lt;&gt;"Terminated"),"Status must be Active or Terminated; ","")&amp;IF(AND('START HERE'!$C$8="Terminations Only",$R410&lt;&gt;"Terminated"),"Terminations Only files must contain terminated records; ",""))</f>
        <v/>
      </c>
      <c r="AC410">
        <f>IF(COUNTA($A410:$U410)=0,"",IF($S410="","Plan Name is required; ","")&amp;IF($T410="","Benefit Coverage Level is required; ","")&amp;IF(AND($U410&lt;&gt;"",OR(NOT(ISNUMBER($U410)),$U410&lt;0)),"Plan Funding Amount must be a nonnegative number; ","")&amp;IF(AND($A410&lt;&gt;"",$S410&lt;&gt;"",COUNTIFS($A$2:$A$501,$A410,$B$2:$B$501,$B410,$S$2:$S$501,$S410)&gt;1),"Duplicate participant and plan row; ",""))</f>
        <v/>
      </c>
      <c r="AD410">
        <f>IF(COUNTA($A410:$U410)=0,"",IF(AND($X410="Employee",$M410="",$N410=""),"No employee phone or email provided; ","")&amp;IF(AND($R410="Active",$Q410&lt;&gt;""),"Active record includes a Termination Date; confirm this is intentional; ","")&amp;IF(AND($B410&lt;&gt;"",$B410&amp;""&lt;&gt;$A410&amp;"",COUNTIF($A$2:$A$501,$B410)&gt;0),"Dependent SSN also appears as an Employee SSN elsewhere; confirm dual-employee coverage is intentional; ","")&amp;IF(AND($B410&lt;&gt;"",COUNTIF($B$2:$B$501,$B410)&gt;COUNTIFS($A$2:$A$501,$A410,$B$2:$B$501,$B410)),"Dependent SSN appears under more than one employee; confirm duplicate family coverage is intentional; ","")&amp;IF(AND(ROW()&gt;2,$A410&lt;&gt;"",$A410&lt;&gt;$A409,COUNTIF($A$2:$A409,$A410)&gt;0),"This household appears in more than one section of the census; keep the family together; ","")&amp;IF(OR(AND($C410&lt;&gt;"",LEN($C410&amp;"")&lt;&gt;LEN(TRIM($C410&amp;""))),AND($D410&lt;&gt;"",LEN($D410&amp;"")&lt;&gt;LEN(TRIM($D410&amp;""))),AND($E410&lt;&gt;"",LEN($E410&amp;"")&lt;&gt;LEN(TRIM($E410&amp;""))),AND($F410&lt;&gt;"",LEN($F410&amp;"")&lt;&gt;LEN(TRIM($F410&amp;""))),AND($G410&lt;&gt;"",LEN($G410&amp;"")&lt;&gt;LEN(TRIM($G410&amp;""))),AND($H410&lt;&gt;"",LEN($H410&amp;"")&lt;&gt;LEN(TRIM($H410&amp;""))),AND($I410&lt;&gt;"",LEN($I410&amp;"")&lt;&gt;LEN(TRIM($I410&amp;""))),AND($J410&lt;&gt;"",LEN($J410&amp;"")&lt;&gt;LEN(TRIM($J410&amp;""))),AND($K410&lt;&gt;"",LEN($K410&amp;"")&lt;&gt;LEN(TRIM($K410&amp;""))),AND($M410&lt;&gt;"",LEN($M410&amp;"")&lt;&gt;LEN(TRIM($M410&amp;""))),AND($N410&lt;&gt;"",LEN($N410&amp;"")&lt;&gt;LEN(TRIM($N410&amp;""))),AND($O410&lt;&gt;"",LEN($O410&amp;"")&lt;&gt;LEN(TRIM($O410&amp;""))),AND($R410&lt;&gt;"",LEN($R410&amp;"")&lt;&gt;LEN(TRIM($R410&amp;""))),AND($S410&lt;&gt;"",LEN($S410&amp;"")&lt;&gt;LEN(TRIM($S410&amp;""))),AND($T410&lt;&gt;"",LEN($T410&amp;"")&lt;&gt;LEN(TRIM($T410&amp;"")))),"Remove leading or trailing spaces from text fields; ","")&amp;IF(OR(AND(LEN($C410)&gt;1,OR(EXACT($C410,UPPER($C410)),EXACT($C410,LOWER($C410)))),AND(LEN($D410)&gt;1,OR(EXACT($D410,UPPER($D410)),EXACT($D410,LOWER($D410)))),AND(LEN($H410)&gt;1,OR(EXACT($H410,UPPER($H410)),EXACT($H410,LOWER($H410))))),"Review capitalization in First Name, Last Name, or City; ","")&amp;IF(AND($N410&lt;&gt;"",NOT(EXACT($N410,LOWER($N410)))),"Email will be standardized to lowercase in the clean output; ","")&amp;IF(AND(OR('START HERE'!$C$8="Initial Enrollment",'START HERE'!$C$8="Open Enrollment"),$R410="Terminated"),"A terminated row is included in an initial or open enrollment file; confirm this is intentional; ",""))</f>
        <v/>
      </c>
      <c r="AE410">
        <f>IF(COUNTA($A410:$U410)=0,"",IF(OR($A410="",AND($A410&lt;&gt;"",NOT(IFERROR(AND(LEN($A410&amp;"")=9,ISNUMBER(--($A410&amp;""))),FALSE))),AND($A410&lt;&gt;"",OR($A410="123456789",$A410="987654321",$A410="012345678",$A410=REPT(LEFT($A410&amp;"",1),9)))),"Employee SSN, ","")&amp;IF(OR(AND($O410&lt;&gt;"",$B410=""),AND($B410&lt;&gt;"",OR(NOT(IFERROR(AND(LEN($B410&amp;"")=9,ISNUMBER(--($B410&amp;""))),FALSE)),$B410=$A410,$B410="123456789",$B410="987654321",$B410="012345678",$B410=REPT(LEFT($B410&amp;"",1),9)))),"Dependent SSN, ","")&amp;IF(OR($C410="",LEN($C410)&gt;19,AND($C410&lt;&gt;"",SUMPRODUCT(--(ROW($1:$19)&lt;=LEN($C410&amp;"")),--ISERROR(FIND(MID($C410&amp;"",ROW($1:$19),1),"ABCDEFGHIJKLMNOPQRSTUVWXYZabcdefghijklmnopqrstuvwxyz .,")))&gt;0)),"First Name, ","")&amp;IF(OR($D410="",LEN($D410)&gt;26,AND($D410&lt;&gt;"",SUMPRODUCT(--(ROW($1:$26)&lt;=LEN($D410&amp;"")),--ISERROR(FIND(MID($D410&amp;"",ROW($1:$26),1),"ABCDEFGHIJKLMNOPQRSTUVWXYZabcdefghijklmnopqrstuvwxyz .,")))&gt;0)),"Last Name, ","")&amp;IF(OR(LEN($E410)&gt;1,AND($E410&lt;&gt;"",SUMPRODUCT(--(ROW($1:$1)&lt;=LEN($E410&amp;"")),--ISERROR(FIND(MID($E410&amp;"",ROW($1:$1),1),"ABCDEFGHIJKLMNOPQRSTUVWXYZabcdefghijklmnopqrstuvwxyz .,")))&gt;0)),"Middle Initial, ","")&amp;IF(OR($F410="",LEN($F410)&gt;75),"Address, ","")&amp;IF(OR($H410="",LEN($H410)&gt;30),"City, ","")&amp;IF(AND($K410="US",OR($I410="",LEN($I410)&lt;&gt;2)),"State, ","")&amp;IF($J410="","ZIP, ","")&amp;IF(OR($K410="",AND($K410&lt;&gt;"US",$K410&lt;&gt;"CA")),"Country, ","")&amp;IF(OR($L410="",AND($L410&lt;&gt;"",OR(NOT(ISNUMBER($L410)),$L410&lt;=DATE(1900,1,1),$L410&gt;TODAY()))),"Birthdate, ","")&amp;IF(AND($N410&lt;&gt;"",NOT(IFERROR(AND(ISNUMBER(SEARCH("@",$N410)),ISNUMBER(SEARCH(".",$N410,SEARCH("@",$N410)+2))),FALSE))),"Email, ","")&amp;IF(OR(AND($B410&lt;&gt;"",$O410=""),AND($O410&lt;&gt;"",$O410&lt;&gt;"Spouse or Common Law Spouse",$O410&lt;&gt;"Domestic Partner",$O410&lt;&gt;"Child",$O410&lt;&gt;"Other",$O410&lt;&gt;"Estate",$O410&lt;&gt;"Unknown")),"Dependent Relationship, ","")&amp;IF($AA410&lt;&gt;"","Household, ","")&amp;IF(OR($P410="",AND($P410&lt;&gt;"",OR(NOT(ISNUMBER($P410)),$P410&lt;=DATE(1900,1,1)))),"Eligibility Date, ","")&amp;IF(OR(AND($R410="Terminated",$Q410=""),AND($Q410&lt;&gt;"",OR(NOT(ISNUMBER($Q410)),$Q410&lt;=DATE(1900,1,1))),AND(ISNUMBER($P410),ISNUMBER($Q410),$Q410&lt;$P410)),"Termination Date, ","")&amp;IF(OR($R410="",AND($R410&lt;&gt;"Active",$R410&lt;&gt;"Terminated"),AND('START HERE'!$C$8="Terminations Only",$R410&lt;&gt;"Terminated")),"Status, ","")&amp;IF($S410="","Plan Name, ","")&amp;IF($T410="","Coverage Level, ","")&amp;IF(AND($U410&lt;&gt;"",OR(NOT(ISNUMBER($U410)),$U410&lt;0)),"Funding, ","")&amp;IF(AND($A410&lt;&gt;"",$S410&lt;&gt;"",COUNTIFS($A$2:$A$501,$A410,$B$2:$B$501,$B410,$S$2:$S$501,$S410)&gt;1),"Duplicate Row, ",""))</f>
        <v/>
      </c>
      <c r="AF410">
        <f>IF(COUNTA($A410:$U410)=0,"",$Y410&amp;$Z410&amp;$AA410&amp;$AB410&amp;$AC410)</f>
        <v/>
      </c>
      <c r="AG410">
        <f>IF($N410="","",LOWER(TRIM($N410)))</f>
        <v/>
      </c>
      <c r="AH410">
        <f>IF($A410="","",COUNTIFS($A$2:$A$501,$A410,$AI$2:$AI$501,1))</f>
        <v/>
      </c>
      <c r="AI410">
        <f>IF(COUNTA($A410:$U410)=0,"",--($AF410&lt;&gt;""))</f>
        <v/>
      </c>
      <c r="AJ410">
        <f>IF(COUNTA($A410:$U410)=0,"",--($AD410&lt;&gt;""))</f>
        <v/>
      </c>
    </row>
    <row r="411" ht="20" customHeight="1">
      <c r="A411" s="80" t="n"/>
      <c r="B411" s="80" t="n"/>
      <c r="C411" s="81" t="n"/>
      <c r="D411" s="81" t="n"/>
      <c r="E411" s="80" t="n"/>
      <c r="F411" s="81" t="n"/>
      <c r="G411" s="81" t="n"/>
      <c r="H411" s="81" t="n"/>
      <c r="I411" s="80" t="n"/>
      <c r="J411" s="80" t="n"/>
      <c r="K411" s="80" t="n"/>
      <c r="L411" s="82" t="n"/>
      <c r="M411" s="80" t="n"/>
      <c r="N411" s="80" t="n"/>
      <c r="O411" s="80" t="n"/>
      <c r="P411" s="82" t="n"/>
      <c r="Q411" s="82" t="n"/>
      <c r="R411" s="80" t="n"/>
      <c r="S411" s="80" t="n"/>
      <c r="T411" s="80" t="n"/>
      <c r="U411" s="83" t="n"/>
      <c r="V411">
        <f>IF($A411="","",IF($A411=$A410,$V410,IF($V410="",0,1-$V410)))</f>
        <v/>
      </c>
      <c r="W411">
        <f>IF($B411&lt;&gt;"",$B411,$A411)</f>
        <v/>
      </c>
      <c r="X411">
        <f>IF(COUNTA($A411:$U411)=0,"",IF(OR($B411&lt;&gt;"",$O411&lt;&gt;""),"Dependent","Employee"))</f>
        <v/>
      </c>
      <c r="Y411">
        <f>IF(COUNTA($A411:$U411)=0,"",IF($A411="","Employee SSN is required; ","")&amp;IF($C411="","First Name is required; ","")&amp;IF(LEN($C411&amp;"")&gt;19,"First Name exceeds 19 characters; ","")&amp;IF(AND($C411&lt;&gt;"",SUMPRODUCT(--(ROW($1:$19)&lt;=LEN($C411&amp;"")),--ISERROR(FIND(MID($C411&amp;"",ROW($1:$19),1),"ABCDEFGHIJKLMNOPQRSTUVWXYZabcdefghijklmnopqrstuvwxyz .,")))&gt;0),"First Name contains unsupported or encoded characters; use plain A-Z letters only; ","")&amp;IF($D411="","Last Name is required; ","")&amp;IF(LEN($D411&amp;"")&gt;26,"Last Name exceeds 26 characters; ","")&amp;IF(AND($D411&lt;&gt;"",SUMPRODUCT(--(ROW($1:$26)&lt;=LEN($D411&amp;"")),--ISERROR(FIND(MID($D411&amp;"",ROW($1:$26),1),"ABCDEFGHIJKLMNOPQRSTUVWXYZabcdefghijklmnopqrstuvwxyz .,")))&gt;0),"Last Name contains unsupported or encoded characters; use plain A-Z letters only; ","")&amp;IF(LEN($E411&amp;"")&gt;1,"Middle Initial may contain only one character; ","")&amp;IF(AND($E411&lt;&gt;"",SUMPRODUCT(--(ROW($1:$1)&lt;=LEN($E411&amp;"")),--ISERROR(FIND(MID($E411&amp;"",ROW($1:$1),1),"ABCDEFGHIJKLMNOPQRSTUVWXYZabcdefghijklmnopqrstuvwxyz .,")))&gt;0),"Middle Initial must be a plain A-Z letter; ","")&amp;IF($F411="","Address is required; ","")&amp;IF(LEN($F411&amp;"")&gt;75,"Address exceeds 75 characters; ","")&amp;IF(LEN($G411&amp;"")&gt;75,"Address 2 exceeds 75 characters; ","")&amp;IF($H411="","City is required; ","")&amp;IF(LEN($H411&amp;"")&gt;30,"City exceeds 30 characters; ","")&amp;IF($K411="","Country is required; ","")&amp;IF(AND($K411&lt;&gt;"",$K411&lt;&gt;"US",$K411&lt;&gt;"CA"),"Country must be US or CA; ","")&amp;IF(AND($K411="US",OR($I411="",LEN($I411&amp;"")&lt;&gt;2)),"Use a 2-letter state code; ","")&amp;IF($J411="","ZIP or postal code is required; ","")&amp;IF(AND($K411="US",$J411&lt;&gt;"",NOT(IFERROR(OR(AND(LEN($J411&amp;"")=5,ISNUMBER(--($J411&amp;""))),AND(LEN($J411&amp;"")=9,ISNUMBER(--($J411&amp;""))),AND(LEN($J411&amp;"")=10,MID($J411&amp;"",6,1)="-",ISNUMBER(--SUBSTITUTE($J411&amp;"","-","")))),FALSE))),"US ZIP must be 5 or 9 digits, with an optional ZIP+4 hyphen; ","")&amp;IF(AND($N411&lt;&gt;"",NOT(IFERROR(AND(ISNUMBER(SEARCH("@",$N411)),ISNUMBER(SEARCH(".",$N411,SEARCH("@",$N411)+2))),FALSE))),"Email format appears invalid; ","")&amp;IF(AND($O411&lt;&gt;"",$B411=""),"Dependent SSN is required for every dependent; ","")&amp;IF(AND($B411&lt;&gt;"",$O411=""),"Dependent Relationship is required when Dependent SSN is entered; ","")&amp;IF(AND($O411&lt;&gt;"",$O411&lt;&gt;"Spouse or Common Law Spouse",$O411&lt;&gt;"Domestic Partner",$O411&lt;&gt;"Child",$O411&lt;&gt;"Other",$O411&lt;&gt;"Estate",$O411&lt;&gt;"Unknown"),"Dependent Relationship must use one of the approved options; ",""))</f>
        <v/>
      </c>
      <c r="Z411">
        <f>IF(COUNTA($A411:$U411)=0,"",IF(AND($A411&lt;&gt;"",NOT(IFERROR(AND(LEN($A411&amp;"")=9,ISNUMBER(--($A411&amp;""))),FALSE))),"Employee SSN must contain exactly 9 digits; ","")&amp;IF(AND($A411&lt;&gt;"",OR($A411="123456789",$A411="987654321",$A411="012345678",$A411=REPT(LEFT($A411&amp;"",1),9))),"Employee SSN appears to be a placeholder; ","")&amp;IF(AND($B411&lt;&gt;"",NOT(IFERROR(AND(LEN($B411&amp;"")=9,ISNUMBER(--($B411&amp;""))),FALSE))),"Dependent SSN must contain exactly 9 digits; ","")&amp;IF(AND($B411&lt;&gt;"",OR($B411="123456789",$B411="987654321",$B411="012345678",$B411=REPT(LEFT($B411&amp;"",1),9))),"Dependent SSN appears to be a placeholder; ","")&amp;IF(AND($A411&lt;&gt;"",$B411&lt;&gt;"",$A411&amp;""=$B411&amp;""),"Dependent SSN cannot match Employee SSN; ","")&amp;IF(AND($W411&lt;&gt;"",OR(COUNTIFS($W$2:$W$501,$W411,$C$2:$C$501,"&lt;&gt;"&amp;$C411)&gt;0,COUNTIFS($W$2:$W$501,$W411,$D$2:$D$501,"&lt;&gt;"&amp;$D411)&gt;0,COUNTIFS($W$2:$W$501,$W411,$L$2:$L$501,"&lt;&gt;"&amp;$L411)&gt;0)),"The same SSN is associated with a different name or birthdate; ",""))</f>
        <v/>
      </c>
      <c r="AA411">
        <f>IF(COUNTA($A411:$U411)=0,"",IF(AND($A411&lt;&gt;"",$S411&lt;&gt;"",COUNTIFS($A$2:$A$501,$A411,$S$2:$S$501,$S411,$B$2:$B$501,"",$O$2:$O$501,"")=0),"Add an employee row for this household and plan; ","")&amp;IF(AND($X411="Dependent",COUNTIFS($A$2:$A411,$A411,$S$2:$S411,$S411,$B$2:$B411,"",$O$2:$O411,"")=0),"Place the employee row before dependent rows for this plan; ","")&amp;IF(AND($X411="Dependent",COUNTIFS($A$2:$A$501,$A411,$S$2:$S$501,$S411,$B$2:$B$501,"",$O$2:$O$501,"")&gt;0,IFERROR(OR($P411&lt;&gt;LOOKUP(2,1/(($A$2:$A$501=$A411)*($S$2:$S$501=$S411)*($B$2:$B$501="")*($O$2:$O$501="")),$P$2:$P$501),$Q411&lt;&gt;LOOKUP(2,1/(($A$2:$A$501=$A411)*($S$2:$S$501=$S411)*($B$2:$B$501="")*($O$2:$O$501="")),$Q$2:$Q$501),$R411&lt;&gt;LOOKUP(2,1/(($A$2:$A$501=$A411)*($S$2:$S$501=$S411)*($B$2:$B$501="")*($O$2:$O$501="")),$R$2:$R$501),$T411&lt;&gt;LOOKUP(2,1/(($A$2:$A$501=$A411)*($S$2:$S$501=$S411)*($B$2:$B$501="")*($O$2:$O$501="")),$T$2:$T$501),$U411&lt;&gt;LOOKUP(2,1/(($A$2:$A$501=$A411)*($S$2:$S$501=$S411)*($B$2:$B$501="")*($O$2:$O$501="")),$U$2:$U$501)),FALSE)),"Dependent row does not match the employee row for eligibility, status, coverage level, or funding; ",""))</f>
        <v/>
      </c>
      <c r="AB411">
        <f>IF(COUNTA($A411:$U411)=0,"",IF($L411="","Birthdate is required; ","")&amp;IF(AND($L411&lt;&gt;"",OR(NOT(ISNUMBER($L411)),$L411&lt;=DATE(1900,1,1),$L411&gt;TODAY())),"Birthdate must be an exact valid past date; ","")&amp;IF($P411="","Eligibility Date is required; ","")&amp;IF(AND($P411&lt;&gt;"",OR(NOT(ISNUMBER($P411)),$P411&lt;=DATE(1900,1,1))),"Eligibility Date must be a valid date; ","")&amp;IF(AND($R411="Terminated",$Q411=""),"Termination Date is required when Status is Terminated; ","")&amp;IF(AND($Q411&lt;&gt;"",OR(NOT(ISNUMBER($Q411)),$Q411&lt;=DATE(1900,1,1))),"Termination Date must be a valid date; ","")&amp;IF(AND(ISNUMBER($P411),ISNUMBER($Q411),$Q411&lt;$P411),"Termination Date cannot be before Eligibility Date; ","")&amp;IF($R411="","Status is required; ","")&amp;IF(AND($R411&lt;&gt;"",$R411&lt;&gt;"Active",$R411&lt;&gt;"Terminated"),"Status must be Active or Terminated; ","")&amp;IF(AND('START HERE'!$C$8="Terminations Only",$R411&lt;&gt;"Terminated"),"Terminations Only files must contain terminated records; ",""))</f>
        <v/>
      </c>
      <c r="AC411">
        <f>IF(COUNTA($A411:$U411)=0,"",IF($S411="","Plan Name is required; ","")&amp;IF($T411="","Benefit Coverage Level is required; ","")&amp;IF(AND($U411&lt;&gt;"",OR(NOT(ISNUMBER($U411)),$U411&lt;0)),"Plan Funding Amount must be a nonnegative number; ","")&amp;IF(AND($A411&lt;&gt;"",$S411&lt;&gt;"",COUNTIFS($A$2:$A$501,$A411,$B$2:$B$501,$B411,$S$2:$S$501,$S411)&gt;1),"Duplicate participant and plan row; ",""))</f>
        <v/>
      </c>
      <c r="AD411">
        <f>IF(COUNTA($A411:$U411)=0,"",IF(AND($X411="Employee",$M411="",$N411=""),"No employee phone or email provided; ","")&amp;IF(AND($R411="Active",$Q411&lt;&gt;""),"Active record includes a Termination Date; confirm this is intentional; ","")&amp;IF(AND($B411&lt;&gt;"",$B411&amp;""&lt;&gt;$A411&amp;"",COUNTIF($A$2:$A$501,$B411)&gt;0),"Dependent SSN also appears as an Employee SSN elsewhere; confirm dual-employee coverage is intentional; ","")&amp;IF(AND($B411&lt;&gt;"",COUNTIF($B$2:$B$501,$B411)&gt;COUNTIFS($A$2:$A$501,$A411,$B$2:$B$501,$B411)),"Dependent SSN appears under more than one employee; confirm duplicate family coverage is intentional; ","")&amp;IF(AND(ROW()&gt;2,$A411&lt;&gt;"",$A411&lt;&gt;$A410,COUNTIF($A$2:$A410,$A411)&gt;0),"This household appears in more than one section of the census; keep the family together; ","")&amp;IF(OR(AND($C411&lt;&gt;"",LEN($C411&amp;"")&lt;&gt;LEN(TRIM($C411&amp;""))),AND($D411&lt;&gt;"",LEN($D411&amp;"")&lt;&gt;LEN(TRIM($D411&amp;""))),AND($E411&lt;&gt;"",LEN($E411&amp;"")&lt;&gt;LEN(TRIM($E411&amp;""))),AND($F411&lt;&gt;"",LEN($F411&amp;"")&lt;&gt;LEN(TRIM($F411&amp;""))),AND($G411&lt;&gt;"",LEN($G411&amp;"")&lt;&gt;LEN(TRIM($G411&amp;""))),AND($H411&lt;&gt;"",LEN($H411&amp;"")&lt;&gt;LEN(TRIM($H411&amp;""))),AND($I411&lt;&gt;"",LEN($I411&amp;"")&lt;&gt;LEN(TRIM($I411&amp;""))),AND($J411&lt;&gt;"",LEN($J411&amp;"")&lt;&gt;LEN(TRIM($J411&amp;""))),AND($K411&lt;&gt;"",LEN($K411&amp;"")&lt;&gt;LEN(TRIM($K411&amp;""))),AND($M411&lt;&gt;"",LEN($M411&amp;"")&lt;&gt;LEN(TRIM($M411&amp;""))),AND($N411&lt;&gt;"",LEN($N411&amp;"")&lt;&gt;LEN(TRIM($N411&amp;""))),AND($O411&lt;&gt;"",LEN($O411&amp;"")&lt;&gt;LEN(TRIM($O411&amp;""))),AND($R411&lt;&gt;"",LEN($R411&amp;"")&lt;&gt;LEN(TRIM($R411&amp;""))),AND($S411&lt;&gt;"",LEN($S411&amp;"")&lt;&gt;LEN(TRIM($S411&amp;""))),AND($T411&lt;&gt;"",LEN($T411&amp;"")&lt;&gt;LEN(TRIM($T411&amp;"")))),"Remove leading or trailing spaces from text fields; ","")&amp;IF(OR(AND(LEN($C411)&gt;1,OR(EXACT($C411,UPPER($C411)),EXACT($C411,LOWER($C411)))),AND(LEN($D411)&gt;1,OR(EXACT($D411,UPPER($D411)),EXACT($D411,LOWER($D411)))),AND(LEN($H411)&gt;1,OR(EXACT($H411,UPPER($H411)),EXACT($H411,LOWER($H411))))),"Review capitalization in First Name, Last Name, or City; ","")&amp;IF(AND($N411&lt;&gt;"",NOT(EXACT($N411,LOWER($N411)))),"Email will be standardized to lowercase in the clean output; ","")&amp;IF(AND(OR('START HERE'!$C$8="Initial Enrollment",'START HERE'!$C$8="Open Enrollment"),$R411="Terminated"),"A terminated row is included in an initial or open enrollment file; confirm this is intentional; ",""))</f>
        <v/>
      </c>
      <c r="AE411">
        <f>IF(COUNTA($A411:$U411)=0,"",IF(OR($A411="",AND($A411&lt;&gt;"",NOT(IFERROR(AND(LEN($A411&amp;"")=9,ISNUMBER(--($A411&amp;""))),FALSE))),AND($A411&lt;&gt;"",OR($A411="123456789",$A411="987654321",$A411="012345678",$A411=REPT(LEFT($A411&amp;"",1),9)))),"Employee SSN, ","")&amp;IF(OR(AND($O411&lt;&gt;"",$B411=""),AND($B411&lt;&gt;"",OR(NOT(IFERROR(AND(LEN($B411&amp;"")=9,ISNUMBER(--($B411&amp;""))),FALSE)),$B411=$A411,$B411="123456789",$B411="987654321",$B411="012345678",$B411=REPT(LEFT($B411&amp;"",1),9)))),"Dependent SSN, ","")&amp;IF(OR($C411="",LEN($C411)&gt;19,AND($C411&lt;&gt;"",SUMPRODUCT(--(ROW($1:$19)&lt;=LEN($C411&amp;"")),--ISERROR(FIND(MID($C411&amp;"",ROW($1:$19),1),"ABCDEFGHIJKLMNOPQRSTUVWXYZabcdefghijklmnopqrstuvwxyz .,")))&gt;0)),"First Name, ","")&amp;IF(OR($D411="",LEN($D411)&gt;26,AND($D411&lt;&gt;"",SUMPRODUCT(--(ROW($1:$26)&lt;=LEN($D411&amp;"")),--ISERROR(FIND(MID($D411&amp;"",ROW($1:$26),1),"ABCDEFGHIJKLMNOPQRSTUVWXYZabcdefghijklmnopqrstuvwxyz .,")))&gt;0)),"Last Name, ","")&amp;IF(OR(LEN($E411)&gt;1,AND($E411&lt;&gt;"",SUMPRODUCT(--(ROW($1:$1)&lt;=LEN($E411&amp;"")),--ISERROR(FIND(MID($E411&amp;"",ROW($1:$1),1),"ABCDEFGHIJKLMNOPQRSTUVWXYZabcdefghijklmnopqrstuvwxyz .,")))&gt;0)),"Middle Initial, ","")&amp;IF(OR($F411="",LEN($F411)&gt;75),"Address, ","")&amp;IF(OR($H411="",LEN($H411)&gt;30),"City, ","")&amp;IF(AND($K411="US",OR($I411="",LEN($I411)&lt;&gt;2)),"State, ","")&amp;IF($J411="","ZIP, ","")&amp;IF(OR($K411="",AND($K411&lt;&gt;"US",$K411&lt;&gt;"CA")),"Country, ","")&amp;IF(OR($L411="",AND($L411&lt;&gt;"",OR(NOT(ISNUMBER($L411)),$L411&lt;=DATE(1900,1,1),$L411&gt;TODAY()))),"Birthdate, ","")&amp;IF(AND($N411&lt;&gt;"",NOT(IFERROR(AND(ISNUMBER(SEARCH("@",$N411)),ISNUMBER(SEARCH(".",$N411,SEARCH("@",$N411)+2))),FALSE))),"Email, ","")&amp;IF(OR(AND($B411&lt;&gt;"",$O411=""),AND($O411&lt;&gt;"",$O411&lt;&gt;"Spouse or Common Law Spouse",$O411&lt;&gt;"Domestic Partner",$O411&lt;&gt;"Child",$O411&lt;&gt;"Other",$O411&lt;&gt;"Estate",$O411&lt;&gt;"Unknown")),"Dependent Relationship, ","")&amp;IF($AA411&lt;&gt;"","Household, ","")&amp;IF(OR($P411="",AND($P411&lt;&gt;"",OR(NOT(ISNUMBER($P411)),$P411&lt;=DATE(1900,1,1)))),"Eligibility Date, ","")&amp;IF(OR(AND($R411="Terminated",$Q411=""),AND($Q411&lt;&gt;"",OR(NOT(ISNUMBER($Q411)),$Q411&lt;=DATE(1900,1,1))),AND(ISNUMBER($P411),ISNUMBER($Q411),$Q411&lt;$P411)),"Termination Date, ","")&amp;IF(OR($R411="",AND($R411&lt;&gt;"Active",$R411&lt;&gt;"Terminated"),AND('START HERE'!$C$8="Terminations Only",$R411&lt;&gt;"Terminated")),"Status, ","")&amp;IF($S411="","Plan Name, ","")&amp;IF($T411="","Coverage Level, ","")&amp;IF(AND($U411&lt;&gt;"",OR(NOT(ISNUMBER($U411)),$U411&lt;0)),"Funding, ","")&amp;IF(AND($A411&lt;&gt;"",$S411&lt;&gt;"",COUNTIFS($A$2:$A$501,$A411,$B$2:$B$501,$B411,$S$2:$S$501,$S411)&gt;1),"Duplicate Row, ",""))</f>
        <v/>
      </c>
      <c r="AF411">
        <f>IF(COUNTA($A411:$U411)=0,"",$Y411&amp;$Z411&amp;$AA411&amp;$AB411&amp;$AC411)</f>
        <v/>
      </c>
      <c r="AG411">
        <f>IF($N411="","",LOWER(TRIM($N411)))</f>
        <v/>
      </c>
      <c r="AH411">
        <f>IF($A411="","",COUNTIFS($A$2:$A$501,$A411,$AI$2:$AI$501,1))</f>
        <v/>
      </c>
      <c r="AI411">
        <f>IF(COUNTA($A411:$U411)=0,"",--($AF411&lt;&gt;""))</f>
        <v/>
      </c>
      <c r="AJ411">
        <f>IF(COUNTA($A411:$U411)=0,"",--($AD411&lt;&gt;""))</f>
        <v/>
      </c>
    </row>
    <row r="412" ht="20" customHeight="1">
      <c r="A412" s="80" t="n"/>
      <c r="B412" s="80" t="n"/>
      <c r="C412" s="81" t="n"/>
      <c r="D412" s="81" t="n"/>
      <c r="E412" s="80" t="n"/>
      <c r="F412" s="81" t="n"/>
      <c r="G412" s="81" t="n"/>
      <c r="H412" s="81" t="n"/>
      <c r="I412" s="80" t="n"/>
      <c r="J412" s="80" t="n"/>
      <c r="K412" s="80" t="n"/>
      <c r="L412" s="82" t="n"/>
      <c r="M412" s="80" t="n"/>
      <c r="N412" s="80" t="n"/>
      <c r="O412" s="80" t="n"/>
      <c r="P412" s="82" t="n"/>
      <c r="Q412" s="82" t="n"/>
      <c r="R412" s="80" t="n"/>
      <c r="S412" s="80" t="n"/>
      <c r="T412" s="80" t="n"/>
      <c r="U412" s="83" t="n"/>
      <c r="V412">
        <f>IF($A412="","",IF($A412=$A411,$V411,IF($V411="",0,1-$V411)))</f>
        <v/>
      </c>
      <c r="W412">
        <f>IF($B412&lt;&gt;"",$B412,$A412)</f>
        <v/>
      </c>
      <c r="X412">
        <f>IF(COUNTA($A412:$U412)=0,"",IF(OR($B412&lt;&gt;"",$O412&lt;&gt;""),"Dependent","Employee"))</f>
        <v/>
      </c>
      <c r="Y412">
        <f>IF(COUNTA($A412:$U412)=0,"",IF($A412="","Employee SSN is required; ","")&amp;IF($C412="","First Name is required; ","")&amp;IF(LEN($C412&amp;"")&gt;19,"First Name exceeds 19 characters; ","")&amp;IF(AND($C412&lt;&gt;"",SUMPRODUCT(--(ROW($1:$19)&lt;=LEN($C412&amp;"")),--ISERROR(FIND(MID($C412&amp;"",ROW($1:$19),1),"ABCDEFGHIJKLMNOPQRSTUVWXYZabcdefghijklmnopqrstuvwxyz .,")))&gt;0),"First Name contains unsupported or encoded characters; use plain A-Z letters only; ","")&amp;IF($D412="","Last Name is required; ","")&amp;IF(LEN($D412&amp;"")&gt;26,"Last Name exceeds 26 characters; ","")&amp;IF(AND($D412&lt;&gt;"",SUMPRODUCT(--(ROW($1:$26)&lt;=LEN($D412&amp;"")),--ISERROR(FIND(MID($D412&amp;"",ROW($1:$26),1),"ABCDEFGHIJKLMNOPQRSTUVWXYZabcdefghijklmnopqrstuvwxyz .,")))&gt;0),"Last Name contains unsupported or encoded characters; use plain A-Z letters only; ","")&amp;IF(LEN($E412&amp;"")&gt;1,"Middle Initial may contain only one character; ","")&amp;IF(AND($E412&lt;&gt;"",SUMPRODUCT(--(ROW($1:$1)&lt;=LEN($E412&amp;"")),--ISERROR(FIND(MID($E412&amp;"",ROW($1:$1),1),"ABCDEFGHIJKLMNOPQRSTUVWXYZabcdefghijklmnopqrstuvwxyz .,")))&gt;0),"Middle Initial must be a plain A-Z letter; ","")&amp;IF($F412="","Address is required; ","")&amp;IF(LEN($F412&amp;"")&gt;75,"Address exceeds 75 characters; ","")&amp;IF(LEN($G412&amp;"")&gt;75,"Address 2 exceeds 75 characters; ","")&amp;IF($H412="","City is required; ","")&amp;IF(LEN($H412&amp;"")&gt;30,"City exceeds 30 characters; ","")&amp;IF($K412="","Country is required; ","")&amp;IF(AND($K412&lt;&gt;"",$K412&lt;&gt;"US",$K412&lt;&gt;"CA"),"Country must be US or CA; ","")&amp;IF(AND($K412="US",OR($I412="",LEN($I412&amp;"")&lt;&gt;2)),"Use a 2-letter state code; ","")&amp;IF($J412="","ZIP or postal code is required; ","")&amp;IF(AND($K412="US",$J412&lt;&gt;"",NOT(IFERROR(OR(AND(LEN($J412&amp;"")=5,ISNUMBER(--($J412&amp;""))),AND(LEN($J412&amp;"")=9,ISNUMBER(--($J412&amp;""))),AND(LEN($J412&amp;"")=10,MID($J412&amp;"",6,1)="-",ISNUMBER(--SUBSTITUTE($J412&amp;"","-","")))),FALSE))),"US ZIP must be 5 or 9 digits, with an optional ZIP+4 hyphen; ","")&amp;IF(AND($N412&lt;&gt;"",NOT(IFERROR(AND(ISNUMBER(SEARCH("@",$N412)),ISNUMBER(SEARCH(".",$N412,SEARCH("@",$N412)+2))),FALSE))),"Email format appears invalid; ","")&amp;IF(AND($O412&lt;&gt;"",$B412=""),"Dependent SSN is required for every dependent; ","")&amp;IF(AND($B412&lt;&gt;"",$O412=""),"Dependent Relationship is required when Dependent SSN is entered; ","")&amp;IF(AND($O412&lt;&gt;"",$O412&lt;&gt;"Spouse or Common Law Spouse",$O412&lt;&gt;"Domestic Partner",$O412&lt;&gt;"Child",$O412&lt;&gt;"Other",$O412&lt;&gt;"Estate",$O412&lt;&gt;"Unknown"),"Dependent Relationship must use one of the approved options; ",""))</f>
        <v/>
      </c>
      <c r="Z412">
        <f>IF(COUNTA($A412:$U412)=0,"",IF(AND($A412&lt;&gt;"",NOT(IFERROR(AND(LEN($A412&amp;"")=9,ISNUMBER(--($A412&amp;""))),FALSE))),"Employee SSN must contain exactly 9 digits; ","")&amp;IF(AND($A412&lt;&gt;"",OR($A412="123456789",$A412="987654321",$A412="012345678",$A412=REPT(LEFT($A412&amp;"",1),9))),"Employee SSN appears to be a placeholder; ","")&amp;IF(AND($B412&lt;&gt;"",NOT(IFERROR(AND(LEN($B412&amp;"")=9,ISNUMBER(--($B412&amp;""))),FALSE))),"Dependent SSN must contain exactly 9 digits; ","")&amp;IF(AND($B412&lt;&gt;"",OR($B412="123456789",$B412="987654321",$B412="012345678",$B412=REPT(LEFT($B412&amp;"",1),9))),"Dependent SSN appears to be a placeholder; ","")&amp;IF(AND($A412&lt;&gt;"",$B412&lt;&gt;"",$A412&amp;""=$B412&amp;""),"Dependent SSN cannot match Employee SSN; ","")&amp;IF(AND($W412&lt;&gt;"",OR(COUNTIFS($W$2:$W$501,$W412,$C$2:$C$501,"&lt;&gt;"&amp;$C412)&gt;0,COUNTIFS($W$2:$W$501,$W412,$D$2:$D$501,"&lt;&gt;"&amp;$D412)&gt;0,COUNTIFS($W$2:$W$501,$W412,$L$2:$L$501,"&lt;&gt;"&amp;$L412)&gt;0)),"The same SSN is associated with a different name or birthdate; ",""))</f>
        <v/>
      </c>
      <c r="AA412">
        <f>IF(COUNTA($A412:$U412)=0,"",IF(AND($A412&lt;&gt;"",$S412&lt;&gt;"",COUNTIFS($A$2:$A$501,$A412,$S$2:$S$501,$S412,$B$2:$B$501,"",$O$2:$O$501,"")=0),"Add an employee row for this household and plan; ","")&amp;IF(AND($X412="Dependent",COUNTIFS($A$2:$A412,$A412,$S$2:$S412,$S412,$B$2:$B412,"",$O$2:$O412,"")=0),"Place the employee row before dependent rows for this plan; ","")&amp;IF(AND($X412="Dependent",COUNTIFS($A$2:$A$501,$A412,$S$2:$S$501,$S412,$B$2:$B$501,"",$O$2:$O$501,"")&gt;0,IFERROR(OR($P412&lt;&gt;LOOKUP(2,1/(($A$2:$A$501=$A412)*($S$2:$S$501=$S412)*($B$2:$B$501="")*($O$2:$O$501="")),$P$2:$P$501),$Q412&lt;&gt;LOOKUP(2,1/(($A$2:$A$501=$A412)*($S$2:$S$501=$S412)*($B$2:$B$501="")*($O$2:$O$501="")),$Q$2:$Q$501),$R412&lt;&gt;LOOKUP(2,1/(($A$2:$A$501=$A412)*($S$2:$S$501=$S412)*($B$2:$B$501="")*($O$2:$O$501="")),$R$2:$R$501),$T412&lt;&gt;LOOKUP(2,1/(($A$2:$A$501=$A412)*($S$2:$S$501=$S412)*($B$2:$B$501="")*($O$2:$O$501="")),$T$2:$T$501),$U412&lt;&gt;LOOKUP(2,1/(($A$2:$A$501=$A412)*($S$2:$S$501=$S412)*($B$2:$B$501="")*($O$2:$O$501="")),$U$2:$U$501)),FALSE)),"Dependent row does not match the employee row for eligibility, status, coverage level, or funding; ",""))</f>
        <v/>
      </c>
      <c r="AB412">
        <f>IF(COUNTA($A412:$U412)=0,"",IF($L412="","Birthdate is required; ","")&amp;IF(AND($L412&lt;&gt;"",OR(NOT(ISNUMBER($L412)),$L412&lt;=DATE(1900,1,1),$L412&gt;TODAY())),"Birthdate must be an exact valid past date; ","")&amp;IF($P412="","Eligibility Date is required; ","")&amp;IF(AND($P412&lt;&gt;"",OR(NOT(ISNUMBER($P412)),$P412&lt;=DATE(1900,1,1))),"Eligibility Date must be a valid date; ","")&amp;IF(AND($R412="Terminated",$Q412=""),"Termination Date is required when Status is Terminated; ","")&amp;IF(AND($Q412&lt;&gt;"",OR(NOT(ISNUMBER($Q412)),$Q412&lt;=DATE(1900,1,1))),"Termination Date must be a valid date; ","")&amp;IF(AND(ISNUMBER($P412),ISNUMBER($Q412),$Q412&lt;$P412),"Termination Date cannot be before Eligibility Date; ","")&amp;IF($R412="","Status is required; ","")&amp;IF(AND($R412&lt;&gt;"",$R412&lt;&gt;"Active",$R412&lt;&gt;"Terminated"),"Status must be Active or Terminated; ","")&amp;IF(AND('START HERE'!$C$8="Terminations Only",$R412&lt;&gt;"Terminated"),"Terminations Only files must contain terminated records; ",""))</f>
        <v/>
      </c>
      <c r="AC412">
        <f>IF(COUNTA($A412:$U412)=0,"",IF($S412="","Plan Name is required; ","")&amp;IF($T412="","Benefit Coverage Level is required; ","")&amp;IF(AND($U412&lt;&gt;"",OR(NOT(ISNUMBER($U412)),$U412&lt;0)),"Plan Funding Amount must be a nonnegative number; ","")&amp;IF(AND($A412&lt;&gt;"",$S412&lt;&gt;"",COUNTIFS($A$2:$A$501,$A412,$B$2:$B$501,$B412,$S$2:$S$501,$S412)&gt;1),"Duplicate participant and plan row; ",""))</f>
        <v/>
      </c>
      <c r="AD412">
        <f>IF(COUNTA($A412:$U412)=0,"",IF(AND($X412="Employee",$M412="",$N412=""),"No employee phone or email provided; ","")&amp;IF(AND($R412="Active",$Q412&lt;&gt;""),"Active record includes a Termination Date; confirm this is intentional; ","")&amp;IF(AND($B412&lt;&gt;"",$B412&amp;""&lt;&gt;$A412&amp;"",COUNTIF($A$2:$A$501,$B412)&gt;0),"Dependent SSN also appears as an Employee SSN elsewhere; confirm dual-employee coverage is intentional; ","")&amp;IF(AND($B412&lt;&gt;"",COUNTIF($B$2:$B$501,$B412)&gt;COUNTIFS($A$2:$A$501,$A412,$B$2:$B$501,$B412)),"Dependent SSN appears under more than one employee; confirm duplicate family coverage is intentional; ","")&amp;IF(AND(ROW()&gt;2,$A412&lt;&gt;"",$A412&lt;&gt;$A411,COUNTIF($A$2:$A411,$A412)&gt;0),"This household appears in more than one section of the census; keep the family together; ","")&amp;IF(OR(AND($C412&lt;&gt;"",LEN($C412&amp;"")&lt;&gt;LEN(TRIM($C412&amp;""))),AND($D412&lt;&gt;"",LEN($D412&amp;"")&lt;&gt;LEN(TRIM($D412&amp;""))),AND($E412&lt;&gt;"",LEN($E412&amp;"")&lt;&gt;LEN(TRIM($E412&amp;""))),AND($F412&lt;&gt;"",LEN($F412&amp;"")&lt;&gt;LEN(TRIM($F412&amp;""))),AND($G412&lt;&gt;"",LEN($G412&amp;"")&lt;&gt;LEN(TRIM($G412&amp;""))),AND($H412&lt;&gt;"",LEN($H412&amp;"")&lt;&gt;LEN(TRIM($H412&amp;""))),AND($I412&lt;&gt;"",LEN($I412&amp;"")&lt;&gt;LEN(TRIM($I412&amp;""))),AND($J412&lt;&gt;"",LEN($J412&amp;"")&lt;&gt;LEN(TRIM($J412&amp;""))),AND($K412&lt;&gt;"",LEN($K412&amp;"")&lt;&gt;LEN(TRIM($K412&amp;""))),AND($M412&lt;&gt;"",LEN($M412&amp;"")&lt;&gt;LEN(TRIM($M412&amp;""))),AND($N412&lt;&gt;"",LEN($N412&amp;"")&lt;&gt;LEN(TRIM($N412&amp;""))),AND($O412&lt;&gt;"",LEN($O412&amp;"")&lt;&gt;LEN(TRIM($O412&amp;""))),AND($R412&lt;&gt;"",LEN($R412&amp;"")&lt;&gt;LEN(TRIM($R412&amp;""))),AND($S412&lt;&gt;"",LEN($S412&amp;"")&lt;&gt;LEN(TRIM($S412&amp;""))),AND($T412&lt;&gt;"",LEN($T412&amp;"")&lt;&gt;LEN(TRIM($T412&amp;"")))),"Remove leading or trailing spaces from text fields; ","")&amp;IF(OR(AND(LEN($C412)&gt;1,OR(EXACT($C412,UPPER($C412)),EXACT($C412,LOWER($C412)))),AND(LEN($D412)&gt;1,OR(EXACT($D412,UPPER($D412)),EXACT($D412,LOWER($D412)))),AND(LEN($H412)&gt;1,OR(EXACT($H412,UPPER($H412)),EXACT($H412,LOWER($H412))))),"Review capitalization in First Name, Last Name, or City; ","")&amp;IF(AND($N412&lt;&gt;"",NOT(EXACT($N412,LOWER($N412)))),"Email will be standardized to lowercase in the clean output; ","")&amp;IF(AND(OR('START HERE'!$C$8="Initial Enrollment",'START HERE'!$C$8="Open Enrollment"),$R412="Terminated"),"A terminated row is included in an initial or open enrollment file; confirm this is intentional; ",""))</f>
        <v/>
      </c>
      <c r="AE412">
        <f>IF(COUNTA($A412:$U412)=0,"",IF(OR($A412="",AND($A412&lt;&gt;"",NOT(IFERROR(AND(LEN($A412&amp;"")=9,ISNUMBER(--($A412&amp;""))),FALSE))),AND($A412&lt;&gt;"",OR($A412="123456789",$A412="987654321",$A412="012345678",$A412=REPT(LEFT($A412&amp;"",1),9)))),"Employee SSN, ","")&amp;IF(OR(AND($O412&lt;&gt;"",$B412=""),AND($B412&lt;&gt;"",OR(NOT(IFERROR(AND(LEN($B412&amp;"")=9,ISNUMBER(--($B412&amp;""))),FALSE)),$B412=$A412,$B412="123456789",$B412="987654321",$B412="012345678",$B412=REPT(LEFT($B412&amp;"",1),9)))),"Dependent SSN, ","")&amp;IF(OR($C412="",LEN($C412)&gt;19,AND($C412&lt;&gt;"",SUMPRODUCT(--(ROW($1:$19)&lt;=LEN($C412&amp;"")),--ISERROR(FIND(MID($C412&amp;"",ROW($1:$19),1),"ABCDEFGHIJKLMNOPQRSTUVWXYZabcdefghijklmnopqrstuvwxyz .,")))&gt;0)),"First Name, ","")&amp;IF(OR($D412="",LEN($D412)&gt;26,AND($D412&lt;&gt;"",SUMPRODUCT(--(ROW($1:$26)&lt;=LEN($D412&amp;"")),--ISERROR(FIND(MID($D412&amp;"",ROW($1:$26),1),"ABCDEFGHIJKLMNOPQRSTUVWXYZabcdefghijklmnopqrstuvwxyz .,")))&gt;0)),"Last Name, ","")&amp;IF(OR(LEN($E412)&gt;1,AND($E412&lt;&gt;"",SUMPRODUCT(--(ROW($1:$1)&lt;=LEN($E412&amp;"")),--ISERROR(FIND(MID($E412&amp;"",ROW($1:$1),1),"ABCDEFGHIJKLMNOPQRSTUVWXYZabcdefghijklmnopqrstuvwxyz .,")))&gt;0)),"Middle Initial, ","")&amp;IF(OR($F412="",LEN($F412)&gt;75),"Address, ","")&amp;IF(OR($H412="",LEN($H412)&gt;30),"City, ","")&amp;IF(AND($K412="US",OR($I412="",LEN($I412)&lt;&gt;2)),"State, ","")&amp;IF($J412="","ZIP, ","")&amp;IF(OR($K412="",AND($K412&lt;&gt;"US",$K412&lt;&gt;"CA")),"Country, ","")&amp;IF(OR($L412="",AND($L412&lt;&gt;"",OR(NOT(ISNUMBER($L412)),$L412&lt;=DATE(1900,1,1),$L412&gt;TODAY()))),"Birthdate, ","")&amp;IF(AND($N412&lt;&gt;"",NOT(IFERROR(AND(ISNUMBER(SEARCH("@",$N412)),ISNUMBER(SEARCH(".",$N412,SEARCH("@",$N412)+2))),FALSE))),"Email, ","")&amp;IF(OR(AND($B412&lt;&gt;"",$O412=""),AND($O412&lt;&gt;"",$O412&lt;&gt;"Spouse or Common Law Spouse",$O412&lt;&gt;"Domestic Partner",$O412&lt;&gt;"Child",$O412&lt;&gt;"Other",$O412&lt;&gt;"Estate",$O412&lt;&gt;"Unknown")),"Dependent Relationship, ","")&amp;IF($AA412&lt;&gt;"","Household, ","")&amp;IF(OR($P412="",AND($P412&lt;&gt;"",OR(NOT(ISNUMBER($P412)),$P412&lt;=DATE(1900,1,1)))),"Eligibility Date, ","")&amp;IF(OR(AND($R412="Terminated",$Q412=""),AND($Q412&lt;&gt;"",OR(NOT(ISNUMBER($Q412)),$Q412&lt;=DATE(1900,1,1))),AND(ISNUMBER($P412),ISNUMBER($Q412),$Q412&lt;$P412)),"Termination Date, ","")&amp;IF(OR($R412="",AND($R412&lt;&gt;"Active",$R412&lt;&gt;"Terminated"),AND('START HERE'!$C$8="Terminations Only",$R412&lt;&gt;"Terminated")),"Status, ","")&amp;IF($S412="","Plan Name, ","")&amp;IF($T412="","Coverage Level, ","")&amp;IF(AND($U412&lt;&gt;"",OR(NOT(ISNUMBER($U412)),$U412&lt;0)),"Funding, ","")&amp;IF(AND($A412&lt;&gt;"",$S412&lt;&gt;"",COUNTIFS($A$2:$A$501,$A412,$B$2:$B$501,$B412,$S$2:$S$501,$S412)&gt;1),"Duplicate Row, ",""))</f>
        <v/>
      </c>
      <c r="AF412">
        <f>IF(COUNTA($A412:$U412)=0,"",$Y412&amp;$Z412&amp;$AA412&amp;$AB412&amp;$AC412)</f>
        <v/>
      </c>
      <c r="AG412">
        <f>IF($N412="","",LOWER(TRIM($N412)))</f>
        <v/>
      </c>
      <c r="AH412">
        <f>IF($A412="","",COUNTIFS($A$2:$A$501,$A412,$AI$2:$AI$501,1))</f>
        <v/>
      </c>
      <c r="AI412">
        <f>IF(COUNTA($A412:$U412)=0,"",--($AF412&lt;&gt;""))</f>
        <v/>
      </c>
      <c r="AJ412">
        <f>IF(COUNTA($A412:$U412)=0,"",--($AD412&lt;&gt;""))</f>
        <v/>
      </c>
    </row>
    <row r="413" ht="20" customHeight="1">
      <c r="A413" s="80" t="n"/>
      <c r="B413" s="80" t="n"/>
      <c r="C413" s="81" t="n"/>
      <c r="D413" s="81" t="n"/>
      <c r="E413" s="80" t="n"/>
      <c r="F413" s="81" t="n"/>
      <c r="G413" s="81" t="n"/>
      <c r="H413" s="81" t="n"/>
      <c r="I413" s="80" t="n"/>
      <c r="J413" s="80" t="n"/>
      <c r="K413" s="80" t="n"/>
      <c r="L413" s="82" t="n"/>
      <c r="M413" s="80" t="n"/>
      <c r="N413" s="80" t="n"/>
      <c r="O413" s="80" t="n"/>
      <c r="P413" s="82" t="n"/>
      <c r="Q413" s="82" t="n"/>
      <c r="R413" s="80" t="n"/>
      <c r="S413" s="80" t="n"/>
      <c r="T413" s="80" t="n"/>
      <c r="U413" s="83" t="n"/>
      <c r="V413">
        <f>IF($A413="","",IF($A413=$A412,$V412,IF($V412="",0,1-$V412)))</f>
        <v/>
      </c>
      <c r="W413">
        <f>IF($B413&lt;&gt;"",$B413,$A413)</f>
        <v/>
      </c>
      <c r="X413">
        <f>IF(COUNTA($A413:$U413)=0,"",IF(OR($B413&lt;&gt;"",$O413&lt;&gt;""),"Dependent","Employee"))</f>
        <v/>
      </c>
      <c r="Y413">
        <f>IF(COUNTA($A413:$U413)=0,"",IF($A413="","Employee SSN is required; ","")&amp;IF($C413="","First Name is required; ","")&amp;IF(LEN($C413&amp;"")&gt;19,"First Name exceeds 19 characters; ","")&amp;IF(AND($C413&lt;&gt;"",SUMPRODUCT(--(ROW($1:$19)&lt;=LEN($C413&amp;"")),--ISERROR(FIND(MID($C413&amp;"",ROW($1:$19),1),"ABCDEFGHIJKLMNOPQRSTUVWXYZabcdefghijklmnopqrstuvwxyz .,")))&gt;0),"First Name contains unsupported or encoded characters; use plain A-Z letters only; ","")&amp;IF($D413="","Last Name is required; ","")&amp;IF(LEN($D413&amp;"")&gt;26,"Last Name exceeds 26 characters; ","")&amp;IF(AND($D413&lt;&gt;"",SUMPRODUCT(--(ROW($1:$26)&lt;=LEN($D413&amp;"")),--ISERROR(FIND(MID($D413&amp;"",ROW($1:$26),1),"ABCDEFGHIJKLMNOPQRSTUVWXYZabcdefghijklmnopqrstuvwxyz .,")))&gt;0),"Last Name contains unsupported or encoded characters; use plain A-Z letters only; ","")&amp;IF(LEN($E413&amp;"")&gt;1,"Middle Initial may contain only one character; ","")&amp;IF(AND($E413&lt;&gt;"",SUMPRODUCT(--(ROW($1:$1)&lt;=LEN($E413&amp;"")),--ISERROR(FIND(MID($E413&amp;"",ROW($1:$1),1),"ABCDEFGHIJKLMNOPQRSTUVWXYZabcdefghijklmnopqrstuvwxyz .,")))&gt;0),"Middle Initial must be a plain A-Z letter; ","")&amp;IF($F413="","Address is required; ","")&amp;IF(LEN($F413&amp;"")&gt;75,"Address exceeds 75 characters; ","")&amp;IF(LEN($G413&amp;"")&gt;75,"Address 2 exceeds 75 characters; ","")&amp;IF($H413="","City is required; ","")&amp;IF(LEN($H413&amp;"")&gt;30,"City exceeds 30 characters; ","")&amp;IF($K413="","Country is required; ","")&amp;IF(AND($K413&lt;&gt;"",$K413&lt;&gt;"US",$K413&lt;&gt;"CA"),"Country must be US or CA; ","")&amp;IF(AND($K413="US",OR($I413="",LEN($I413&amp;"")&lt;&gt;2)),"Use a 2-letter state code; ","")&amp;IF($J413="","ZIP or postal code is required; ","")&amp;IF(AND($K413="US",$J413&lt;&gt;"",NOT(IFERROR(OR(AND(LEN($J413&amp;"")=5,ISNUMBER(--($J413&amp;""))),AND(LEN($J413&amp;"")=9,ISNUMBER(--($J413&amp;""))),AND(LEN($J413&amp;"")=10,MID($J413&amp;"",6,1)="-",ISNUMBER(--SUBSTITUTE($J413&amp;"","-","")))),FALSE))),"US ZIP must be 5 or 9 digits, with an optional ZIP+4 hyphen; ","")&amp;IF(AND($N413&lt;&gt;"",NOT(IFERROR(AND(ISNUMBER(SEARCH("@",$N413)),ISNUMBER(SEARCH(".",$N413,SEARCH("@",$N413)+2))),FALSE))),"Email format appears invalid; ","")&amp;IF(AND($O413&lt;&gt;"",$B413=""),"Dependent SSN is required for every dependent; ","")&amp;IF(AND($B413&lt;&gt;"",$O413=""),"Dependent Relationship is required when Dependent SSN is entered; ","")&amp;IF(AND($O413&lt;&gt;"",$O413&lt;&gt;"Spouse or Common Law Spouse",$O413&lt;&gt;"Domestic Partner",$O413&lt;&gt;"Child",$O413&lt;&gt;"Other",$O413&lt;&gt;"Estate",$O413&lt;&gt;"Unknown"),"Dependent Relationship must use one of the approved options; ",""))</f>
        <v/>
      </c>
      <c r="Z413">
        <f>IF(COUNTA($A413:$U413)=0,"",IF(AND($A413&lt;&gt;"",NOT(IFERROR(AND(LEN($A413&amp;"")=9,ISNUMBER(--($A413&amp;""))),FALSE))),"Employee SSN must contain exactly 9 digits; ","")&amp;IF(AND($A413&lt;&gt;"",OR($A413="123456789",$A413="987654321",$A413="012345678",$A413=REPT(LEFT($A413&amp;"",1),9))),"Employee SSN appears to be a placeholder; ","")&amp;IF(AND($B413&lt;&gt;"",NOT(IFERROR(AND(LEN($B413&amp;"")=9,ISNUMBER(--($B413&amp;""))),FALSE))),"Dependent SSN must contain exactly 9 digits; ","")&amp;IF(AND($B413&lt;&gt;"",OR($B413="123456789",$B413="987654321",$B413="012345678",$B413=REPT(LEFT($B413&amp;"",1),9))),"Dependent SSN appears to be a placeholder; ","")&amp;IF(AND($A413&lt;&gt;"",$B413&lt;&gt;"",$A413&amp;""=$B413&amp;""),"Dependent SSN cannot match Employee SSN; ","")&amp;IF(AND($W413&lt;&gt;"",OR(COUNTIFS($W$2:$W$501,$W413,$C$2:$C$501,"&lt;&gt;"&amp;$C413)&gt;0,COUNTIFS($W$2:$W$501,$W413,$D$2:$D$501,"&lt;&gt;"&amp;$D413)&gt;0,COUNTIFS($W$2:$W$501,$W413,$L$2:$L$501,"&lt;&gt;"&amp;$L413)&gt;0)),"The same SSN is associated with a different name or birthdate; ",""))</f>
        <v/>
      </c>
      <c r="AA413">
        <f>IF(COUNTA($A413:$U413)=0,"",IF(AND($A413&lt;&gt;"",$S413&lt;&gt;"",COUNTIFS($A$2:$A$501,$A413,$S$2:$S$501,$S413,$B$2:$B$501,"",$O$2:$O$501,"")=0),"Add an employee row for this household and plan; ","")&amp;IF(AND($X413="Dependent",COUNTIFS($A$2:$A413,$A413,$S$2:$S413,$S413,$B$2:$B413,"",$O$2:$O413,"")=0),"Place the employee row before dependent rows for this plan; ","")&amp;IF(AND($X413="Dependent",COUNTIFS($A$2:$A$501,$A413,$S$2:$S$501,$S413,$B$2:$B$501,"",$O$2:$O$501,"")&gt;0,IFERROR(OR($P413&lt;&gt;LOOKUP(2,1/(($A$2:$A$501=$A413)*($S$2:$S$501=$S413)*($B$2:$B$501="")*($O$2:$O$501="")),$P$2:$P$501),$Q413&lt;&gt;LOOKUP(2,1/(($A$2:$A$501=$A413)*($S$2:$S$501=$S413)*($B$2:$B$501="")*($O$2:$O$501="")),$Q$2:$Q$501),$R413&lt;&gt;LOOKUP(2,1/(($A$2:$A$501=$A413)*($S$2:$S$501=$S413)*($B$2:$B$501="")*($O$2:$O$501="")),$R$2:$R$501),$T413&lt;&gt;LOOKUP(2,1/(($A$2:$A$501=$A413)*($S$2:$S$501=$S413)*($B$2:$B$501="")*($O$2:$O$501="")),$T$2:$T$501),$U413&lt;&gt;LOOKUP(2,1/(($A$2:$A$501=$A413)*($S$2:$S$501=$S413)*($B$2:$B$501="")*($O$2:$O$501="")),$U$2:$U$501)),FALSE)),"Dependent row does not match the employee row for eligibility, status, coverage level, or funding; ",""))</f>
        <v/>
      </c>
      <c r="AB413">
        <f>IF(COUNTA($A413:$U413)=0,"",IF($L413="","Birthdate is required; ","")&amp;IF(AND($L413&lt;&gt;"",OR(NOT(ISNUMBER($L413)),$L413&lt;=DATE(1900,1,1),$L413&gt;TODAY())),"Birthdate must be an exact valid past date; ","")&amp;IF($P413="","Eligibility Date is required; ","")&amp;IF(AND($P413&lt;&gt;"",OR(NOT(ISNUMBER($P413)),$P413&lt;=DATE(1900,1,1))),"Eligibility Date must be a valid date; ","")&amp;IF(AND($R413="Terminated",$Q413=""),"Termination Date is required when Status is Terminated; ","")&amp;IF(AND($Q413&lt;&gt;"",OR(NOT(ISNUMBER($Q413)),$Q413&lt;=DATE(1900,1,1))),"Termination Date must be a valid date; ","")&amp;IF(AND(ISNUMBER($P413),ISNUMBER($Q413),$Q413&lt;$P413),"Termination Date cannot be before Eligibility Date; ","")&amp;IF($R413="","Status is required; ","")&amp;IF(AND($R413&lt;&gt;"",$R413&lt;&gt;"Active",$R413&lt;&gt;"Terminated"),"Status must be Active or Terminated; ","")&amp;IF(AND('START HERE'!$C$8="Terminations Only",$R413&lt;&gt;"Terminated"),"Terminations Only files must contain terminated records; ",""))</f>
        <v/>
      </c>
      <c r="AC413">
        <f>IF(COUNTA($A413:$U413)=0,"",IF($S413="","Plan Name is required; ","")&amp;IF($T413="","Benefit Coverage Level is required; ","")&amp;IF(AND($U413&lt;&gt;"",OR(NOT(ISNUMBER($U413)),$U413&lt;0)),"Plan Funding Amount must be a nonnegative number; ","")&amp;IF(AND($A413&lt;&gt;"",$S413&lt;&gt;"",COUNTIFS($A$2:$A$501,$A413,$B$2:$B$501,$B413,$S$2:$S$501,$S413)&gt;1),"Duplicate participant and plan row; ",""))</f>
        <v/>
      </c>
      <c r="AD413">
        <f>IF(COUNTA($A413:$U413)=0,"",IF(AND($X413="Employee",$M413="",$N413=""),"No employee phone or email provided; ","")&amp;IF(AND($R413="Active",$Q413&lt;&gt;""),"Active record includes a Termination Date; confirm this is intentional; ","")&amp;IF(AND($B413&lt;&gt;"",$B413&amp;""&lt;&gt;$A413&amp;"",COUNTIF($A$2:$A$501,$B413)&gt;0),"Dependent SSN also appears as an Employee SSN elsewhere; confirm dual-employee coverage is intentional; ","")&amp;IF(AND($B413&lt;&gt;"",COUNTIF($B$2:$B$501,$B413)&gt;COUNTIFS($A$2:$A$501,$A413,$B$2:$B$501,$B413)),"Dependent SSN appears under more than one employee; confirm duplicate family coverage is intentional; ","")&amp;IF(AND(ROW()&gt;2,$A413&lt;&gt;"",$A413&lt;&gt;$A412,COUNTIF($A$2:$A412,$A413)&gt;0),"This household appears in more than one section of the census; keep the family together; ","")&amp;IF(OR(AND($C413&lt;&gt;"",LEN($C413&amp;"")&lt;&gt;LEN(TRIM($C413&amp;""))),AND($D413&lt;&gt;"",LEN($D413&amp;"")&lt;&gt;LEN(TRIM($D413&amp;""))),AND($E413&lt;&gt;"",LEN($E413&amp;"")&lt;&gt;LEN(TRIM($E413&amp;""))),AND($F413&lt;&gt;"",LEN($F413&amp;"")&lt;&gt;LEN(TRIM($F413&amp;""))),AND($G413&lt;&gt;"",LEN($G413&amp;"")&lt;&gt;LEN(TRIM($G413&amp;""))),AND($H413&lt;&gt;"",LEN($H413&amp;"")&lt;&gt;LEN(TRIM($H413&amp;""))),AND($I413&lt;&gt;"",LEN($I413&amp;"")&lt;&gt;LEN(TRIM($I413&amp;""))),AND($J413&lt;&gt;"",LEN($J413&amp;"")&lt;&gt;LEN(TRIM($J413&amp;""))),AND($K413&lt;&gt;"",LEN($K413&amp;"")&lt;&gt;LEN(TRIM($K413&amp;""))),AND($M413&lt;&gt;"",LEN($M413&amp;"")&lt;&gt;LEN(TRIM($M413&amp;""))),AND($N413&lt;&gt;"",LEN($N413&amp;"")&lt;&gt;LEN(TRIM($N413&amp;""))),AND($O413&lt;&gt;"",LEN($O413&amp;"")&lt;&gt;LEN(TRIM($O413&amp;""))),AND($R413&lt;&gt;"",LEN($R413&amp;"")&lt;&gt;LEN(TRIM($R413&amp;""))),AND($S413&lt;&gt;"",LEN($S413&amp;"")&lt;&gt;LEN(TRIM($S413&amp;""))),AND($T413&lt;&gt;"",LEN($T413&amp;"")&lt;&gt;LEN(TRIM($T413&amp;"")))),"Remove leading or trailing spaces from text fields; ","")&amp;IF(OR(AND(LEN($C413)&gt;1,OR(EXACT($C413,UPPER($C413)),EXACT($C413,LOWER($C413)))),AND(LEN($D413)&gt;1,OR(EXACT($D413,UPPER($D413)),EXACT($D413,LOWER($D413)))),AND(LEN($H413)&gt;1,OR(EXACT($H413,UPPER($H413)),EXACT($H413,LOWER($H413))))),"Review capitalization in First Name, Last Name, or City; ","")&amp;IF(AND($N413&lt;&gt;"",NOT(EXACT($N413,LOWER($N413)))),"Email will be standardized to lowercase in the clean output; ","")&amp;IF(AND(OR('START HERE'!$C$8="Initial Enrollment",'START HERE'!$C$8="Open Enrollment"),$R413="Terminated"),"A terminated row is included in an initial or open enrollment file; confirm this is intentional; ",""))</f>
        <v/>
      </c>
      <c r="AE413">
        <f>IF(COUNTA($A413:$U413)=0,"",IF(OR($A413="",AND($A413&lt;&gt;"",NOT(IFERROR(AND(LEN($A413&amp;"")=9,ISNUMBER(--($A413&amp;""))),FALSE))),AND($A413&lt;&gt;"",OR($A413="123456789",$A413="987654321",$A413="012345678",$A413=REPT(LEFT($A413&amp;"",1),9)))),"Employee SSN, ","")&amp;IF(OR(AND($O413&lt;&gt;"",$B413=""),AND($B413&lt;&gt;"",OR(NOT(IFERROR(AND(LEN($B413&amp;"")=9,ISNUMBER(--($B413&amp;""))),FALSE)),$B413=$A413,$B413="123456789",$B413="987654321",$B413="012345678",$B413=REPT(LEFT($B413&amp;"",1),9)))),"Dependent SSN, ","")&amp;IF(OR($C413="",LEN($C413)&gt;19,AND($C413&lt;&gt;"",SUMPRODUCT(--(ROW($1:$19)&lt;=LEN($C413&amp;"")),--ISERROR(FIND(MID($C413&amp;"",ROW($1:$19),1),"ABCDEFGHIJKLMNOPQRSTUVWXYZabcdefghijklmnopqrstuvwxyz .,")))&gt;0)),"First Name, ","")&amp;IF(OR($D413="",LEN($D413)&gt;26,AND($D413&lt;&gt;"",SUMPRODUCT(--(ROW($1:$26)&lt;=LEN($D413&amp;"")),--ISERROR(FIND(MID($D413&amp;"",ROW($1:$26),1),"ABCDEFGHIJKLMNOPQRSTUVWXYZabcdefghijklmnopqrstuvwxyz .,")))&gt;0)),"Last Name, ","")&amp;IF(OR(LEN($E413)&gt;1,AND($E413&lt;&gt;"",SUMPRODUCT(--(ROW($1:$1)&lt;=LEN($E413&amp;"")),--ISERROR(FIND(MID($E413&amp;"",ROW($1:$1),1),"ABCDEFGHIJKLMNOPQRSTUVWXYZabcdefghijklmnopqrstuvwxyz .,")))&gt;0)),"Middle Initial, ","")&amp;IF(OR($F413="",LEN($F413)&gt;75),"Address, ","")&amp;IF(OR($H413="",LEN($H413)&gt;30),"City, ","")&amp;IF(AND($K413="US",OR($I413="",LEN($I413)&lt;&gt;2)),"State, ","")&amp;IF($J413="","ZIP, ","")&amp;IF(OR($K413="",AND($K413&lt;&gt;"US",$K413&lt;&gt;"CA")),"Country, ","")&amp;IF(OR($L413="",AND($L413&lt;&gt;"",OR(NOT(ISNUMBER($L413)),$L413&lt;=DATE(1900,1,1),$L413&gt;TODAY()))),"Birthdate, ","")&amp;IF(AND($N413&lt;&gt;"",NOT(IFERROR(AND(ISNUMBER(SEARCH("@",$N413)),ISNUMBER(SEARCH(".",$N413,SEARCH("@",$N413)+2))),FALSE))),"Email, ","")&amp;IF(OR(AND($B413&lt;&gt;"",$O413=""),AND($O413&lt;&gt;"",$O413&lt;&gt;"Spouse or Common Law Spouse",$O413&lt;&gt;"Domestic Partner",$O413&lt;&gt;"Child",$O413&lt;&gt;"Other",$O413&lt;&gt;"Estate",$O413&lt;&gt;"Unknown")),"Dependent Relationship, ","")&amp;IF($AA413&lt;&gt;"","Household, ","")&amp;IF(OR($P413="",AND($P413&lt;&gt;"",OR(NOT(ISNUMBER($P413)),$P413&lt;=DATE(1900,1,1)))),"Eligibility Date, ","")&amp;IF(OR(AND($R413="Terminated",$Q413=""),AND($Q413&lt;&gt;"",OR(NOT(ISNUMBER($Q413)),$Q413&lt;=DATE(1900,1,1))),AND(ISNUMBER($P413),ISNUMBER($Q413),$Q413&lt;$P413)),"Termination Date, ","")&amp;IF(OR($R413="",AND($R413&lt;&gt;"Active",$R413&lt;&gt;"Terminated"),AND('START HERE'!$C$8="Terminations Only",$R413&lt;&gt;"Terminated")),"Status, ","")&amp;IF($S413="","Plan Name, ","")&amp;IF($T413="","Coverage Level, ","")&amp;IF(AND($U413&lt;&gt;"",OR(NOT(ISNUMBER($U413)),$U413&lt;0)),"Funding, ","")&amp;IF(AND($A413&lt;&gt;"",$S413&lt;&gt;"",COUNTIFS($A$2:$A$501,$A413,$B$2:$B$501,$B413,$S$2:$S$501,$S413)&gt;1),"Duplicate Row, ",""))</f>
        <v/>
      </c>
      <c r="AF413">
        <f>IF(COUNTA($A413:$U413)=0,"",$Y413&amp;$Z413&amp;$AA413&amp;$AB413&amp;$AC413)</f>
        <v/>
      </c>
      <c r="AG413">
        <f>IF($N413="","",LOWER(TRIM($N413)))</f>
        <v/>
      </c>
      <c r="AH413">
        <f>IF($A413="","",COUNTIFS($A$2:$A$501,$A413,$AI$2:$AI$501,1))</f>
        <v/>
      </c>
      <c r="AI413">
        <f>IF(COUNTA($A413:$U413)=0,"",--($AF413&lt;&gt;""))</f>
        <v/>
      </c>
      <c r="AJ413">
        <f>IF(COUNTA($A413:$U413)=0,"",--($AD413&lt;&gt;""))</f>
        <v/>
      </c>
    </row>
    <row r="414" ht="20" customHeight="1">
      <c r="A414" s="80" t="n"/>
      <c r="B414" s="80" t="n"/>
      <c r="C414" s="81" t="n"/>
      <c r="D414" s="81" t="n"/>
      <c r="E414" s="80" t="n"/>
      <c r="F414" s="81" t="n"/>
      <c r="G414" s="81" t="n"/>
      <c r="H414" s="81" t="n"/>
      <c r="I414" s="80" t="n"/>
      <c r="J414" s="80" t="n"/>
      <c r="K414" s="80" t="n"/>
      <c r="L414" s="82" t="n"/>
      <c r="M414" s="80" t="n"/>
      <c r="N414" s="80" t="n"/>
      <c r="O414" s="80" t="n"/>
      <c r="P414" s="82" t="n"/>
      <c r="Q414" s="82" t="n"/>
      <c r="R414" s="80" t="n"/>
      <c r="S414" s="80" t="n"/>
      <c r="T414" s="80" t="n"/>
      <c r="U414" s="83" t="n"/>
      <c r="V414">
        <f>IF($A414="","",IF($A414=$A413,$V413,IF($V413="",0,1-$V413)))</f>
        <v/>
      </c>
      <c r="W414">
        <f>IF($B414&lt;&gt;"",$B414,$A414)</f>
        <v/>
      </c>
      <c r="X414">
        <f>IF(COUNTA($A414:$U414)=0,"",IF(OR($B414&lt;&gt;"",$O414&lt;&gt;""),"Dependent","Employee"))</f>
        <v/>
      </c>
      <c r="Y414">
        <f>IF(COUNTA($A414:$U414)=0,"",IF($A414="","Employee SSN is required; ","")&amp;IF($C414="","First Name is required; ","")&amp;IF(LEN($C414&amp;"")&gt;19,"First Name exceeds 19 characters; ","")&amp;IF(AND($C414&lt;&gt;"",SUMPRODUCT(--(ROW($1:$19)&lt;=LEN($C414&amp;"")),--ISERROR(FIND(MID($C414&amp;"",ROW($1:$19),1),"ABCDEFGHIJKLMNOPQRSTUVWXYZabcdefghijklmnopqrstuvwxyz .,")))&gt;0),"First Name contains unsupported or encoded characters; use plain A-Z letters only; ","")&amp;IF($D414="","Last Name is required; ","")&amp;IF(LEN($D414&amp;"")&gt;26,"Last Name exceeds 26 characters; ","")&amp;IF(AND($D414&lt;&gt;"",SUMPRODUCT(--(ROW($1:$26)&lt;=LEN($D414&amp;"")),--ISERROR(FIND(MID($D414&amp;"",ROW($1:$26),1),"ABCDEFGHIJKLMNOPQRSTUVWXYZabcdefghijklmnopqrstuvwxyz .,")))&gt;0),"Last Name contains unsupported or encoded characters; use plain A-Z letters only; ","")&amp;IF(LEN($E414&amp;"")&gt;1,"Middle Initial may contain only one character; ","")&amp;IF(AND($E414&lt;&gt;"",SUMPRODUCT(--(ROW($1:$1)&lt;=LEN($E414&amp;"")),--ISERROR(FIND(MID($E414&amp;"",ROW($1:$1),1),"ABCDEFGHIJKLMNOPQRSTUVWXYZabcdefghijklmnopqrstuvwxyz .,")))&gt;0),"Middle Initial must be a plain A-Z letter; ","")&amp;IF($F414="","Address is required; ","")&amp;IF(LEN($F414&amp;"")&gt;75,"Address exceeds 75 characters; ","")&amp;IF(LEN($G414&amp;"")&gt;75,"Address 2 exceeds 75 characters; ","")&amp;IF($H414="","City is required; ","")&amp;IF(LEN($H414&amp;"")&gt;30,"City exceeds 30 characters; ","")&amp;IF($K414="","Country is required; ","")&amp;IF(AND($K414&lt;&gt;"",$K414&lt;&gt;"US",$K414&lt;&gt;"CA"),"Country must be US or CA; ","")&amp;IF(AND($K414="US",OR($I414="",LEN($I414&amp;"")&lt;&gt;2)),"Use a 2-letter state code; ","")&amp;IF($J414="","ZIP or postal code is required; ","")&amp;IF(AND($K414="US",$J414&lt;&gt;"",NOT(IFERROR(OR(AND(LEN($J414&amp;"")=5,ISNUMBER(--($J414&amp;""))),AND(LEN($J414&amp;"")=9,ISNUMBER(--($J414&amp;""))),AND(LEN($J414&amp;"")=10,MID($J414&amp;"",6,1)="-",ISNUMBER(--SUBSTITUTE($J414&amp;"","-","")))),FALSE))),"US ZIP must be 5 or 9 digits, with an optional ZIP+4 hyphen; ","")&amp;IF(AND($N414&lt;&gt;"",NOT(IFERROR(AND(ISNUMBER(SEARCH("@",$N414)),ISNUMBER(SEARCH(".",$N414,SEARCH("@",$N414)+2))),FALSE))),"Email format appears invalid; ","")&amp;IF(AND($O414&lt;&gt;"",$B414=""),"Dependent SSN is required for every dependent; ","")&amp;IF(AND($B414&lt;&gt;"",$O414=""),"Dependent Relationship is required when Dependent SSN is entered; ","")&amp;IF(AND($O414&lt;&gt;"",$O414&lt;&gt;"Spouse or Common Law Spouse",$O414&lt;&gt;"Domestic Partner",$O414&lt;&gt;"Child",$O414&lt;&gt;"Other",$O414&lt;&gt;"Estate",$O414&lt;&gt;"Unknown"),"Dependent Relationship must use one of the approved options; ",""))</f>
        <v/>
      </c>
      <c r="Z414">
        <f>IF(COUNTA($A414:$U414)=0,"",IF(AND($A414&lt;&gt;"",NOT(IFERROR(AND(LEN($A414&amp;"")=9,ISNUMBER(--($A414&amp;""))),FALSE))),"Employee SSN must contain exactly 9 digits; ","")&amp;IF(AND($A414&lt;&gt;"",OR($A414="123456789",$A414="987654321",$A414="012345678",$A414=REPT(LEFT($A414&amp;"",1),9))),"Employee SSN appears to be a placeholder; ","")&amp;IF(AND($B414&lt;&gt;"",NOT(IFERROR(AND(LEN($B414&amp;"")=9,ISNUMBER(--($B414&amp;""))),FALSE))),"Dependent SSN must contain exactly 9 digits; ","")&amp;IF(AND($B414&lt;&gt;"",OR($B414="123456789",$B414="987654321",$B414="012345678",$B414=REPT(LEFT($B414&amp;"",1),9))),"Dependent SSN appears to be a placeholder; ","")&amp;IF(AND($A414&lt;&gt;"",$B414&lt;&gt;"",$A414&amp;""=$B414&amp;""),"Dependent SSN cannot match Employee SSN; ","")&amp;IF(AND($W414&lt;&gt;"",OR(COUNTIFS($W$2:$W$501,$W414,$C$2:$C$501,"&lt;&gt;"&amp;$C414)&gt;0,COUNTIFS($W$2:$W$501,$W414,$D$2:$D$501,"&lt;&gt;"&amp;$D414)&gt;0,COUNTIFS($W$2:$W$501,$W414,$L$2:$L$501,"&lt;&gt;"&amp;$L414)&gt;0)),"The same SSN is associated with a different name or birthdate; ",""))</f>
        <v/>
      </c>
      <c r="AA414">
        <f>IF(COUNTA($A414:$U414)=0,"",IF(AND($A414&lt;&gt;"",$S414&lt;&gt;"",COUNTIFS($A$2:$A$501,$A414,$S$2:$S$501,$S414,$B$2:$B$501,"",$O$2:$O$501,"")=0),"Add an employee row for this household and plan; ","")&amp;IF(AND($X414="Dependent",COUNTIFS($A$2:$A414,$A414,$S$2:$S414,$S414,$B$2:$B414,"",$O$2:$O414,"")=0),"Place the employee row before dependent rows for this plan; ","")&amp;IF(AND($X414="Dependent",COUNTIFS($A$2:$A$501,$A414,$S$2:$S$501,$S414,$B$2:$B$501,"",$O$2:$O$501,"")&gt;0,IFERROR(OR($P414&lt;&gt;LOOKUP(2,1/(($A$2:$A$501=$A414)*($S$2:$S$501=$S414)*($B$2:$B$501="")*($O$2:$O$501="")),$P$2:$P$501),$Q414&lt;&gt;LOOKUP(2,1/(($A$2:$A$501=$A414)*($S$2:$S$501=$S414)*($B$2:$B$501="")*($O$2:$O$501="")),$Q$2:$Q$501),$R414&lt;&gt;LOOKUP(2,1/(($A$2:$A$501=$A414)*($S$2:$S$501=$S414)*($B$2:$B$501="")*($O$2:$O$501="")),$R$2:$R$501),$T414&lt;&gt;LOOKUP(2,1/(($A$2:$A$501=$A414)*($S$2:$S$501=$S414)*($B$2:$B$501="")*($O$2:$O$501="")),$T$2:$T$501),$U414&lt;&gt;LOOKUP(2,1/(($A$2:$A$501=$A414)*($S$2:$S$501=$S414)*($B$2:$B$501="")*($O$2:$O$501="")),$U$2:$U$501)),FALSE)),"Dependent row does not match the employee row for eligibility, status, coverage level, or funding; ",""))</f>
        <v/>
      </c>
      <c r="AB414">
        <f>IF(COUNTA($A414:$U414)=0,"",IF($L414="","Birthdate is required; ","")&amp;IF(AND($L414&lt;&gt;"",OR(NOT(ISNUMBER($L414)),$L414&lt;=DATE(1900,1,1),$L414&gt;TODAY())),"Birthdate must be an exact valid past date; ","")&amp;IF($P414="","Eligibility Date is required; ","")&amp;IF(AND($P414&lt;&gt;"",OR(NOT(ISNUMBER($P414)),$P414&lt;=DATE(1900,1,1))),"Eligibility Date must be a valid date; ","")&amp;IF(AND($R414="Terminated",$Q414=""),"Termination Date is required when Status is Terminated; ","")&amp;IF(AND($Q414&lt;&gt;"",OR(NOT(ISNUMBER($Q414)),$Q414&lt;=DATE(1900,1,1))),"Termination Date must be a valid date; ","")&amp;IF(AND(ISNUMBER($P414),ISNUMBER($Q414),$Q414&lt;$P414),"Termination Date cannot be before Eligibility Date; ","")&amp;IF($R414="","Status is required; ","")&amp;IF(AND($R414&lt;&gt;"",$R414&lt;&gt;"Active",$R414&lt;&gt;"Terminated"),"Status must be Active or Terminated; ","")&amp;IF(AND('START HERE'!$C$8="Terminations Only",$R414&lt;&gt;"Terminated"),"Terminations Only files must contain terminated records; ",""))</f>
        <v/>
      </c>
      <c r="AC414">
        <f>IF(COUNTA($A414:$U414)=0,"",IF($S414="","Plan Name is required; ","")&amp;IF($T414="","Benefit Coverage Level is required; ","")&amp;IF(AND($U414&lt;&gt;"",OR(NOT(ISNUMBER($U414)),$U414&lt;0)),"Plan Funding Amount must be a nonnegative number; ","")&amp;IF(AND($A414&lt;&gt;"",$S414&lt;&gt;"",COUNTIFS($A$2:$A$501,$A414,$B$2:$B$501,$B414,$S$2:$S$501,$S414)&gt;1),"Duplicate participant and plan row; ",""))</f>
        <v/>
      </c>
      <c r="AD414">
        <f>IF(COUNTA($A414:$U414)=0,"",IF(AND($X414="Employee",$M414="",$N414=""),"No employee phone or email provided; ","")&amp;IF(AND($R414="Active",$Q414&lt;&gt;""),"Active record includes a Termination Date; confirm this is intentional; ","")&amp;IF(AND($B414&lt;&gt;"",$B414&amp;""&lt;&gt;$A414&amp;"",COUNTIF($A$2:$A$501,$B414)&gt;0),"Dependent SSN also appears as an Employee SSN elsewhere; confirm dual-employee coverage is intentional; ","")&amp;IF(AND($B414&lt;&gt;"",COUNTIF($B$2:$B$501,$B414)&gt;COUNTIFS($A$2:$A$501,$A414,$B$2:$B$501,$B414)),"Dependent SSN appears under more than one employee; confirm duplicate family coverage is intentional; ","")&amp;IF(AND(ROW()&gt;2,$A414&lt;&gt;"",$A414&lt;&gt;$A413,COUNTIF($A$2:$A413,$A414)&gt;0),"This household appears in more than one section of the census; keep the family together; ","")&amp;IF(OR(AND($C414&lt;&gt;"",LEN($C414&amp;"")&lt;&gt;LEN(TRIM($C414&amp;""))),AND($D414&lt;&gt;"",LEN($D414&amp;"")&lt;&gt;LEN(TRIM($D414&amp;""))),AND($E414&lt;&gt;"",LEN($E414&amp;"")&lt;&gt;LEN(TRIM($E414&amp;""))),AND($F414&lt;&gt;"",LEN($F414&amp;"")&lt;&gt;LEN(TRIM($F414&amp;""))),AND($G414&lt;&gt;"",LEN($G414&amp;"")&lt;&gt;LEN(TRIM($G414&amp;""))),AND($H414&lt;&gt;"",LEN($H414&amp;"")&lt;&gt;LEN(TRIM($H414&amp;""))),AND($I414&lt;&gt;"",LEN($I414&amp;"")&lt;&gt;LEN(TRIM($I414&amp;""))),AND($J414&lt;&gt;"",LEN($J414&amp;"")&lt;&gt;LEN(TRIM($J414&amp;""))),AND($K414&lt;&gt;"",LEN($K414&amp;"")&lt;&gt;LEN(TRIM($K414&amp;""))),AND($M414&lt;&gt;"",LEN($M414&amp;"")&lt;&gt;LEN(TRIM($M414&amp;""))),AND($N414&lt;&gt;"",LEN($N414&amp;"")&lt;&gt;LEN(TRIM($N414&amp;""))),AND($O414&lt;&gt;"",LEN($O414&amp;"")&lt;&gt;LEN(TRIM($O414&amp;""))),AND($R414&lt;&gt;"",LEN($R414&amp;"")&lt;&gt;LEN(TRIM($R414&amp;""))),AND($S414&lt;&gt;"",LEN($S414&amp;"")&lt;&gt;LEN(TRIM($S414&amp;""))),AND($T414&lt;&gt;"",LEN($T414&amp;"")&lt;&gt;LEN(TRIM($T414&amp;"")))),"Remove leading or trailing spaces from text fields; ","")&amp;IF(OR(AND(LEN($C414)&gt;1,OR(EXACT($C414,UPPER($C414)),EXACT($C414,LOWER($C414)))),AND(LEN($D414)&gt;1,OR(EXACT($D414,UPPER($D414)),EXACT($D414,LOWER($D414)))),AND(LEN($H414)&gt;1,OR(EXACT($H414,UPPER($H414)),EXACT($H414,LOWER($H414))))),"Review capitalization in First Name, Last Name, or City; ","")&amp;IF(AND($N414&lt;&gt;"",NOT(EXACT($N414,LOWER($N414)))),"Email will be standardized to lowercase in the clean output; ","")&amp;IF(AND(OR('START HERE'!$C$8="Initial Enrollment",'START HERE'!$C$8="Open Enrollment"),$R414="Terminated"),"A terminated row is included in an initial or open enrollment file; confirm this is intentional; ",""))</f>
        <v/>
      </c>
      <c r="AE414">
        <f>IF(COUNTA($A414:$U414)=0,"",IF(OR($A414="",AND($A414&lt;&gt;"",NOT(IFERROR(AND(LEN($A414&amp;"")=9,ISNUMBER(--($A414&amp;""))),FALSE))),AND($A414&lt;&gt;"",OR($A414="123456789",$A414="987654321",$A414="012345678",$A414=REPT(LEFT($A414&amp;"",1),9)))),"Employee SSN, ","")&amp;IF(OR(AND($O414&lt;&gt;"",$B414=""),AND($B414&lt;&gt;"",OR(NOT(IFERROR(AND(LEN($B414&amp;"")=9,ISNUMBER(--($B414&amp;""))),FALSE)),$B414=$A414,$B414="123456789",$B414="987654321",$B414="012345678",$B414=REPT(LEFT($B414&amp;"",1),9)))),"Dependent SSN, ","")&amp;IF(OR($C414="",LEN($C414)&gt;19,AND($C414&lt;&gt;"",SUMPRODUCT(--(ROW($1:$19)&lt;=LEN($C414&amp;"")),--ISERROR(FIND(MID($C414&amp;"",ROW($1:$19),1),"ABCDEFGHIJKLMNOPQRSTUVWXYZabcdefghijklmnopqrstuvwxyz .,")))&gt;0)),"First Name, ","")&amp;IF(OR($D414="",LEN($D414)&gt;26,AND($D414&lt;&gt;"",SUMPRODUCT(--(ROW($1:$26)&lt;=LEN($D414&amp;"")),--ISERROR(FIND(MID($D414&amp;"",ROW($1:$26),1),"ABCDEFGHIJKLMNOPQRSTUVWXYZabcdefghijklmnopqrstuvwxyz .,")))&gt;0)),"Last Name, ","")&amp;IF(OR(LEN($E414)&gt;1,AND($E414&lt;&gt;"",SUMPRODUCT(--(ROW($1:$1)&lt;=LEN($E414&amp;"")),--ISERROR(FIND(MID($E414&amp;"",ROW($1:$1),1),"ABCDEFGHIJKLMNOPQRSTUVWXYZabcdefghijklmnopqrstuvwxyz .,")))&gt;0)),"Middle Initial, ","")&amp;IF(OR($F414="",LEN($F414)&gt;75),"Address, ","")&amp;IF(OR($H414="",LEN($H414)&gt;30),"City, ","")&amp;IF(AND($K414="US",OR($I414="",LEN($I414)&lt;&gt;2)),"State, ","")&amp;IF($J414="","ZIP, ","")&amp;IF(OR($K414="",AND($K414&lt;&gt;"US",$K414&lt;&gt;"CA")),"Country, ","")&amp;IF(OR($L414="",AND($L414&lt;&gt;"",OR(NOT(ISNUMBER($L414)),$L414&lt;=DATE(1900,1,1),$L414&gt;TODAY()))),"Birthdate, ","")&amp;IF(AND($N414&lt;&gt;"",NOT(IFERROR(AND(ISNUMBER(SEARCH("@",$N414)),ISNUMBER(SEARCH(".",$N414,SEARCH("@",$N414)+2))),FALSE))),"Email, ","")&amp;IF(OR(AND($B414&lt;&gt;"",$O414=""),AND($O414&lt;&gt;"",$O414&lt;&gt;"Spouse or Common Law Spouse",$O414&lt;&gt;"Domestic Partner",$O414&lt;&gt;"Child",$O414&lt;&gt;"Other",$O414&lt;&gt;"Estate",$O414&lt;&gt;"Unknown")),"Dependent Relationship, ","")&amp;IF($AA414&lt;&gt;"","Household, ","")&amp;IF(OR($P414="",AND($P414&lt;&gt;"",OR(NOT(ISNUMBER($P414)),$P414&lt;=DATE(1900,1,1)))),"Eligibility Date, ","")&amp;IF(OR(AND($R414="Terminated",$Q414=""),AND($Q414&lt;&gt;"",OR(NOT(ISNUMBER($Q414)),$Q414&lt;=DATE(1900,1,1))),AND(ISNUMBER($P414),ISNUMBER($Q414),$Q414&lt;$P414)),"Termination Date, ","")&amp;IF(OR($R414="",AND($R414&lt;&gt;"Active",$R414&lt;&gt;"Terminated"),AND('START HERE'!$C$8="Terminations Only",$R414&lt;&gt;"Terminated")),"Status, ","")&amp;IF($S414="","Plan Name, ","")&amp;IF($T414="","Coverage Level, ","")&amp;IF(AND($U414&lt;&gt;"",OR(NOT(ISNUMBER($U414)),$U414&lt;0)),"Funding, ","")&amp;IF(AND($A414&lt;&gt;"",$S414&lt;&gt;"",COUNTIFS($A$2:$A$501,$A414,$B$2:$B$501,$B414,$S$2:$S$501,$S414)&gt;1),"Duplicate Row, ",""))</f>
        <v/>
      </c>
      <c r="AF414">
        <f>IF(COUNTA($A414:$U414)=0,"",$Y414&amp;$Z414&amp;$AA414&amp;$AB414&amp;$AC414)</f>
        <v/>
      </c>
      <c r="AG414">
        <f>IF($N414="","",LOWER(TRIM($N414)))</f>
        <v/>
      </c>
      <c r="AH414">
        <f>IF($A414="","",COUNTIFS($A$2:$A$501,$A414,$AI$2:$AI$501,1))</f>
        <v/>
      </c>
      <c r="AI414">
        <f>IF(COUNTA($A414:$U414)=0,"",--($AF414&lt;&gt;""))</f>
        <v/>
      </c>
      <c r="AJ414">
        <f>IF(COUNTA($A414:$U414)=0,"",--($AD414&lt;&gt;""))</f>
        <v/>
      </c>
    </row>
    <row r="415" ht="20" customHeight="1">
      <c r="A415" s="80" t="n"/>
      <c r="B415" s="80" t="n"/>
      <c r="C415" s="81" t="n"/>
      <c r="D415" s="81" t="n"/>
      <c r="E415" s="80" t="n"/>
      <c r="F415" s="81" t="n"/>
      <c r="G415" s="81" t="n"/>
      <c r="H415" s="81" t="n"/>
      <c r="I415" s="80" t="n"/>
      <c r="J415" s="80" t="n"/>
      <c r="K415" s="80" t="n"/>
      <c r="L415" s="82" t="n"/>
      <c r="M415" s="80" t="n"/>
      <c r="N415" s="80" t="n"/>
      <c r="O415" s="80" t="n"/>
      <c r="P415" s="82" t="n"/>
      <c r="Q415" s="82" t="n"/>
      <c r="R415" s="80" t="n"/>
      <c r="S415" s="80" t="n"/>
      <c r="T415" s="80" t="n"/>
      <c r="U415" s="83" t="n"/>
      <c r="V415">
        <f>IF($A415="","",IF($A415=$A414,$V414,IF($V414="",0,1-$V414)))</f>
        <v/>
      </c>
      <c r="W415">
        <f>IF($B415&lt;&gt;"",$B415,$A415)</f>
        <v/>
      </c>
      <c r="X415">
        <f>IF(COUNTA($A415:$U415)=0,"",IF(OR($B415&lt;&gt;"",$O415&lt;&gt;""),"Dependent","Employee"))</f>
        <v/>
      </c>
      <c r="Y415">
        <f>IF(COUNTA($A415:$U415)=0,"",IF($A415="","Employee SSN is required; ","")&amp;IF($C415="","First Name is required; ","")&amp;IF(LEN($C415&amp;"")&gt;19,"First Name exceeds 19 characters; ","")&amp;IF(AND($C415&lt;&gt;"",SUMPRODUCT(--(ROW($1:$19)&lt;=LEN($C415&amp;"")),--ISERROR(FIND(MID($C415&amp;"",ROW($1:$19),1),"ABCDEFGHIJKLMNOPQRSTUVWXYZabcdefghijklmnopqrstuvwxyz .,")))&gt;0),"First Name contains unsupported or encoded characters; use plain A-Z letters only; ","")&amp;IF($D415="","Last Name is required; ","")&amp;IF(LEN($D415&amp;"")&gt;26,"Last Name exceeds 26 characters; ","")&amp;IF(AND($D415&lt;&gt;"",SUMPRODUCT(--(ROW($1:$26)&lt;=LEN($D415&amp;"")),--ISERROR(FIND(MID($D415&amp;"",ROW($1:$26),1),"ABCDEFGHIJKLMNOPQRSTUVWXYZabcdefghijklmnopqrstuvwxyz .,")))&gt;0),"Last Name contains unsupported or encoded characters; use plain A-Z letters only; ","")&amp;IF(LEN($E415&amp;"")&gt;1,"Middle Initial may contain only one character; ","")&amp;IF(AND($E415&lt;&gt;"",SUMPRODUCT(--(ROW($1:$1)&lt;=LEN($E415&amp;"")),--ISERROR(FIND(MID($E415&amp;"",ROW($1:$1),1),"ABCDEFGHIJKLMNOPQRSTUVWXYZabcdefghijklmnopqrstuvwxyz .,")))&gt;0),"Middle Initial must be a plain A-Z letter; ","")&amp;IF($F415="","Address is required; ","")&amp;IF(LEN($F415&amp;"")&gt;75,"Address exceeds 75 characters; ","")&amp;IF(LEN($G415&amp;"")&gt;75,"Address 2 exceeds 75 characters; ","")&amp;IF($H415="","City is required; ","")&amp;IF(LEN($H415&amp;"")&gt;30,"City exceeds 30 characters; ","")&amp;IF($K415="","Country is required; ","")&amp;IF(AND($K415&lt;&gt;"",$K415&lt;&gt;"US",$K415&lt;&gt;"CA"),"Country must be US or CA; ","")&amp;IF(AND($K415="US",OR($I415="",LEN($I415&amp;"")&lt;&gt;2)),"Use a 2-letter state code; ","")&amp;IF($J415="","ZIP or postal code is required; ","")&amp;IF(AND($K415="US",$J415&lt;&gt;"",NOT(IFERROR(OR(AND(LEN($J415&amp;"")=5,ISNUMBER(--($J415&amp;""))),AND(LEN($J415&amp;"")=9,ISNUMBER(--($J415&amp;""))),AND(LEN($J415&amp;"")=10,MID($J415&amp;"",6,1)="-",ISNUMBER(--SUBSTITUTE($J415&amp;"","-","")))),FALSE))),"US ZIP must be 5 or 9 digits, with an optional ZIP+4 hyphen; ","")&amp;IF(AND($N415&lt;&gt;"",NOT(IFERROR(AND(ISNUMBER(SEARCH("@",$N415)),ISNUMBER(SEARCH(".",$N415,SEARCH("@",$N415)+2))),FALSE))),"Email format appears invalid; ","")&amp;IF(AND($O415&lt;&gt;"",$B415=""),"Dependent SSN is required for every dependent; ","")&amp;IF(AND($B415&lt;&gt;"",$O415=""),"Dependent Relationship is required when Dependent SSN is entered; ","")&amp;IF(AND($O415&lt;&gt;"",$O415&lt;&gt;"Spouse or Common Law Spouse",$O415&lt;&gt;"Domestic Partner",$O415&lt;&gt;"Child",$O415&lt;&gt;"Other",$O415&lt;&gt;"Estate",$O415&lt;&gt;"Unknown"),"Dependent Relationship must use one of the approved options; ",""))</f>
        <v/>
      </c>
      <c r="Z415">
        <f>IF(COUNTA($A415:$U415)=0,"",IF(AND($A415&lt;&gt;"",NOT(IFERROR(AND(LEN($A415&amp;"")=9,ISNUMBER(--($A415&amp;""))),FALSE))),"Employee SSN must contain exactly 9 digits; ","")&amp;IF(AND($A415&lt;&gt;"",OR($A415="123456789",$A415="987654321",$A415="012345678",$A415=REPT(LEFT($A415&amp;"",1),9))),"Employee SSN appears to be a placeholder; ","")&amp;IF(AND($B415&lt;&gt;"",NOT(IFERROR(AND(LEN($B415&amp;"")=9,ISNUMBER(--($B415&amp;""))),FALSE))),"Dependent SSN must contain exactly 9 digits; ","")&amp;IF(AND($B415&lt;&gt;"",OR($B415="123456789",$B415="987654321",$B415="012345678",$B415=REPT(LEFT($B415&amp;"",1),9))),"Dependent SSN appears to be a placeholder; ","")&amp;IF(AND($A415&lt;&gt;"",$B415&lt;&gt;"",$A415&amp;""=$B415&amp;""),"Dependent SSN cannot match Employee SSN; ","")&amp;IF(AND($W415&lt;&gt;"",OR(COUNTIFS($W$2:$W$501,$W415,$C$2:$C$501,"&lt;&gt;"&amp;$C415)&gt;0,COUNTIFS($W$2:$W$501,$W415,$D$2:$D$501,"&lt;&gt;"&amp;$D415)&gt;0,COUNTIFS($W$2:$W$501,$W415,$L$2:$L$501,"&lt;&gt;"&amp;$L415)&gt;0)),"The same SSN is associated with a different name or birthdate; ",""))</f>
        <v/>
      </c>
      <c r="AA415">
        <f>IF(COUNTA($A415:$U415)=0,"",IF(AND($A415&lt;&gt;"",$S415&lt;&gt;"",COUNTIFS($A$2:$A$501,$A415,$S$2:$S$501,$S415,$B$2:$B$501,"",$O$2:$O$501,"")=0),"Add an employee row for this household and plan; ","")&amp;IF(AND($X415="Dependent",COUNTIFS($A$2:$A415,$A415,$S$2:$S415,$S415,$B$2:$B415,"",$O$2:$O415,"")=0),"Place the employee row before dependent rows for this plan; ","")&amp;IF(AND($X415="Dependent",COUNTIFS($A$2:$A$501,$A415,$S$2:$S$501,$S415,$B$2:$B$501,"",$O$2:$O$501,"")&gt;0,IFERROR(OR($P415&lt;&gt;LOOKUP(2,1/(($A$2:$A$501=$A415)*($S$2:$S$501=$S415)*($B$2:$B$501="")*($O$2:$O$501="")),$P$2:$P$501),$Q415&lt;&gt;LOOKUP(2,1/(($A$2:$A$501=$A415)*($S$2:$S$501=$S415)*($B$2:$B$501="")*($O$2:$O$501="")),$Q$2:$Q$501),$R415&lt;&gt;LOOKUP(2,1/(($A$2:$A$501=$A415)*($S$2:$S$501=$S415)*($B$2:$B$501="")*($O$2:$O$501="")),$R$2:$R$501),$T415&lt;&gt;LOOKUP(2,1/(($A$2:$A$501=$A415)*($S$2:$S$501=$S415)*($B$2:$B$501="")*($O$2:$O$501="")),$T$2:$T$501),$U415&lt;&gt;LOOKUP(2,1/(($A$2:$A$501=$A415)*($S$2:$S$501=$S415)*($B$2:$B$501="")*($O$2:$O$501="")),$U$2:$U$501)),FALSE)),"Dependent row does not match the employee row for eligibility, status, coverage level, or funding; ",""))</f>
        <v/>
      </c>
      <c r="AB415">
        <f>IF(COUNTA($A415:$U415)=0,"",IF($L415="","Birthdate is required; ","")&amp;IF(AND($L415&lt;&gt;"",OR(NOT(ISNUMBER($L415)),$L415&lt;=DATE(1900,1,1),$L415&gt;TODAY())),"Birthdate must be an exact valid past date; ","")&amp;IF($P415="","Eligibility Date is required; ","")&amp;IF(AND($P415&lt;&gt;"",OR(NOT(ISNUMBER($P415)),$P415&lt;=DATE(1900,1,1))),"Eligibility Date must be a valid date; ","")&amp;IF(AND($R415="Terminated",$Q415=""),"Termination Date is required when Status is Terminated; ","")&amp;IF(AND($Q415&lt;&gt;"",OR(NOT(ISNUMBER($Q415)),$Q415&lt;=DATE(1900,1,1))),"Termination Date must be a valid date; ","")&amp;IF(AND(ISNUMBER($P415),ISNUMBER($Q415),$Q415&lt;$P415),"Termination Date cannot be before Eligibility Date; ","")&amp;IF($R415="","Status is required; ","")&amp;IF(AND($R415&lt;&gt;"",$R415&lt;&gt;"Active",$R415&lt;&gt;"Terminated"),"Status must be Active or Terminated; ","")&amp;IF(AND('START HERE'!$C$8="Terminations Only",$R415&lt;&gt;"Terminated"),"Terminations Only files must contain terminated records; ",""))</f>
        <v/>
      </c>
      <c r="AC415">
        <f>IF(COUNTA($A415:$U415)=0,"",IF($S415="","Plan Name is required; ","")&amp;IF($T415="","Benefit Coverage Level is required; ","")&amp;IF(AND($U415&lt;&gt;"",OR(NOT(ISNUMBER($U415)),$U415&lt;0)),"Plan Funding Amount must be a nonnegative number; ","")&amp;IF(AND($A415&lt;&gt;"",$S415&lt;&gt;"",COUNTIFS($A$2:$A$501,$A415,$B$2:$B$501,$B415,$S$2:$S$501,$S415)&gt;1),"Duplicate participant and plan row; ",""))</f>
        <v/>
      </c>
      <c r="AD415">
        <f>IF(COUNTA($A415:$U415)=0,"",IF(AND($X415="Employee",$M415="",$N415=""),"No employee phone or email provided; ","")&amp;IF(AND($R415="Active",$Q415&lt;&gt;""),"Active record includes a Termination Date; confirm this is intentional; ","")&amp;IF(AND($B415&lt;&gt;"",$B415&amp;""&lt;&gt;$A415&amp;"",COUNTIF($A$2:$A$501,$B415)&gt;0),"Dependent SSN also appears as an Employee SSN elsewhere; confirm dual-employee coverage is intentional; ","")&amp;IF(AND($B415&lt;&gt;"",COUNTIF($B$2:$B$501,$B415)&gt;COUNTIFS($A$2:$A$501,$A415,$B$2:$B$501,$B415)),"Dependent SSN appears under more than one employee; confirm duplicate family coverage is intentional; ","")&amp;IF(AND(ROW()&gt;2,$A415&lt;&gt;"",$A415&lt;&gt;$A414,COUNTIF($A$2:$A414,$A415)&gt;0),"This household appears in more than one section of the census; keep the family together; ","")&amp;IF(OR(AND($C415&lt;&gt;"",LEN($C415&amp;"")&lt;&gt;LEN(TRIM($C415&amp;""))),AND($D415&lt;&gt;"",LEN($D415&amp;"")&lt;&gt;LEN(TRIM($D415&amp;""))),AND($E415&lt;&gt;"",LEN($E415&amp;"")&lt;&gt;LEN(TRIM($E415&amp;""))),AND($F415&lt;&gt;"",LEN($F415&amp;"")&lt;&gt;LEN(TRIM($F415&amp;""))),AND($G415&lt;&gt;"",LEN($G415&amp;"")&lt;&gt;LEN(TRIM($G415&amp;""))),AND($H415&lt;&gt;"",LEN($H415&amp;"")&lt;&gt;LEN(TRIM($H415&amp;""))),AND($I415&lt;&gt;"",LEN($I415&amp;"")&lt;&gt;LEN(TRIM($I415&amp;""))),AND($J415&lt;&gt;"",LEN($J415&amp;"")&lt;&gt;LEN(TRIM($J415&amp;""))),AND($K415&lt;&gt;"",LEN($K415&amp;"")&lt;&gt;LEN(TRIM($K415&amp;""))),AND($M415&lt;&gt;"",LEN($M415&amp;"")&lt;&gt;LEN(TRIM($M415&amp;""))),AND($N415&lt;&gt;"",LEN($N415&amp;"")&lt;&gt;LEN(TRIM($N415&amp;""))),AND($O415&lt;&gt;"",LEN($O415&amp;"")&lt;&gt;LEN(TRIM($O415&amp;""))),AND($R415&lt;&gt;"",LEN($R415&amp;"")&lt;&gt;LEN(TRIM($R415&amp;""))),AND($S415&lt;&gt;"",LEN($S415&amp;"")&lt;&gt;LEN(TRIM($S415&amp;""))),AND($T415&lt;&gt;"",LEN($T415&amp;"")&lt;&gt;LEN(TRIM($T415&amp;"")))),"Remove leading or trailing spaces from text fields; ","")&amp;IF(OR(AND(LEN($C415)&gt;1,OR(EXACT($C415,UPPER($C415)),EXACT($C415,LOWER($C415)))),AND(LEN($D415)&gt;1,OR(EXACT($D415,UPPER($D415)),EXACT($D415,LOWER($D415)))),AND(LEN($H415)&gt;1,OR(EXACT($H415,UPPER($H415)),EXACT($H415,LOWER($H415))))),"Review capitalization in First Name, Last Name, or City; ","")&amp;IF(AND($N415&lt;&gt;"",NOT(EXACT($N415,LOWER($N415)))),"Email will be standardized to lowercase in the clean output; ","")&amp;IF(AND(OR('START HERE'!$C$8="Initial Enrollment",'START HERE'!$C$8="Open Enrollment"),$R415="Terminated"),"A terminated row is included in an initial or open enrollment file; confirm this is intentional; ",""))</f>
        <v/>
      </c>
      <c r="AE415">
        <f>IF(COUNTA($A415:$U415)=0,"",IF(OR($A415="",AND($A415&lt;&gt;"",NOT(IFERROR(AND(LEN($A415&amp;"")=9,ISNUMBER(--($A415&amp;""))),FALSE))),AND($A415&lt;&gt;"",OR($A415="123456789",$A415="987654321",$A415="012345678",$A415=REPT(LEFT($A415&amp;"",1),9)))),"Employee SSN, ","")&amp;IF(OR(AND($O415&lt;&gt;"",$B415=""),AND($B415&lt;&gt;"",OR(NOT(IFERROR(AND(LEN($B415&amp;"")=9,ISNUMBER(--($B415&amp;""))),FALSE)),$B415=$A415,$B415="123456789",$B415="987654321",$B415="012345678",$B415=REPT(LEFT($B415&amp;"",1),9)))),"Dependent SSN, ","")&amp;IF(OR($C415="",LEN($C415)&gt;19,AND($C415&lt;&gt;"",SUMPRODUCT(--(ROW($1:$19)&lt;=LEN($C415&amp;"")),--ISERROR(FIND(MID($C415&amp;"",ROW($1:$19),1),"ABCDEFGHIJKLMNOPQRSTUVWXYZabcdefghijklmnopqrstuvwxyz .,")))&gt;0)),"First Name, ","")&amp;IF(OR($D415="",LEN($D415)&gt;26,AND($D415&lt;&gt;"",SUMPRODUCT(--(ROW($1:$26)&lt;=LEN($D415&amp;"")),--ISERROR(FIND(MID($D415&amp;"",ROW($1:$26),1),"ABCDEFGHIJKLMNOPQRSTUVWXYZabcdefghijklmnopqrstuvwxyz .,")))&gt;0)),"Last Name, ","")&amp;IF(OR(LEN($E415)&gt;1,AND($E415&lt;&gt;"",SUMPRODUCT(--(ROW($1:$1)&lt;=LEN($E415&amp;"")),--ISERROR(FIND(MID($E415&amp;"",ROW($1:$1),1),"ABCDEFGHIJKLMNOPQRSTUVWXYZabcdefghijklmnopqrstuvwxyz .,")))&gt;0)),"Middle Initial, ","")&amp;IF(OR($F415="",LEN($F415)&gt;75),"Address, ","")&amp;IF(OR($H415="",LEN($H415)&gt;30),"City, ","")&amp;IF(AND($K415="US",OR($I415="",LEN($I415)&lt;&gt;2)),"State, ","")&amp;IF($J415="","ZIP, ","")&amp;IF(OR($K415="",AND($K415&lt;&gt;"US",$K415&lt;&gt;"CA")),"Country, ","")&amp;IF(OR($L415="",AND($L415&lt;&gt;"",OR(NOT(ISNUMBER($L415)),$L415&lt;=DATE(1900,1,1),$L415&gt;TODAY()))),"Birthdate, ","")&amp;IF(AND($N415&lt;&gt;"",NOT(IFERROR(AND(ISNUMBER(SEARCH("@",$N415)),ISNUMBER(SEARCH(".",$N415,SEARCH("@",$N415)+2))),FALSE))),"Email, ","")&amp;IF(OR(AND($B415&lt;&gt;"",$O415=""),AND($O415&lt;&gt;"",$O415&lt;&gt;"Spouse or Common Law Spouse",$O415&lt;&gt;"Domestic Partner",$O415&lt;&gt;"Child",$O415&lt;&gt;"Other",$O415&lt;&gt;"Estate",$O415&lt;&gt;"Unknown")),"Dependent Relationship, ","")&amp;IF($AA415&lt;&gt;"","Household, ","")&amp;IF(OR($P415="",AND($P415&lt;&gt;"",OR(NOT(ISNUMBER($P415)),$P415&lt;=DATE(1900,1,1)))),"Eligibility Date, ","")&amp;IF(OR(AND($R415="Terminated",$Q415=""),AND($Q415&lt;&gt;"",OR(NOT(ISNUMBER($Q415)),$Q415&lt;=DATE(1900,1,1))),AND(ISNUMBER($P415),ISNUMBER($Q415),$Q415&lt;$P415)),"Termination Date, ","")&amp;IF(OR($R415="",AND($R415&lt;&gt;"Active",$R415&lt;&gt;"Terminated"),AND('START HERE'!$C$8="Terminations Only",$R415&lt;&gt;"Terminated")),"Status, ","")&amp;IF($S415="","Plan Name, ","")&amp;IF($T415="","Coverage Level, ","")&amp;IF(AND($U415&lt;&gt;"",OR(NOT(ISNUMBER($U415)),$U415&lt;0)),"Funding, ","")&amp;IF(AND($A415&lt;&gt;"",$S415&lt;&gt;"",COUNTIFS($A$2:$A$501,$A415,$B$2:$B$501,$B415,$S$2:$S$501,$S415)&gt;1),"Duplicate Row, ",""))</f>
        <v/>
      </c>
      <c r="AF415">
        <f>IF(COUNTA($A415:$U415)=0,"",$Y415&amp;$Z415&amp;$AA415&amp;$AB415&amp;$AC415)</f>
        <v/>
      </c>
      <c r="AG415">
        <f>IF($N415="","",LOWER(TRIM($N415)))</f>
        <v/>
      </c>
      <c r="AH415">
        <f>IF($A415="","",COUNTIFS($A$2:$A$501,$A415,$AI$2:$AI$501,1))</f>
        <v/>
      </c>
      <c r="AI415">
        <f>IF(COUNTA($A415:$U415)=0,"",--($AF415&lt;&gt;""))</f>
        <v/>
      </c>
      <c r="AJ415">
        <f>IF(COUNTA($A415:$U415)=0,"",--($AD415&lt;&gt;""))</f>
        <v/>
      </c>
    </row>
    <row r="416" ht="20" customHeight="1">
      <c r="A416" s="80" t="n"/>
      <c r="B416" s="80" t="n"/>
      <c r="C416" s="81" t="n"/>
      <c r="D416" s="81" t="n"/>
      <c r="E416" s="80" t="n"/>
      <c r="F416" s="81" t="n"/>
      <c r="G416" s="81" t="n"/>
      <c r="H416" s="81" t="n"/>
      <c r="I416" s="80" t="n"/>
      <c r="J416" s="80" t="n"/>
      <c r="K416" s="80" t="n"/>
      <c r="L416" s="82" t="n"/>
      <c r="M416" s="80" t="n"/>
      <c r="N416" s="80" t="n"/>
      <c r="O416" s="80" t="n"/>
      <c r="P416" s="82" t="n"/>
      <c r="Q416" s="82" t="n"/>
      <c r="R416" s="80" t="n"/>
      <c r="S416" s="80" t="n"/>
      <c r="T416" s="80" t="n"/>
      <c r="U416" s="83" t="n"/>
      <c r="V416">
        <f>IF($A416="","",IF($A416=$A415,$V415,IF($V415="",0,1-$V415)))</f>
        <v/>
      </c>
      <c r="W416">
        <f>IF($B416&lt;&gt;"",$B416,$A416)</f>
        <v/>
      </c>
      <c r="X416">
        <f>IF(COUNTA($A416:$U416)=0,"",IF(OR($B416&lt;&gt;"",$O416&lt;&gt;""),"Dependent","Employee"))</f>
        <v/>
      </c>
      <c r="Y416">
        <f>IF(COUNTA($A416:$U416)=0,"",IF($A416="","Employee SSN is required; ","")&amp;IF($C416="","First Name is required; ","")&amp;IF(LEN($C416&amp;"")&gt;19,"First Name exceeds 19 characters; ","")&amp;IF(AND($C416&lt;&gt;"",SUMPRODUCT(--(ROW($1:$19)&lt;=LEN($C416&amp;"")),--ISERROR(FIND(MID($C416&amp;"",ROW($1:$19),1),"ABCDEFGHIJKLMNOPQRSTUVWXYZabcdefghijklmnopqrstuvwxyz .,")))&gt;0),"First Name contains unsupported or encoded characters; use plain A-Z letters only; ","")&amp;IF($D416="","Last Name is required; ","")&amp;IF(LEN($D416&amp;"")&gt;26,"Last Name exceeds 26 characters; ","")&amp;IF(AND($D416&lt;&gt;"",SUMPRODUCT(--(ROW($1:$26)&lt;=LEN($D416&amp;"")),--ISERROR(FIND(MID($D416&amp;"",ROW($1:$26),1),"ABCDEFGHIJKLMNOPQRSTUVWXYZabcdefghijklmnopqrstuvwxyz .,")))&gt;0),"Last Name contains unsupported or encoded characters; use plain A-Z letters only; ","")&amp;IF(LEN($E416&amp;"")&gt;1,"Middle Initial may contain only one character; ","")&amp;IF(AND($E416&lt;&gt;"",SUMPRODUCT(--(ROW($1:$1)&lt;=LEN($E416&amp;"")),--ISERROR(FIND(MID($E416&amp;"",ROW($1:$1),1),"ABCDEFGHIJKLMNOPQRSTUVWXYZabcdefghijklmnopqrstuvwxyz .,")))&gt;0),"Middle Initial must be a plain A-Z letter; ","")&amp;IF($F416="","Address is required; ","")&amp;IF(LEN($F416&amp;"")&gt;75,"Address exceeds 75 characters; ","")&amp;IF(LEN($G416&amp;"")&gt;75,"Address 2 exceeds 75 characters; ","")&amp;IF($H416="","City is required; ","")&amp;IF(LEN($H416&amp;"")&gt;30,"City exceeds 30 characters; ","")&amp;IF($K416="","Country is required; ","")&amp;IF(AND($K416&lt;&gt;"",$K416&lt;&gt;"US",$K416&lt;&gt;"CA"),"Country must be US or CA; ","")&amp;IF(AND($K416="US",OR($I416="",LEN($I416&amp;"")&lt;&gt;2)),"Use a 2-letter state code; ","")&amp;IF($J416="","ZIP or postal code is required; ","")&amp;IF(AND($K416="US",$J416&lt;&gt;"",NOT(IFERROR(OR(AND(LEN($J416&amp;"")=5,ISNUMBER(--($J416&amp;""))),AND(LEN($J416&amp;"")=9,ISNUMBER(--($J416&amp;""))),AND(LEN($J416&amp;"")=10,MID($J416&amp;"",6,1)="-",ISNUMBER(--SUBSTITUTE($J416&amp;"","-","")))),FALSE))),"US ZIP must be 5 or 9 digits, with an optional ZIP+4 hyphen; ","")&amp;IF(AND($N416&lt;&gt;"",NOT(IFERROR(AND(ISNUMBER(SEARCH("@",$N416)),ISNUMBER(SEARCH(".",$N416,SEARCH("@",$N416)+2))),FALSE))),"Email format appears invalid; ","")&amp;IF(AND($O416&lt;&gt;"",$B416=""),"Dependent SSN is required for every dependent; ","")&amp;IF(AND($B416&lt;&gt;"",$O416=""),"Dependent Relationship is required when Dependent SSN is entered; ","")&amp;IF(AND($O416&lt;&gt;"",$O416&lt;&gt;"Spouse or Common Law Spouse",$O416&lt;&gt;"Domestic Partner",$O416&lt;&gt;"Child",$O416&lt;&gt;"Other",$O416&lt;&gt;"Estate",$O416&lt;&gt;"Unknown"),"Dependent Relationship must use one of the approved options; ",""))</f>
        <v/>
      </c>
      <c r="Z416">
        <f>IF(COUNTA($A416:$U416)=0,"",IF(AND($A416&lt;&gt;"",NOT(IFERROR(AND(LEN($A416&amp;"")=9,ISNUMBER(--($A416&amp;""))),FALSE))),"Employee SSN must contain exactly 9 digits; ","")&amp;IF(AND($A416&lt;&gt;"",OR($A416="123456789",$A416="987654321",$A416="012345678",$A416=REPT(LEFT($A416&amp;"",1),9))),"Employee SSN appears to be a placeholder; ","")&amp;IF(AND($B416&lt;&gt;"",NOT(IFERROR(AND(LEN($B416&amp;"")=9,ISNUMBER(--($B416&amp;""))),FALSE))),"Dependent SSN must contain exactly 9 digits; ","")&amp;IF(AND($B416&lt;&gt;"",OR($B416="123456789",$B416="987654321",$B416="012345678",$B416=REPT(LEFT($B416&amp;"",1),9))),"Dependent SSN appears to be a placeholder; ","")&amp;IF(AND($A416&lt;&gt;"",$B416&lt;&gt;"",$A416&amp;""=$B416&amp;""),"Dependent SSN cannot match Employee SSN; ","")&amp;IF(AND($W416&lt;&gt;"",OR(COUNTIFS($W$2:$W$501,$W416,$C$2:$C$501,"&lt;&gt;"&amp;$C416)&gt;0,COUNTIFS($W$2:$W$501,$W416,$D$2:$D$501,"&lt;&gt;"&amp;$D416)&gt;0,COUNTIFS($W$2:$W$501,$W416,$L$2:$L$501,"&lt;&gt;"&amp;$L416)&gt;0)),"The same SSN is associated with a different name or birthdate; ",""))</f>
        <v/>
      </c>
      <c r="AA416">
        <f>IF(COUNTA($A416:$U416)=0,"",IF(AND($A416&lt;&gt;"",$S416&lt;&gt;"",COUNTIFS($A$2:$A$501,$A416,$S$2:$S$501,$S416,$B$2:$B$501,"",$O$2:$O$501,"")=0),"Add an employee row for this household and plan; ","")&amp;IF(AND($X416="Dependent",COUNTIFS($A$2:$A416,$A416,$S$2:$S416,$S416,$B$2:$B416,"",$O$2:$O416,"")=0),"Place the employee row before dependent rows for this plan; ","")&amp;IF(AND($X416="Dependent",COUNTIFS($A$2:$A$501,$A416,$S$2:$S$501,$S416,$B$2:$B$501,"",$O$2:$O$501,"")&gt;0,IFERROR(OR($P416&lt;&gt;LOOKUP(2,1/(($A$2:$A$501=$A416)*($S$2:$S$501=$S416)*($B$2:$B$501="")*($O$2:$O$501="")),$P$2:$P$501),$Q416&lt;&gt;LOOKUP(2,1/(($A$2:$A$501=$A416)*($S$2:$S$501=$S416)*($B$2:$B$501="")*($O$2:$O$501="")),$Q$2:$Q$501),$R416&lt;&gt;LOOKUP(2,1/(($A$2:$A$501=$A416)*($S$2:$S$501=$S416)*($B$2:$B$501="")*($O$2:$O$501="")),$R$2:$R$501),$T416&lt;&gt;LOOKUP(2,1/(($A$2:$A$501=$A416)*($S$2:$S$501=$S416)*($B$2:$B$501="")*($O$2:$O$501="")),$T$2:$T$501),$U416&lt;&gt;LOOKUP(2,1/(($A$2:$A$501=$A416)*($S$2:$S$501=$S416)*($B$2:$B$501="")*($O$2:$O$501="")),$U$2:$U$501)),FALSE)),"Dependent row does not match the employee row for eligibility, status, coverage level, or funding; ",""))</f>
        <v/>
      </c>
      <c r="AB416">
        <f>IF(COUNTA($A416:$U416)=0,"",IF($L416="","Birthdate is required; ","")&amp;IF(AND($L416&lt;&gt;"",OR(NOT(ISNUMBER($L416)),$L416&lt;=DATE(1900,1,1),$L416&gt;TODAY())),"Birthdate must be an exact valid past date; ","")&amp;IF($P416="","Eligibility Date is required; ","")&amp;IF(AND($P416&lt;&gt;"",OR(NOT(ISNUMBER($P416)),$P416&lt;=DATE(1900,1,1))),"Eligibility Date must be a valid date; ","")&amp;IF(AND($R416="Terminated",$Q416=""),"Termination Date is required when Status is Terminated; ","")&amp;IF(AND($Q416&lt;&gt;"",OR(NOT(ISNUMBER($Q416)),$Q416&lt;=DATE(1900,1,1))),"Termination Date must be a valid date; ","")&amp;IF(AND(ISNUMBER($P416),ISNUMBER($Q416),$Q416&lt;$P416),"Termination Date cannot be before Eligibility Date; ","")&amp;IF($R416="","Status is required; ","")&amp;IF(AND($R416&lt;&gt;"",$R416&lt;&gt;"Active",$R416&lt;&gt;"Terminated"),"Status must be Active or Terminated; ","")&amp;IF(AND('START HERE'!$C$8="Terminations Only",$R416&lt;&gt;"Terminated"),"Terminations Only files must contain terminated records; ",""))</f>
        <v/>
      </c>
      <c r="AC416">
        <f>IF(COUNTA($A416:$U416)=0,"",IF($S416="","Plan Name is required; ","")&amp;IF($T416="","Benefit Coverage Level is required; ","")&amp;IF(AND($U416&lt;&gt;"",OR(NOT(ISNUMBER($U416)),$U416&lt;0)),"Plan Funding Amount must be a nonnegative number; ","")&amp;IF(AND($A416&lt;&gt;"",$S416&lt;&gt;"",COUNTIFS($A$2:$A$501,$A416,$B$2:$B$501,$B416,$S$2:$S$501,$S416)&gt;1),"Duplicate participant and plan row; ",""))</f>
        <v/>
      </c>
      <c r="AD416">
        <f>IF(COUNTA($A416:$U416)=0,"",IF(AND($X416="Employee",$M416="",$N416=""),"No employee phone or email provided; ","")&amp;IF(AND($R416="Active",$Q416&lt;&gt;""),"Active record includes a Termination Date; confirm this is intentional; ","")&amp;IF(AND($B416&lt;&gt;"",$B416&amp;""&lt;&gt;$A416&amp;"",COUNTIF($A$2:$A$501,$B416)&gt;0),"Dependent SSN also appears as an Employee SSN elsewhere; confirm dual-employee coverage is intentional; ","")&amp;IF(AND($B416&lt;&gt;"",COUNTIF($B$2:$B$501,$B416)&gt;COUNTIFS($A$2:$A$501,$A416,$B$2:$B$501,$B416)),"Dependent SSN appears under more than one employee; confirm duplicate family coverage is intentional; ","")&amp;IF(AND(ROW()&gt;2,$A416&lt;&gt;"",$A416&lt;&gt;$A415,COUNTIF($A$2:$A415,$A416)&gt;0),"This household appears in more than one section of the census; keep the family together; ","")&amp;IF(OR(AND($C416&lt;&gt;"",LEN($C416&amp;"")&lt;&gt;LEN(TRIM($C416&amp;""))),AND($D416&lt;&gt;"",LEN($D416&amp;"")&lt;&gt;LEN(TRIM($D416&amp;""))),AND($E416&lt;&gt;"",LEN($E416&amp;"")&lt;&gt;LEN(TRIM($E416&amp;""))),AND($F416&lt;&gt;"",LEN($F416&amp;"")&lt;&gt;LEN(TRIM($F416&amp;""))),AND($G416&lt;&gt;"",LEN($G416&amp;"")&lt;&gt;LEN(TRIM($G416&amp;""))),AND($H416&lt;&gt;"",LEN($H416&amp;"")&lt;&gt;LEN(TRIM($H416&amp;""))),AND($I416&lt;&gt;"",LEN($I416&amp;"")&lt;&gt;LEN(TRIM($I416&amp;""))),AND($J416&lt;&gt;"",LEN($J416&amp;"")&lt;&gt;LEN(TRIM($J416&amp;""))),AND($K416&lt;&gt;"",LEN($K416&amp;"")&lt;&gt;LEN(TRIM($K416&amp;""))),AND($M416&lt;&gt;"",LEN($M416&amp;"")&lt;&gt;LEN(TRIM($M416&amp;""))),AND($N416&lt;&gt;"",LEN($N416&amp;"")&lt;&gt;LEN(TRIM($N416&amp;""))),AND($O416&lt;&gt;"",LEN($O416&amp;"")&lt;&gt;LEN(TRIM($O416&amp;""))),AND($R416&lt;&gt;"",LEN($R416&amp;"")&lt;&gt;LEN(TRIM($R416&amp;""))),AND($S416&lt;&gt;"",LEN($S416&amp;"")&lt;&gt;LEN(TRIM($S416&amp;""))),AND($T416&lt;&gt;"",LEN($T416&amp;"")&lt;&gt;LEN(TRIM($T416&amp;"")))),"Remove leading or trailing spaces from text fields; ","")&amp;IF(OR(AND(LEN($C416)&gt;1,OR(EXACT($C416,UPPER($C416)),EXACT($C416,LOWER($C416)))),AND(LEN($D416)&gt;1,OR(EXACT($D416,UPPER($D416)),EXACT($D416,LOWER($D416)))),AND(LEN($H416)&gt;1,OR(EXACT($H416,UPPER($H416)),EXACT($H416,LOWER($H416))))),"Review capitalization in First Name, Last Name, or City; ","")&amp;IF(AND($N416&lt;&gt;"",NOT(EXACT($N416,LOWER($N416)))),"Email will be standardized to lowercase in the clean output; ","")&amp;IF(AND(OR('START HERE'!$C$8="Initial Enrollment",'START HERE'!$C$8="Open Enrollment"),$R416="Terminated"),"A terminated row is included in an initial or open enrollment file; confirm this is intentional; ",""))</f>
        <v/>
      </c>
      <c r="AE416">
        <f>IF(COUNTA($A416:$U416)=0,"",IF(OR($A416="",AND($A416&lt;&gt;"",NOT(IFERROR(AND(LEN($A416&amp;"")=9,ISNUMBER(--($A416&amp;""))),FALSE))),AND($A416&lt;&gt;"",OR($A416="123456789",$A416="987654321",$A416="012345678",$A416=REPT(LEFT($A416&amp;"",1),9)))),"Employee SSN, ","")&amp;IF(OR(AND($O416&lt;&gt;"",$B416=""),AND($B416&lt;&gt;"",OR(NOT(IFERROR(AND(LEN($B416&amp;"")=9,ISNUMBER(--($B416&amp;""))),FALSE)),$B416=$A416,$B416="123456789",$B416="987654321",$B416="012345678",$B416=REPT(LEFT($B416&amp;"",1),9)))),"Dependent SSN, ","")&amp;IF(OR($C416="",LEN($C416)&gt;19,AND($C416&lt;&gt;"",SUMPRODUCT(--(ROW($1:$19)&lt;=LEN($C416&amp;"")),--ISERROR(FIND(MID($C416&amp;"",ROW($1:$19),1),"ABCDEFGHIJKLMNOPQRSTUVWXYZabcdefghijklmnopqrstuvwxyz .,")))&gt;0)),"First Name, ","")&amp;IF(OR($D416="",LEN($D416)&gt;26,AND($D416&lt;&gt;"",SUMPRODUCT(--(ROW($1:$26)&lt;=LEN($D416&amp;"")),--ISERROR(FIND(MID($D416&amp;"",ROW($1:$26),1),"ABCDEFGHIJKLMNOPQRSTUVWXYZabcdefghijklmnopqrstuvwxyz .,")))&gt;0)),"Last Name, ","")&amp;IF(OR(LEN($E416)&gt;1,AND($E416&lt;&gt;"",SUMPRODUCT(--(ROW($1:$1)&lt;=LEN($E416&amp;"")),--ISERROR(FIND(MID($E416&amp;"",ROW($1:$1),1),"ABCDEFGHIJKLMNOPQRSTUVWXYZabcdefghijklmnopqrstuvwxyz .,")))&gt;0)),"Middle Initial, ","")&amp;IF(OR($F416="",LEN($F416)&gt;75),"Address, ","")&amp;IF(OR($H416="",LEN($H416)&gt;30),"City, ","")&amp;IF(AND($K416="US",OR($I416="",LEN($I416)&lt;&gt;2)),"State, ","")&amp;IF($J416="","ZIP, ","")&amp;IF(OR($K416="",AND($K416&lt;&gt;"US",$K416&lt;&gt;"CA")),"Country, ","")&amp;IF(OR($L416="",AND($L416&lt;&gt;"",OR(NOT(ISNUMBER($L416)),$L416&lt;=DATE(1900,1,1),$L416&gt;TODAY()))),"Birthdate, ","")&amp;IF(AND($N416&lt;&gt;"",NOT(IFERROR(AND(ISNUMBER(SEARCH("@",$N416)),ISNUMBER(SEARCH(".",$N416,SEARCH("@",$N416)+2))),FALSE))),"Email, ","")&amp;IF(OR(AND($B416&lt;&gt;"",$O416=""),AND($O416&lt;&gt;"",$O416&lt;&gt;"Spouse or Common Law Spouse",$O416&lt;&gt;"Domestic Partner",$O416&lt;&gt;"Child",$O416&lt;&gt;"Other",$O416&lt;&gt;"Estate",$O416&lt;&gt;"Unknown")),"Dependent Relationship, ","")&amp;IF($AA416&lt;&gt;"","Household, ","")&amp;IF(OR($P416="",AND($P416&lt;&gt;"",OR(NOT(ISNUMBER($P416)),$P416&lt;=DATE(1900,1,1)))),"Eligibility Date, ","")&amp;IF(OR(AND($R416="Terminated",$Q416=""),AND($Q416&lt;&gt;"",OR(NOT(ISNUMBER($Q416)),$Q416&lt;=DATE(1900,1,1))),AND(ISNUMBER($P416),ISNUMBER($Q416),$Q416&lt;$P416)),"Termination Date, ","")&amp;IF(OR($R416="",AND($R416&lt;&gt;"Active",$R416&lt;&gt;"Terminated"),AND('START HERE'!$C$8="Terminations Only",$R416&lt;&gt;"Terminated")),"Status, ","")&amp;IF($S416="","Plan Name, ","")&amp;IF($T416="","Coverage Level, ","")&amp;IF(AND($U416&lt;&gt;"",OR(NOT(ISNUMBER($U416)),$U416&lt;0)),"Funding, ","")&amp;IF(AND($A416&lt;&gt;"",$S416&lt;&gt;"",COUNTIFS($A$2:$A$501,$A416,$B$2:$B$501,$B416,$S$2:$S$501,$S416)&gt;1),"Duplicate Row, ",""))</f>
        <v/>
      </c>
      <c r="AF416">
        <f>IF(COUNTA($A416:$U416)=0,"",$Y416&amp;$Z416&amp;$AA416&amp;$AB416&amp;$AC416)</f>
        <v/>
      </c>
      <c r="AG416">
        <f>IF($N416="","",LOWER(TRIM($N416)))</f>
        <v/>
      </c>
      <c r="AH416">
        <f>IF($A416="","",COUNTIFS($A$2:$A$501,$A416,$AI$2:$AI$501,1))</f>
        <v/>
      </c>
      <c r="AI416">
        <f>IF(COUNTA($A416:$U416)=0,"",--($AF416&lt;&gt;""))</f>
        <v/>
      </c>
      <c r="AJ416">
        <f>IF(COUNTA($A416:$U416)=0,"",--($AD416&lt;&gt;""))</f>
        <v/>
      </c>
    </row>
    <row r="417" ht="20" customHeight="1">
      <c r="A417" s="80" t="n"/>
      <c r="B417" s="80" t="n"/>
      <c r="C417" s="81" t="n"/>
      <c r="D417" s="81" t="n"/>
      <c r="E417" s="80" t="n"/>
      <c r="F417" s="81" t="n"/>
      <c r="G417" s="81" t="n"/>
      <c r="H417" s="81" t="n"/>
      <c r="I417" s="80" t="n"/>
      <c r="J417" s="80" t="n"/>
      <c r="K417" s="80" t="n"/>
      <c r="L417" s="82" t="n"/>
      <c r="M417" s="80" t="n"/>
      <c r="N417" s="80" t="n"/>
      <c r="O417" s="80" t="n"/>
      <c r="P417" s="82" t="n"/>
      <c r="Q417" s="82" t="n"/>
      <c r="R417" s="80" t="n"/>
      <c r="S417" s="80" t="n"/>
      <c r="T417" s="80" t="n"/>
      <c r="U417" s="83" t="n"/>
      <c r="V417">
        <f>IF($A417="","",IF($A417=$A416,$V416,IF($V416="",0,1-$V416)))</f>
        <v/>
      </c>
      <c r="W417">
        <f>IF($B417&lt;&gt;"",$B417,$A417)</f>
        <v/>
      </c>
      <c r="X417">
        <f>IF(COUNTA($A417:$U417)=0,"",IF(OR($B417&lt;&gt;"",$O417&lt;&gt;""),"Dependent","Employee"))</f>
        <v/>
      </c>
      <c r="Y417">
        <f>IF(COUNTA($A417:$U417)=0,"",IF($A417="","Employee SSN is required; ","")&amp;IF($C417="","First Name is required; ","")&amp;IF(LEN($C417&amp;"")&gt;19,"First Name exceeds 19 characters; ","")&amp;IF(AND($C417&lt;&gt;"",SUMPRODUCT(--(ROW($1:$19)&lt;=LEN($C417&amp;"")),--ISERROR(FIND(MID($C417&amp;"",ROW($1:$19),1),"ABCDEFGHIJKLMNOPQRSTUVWXYZabcdefghijklmnopqrstuvwxyz .,")))&gt;0),"First Name contains unsupported or encoded characters; use plain A-Z letters only; ","")&amp;IF($D417="","Last Name is required; ","")&amp;IF(LEN($D417&amp;"")&gt;26,"Last Name exceeds 26 characters; ","")&amp;IF(AND($D417&lt;&gt;"",SUMPRODUCT(--(ROW($1:$26)&lt;=LEN($D417&amp;"")),--ISERROR(FIND(MID($D417&amp;"",ROW($1:$26),1),"ABCDEFGHIJKLMNOPQRSTUVWXYZabcdefghijklmnopqrstuvwxyz .,")))&gt;0),"Last Name contains unsupported or encoded characters; use plain A-Z letters only; ","")&amp;IF(LEN($E417&amp;"")&gt;1,"Middle Initial may contain only one character; ","")&amp;IF(AND($E417&lt;&gt;"",SUMPRODUCT(--(ROW($1:$1)&lt;=LEN($E417&amp;"")),--ISERROR(FIND(MID($E417&amp;"",ROW($1:$1),1),"ABCDEFGHIJKLMNOPQRSTUVWXYZabcdefghijklmnopqrstuvwxyz .,")))&gt;0),"Middle Initial must be a plain A-Z letter; ","")&amp;IF($F417="","Address is required; ","")&amp;IF(LEN($F417&amp;"")&gt;75,"Address exceeds 75 characters; ","")&amp;IF(LEN($G417&amp;"")&gt;75,"Address 2 exceeds 75 characters; ","")&amp;IF($H417="","City is required; ","")&amp;IF(LEN($H417&amp;"")&gt;30,"City exceeds 30 characters; ","")&amp;IF($K417="","Country is required; ","")&amp;IF(AND($K417&lt;&gt;"",$K417&lt;&gt;"US",$K417&lt;&gt;"CA"),"Country must be US or CA; ","")&amp;IF(AND($K417="US",OR($I417="",LEN($I417&amp;"")&lt;&gt;2)),"Use a 2-letter state code; ","")&amp;IF($J417="","ZIP or postal code is required; ","")&amp;IF(AND($K417="US",$J417&lt;&gt;"",NOT(IFERROR(OR(AND(LEN($J417&amp;"")=5,ISNUMBER(--($J417&amp;""))),AND(LEN($J417&amp;"")=9,ISNUMBER(--($J417&amp;""))),AND(LEN($J417&amp;"")=10,MID($J417&amp;"",6,1)="-",ISNUMBER(--SUBSTITUTE($J417&amp;"","-","")))),FALSE))),"US ZIP must be 5 or 9 digits, with an optional ZIP+4 hyphen; ","")&amp;IF(AND($N417&lt;&gt;"",NOT(IFERROR(AND(ISNUMBER(SEARCH("@",$N417)),ISNUMBER(SEARCH(".",$N417,SEARCH("@",$N417)+2))),FALSE))),"Email format appears invalid; ","")&amp;IF(AND($O417&lt;&gt;"",$B417=""),"Dependent SSN is required for every dependent; ","")&amp;IF(AND($B417&lt;&gt;"",$O417=""),"Dependent Relationship is required when Dependent SSN is entered; ","")&amp;IF(AND($O417&lt;&gt;"",$O417&lt;&gt;"Spouse or Common Law Spouse",$O417&lt;&gt;"Domestic Partner",$O417&lt;&gt;"Child",$O417&lt;&gt;"Other",$O417&lt;&gt;"Estate",$O417&lt;&gt;"Unknown"),"Dependent Relationship must use one of the approved options; ",""))</f>
        <v/>
      </c>
      <c r="Z417">
        <f>IF(COUNTA($A417:$U417)=0,"",IF(AND($A417&lt;&gt;"",NOT(IFERROR(AND(LEN($A417&amp;"")=9,ISNUMBER(--($A417&amp;""))),FALSE))),"Employee SSN must contain exactly 9 digits; ","")&amp;IF(AND($A417&lt;&gt;"",OR($A417="123456789",$A417="987654321",$A417="012345678",$A417=REPT(LEFT($A417&amp;"",1),9))),"Employee SSN appears to be a placeholder; ","")&amp;IF(AND($B417&lt;&gt;"",NOT(IFERROR(AND(LEN($B417&amp;"")=9,ISNUMBER(--($B417&amp;""))),FALSE))),"Dependent SSN must contain exactly 9 digits; ","")&amp;IF(AND($B417&lt;&gt;"",OR($B417="123456789",$B417="987654321",$B417="012345678",$B417=REPT(LEFT($B417&amp;"",1),9))),"Dependent SSN appears to be a placeholder; ","")&amp;IF(AND($A417&lt;&gt;"",$B417&lt;&gt;"",$A417&amp;""=$B417&amp;""),"Dependent SSN cannot match Employee SSN; ","")&amp;IF(AND($W417&lt;&gt;"",OR(COUNTIFS($W$2:$W$501,$W417,$C$2:$C$501,"&lt;&gt;"&amp;$C417)&gt;0,COUNTIFS($W$2:$W$501,$W417,$D$2:$D$501,"&lt;&gt;"&amp;$D417)&gt;0,COUNTIFS($W$2:$W$501,$W417,$L$2:$L$501,"&lt;&gt;"&amp;$L417)&gt;0)),"The same SSN is associated with a different name or birthdate; ",""))</f>
        <v/>
      </c>
      <c r="AA417">
        <f>IF(COUNTA($A417:$U417)=0,"",IF(AND($A417&lt;&gt;"",$S417&lt;&gt;"",COUNTIFS($A$2:$A$501,$A417,$S$2:$S$501,$S417,$B$2:$B$501,"",$O$2:$O$501,"")=0),"Add an employee row for this household and plan; ","")&amp;IF(AND($X417="Dependent",COUNTIFS($A$2:$A417,$A417,$S$2:$S417,$S417,$B$2:$B417,"",$O$2:$O417,"")=0),"Place the employee row before dependent rows for this plan; ","")&amp;IF(AND($X417="Dependent",COUNTIFS($A$2:$A$501,$A417,$S$2:$S$501,$S417,$B$2:$B$501,"",$O$2:$O$501,"")&gt;0,IFERROR(OR($P417&lt;&gt;LOOKUP(2,1/(($A$2:$A$501=$A417)*($S$2:$S$501=$S417)*($B$2:$B$501="")*($O$2:$O$501="")),$P$2:$P$501),$Q417&lt;&gt;LOOKUP(2,1/(($A$2:$A$501=$A417)*($S$2:$S$501=$S417)*($B$2:$B$501="")*($O$2:$O$501="")),$Q$2:$Q$501),$R417&lt;&gt;LOOKUP(2,1/(($A$2:$A$501=$A417)*($S$2:$S$501=$S417)*($B$2:$B$501="")*($O$2:$O$501="")),$R$2:$R$501),$T417&lt;&gt;LOOKUP(2,1/(($A$2:$A$501=$A417)*($S$2:$S$501=$S417)*($B$2:$B$501="")*($O$2:$O$501="")),$T$2:$T$501),$U417&lt;&gt;LOOKUP(2,1/(($A$2:$A$501=$A417)*($S$2:$S$501=$S417)*($B$2:$B$501="")*($O$2:$O$501="")),$U$2:$U$501)),FALSE)),"Dependent row does not match the employee row for eligibility, status, coverage level, or funding; ",""))</f>
        <v/>
      </c>
      <c r="AB417">
        <f>IF(COUNTA($A417:$U417)=0,"",IF($L417="","Birthdate is required; ","")&amp;IF(AND($L417&lt;&gt;"",OR(NOT(ISNUMBER($L417)),$L417&lt;=DATE(1900,1,1),$L417&gt;TODAY())),"Birthdate must be an exact valid past date; ","")&amp;IF($P417="","Eligibility Date is required; ","")&amp;IF(AND($P417&lt;&gt;"",OR(NOT(ISNUMBER($P417)),$P417&lt;=DATE(1900,1,1))),"Eligibility Date must be a valid date; ","")&amp;IF(AND($R417="Terminated",$Q417=""),"Termination Date is required when Status is Terminated; ","")&amp;IF(AND($Q417&lt;&gt;"",OR(NOT(ISNUMBER($Q417)),$Q417&lt;=DATE(1900,1,1))),"Termination Date must be a valid date; ","")&amp;IF(AND(ISNUMBER($P417),ISNUMBER($Q417),$Q417&lt;$P417),"Termination Date cannot be before Eligibility Date; ","")&amp;IF($R417="","Status is required; ","")&amp;IF(AND($R417&lt;&gt;"",$R417&lt;&gt;"Active",$R417&lt;&gt;"Terminated"),"Status must be Active or Terminated; ","")&amp;IF(AND('START HERE'!$C$8="Terminations Only",$R417&lt;&gt;"Terminated"),"Terminations Only files must contain terminated records; ",""))</f>
        <v/>
      </c>
      <c r="AC417">
        <f>IF(COUNTA($A417:$U417)=0,"",IF($S417="","Plan Name is required; ","")&amp;IF($T417="","Benefit Coverage Level is required; ","")&amp;IF(AND($U417&lt;&gt;"",OR(NOT(ISNUMBER($U417)),$U417&lt;0)),"Plan Funding Amount must be a nonnegative number; ","")&amp;IF(AND($A417&lt;&gt;"",$S417&lt;&gt;"",COUNTIFS($A$2:$A$501,$A417,$B$2:$B$501,$B417,$S$2:$S$501,$S417)&gt;1),"Duplicate participant and plan row; ",""))</f>
        <v/>
      </c>
      <c r="AD417">
        <f>IF(COUNTA($A417:$U417)=0,"",IF(AND($X417="Employee",$M417="",$N417=""),"No employee phone or email provided; ","")&amp;IF(AND($R417="Active",$Q417&lt;&gt;""),"Active record includes a Termination Date; confirm this is intentional; ","")&amp;IF(AND($B417&lt;&gt;"",$B417&amp;""&lt;&gt;$A417&amp;"",COUNTIF($A$2:$A$501,$B417)&gt;0),"Dependent SSN also appears as an Employee SSN elsewhere; confirm dual-employee coverage is intentional; ","")&amp;IF(AND($B417&lt;&gt;"",COUNTIF($B$2:$B$501,$B417)&gt;COUNTIFS($A$2:$A$501,$A417,$B$2:$B$501,$B417)),"Dependent SSN appears under more than one employee; confirm duplicate family coverage is intentional; ","")&amp;IF(AND(ROW()&gt;2,$A417&lt;&gt;"",$A417&lt;&gt;$A416,COUNTIF($A$2:$A416,$A417)&gt;0),"This household appears in more than one section of the census; keep the family together; ","")&amp;IF(OR(AND($C417&lt;&gt;"",LEN($C417&amp;"")&lt;&gt;LEN(TRIM($C417&amp;""))),AND($D417&lt;&gt;"",LEN($D417&amp;"")&lt;&gt;LEN(TRIM($D417&amp;""))),AND($E417&lt;&gt;"",LEN($E417&amp;"")&lt;&gt;LEN(TRIM($E417&amp;""))),AND($F417&lt;&gt;"",LEN($F417&amp;"")&lt;&gt;LEN(TRIM($F417&amp;""))),AND($G417&lt;&gt;"",LEN($G417&amp;"")&lt;&gt;LEN(TRIM($G417&amp;""))),AND($H417&lt;&gt;"",LEN($H417&amp;"")&lt;&gt;LEN(TRIM($H417&amp;""))),AND($I417&lt;&gt;"",LEN($I417&amp;"")&lt;&gt;LEN(TRIM($I417&amp;""))),AND($J417&lt;&gt;"",LEN($J417&amp;"")&lt;&gt;LEN(TRIM($J417&amp;""))),AND($K417&lt;&gt;"",LEN($K417&amp;"")&lt;&gt;LEN(TRIM($K417&amp;""))),AND($M417&lt;&gt;"",LEN($M417&amp;"")&lt;&gt;LEN(TRIM($M417&amp;""))),AND($N417&lt;&gt;"",LEN($N417&amp;"")&lt;&gt;LEN(TRIM($N417&amp;""))),AND($O417&lt;&gt;"",LEN($O417&amp;"")&lt;&gt;LEN(TRIM($O417&amp;""))),AND($R417&lt;&gt;"",LEN($R417&amp;"")&lt;&gt;LEN(TRIM($R417&amp;""))),AND($S417&lt;&gt;"",LEN($S417&amp;"")&lt;&gt;LEN(TRIM($S417&amp;""))),AND($T417&lt;&gt;"",LEN($T417&amp;"")&lt;&gt;LEN(TRIM($T417&amp;"")))),"Remove leading or trailing spaces from text fields; ","")&amp;IF(OR(AND(LEN($C417)&gt;1,OR(EXACT($C417,UPPER($C417)),EXACT($C417,LOWER($C417)))),AND(LEN($D417)&gt;1,OR(EXACT($D417,UPPER($D417)),EXACT($D417,LOWER($D417)))),AND(LEN($H417)&gt;1,OR(EXACT($H417,UPPER($H417)),EXACT($H417,LOWER($H417))))),"Review capitalization in First Name, Last Name, or City; ","")&amp;IF(AND($N417&lt;&gt;"",NOT(EXACT($N417,LOWER($N417)))),"Email will be standardized to lowercase in the clean output; ","")&amp;IF(AND(OR('START HERE'!$C$8="Initial Enrollment",'START HERE'!$C$8="Open Enrollment"),$R417="Terminated"),"A terminated row is included in an initial or open enrollment file; confirm this is intentional; ",""))</f>
        <v/>
      </c>
      <c r="AE417">
        <f>IF(COUNTA($A417:$U417)=0,"",IF(OR($A417="",AND($A417&lt;&gt;"",NOT(IFERROR(AND(LEN($A417&amp;"")=9,ISNUMBER(--($A417&amp;""))),FALSE))),AND($A417&lt;&gt;"",OR($A417="123456789",$A417="987654321",$A417="012345678",$A417=REPT(LEFT($A417&amp;"",1),9)))),"Employee SSN, ","")&amp;IF(OR(AND($O417&lt;&gt;"",$B417=""),AND($B417&lt;&gt;"",OR(NOT(IFERROR(AND(LEN($B417&amp;"")=9,ISNUMBER(--($B417&amp;""))),FALSE)),$B417=$A417,$B417="123456789",$B417="987654321",$B417="012345678",$B417=REPT(LEFT($B417&amp;"",1),9)))),"Dependent SSN, ","")&amp;IF(OR($C417="",LEN($C417)&gt;19,AND($C417&lt;&gt;"",SUMPRODUCT(--(ROW($1:$19)&lt;=LEN($C417&amp;"")),--ISERROR(FIND(MID($C417&amp;"",ROW($1:$19),1),"ABCDEFGHIJKLMNOPQRSTUVWXYZabcdefghijklmnopqrstuvwxyz .,")))&gt;0)),"First Name, ","")&amp;IF(OR($D417="",LEN($D417)&gt;26,AND($D417&lt;&gt;"",SUMPRODUCT(--(ROW($1:$26)&lt;=LEN($D417&amp;"")),--ISERROR(FIND(MID($D417&amp;"",ROW($1:$26),1),"ABCDEFGHIJKLMNOPQRSTUVWXYZabcdefghijklmnopqrstuvwxyz .,")))&gt;0)),"Last Name, ","")&amp;IF(OR(LEN($E417)&gt;1,AND($E417&lt;&gt;"",SUMPRODUCT(--(ROW($1:$1)&lt;=LEN($E417&amp;"")),--ISERROR(FIND(MID($E417&amp;"",ROW($1:$1),1),"ABCDEFGHIJKLMNOPQRSTUVWXYZabcdefghijklmnopqrstuvwxyz .,")))&gt;0)),"Middle Initial, ","")&amp;IF(OR($F417="",LEN($F417)&gt;75),"Address, ","")&amp;IF(OR($H417="",LEN($H417)&gt;30),"City, ","")&amp;IF(AND($K417="US",OR($I417="",LEN($I417)&lt;&gt;2)),"State, ","")&amp;IF($J417="","ZIP, ","")&amp;IF(OR($K417="",AND($K417&lt;&gt;"US",$K417&lt;&gt;"CA")),"Country, ","")&amp;IF(OR($L417="",AND($L417&lt;&gt;"",OR(NOT(ISNUMBER($L417)),$L417&lt;=DATE(1900,1,1),$L417&gt;TODAY()))),"Birthdate, ","")&amp;IF(AND($N417&lt;&gt;"",NOT(IFERROR(AND(ISNUMBER(SEARCH("@",$N417)),ISNUMBER(SEARCH(".",$N417,SEARCH("@",$N417)+2))),FALSE))),"Email, ","")&amp;IF(OR(AND($B417&lt;&gt;"",$O417=""),AND($O417&lt;&gt;"",$O417&lt;&gt;"Spouse or Common Law Spouse",$O417&lt;&gt;"Domestic Partner",$O417&lt;&gt;"Child",$O417&lt;&gt;"Other",$O417&lt;&gt;"Estate",$O417&lt;&gt;"Unknown")),"Dependent Relationship, ","")&amp;IF($AA417&lt;&gt;"","Household, ","")&amp;IF(OR($P417="",AND($P417&lt;&gt;"",OR(NOT(ISNUMBER($P417)),$P417&lt;=DATE(1900,1,1)))),"Eligibility Date, ","")&amp;IF(OR(AND($R417="Terminated",$Q417=""),AND($Q417&lt;&gt;"",OR(NOT(ISNUMBER($Q417)),$Q417&lt;=DATE(1900,1,1))),AND(ISNUMBER($P417),ISNUMBER($Q417),$Q417&lt;$P417)),"Termination Date, ","")&amp;IF(OR($R417="",AND($R417&lt;&gt;"Active",$R417&lt;&gt;"Terminated"),AND('START HERE'!$C$8="Terminations Only",$R417&lt;&gt;"Terminated")),"Status, ","")&amp;IF($S417="","Plan Name, ","")&amp;IF($T417="","Coverage Level, ","")&amp;IF(AND($U417&lt;&gt;"",OR(NOT(ISNUMBER($U417)),$U417&lt;0)),"Funding, ","")&amp;IF(AND($A417&lt;&gt;"",$S417&lt;&gt;"",COUNTIFS($A$2:$A$501,$A417,$B$2:$B$501,$B417,$S$2:$S$501,$S417)&gt;1),"Duplicate Row, ",""))</f>
        <v/>
      </c>
      <c r="AF417">
        <f>IF(COUNTA($A417:$U417)=0,"",$Y417&amp;$Z417&amp;$AA417&amp;$AB417&amp;$AC417)</f>
        <v/>
      </c>
      <c r="AG417">
        <f>IF($N417="","",LOWER(TRIM($N417)))</f>
        <v/>
      </c>
      <c r="AH417">
        <f>IF($A417="","",COUNTIFS($A$2:$A$501,$A417,$AI$2:$AI$501,1))</f>
        <v/>
      </c>
      <c r="AI417">
        <f>IF(COUNTA($A417:$U417)=0,"",--($AF417&lt;&gt;""))</f>
        <v/>
      </c>
      <c r="AJ417">
        <f>IF(COUNTA($A417:$U417)=0,"",--($AD417&lt;&gt;""))</f>
        <v/>
      </c>
    </row>
    <row r="418" ht="20" customHeight="1">
      <c r="A418" s="80" t="n"/>
      <c r="B418" s="80" t="n"/>
      <c r="C418" s="81" t="n"/>
      <c r="D418" s="81" t="n"/>
      <c r="E418" s="80" t="n"/>
      <c r="F418" s="81" t="n"/>
      <c r="G418" s="81" t="n"/>
      <c r="H418" s="81" t="n"/>
      <c r="I418" s="80" t="n"/>
      <c r="J418" s="80" t="n"/>
      <c r="K418" s="80" t="n"/>
      <c r="L418" s="82" t="n"/>
      <c r="M418" s="80" t="n"/>
      <c r="N418" s="80" t="n"/>
      <c r="O418" s="80" t="n"/>
      <c r="P418" s="82" t="n"/>
      <c r="Q418" s="82" t="n"/>
      <c r="R418" s="80" t="n"/>
      <c r="S418" s="80" t="n"/>
      <c r="T418" s="80" t="n"/>
      <c r="U418" s="83" t="n"/>
      <c r="V418">
        <f>IF($A418="","",IF($A418=$A417,$V417,IF($V417="",0,1-$V417)))</f>
        <v/>
      </c>
      <c r="W418">
        <f>IF($B418&lt;&gt;"",$B418,$A418)</f>
        <v/>
      </c>
      <c r="X418">
        <f>IF(COUNTA($A418:$U418)=0,"",IF(OR($B418&lt;&gt;"",$O418&lt;&gt;""),"Dependent","Employee"))</f>
        <v/>
      </c>
      <c r="Y418">
        <f>IF(COUNTA($A418:$U418)=0,"",IF($A418="","Employee SSN is required; ","")&amp;IF($C418="","First Name is required; ","")&amp;IF(LEN($C418&amp;"")&gt;19,"First Name exceeds 19 characters; ","")&amp;IF(AND($C418&lt;&gt;"",SUMPRODUCT(--(ROW($1:$19)&lt;=LEN($C418&amp;"")),--ISERROR(FIND(MID($C418&amp;"",ROW($1:$19),1),"ABCDEFGHIJKLMNOPQRSTUVWXYZabcdefghijklmnopqrstuvwxyz .,")))&gt;0),"First Name contains unsupported or encoded characters; use plain A-Z letters only; ","")&amp;IF($D418="","Last Name is required; ","")&amp;IF(LEN($D418&amp;"")&gt;26,"Last Name exceeds 26 characters; ","")&amp;IF(AND($D418&lt;&gt;"",SUMPRODUCT(--(ROW($1:$26)&lt;=LEN($D418&amp;"")),--ISERROR(FIND(MID($D418&amp;"",ROW($1:$26),1),"ABCDEFGHIJKLMNOPQRSTUVWXYZabcdefghijklmnopqrstuvwxyz .,")))&gt;0),"Last Name contains unsupported or encoded characters; use plain A-Z letters only; ","")&amp;IF(LEN($E418&amp;"")&gt;1,"Middle Initial may contain only one character; ","")&amp;IF(AND($E418&lt;&gt;"",SUMPRODUCT(--(ROW($1:$1)&lt;=LEN($E418&amp;"")),--ISERROR(FIND(MID($E418&amp;"",ROW($1:$1),1),"ABCDEFGHIJKLMNOPQRSTUVWXYZabcdefghijklmnopqrstuvwxyz .,")))&gt;0),"Middle Initial must be a plain A-Z letter; ","")&amp;IF($F418="","Address is required; ","")&amp;IF(LEN($F418&amp;"")&gt;75,"Address exceeds 75 characters; ","")&amp;IF(LEN($G418&amp;"")&gt;75,"Address 2 exceeds 75 characters; ","")&amp;IF($H418="","City is required; ","")&amp;IF(LEN($H418&amp;"")&gt;30,"City exceeds 30 characters; ","")&amp;IF($K418="","Country is required; ","")&amp;IF(AND($K418&lt;&gt;"",$K418&lt;&gt;"US",$K418&lt;&gt;"CA"),"Country must be US or CA; ","")&amp;IF(AND($K418="US",OR($I418="",LEN($I418&amp;"")&lt;&gt;2)),"Use a 2-letter state code; ","")&amp;IF($J418="","ZIP or postal code is required; ","")&amp;IF(AND($K418="US",$J418&lt;&gt;"",NOT(IFERROR(OR(AND(LEN($J418&amp;"")=5,ISNUMBER(--($J418&amp;""))),AND(LEN($J418&amp;"")=9,ISNUMBER(--($J418&amp;""))),AND(LEN($J418&amp;"")=10,MID($J418&amp;"",6,1)="-",ISNUMBER(--SUBSTITUTE($J418&amp;"","-","")))),FALSE))),"US ZIP must be 5 or 9 digits, with an optional ZIP+4 hyphen; ","")&amp;IF(AND($N418&lt;&gt;"",NOT(IFERROR(AND(ISNUMBER(SEARCH("@",$N418)),ISNUMBER(SEARCH(".",$N418,SEARCH("@",$N418)+2))),FALSE))),"Email format appears invalid; ","")&amp;IF(AND($O418&lt;&gt;"",$B418=""),"Dependent SSN is required for every dependent; ","")&amp;IF(AND($B418&lt;&gt;"",$O418=""),"Dependent Relationship is required when Dependent SSN is entered; ","")&amp;IF(AND($O418&lt;&gt;"",$O418&lt;&gt;"Spouse or Common Law Spouse",$O418&lt;&gt;"Domestic Partner",$O418&lt;&gt;"Child",$O418&lt;&gt;"Other",$O418&lt;&gt;"Estate",$O418&lt;&gt;"Unknown"),"Dependent Relationship must use one of the approved options; ",""))</f>
        <v/>
      </c>
      <c r="Z418">
        <f>IF(COUNTA($A418:$U418)=0,"",IF(AND($A418&lt;&gt;"",NOT(IFERROR(AND(LEN($A418&amp;"")=9,ISNUMBER(--($A418&amp;""))),FALSE))),"Employee SSN must contain exactly 9 digits; ","")&amp;IF(AND($A418&lt;&gt;"",OR($A418="123456789",$A418="987654321",$A418="012345678",$A418=REPT(LEFT($A418&amp;"",1),9))),"Employee SSN appears to be a placeholder; ","")&amp;IF(AND($B418&lt;&gt;"",NOT(IFERROR(AND(LEN($B418&amp;"")=9,ISNUMBER(--($B418&amp;""))),FALSE))),"Dependent SSN must contain exactly 9 digits; ","")&amp;IF(AND($B418&lt;&gt;"",OR($B418="123456789",$B418="987654321",$B418="012345678",$B418=REPT(LEFT($B418&amp;"",1),9))),"Dependent SSN appears to be a placeholder; ","")&amp;IF(AND($A418&lt;&gt;"",$B418&lt;&gt;"",$A418&amp;""=$B418&amp;""),"Dependent SSN cannot match Employee SSN; ","")&amp;IF(AND($W418&lt;&gt;"",OR(COUNTIFS($W$2:$W$501,$W418,$C$2:$C$501,"&lt;&gt;"&amp;$C418)&gt;0,COUNTIFS($W$2:$W$501,$W418,$D$2:$D$501,"&lt;&gt;"&amp;$D418)&gt;0,COUNTIFS($W$2:$W$501,$W418,$L$2:$L$501,"&lt;&gt;"&amp;$L418)&gt;0)),"The same SSN is associated with a different name or birthdate; ",""))</f>
        <v/>
      </c>
      <c r="AA418">
        <f>IF(COUNTA($A418:$U418)=0,"",IF(AND($A418&lt;&gt;"",$S418&lt;&gt;"",COUNTIFS($A$2:$A$501,$A418,$S$2:$S$501,$S418,$B$2:$B$501,"",$O$2:$O$501,"")=0),"Add an employee row for this household and plan; ","")&amp;IF(AND($X418="Dependent",COUNTIFS($A$2:$A418,$A418,$S$2:$S418,$S418,$B$2:$B418,"",$O$2:$O418,"")=0),"Place the employee row before dependent rows for this plan; ","")&amp;IF(AND($X418="Dependent",COUNTIFS($A$2:$A$501,$A418,$S$2:$S$501,$S418,$B$2:$B$501,"",$O$2:$O$501,"")&gt;0,IFERROR(OR($P418&lt;&gt;LOOKUP(2,1/(($A$2:$A$501=$A418)*($S$2:$S$501=$S418)*($B$2:$B$501="")*($O$2:$O$501="")),$P$2:$P$501),$Q418&lt;&gt;LOOKUP(2,1/(($A$2:$A$501=$A418)*($S$2:$S$501=$S418)*($B$2:$B$501="")*($O$2:$O$501="")),$Q$2:$Q$501),$R418&lt;&gt;LOOKUP(2,1/(($A$2:$A$501=$A418)*($S$2:$S$501=$S418)*($B$2:$B$501="")*($O$2:$O$501="")),$R$2:$R$501),$T418&lt;&gt;LOOKUP(2,1/(($A$2:$A$501=$A418)*($S$2:$S$501=$S418)*($B$2:$B$501="")*($O$2:$O$501="")),$T$2:$T$501),$U418&lt;&gt;LOOKUP(2,1/(($A$2:$A$501=$A418)*($S$2:$S$501=$S418)*($B$2:$B$501="")*($O$2:$O$501="")),$U$2:$U$501)),FALSE)),"Dependent row does not match the employee row for eligibility, status, coverage level, or funding; ",""))</f>
        <v/>
      </c>
      <c r="AB418">
        <f>IF(COUNTA($A418:$U418)=0,"",IF($L418="","Birthdate is required; ","")&amp;IF(AND($L418&lt;&gt;"",OR(NOT(ISNUMBER($L418)),$L418&lt;=DATE(1900,1,1),$L418&gt;TODAY())),"Birthdate must be an exact valid past date; ","")&amp;IF($P418="","Eligibility Date is required; ","")&amp;IF(AND($P418&lt;&gt;"",OR(NOT(ISNUMBER($P418)),$P418&lt;=DATE(1900,1,1))),"Eligibility Date must be a valid date; ","")&amp;IF(AND($R418="Terminated",$Q418=""),"Termination Date is required when Status is Terminated; ","")&amp;IF(AND($Q418&lt;&gt;"",OR(NOT(ISNUMBER($Q418)),$Q418&lt;=DATE(1900,1,1))),"Termination Date must be a valid date; ","")&amp;IF(AND(ISNUMBER($P418),ISNUMBER($Q418),$Q418&lt;$P418),"Termination Date cannot be before Eligibility Date; ","")&amp;IF($R418="","Status is required; ","")&amp;IF(AND($R418&lt;&gt;"",$R418&lt;&gt;"Active",$R418&lt;&gt;"Terminated"),"Status must be Active or Terminated; ","")&amp;IF(AND('START HERE'!$C$8="Terminations Only",$R418&lt;&gt;"Terminated"),"Terminations Only files must contain terminated records; ",""))</f>
        <v/>
      </c>
      <c r="AC418">
        <f>IF(COUNTA($A418:$U418)=0,"",IF($S418="","Plan Name is required; ","")&amp;IF($T418="","Benefit Coverage Level is required; ","")&amp;IF(AND($U418&lt;&gt;"",OR(NOT(ISNUMBER($U418)),$U418&lt;0)),"Plan Funding Amount must be a nonnegative number; ","")&amp;IF(AND($A418&lt;&gt;"",$S418&lt;&gt;"",COUNTIFS($A$2:$A$501,$A418,$B$2:$B$501,$B418,$S$2:$S$501,$S418)&gt;1),"Duplicate participant and plan row; ",""))</f>
        <v/>
      </c>
      <c r="AD418">
        <f>IF(COUNTA($A418:$U418)=0,"",IF(AND($X418="Employee",$M418="",$N418=""),"No employee phone or email provided; ","")&amp;IF(AND($R418="Active",$Q418&lt;&gt;""),"Active record includes a Termination Date; confirm this is intentional; ","")&amp;IF(AND($B418&lt;&gt;"",$B418&amp;""&lt;&gt;$A418&amp;"",COUNTIF($A$2:$A$501,$B418)&gt;0),"Dependent SSN also appears as an Employee SSN elsewhere; confirm dual-employee coverage is intentional; ","")&amp;IF(AND($B418&lt;&gt;"",COUNTIF($B$2:$B$501,$B418)&gt;COUNTIFS($A$2:$A$501,$A418,$B$2:$B$501,$B418)),"Dependent SSN appears under more than one employee; confirm duplicate family coverage is intentional; ","")&amp;IF(AND(ROW()&gt;2,$A418&lt;&gt;"",$A418&lt;&gt;$A417,COUNTIF($A$2:$A417,$A418)&gt;0),"This household appears in more than one section of the census; keep the family together; ","")&amp;IF(OR(AND($C418&lt;&gt;"",LEN($C418&amp;"")&lt;&gt;LEN(TRIM($C418&amp;""))),AND($D418&lt;&gt;"",LEN($D418&amp;"")&lt;&gt;LEN(TRIM($D418&amp;""))),AND($E418&lt;&gt;"",LEN($E418&amp;"")&lt;&gt;LEN(TRIM($E418&amp;""))),AND($F418&lt;&gt;"",LEN($F418&amp;"")&lt;&gt;LEN(TRIM($F418&amp;""))),AND($G418&lt;&gt;"",LEN($G418&amp;"")&lt;&gt;LEN(TRIM($G418&amp;""))),AND($H418&lt;&gt;"",LEN($H418&amp;"")&lt;&gt;LEN(TRIM($H418&amp;""))),AND($I418&lt;&gt;"",LEN($I418&amp;"")&lt;&gt;LEN(TRIM($I418&amp;""))),AND($J418&lt;&gt;"",LEN($J418&amp;"")&lt;&gt;LEN(TRIM($J418&amp;""))),AND($K418&lt;&gt;"",LEN($K418&amp;"")&lt;&gt;LEN(TRIM($K418&amp;""))),AND($M418&lt;&gt;"",LEN($M418&amp;"")&lt;&gt;LEN(TRIM($M418&amp;""))),AND($N418&lt;&gt;"",LEN($N418&amp;"")&lt;&gt;LEN(TRIM($N418&amp;""))),AND($O418&lt;&gt;"",LEN($O418&amp;"")&lt;&gt;LEN(TRIM($O418&amp;""))),AND($R418&lt;&gt;"",LEN($R418&amp;"")&lt;&gt;LEN(TRIM($R418&amp;""))),AND($S418&lt;&gt;"",LEN($S418&amp;"")&lt;&gt;LEN(TRIM($S418&amp;""))),AND($T418&lt;&gt;"",LEN($T418&amp;"")&lt;&gt;LEN(TRIM($T418&amp;"")))),"Remove leading or trailing spaces from text fields; ","")&amp;IF(OR(AND(LEN($C418)&gt;1,OR(EXACT($C418,UPPER($C418)),EXACT($C418,LOWER($C418)))),AND(LEN($D418)&gt;1,OR(EXACT($D418,UPPER($D418)),EXACT($D418,LOWER($D418)))),AND(LEN($H418)&gt;1,OR(EXACT($H418,UPPER($H418)),EXACT($H418,LOWER($H418))))),"Review capitalization in First Name, Last Name, or City; ","")&amp;IF(AND($N418&lt;&gt;"",NOT(EXACT($N418,LOWER($N418)))),"Email will be standardized to lowercase in the clean output; ","")&amp;IF(AND(OR('START HERE'!$C$8="Initial Enrollment",'START HERE'!$C$8="Open Enrollment"),$R418="Terminated"),"A terminated row is included in an initial or open enrollment file; confirm this is intentional; ",""))</f>
        <v/>
      </c>
      <c r="AE418">
        <f>IF(COUNTA($A418:$U418)=0,"",IF(OR($A418="",AND($A418&lt;&gt;"",NOT(IFERROR(AND(LEN($A418&amp;"")=9,ISNUMBER(--($A418&amp;""))),FALSE))),AND($A418&lt;&gt;"",OR($A418="123456789",$A418="987654321",$A418="012345678",$A418=REPT(LEFT($A418&amp;"",1),9)))),"Employee SSN, ","")&amp;IF(OR(AND($O418&lt;&gt;"",$B418=""),AND($B418&lt;&gt;"",OR(NOT(IFERROR(AND(LEN($B418&amp;"")=9,ISNUMBER(--($B418&amp;""))),FALSE)),$B418=$A418,$B418="123456789",$B418="987654321",$B418="012345678",$B418=REPT(LEFT($B418&amp;"",1),9)))),"Dependent SSN, ","")&amp;IF(OR($C418="",LEN($C418)&gt;19,AND($C418&lt;&gt;"",SUMPRODUCT(--(ROW($1:$19)&lt;=LEN($C418&amp;"")),--ISERROR(FIND(MID($C418&amp;"",ROW($1:$19),1),"ABCDEFGHIJKLMNOPQRSTUVWXYZabcdefghijklmnopqrstuvwxyz .,")))&gt;0)),"First Name, ","")&amp;IF(OR($D418="",LEN($D418)&gt;26,AND($D418&lt;&gt;"",SUMPRODUCT(--(ROW($1:$26)&lt;=LEN($D418&amp;"")),--ISERROR(FIND(MID($D418&amp;"",ROW($1:$26),1),"ABCDEFGHIJKLMNOPQRSTUVWXYZabcdefghijklmnopqrstuvwxyz .,")))&gt;0)),"Last Name, ","")&amp;IF(OR(LEN($E418)&gt;1,AND($E418&lt;&gt;"",SUMPRODUCT(--(ROW($1:$1)&lt;=LEN($E418&amp;"")),--ISERROR(FIND(MID($E418&amp;"",ROW($1:$1),1),"ABCDEFGHIJKLMNOPQRSTUVWXYZabcdefghijklmnopqrstuvwxyz .,")))&gt;0)),"Middle Initial, ","")&amp;IF(OR($F418="",LEN($F418)&gt;75),"Address, ","")&amp;IF(OR($H418="",LEN($H418)&gt;30),"City, ","")&amp;IF(AND($K418="US",OR($I418="",LEN($I418)&lt;&gt;2)),"State, ","")&amp;IF($J418="","ZIP, ","")&amp;IF(OR($K418="",AND($K418&lt;&gt;"US",$K418&lt;&gt;"CA")),"Country, ","")&amp;IF(OR($L418="",AND($L418&lt;&gt;"",OR(NOT(ISNUMBER($L418)),$L418&lt;=DATE(1900,1,1),$L418&gt;TODAY()))),"Birthdate, ","")&amp;IF(AND($N418&lt;&gt;"",NOT(IFERROR(AND(ISNUMBER(SEARCH("@",$N418)),ISNUMBER(SEARCH(".",$N418,SEARCH("@",$N418)+2))),FALSE))),"Email, ","")&amp;IF(OR(AND($B418&lt;&gt;"",$O418=""),AND($O418&lt;&gt;"",$O418&lt;&gt;"Spouse or Common Law Spouse",$O418&lt;&gt;"Domestic Partner",$O418&lt;&gt;"Child",$O418&lt;&gt;"Other",$O418&lt;&gt;"Estate",$O418&lt;&gt;"Unknown")),"Dependent Relationship, ","")&amp;IF($AA418&lt;&gt;"","Household, ","")&amp;IF(OR($P418="",AND($P418&lt;&gt;"",OR(NOT(ISNUMBER($P418)),$P418&lt;=DATE(1900,1,1)))),"Eligibility Date, ","")&amp;IF(OR(AND($R418="Terminated",$Q418=""),AND($Q418&lt;&gt;"",OR(NOT(ISNUMBER($Q418)),$Q418&lt;=DATE(1900,1,1))),AND(ISNUMBER($P418),ISNUMBER($Q418),$Q418&lt;$P418)),"Termination Date, ","")&amp;IF(OR($R418="",AND($R418&lt;&gt;"Active",$R418&lt;&gt;"Terminated"),AND('START HERE'!$C$8="Terminations Only",$R418&lt;&gt;"Terminated")),"Status, ","")&amp;IF($S418="","Plan Name, ","")&amp;IF($T418="","Coverage Level, ","")&amp;IF(AND($U418&lt;&gt;"",OR(NOT(ISNUMBER($U418)),$U418&lt;0)),"Funding, ","")&amp;IF(AND($A418&lt;&gt;"",$S418&lt;&gt;"",COUNTIFS($A$2:$A$501,$A418,$B$2:$B$501,$B418,$S$2:$S$501,$S418)&gt;1),"Duplicate Row, ",""))</f>
        <v/>
      </c>
      <c r="AF418">
        <f>IF(COUNTA($A418:$U418)=0,"",$Y418&amp;$Z418&amp;$AA418&amp;$AB418&amp;$AC418)</f>
        <v/>
      </c>
      <c r="AG418">
        <f>IF($N418="","",LOWER(TRIM($N418)))</f>
        <v/>
      </c>
      <c r="AH418">
        <f>IF($A418="","",COUNTIFS($A$2:$A$501,$A418,$AI$2:$AI$501,1))</f>
        <v/>
      </c>
      <c r="AI418">
        <f>IF(COUNTA($A418:$U418)=0,"",--($AF418&lt;&gt;""))</f>
        <v/>
      </c>
      <c r="AJ418">
        <f>IF(COUNTA($A418:$U418)=0,"",--($AD418&lt;&gt;""))</f>
        <v/>
      </c>
    </row>
    <row r="419" ht="20" customHeight="1">
      <c r="A419" s="80" t="n"/>
      <c r="B419" s="80" t="n"/>
      <c r="C419" s="81" t="n"/>
      <c r="D419" s="81" t="n"/>
      <c r="E419" s="80" t="n"/>
      <c r="F419" s="81" t="n"/>
      <c r="G419" s="81" t="n"/>
      <c r="H419" s="81" t="n"/>
      <c r="I419" s="80" t="n"/>
      <c r="J419" s="80" t="n"/>
      <c r="K419" s="80" t="n"/>
      <c r="L419" s="82" t="n"/>
      <c r="M419" s="80" t="n"/>
      <c r="N419" s="80" t="n"/>
      <c r="O419" s="80" t="n"/>
      <c r="P419" s="82" t="n"/>
      <c r="Q419" s="82" t="n"/>
      <c r="R419" s="80" t="n"/>
      <c r="S419" s="80" t="n"/>
      <c r="T419" s="80" t="n"/>
      <c r="U419" s="83" t="n"/>
      <c r="V419">
        <f>IF($A419="","",IF($A419=$A418,$V418,IF($V418="",0,1-$V418)))</f>
        <v/>
      </c>
      <c r="W419">
        <f>IF($B419&lt;&gt;"",$B419,$A419)</f>
        <v/>
      </c>
      <c r="X419">
        <f>IF(COUNTA($A419:$U419)=0,"",IF(OR($B419&lt;&gt;"",$O419&lt;&gt;""),"Dependent","Employee"))</f>
        <v/>
      </c>
      <c r="Y419">
        <f>IF(COUNTA($A419:$U419)=0,"",IF($A419="","Employee SSN is required; ","")&amp;IF($C419="","First Name is required; ","")&amp;IF(LEN($C419&amp;"")&gt;19,"First Name exceeds 19 characters; ","")&amp;IF(AND($C419&lt;&gt;"",SUMPRODUCT(--(ROW($1:$19)&lt;=LEN($C419&amp;"")),--ISERROR(FIND(MID($C419&amp;"",ROW($1:$19),1),"ABCDEFGHIJKLMNOPQRSTUVWXYZabcdefghijklmnopqrstuvwxyz .,")))&gt;0),"First Name contains unsupported or encoded characters; use plain A-Z letters only; ","")&amp;IF($D419="","Last Name is required; ","")&amp;IF(LEN($D419&amp;"")&gt;26,"Last Name exceeds 26 characters; ","")&amp;IF(AND($D419&lt;&gt;"",SUMPRODUCT(--(ROW($1:$26)&lt;=LEN($D419&amp;"")),--ISERROR(FIND(MID($D419&amp;"",ROW($1:$26),1),"ABCDEFGHIJKLMNOPQRSTUVWXYZabcdefghijklmnopqrstuvwxyz .,")))&gt;0),"Last Name contains unsupported or encoded characters; use plain A-Z letters only; ","")&amp;IF(LEN($E419&amp;"")&gt;1,"Middle Initial may contain only one character; ","")&amp;IF(AND($E419&lt;&gt;"",SUMPRODUCT(--(ROW($1:$1)&lt;=LEN($E419&amp;"")),--ISERROR(FIND(MID($E419&amp;"",ROW($1:$1),1),"ABCDEFGHIJKLMNOPQRSTUVWXYZabcdefghijklmnopqrstuvwxyz .,")))&gt;0),"Middle Initial must be a plain A-Z letter; ","")&amp;IF($F419="","Address is required; ","")&amp;IF(LEN($F419&amp;"")&gt;75,"Address exceeds 75 characters; ","")&amp;IF(LEN($G419&amp;"")&gt;75,"Address 2 exceeds 75 characters; ","")&amp;IF($H419="","City is required; ","")&amp;IF(LEN($H419&amp;"")&gt;30,"City exceeds 30 characters; ","")&amp;IF($K419="","Country is required; ","")&amp;IF(AND($K419&lt;&gt;"",$K419&lt;&gt;"US",$K419&lt;&gt;"CA"),"Country must be US or CA; ","")&amp;IF(AND($K419="US",OR($I419="",LEN($I419&amp;"")&lt;&gt;2)),"Use a 2-letter state code; ","")&amp;IF($J419="","ZIP or postal code is required; ","")&amp;IF(AND($K419="US",$J419&lt;&gt;"",NOT(IFERROR(OR(AND(LEN($J419&amp;"")=5,ISNUMBER(--($J419&amp;""))),AND(LEN($J419&amp;"")=9,ISNUMBER(--($J419&amp;""))),AND(LEN($J419&amp;"")=10,MID($J419&amp;"",6,1)="-",ISNUMBER(--SUBSTITUTE($J419&amp;"","-","")))),FALSE))),"US ZIP must be 5 or 9 digits, with an optional ZIP+4 hyphen; ","")&amp;IF(AND($N419&lt;&gt;"",NOT(IFERROR(AND(ISNUMBER(SEARCH("@",$N419)),ISNUMBER(SEARCH(".",$N419,SEARCH("@",$N419)+2))),FALSE))),"Email format appears invalid; ","")&amp;IF(AND($O419&lt;&gt;"",$B419=""),"Dependent SSN is required for every dependent; ","")&amp;IF(AND($B419&lt;&gt;"",$O419=""),"Dependent Relationship is required when Dependent SSN is entered; ","")&amp;IF(AND($O419&lt;&gt;"",$O419&lt;&gt;"Spouse or Common Law Spouse",$O419&lt;&gt;"Domestic Partner",$O419&lt;&gt;"Child",$O419&lt;&gt;"Other",$O419&lt;&gt;"Estate",$O419&lt;&gt;"Unknown"),"Dependent Relationship must use one of the approved options; ",""))</f>
        <v/>
      </c>
      <c r="Z419">
        <f>IF(COUNTA($A419:$U419)=0,"",IF(AND($A419&lt;&gt;"",NOT(IFERROR(AND(LEN($A419&amp;"")=9,ISNUMBER(--($A419&amp;""))),FALSE))),"Employee SSN must contain exactly 9 digits; ","")&amp;IF(AND($A419&lt;&gt;"",OR($A419="123456789",$A419="987654321",$A419="012345678",$A419=REPT(LEFT($A419&amp;"",1),9))),"Employee SSN appears to be a placeholder; ","")&amp;IF(AND($B419&lt;&gt;"",NOT(IFERROR(AND(LEN($B419&amp;"")=9,ISNUMBER(--($B419&amp;""))),FALSE))),"Dependent SSN must contain exactly 9 digits; ","")&amp;IF(AND($B419&lt;&gt;"",OR($B419="123456789",$B419="987654321",$B419="012345678",$B419=REPT(LEFT($B419&amp;"",1),9))),"Dependent SSN appears to be a placeholder; ","")&amp;IF(AND($A419&lt;&gt;"",$B419&lt;&gt;"",$A419&amp;""=$B419&amp;""),"Dependent SSN cannot match Employee SSN; ","")&amp;IF(AND($W419&lt;&gt;"",OR(COUNTIFS($W$2:$W$501,$W419,$C$2:$C$501,"&lt;&gt;"&amp;$C419)&gt;0,COUNTIFS($W$2:$W$501,$W419,$D$2:$D$501,"&lt;&gt;"&amp;$D419)&gt;0,COUNTIFS($W$2:$W$501,$W419,$L$2:$L$501,"&lt;&gt;"&amp;$L419)&gt;0)),"The same SSN is associated with a different name or birthdate; ",""))</f>
        <v/>
      </c>
      <c r="AA419">
        <f>IF(COUNTA($A419:$U419)=0,"",IF(AND($A419&lt;&gt;"",$S419&lt;&gt;"",COUNTIFS($A$2:$A$501,$A419,$S$2:$S$501,$S419,$B$2:$B$501,"",$O$2:$O$501,"")=0),"Add an employee row for this household and plan; ","")&amp;IF(AND($X419="Dependent",COUNTIFS($A$2:$A419,$A419,$S$2:$S419,$S419,$B$2:$B419,"",$O$2:$O419,"")=0),"Place the employee row before dependent rows for this plan; ","")&amp;IF(AND($X419="Dependent",COUNTIFS($A$2:$A$501,$A419,$S$2:$S$501,$S419,$B$2:$B$501,"",$O$2:$O$501,"")&gt;0,IFERROR(OR($P419&lt;&gt;LOOKUP(2,1/(($A$2:$A$501=$A419)*($S$2:$S$501=$S419)*($B$2:$B$501="")*($O$2:$O$501="")),$P$2:$P$501),$Q419&lt;&gt;LOOKUP(2,1/(($A$2:$A$501=$A419)*($S$2:$S$501=$S419)*($B$2:$B$501="")*($O$2:$O$501="")),$Q$2:$Q$501),$R419&lt;&gt;LOOKUP(2,1/(($A$2:$A$501=$A419)*($S$2:$S$501=$S419)*($B$2:$B$501="")*($O$2:$O$501="")),$R$2:$R$501),$T419&lt;&gt;LOOKUP(2,1/(($A$2:$A$501=$A419)*($S$2:$S$501=$S419)*($B$2:$B$501="")*($O$2:$O$501="")),$T$2:$T$501),$U419&lt;&gt;LOOKUP(2,1/(($A$2:$A$501=$A419)*($S$2:$S$501=$S419)*($B$2:$B$501="")*($O$2:$O$501="")),$U$2:$U$501)),FALSE)),"Dependent row does not match the employee row for eligibility, status, coverage level, or funding; ",""))</f>
        <v/>
      </c>
      <c r="AB419">
        <f>IF(COUNTA($A419:$U419)=0,"",IF($L419="","Birthdate is required; ","")&amp;IF(AND($L419&lt;&gt;"",OR(NOT(ISNUMBER($L419)),$L419&lt;=DATE(1900,1,1),$L419&gt;TODAY())),"Birthdate must be an exact valid past date; ","")&amp;IF($P419="","Eligibility Date is required; ","")&amp;IF(AND($P419&lt;&gt;"",OR(NOT(ISNUMBER($P419)),$P419&lt;=DATE(1900,1,1))),"Eligibility Date must be a valid date; ","")&amp;IF(AND($R419="Terminated",$Q419=""),"Termination Date is required when Status is Terminated; ","")&amp;IF(AND($Q419&lt;&gt;"",OR(NOT(ISNUMBER($Q419)),$Q419&lt;=DATE(1900,1,1))),"Termination Date must be a valid date; ","")&amp;IF(AND(ISNUMBER($P419),ISNUMBER($Q419),$Q419&lt;$P419),"Termination Date cannot be before Eligibility Date; ","")&amp;IF($R419="","Status is required; ","")&amp;IF(AND($R419&lt;&gt;"",$R419&lt;&gt;"Active",$R419&lt;&gt;"Terminated"),"Status must be Active or Terminated; ","")&amp;IF(AND('START HERE'!$C$8="Terminations Only",$R419&lt;&gt;"Terminated"),"Terminations Only files must contain terminated records; ",""))</f>
        <v/>
      </c>
      <c r="AC419">
        <f>IF(COUNTA($A419:$U419)=0,"",IF($S419="","Plan Name is required; ","")&amp;IF($T419="","Benefit Coverage Level is required; ","")&amp;IF(AND($U419&lt;&gt;"",OR(NOT(ISNUMBER($U419)),$U419&lt;0)),"Plan Funding Amount must be a nonnegative number; ","")&amp;IF(AND($A419&lt;&gt;"",$S419&lt;&gt;"",COUNTIFS($A$2:$A$501,$A419,$B$2:$B$501,$B419,$S$2:$S$501,$S419)&gt;1),"Duplicate participant and plan row; ",""))</f>
        <v/>
      </c>
      <c r="AD419">
        <f>IF(COUNTA($A419:$U419)=0,"",IF(AND($X419="Employee",$M419="",$N419=""),"No employee phone or email provided; ","")&amp;IF(AND($R419="Active",$Q419&lt;&gt;""),"Active record includes a Termination Date; confirm this is intentional; ","")&amp;IF(AND($B419&lt;&gt;"",$B419&amp;""&lt;&gt;$A419&amp;"",COUNTIF($A$2:$A$501,$B419)&gt;0),"Dependent SSN also appears as an Employee SSN elsewhere; confirm dual-employee coverage is intentional; ","")&amp;IF(AND($B419&lt;&gt;"",COUNTIF($B$2:$B$501,$B419)&gt;COUNTIFS($A$2:$A$501,$A419,$B$2:$B$501,$B419)),"Dependent SSN appears under more than one employee; confirm duplicate family coverage is intentional; ","")&amp;IF(AND(ROW()&gt;2,$A419&lt;&gt;"",$A419&lt;&gt;$A418,COUNTIF($A$2:$A418,$A419)&gt;0),"This household appears in more than one section of the census; keep the family together; ","")&amp;IF(OR(AND($C419&lt;&gt;"",LEN($C419&amp;"")&lt;&gt;LEN(TRIM($C419&amp;""))),AND($D419&lt;&gt;"",LEN($D419&amp;"")&lt;&gt;LEN(TRIM($D419&amp;""))),AND($E419&lt;&gt;"",LEN($E419&amp;"")&lt;&gt;LEN(TRIM($E419&amp;""))),AND($F419&lt;&gt;"",LEN($F419&amp;"")&lt;&gt;LEN(TRIM($F419&amp;""))),AND($G419&lt;&gt;"",LEN($G419&amp;"")&lt;&gt;LEN(TRIM($G419&amp;""))),AND($H419&lt;&gt;"",LEN($H419&amp;"")&lt;&gt;LEN(TRIM($H419&amp;""))),AND($I419&lt;&gt;"",LEN($I419&amp;"")&lt;&gt;LEN(TRIM($I419&amp;""))),AND($J419&lt;&gt;"",LEN($J419&amp;"")&lt;&gt;LEN(TRIM($J419&amp;""))),AND($K419&lt;&gt;"",LEN($K419&amp;"")&lt;&gt;LEN(TRIM($K419&amp;""))),AND($M419&lt;&gt;"",LEN($M419&amp;"")&lt;&gt;LEN(TRIM($M419&amp;""))),AND($N419&lt;&gt;"",LEN($N419&amp;"")&lt;&gt;LEN(TRIM($N419&amp;""))),AND($O419&lt;&gt;"",LEN($O419&amp;"")&lt;&gt;LEN(TRIM($O419&amp;""))),AND($R419&lt;&gt;"",LEN($R419&amp;"")&lt;&gt;LEN(TRIM($R419&amp;""))),AND($S419&lt;&gt;"",LEN($S419&amp;"")&lt;&gt;LEN(TRIM($S419&amp;""))),AND($T419&lt;&gt;"",LEN($T419&amp;"")&lt;&gt;LEN(TRIM($T419&amp;"")))),"Remove leading or trailing spaces from text fields; ","")&amp;IF(OR(AND(LEN($C419)&gt;1,OR(EXACT($C419,UPPER($C419)),EXACT($C419,LOWER($C419)))),AND(LEN($D419)&gt;1,OR(EXACT($D419,UPPER($D419)),EXACT($D419,LOWER($D419)))),AND(LEN($H419)&gt;1,OR(EXACT($H419,UPPER($H419)),EXACT($H419,LOWER($H419))))),"Review capitalization in First Name, Last Name, or City; ","")&amp;IF(AND($N419&lt;&gt;"",NOT(EXACT($N419,LOWER($N419)))),"Email will be standardized to lowercase in the clean output; ","")&amp;IF(AND(OR('START HERE'!$C$8="Initial Enrollment",'START HERE'!$C$8="Open Enrollment"),$R419="Terminated"),"A terminated row is included in an initial or open enrollment file; confirm this is intentional; ",""))</f>
        <v/>
      </c>
      <c r="AE419">
        <f>IF(COUNTA($A419:$U419)=0,"",IF(OR($A419="",AND($A419&lt;&gt;"",NOT(IFERROR(AND(LEN($A419&amp;"")=9,ISNUMBER(--($A419&amp;""))),FALSE))),AND($A419&lt;&gt;"",OR($A419="123456789",$A419="987654321",$A419="012345678",$A419=REPT(LEFT($A419&amp;"",1),9)))),"Employee SSN, ","")&amp;IF(OR(AND($O419&lt;&gt;"",$B419=""),AND($B419&lt;&gt;"",OR(NOT(IFERROR(AND(LEN($B419&amp;"")=9,ISNUMBER(--($B419&amp;""))),FALSE)),$B419=$A419,$B419="123456789",$B419="987654321",$B419="012345678",$B419=REPT(LEFT($B419&amp;"",1),9)))),"Dependent SSN, ","")&amp;IF(OR($C419="",LEN($C419)&gt;19,AND($C419&lt;&gt;"",SUMPRODUCT(--(ROW($1:$19)&lt;=LEN($C419&amp;"")),--ISERROR(FIND(MID($C419&amp;"",ROW($1:$19),1),"ABCDEFGHIJKLMNOPQRSTUVWXYZabcdefghijklmnopqrstuvwxyz .,")))&gt;0)),"First Name, ","")&amp;IF(OR($D419="",LEN($D419)&gt;26,AND($D419&lt;&gt;"",SUMPRODUCT(--(ROW($1:$26)&lt;=LEN($D419&amp;"")),--ISERROR(FIND(MID($D419&amp;"",ROW($1:$26),1),"ABCDEFGHIJKLMNOPQRSTUVWXYZabcdefghijklmnopqrstuvwxyz .,")))&gt;0)),"Last Name, ","")&amp;IF(OR(LEN($E419)&gt;1,AND($E419&lt;&gt;"",SUMPRODUCT(--(ROW($1:$1)&lt;=LEN($E419&amp;"")),--ISERROR(FIND(MID($E419&amp;"",ROW($1:$1),1),"ABCDEFGHIJKLMNOPQRSTUVWXYZabcdefghijklmnopqrstuvwxyz .,")))&gt;0)),"Middle Initial, ","")&amp;IF(OR($F419="",LEN($F419)&gt;75),"Address, ","")&amp;IF(OR($H419="",LEN($H419)&gt;30),"City, ","")&amp;IF(AND($K419="US",OR($I419="",LEN($I419)&lt;&gt;2)),"State, ","")&amp;IF($J419="","ZIP, ","")&amp;IF(OR($K419="",AND($K419&lt;&gt;"US",$K419&lt;&gt;"CA")),"Country, ","")&amp;IF(OR($L419="",AND($L419&lt;&gt;"",OR(NOT(ISNUMBER($L419)),$L419&lt;=DATE(1900,1,1),$L419&gt;TODAY()))),"Birthdate, ","")&amp;IF(AND($N419&lt;&gt;"",NOT(IFERROR(AND(ISNUMBER(SEARCH("@",$N419)),ISNUMBER(SEARCH(".",$N419,SEARCH("@",$N419)+2))),FALSE))),"Email, ","")&amp;IF(OR(AND($B419&lt;&gt;"",$O419=""),AND($O419&lt;&gt;"",$O419&lt;&gt;"Spouse or Common Law Spouse",$O419&lt;&gt;"Domestic Partner",$O419&lt;&gt;"Child",$O419&lt;&gt;"Other",$O419&lt;&gt;"Estate",$O419&lt;&gt;"Unknown")),"Dependent Relationship, ","")&amp;IF($AA419&lt;&gt;"","Household, ","")&amp;IF(OR($P419="",AND($P419&lt;&gt;"",OR(NOT(ISNUMBER($P419)),$P419&lt;=DATE(1900,1,1)))),"Eligibility Date, ","")&amp;IF(OR(AND($R419="Terminated",$Q419=""),AND($Q419&lt;&gt;"",OR(NOT(ISNUMBER($Q419)),$Q419&lt;=DATE(1900,1,1))),AND(ISNUMBER($P419),ISNUMBER($Q419),$Q419&lt;$P419)),"Termination Date, ","")&amp;IF(OR($R419="",AND($R419&lt;&gt;"Active",$R419&lt;&gt;"Terminated"),AND('START HERE'!$C$8="Terminations Only",$R419&lt;&gt;"Terminated")),"Status, ","")&amp;IF($S419="","Plan Name, ","")&amp;IF($T419="","Coverage Level, ","")&amp;IF(AND($U419&lt;&gt;"",OR(NOT(ISNUMBER($U419)),$U419&lt;0)),"Funding, ","")&amp;IF(AND($A419&lt;&gt;"",$S419&lt;&gt;"",COUNTIFS($A$2:$A$501,$A419,$B$2:$B$501,$B419,$S$2:$S$501,$S419)&gt;1),"Duplicate Row, ",""))</f>
        <v/>
      </c>
      <c r="AF419">
        <f>IF(COUNTA($A419:$U419)=0,"",$Y419&amp;$Z419&amp;$AA419&amp;$AB419&amp;$AC419)</f>
        <v/>
      </c>
      <c r="AG419">
        <f>IF($N419="","",LOWER(TRIM($N419)))</f>
        <v/>
      </c>
      <c r="AH419">
        <f>IF($A419="","",COUNTIFS($A$2:$A$501,$A419,$AI$2:$AI$501,1))</f>
        <v/>
      </c>
      <c r="AI419">
        <f>IF(COUNTA($A419:$U419)=0,"",--($AF419&lt;&gt;""))</f>
        <v/>
      </c>
      <c r="AJ419">
        <f>IF(COUNTA($A419:$U419)=0,"",--($AD419&lt;&gt;""))</f>
        <v/>
      </c>
    </row>
    <row r="420" ht="20" customHeight="1">
      <c r="A420" s="80" t="n"/>
      <c r="B420" s="80" t="n"/>
      <c r="C420" s="81" t="n"/>
      <c r="D420" s="81" t="n"/>
      <c r="E420" s="80" t="n"/>
      <c r="F420" s="81" t="n"/>
      <c r="G420" s="81" t="n"/>
      <c r="H420" s="81" t="n"/>
      <c r="I420" s="80" t="n"/>
      <c r="J420" s="80" t="n"/>
      <c r="K420" s="80" t="n"/>
      <c r="L420" s="82" t="n"/>
      <c r="M420" s="80" t="n"/>
      <c r="N420" s="80" t="n"/>
      <c r="O420" s="80" t="n"/>
      <c r="P420" s="82" t="n"/>
      <c r="Q420" s="82" t="n"/>
      <c r="R420" s="80" t="n"/>
      <c r="S420" s="80" t="n"/>
      <c r="T420" s="80" t="n"/>
      <c r="U420" s="83" t="n"/>
      <c r="V420">
        <f>IF($A420="","",IF($A420=$A419,$V419,IF($V419="",0,1-$V419)))</f>
        <v/>
      </c>
      <c r="W420">
        <f>IF($B420&lt;&gt;"",$B420,$A420)</f>
        <v/>
      </c>
      <c r="X420">
        <f>IF(COUNTA($A420:$U420)=0,"",IF(OR($B420&lt;&gt;"",$O420&lt;&gt;""),"Dependent","Employee"))</f>
        <v/>
      </c>
      <c r="Y420">
        <f>IF(COUNTA($A420:$U420)=0,"",IF($A420="","Employee SSN is required; ","")&amp;IF($C420="","First Name is required; ","")&amp;IF(LEN($C420&amp;"")&gt;19,"First Name exceeds 19 characters; ","")&amp;IF(AND($C420&lt;&gt;"",SUMPRODUCT(--(ROW($1:$19)&lt;=LEN($C420&amp;"")),--ISERROR(FIND(MID($C420&amp;"",ROW($1:$19),1),"ABCDEFGHIJKLMNOPQRSTUVWXYZabcdefghijklmnopqrstuvwxyz .,")))&gt;0),"First Name contains unsupported or encoded characters; use plain A-Z letters only; ","")&amp;IF($D420="","Last Name is required; ","")&amp;IF(LEN($D420&amp;"")&gt;26,"Last Name exceeds 26 characters; ","")&amp;IF(AND($D420&lt;&gt;"",SUMPRODUCT(--(ROW($1:$26)&lt;=LEN($D420&amp;"")),--ISERROR(FIND(MID($D420&amp;"",ROW($1:$26),1),"ABCDEFGHIJKLMNOPQRSTUVWXYZabcdefghijklmnopqrstuvwxyz .,")))&gt;0),"Last Name contains unsupported or encoded characters; use plain A-Z letters only; ","")&amp;IF(LEN($E420&amp;"")&gt;1,"Middle Initial may contain only one character; ","")&amp;IF(AND($E420&lt;&gt;"",SUMPRODUCT(--(ROW($1:$1)&lt;=LEN($E420&amp;"")),--ISERROR(FIND(MID($E420&amp;"",ROW($1:$1),1),"ABCDEFGHIJKLMNOPQRSTUVWXYZabcdefghijklmnopqrstuvwxyz .,")))&gt;0),"Middle Initial must be a plain A-Z letter; ","")&amp;IF($F420="","Address is required; ","")&amp;IF(LEN($F420&amp;"")&gt;75,"Address exceeds 75 characters; ","")&amp;IF(LEN($G420&amp;"")&gt;75,"Address 2 exceeds 75 characters; ","")&amp;IF($H420="","City is required; ","")&amp;IF(LEN($H420&amp;"")&gt;30,"City exceeds 30 characters; ","")&amp;IF($K420="","Country is required; ","")&amp;IF(AND($K420&lt;&gt;"",$K420&lt;&gt;"US",$K420&lt;&gt;"CA"),"Country must be US or CA; ","")&amp;IF(AND($K420="US",OR($I420="",LEN($I420&amp;"")&lt;&gt;2)),"Use a 2-letter state code; ","")&amp;IF($J420="","ZIP or postal code is required; ","")&amp;IF(AND($K420="US",$J420&lt;&gt;"",NOT(IFERROR(OR(AND(LEN($J420&amp;"")=5,ISNUMBER(--($J420&amp;""))),AND(LEN($J420&amp;"")=9,ISNUMBER(--($J420&amp;""))),AND(LEN($J420&amp;"")=10,MID($J420&amp;"",6,1)="-",ISNUMBER(--SUBSTITUTE($J420&amp;"","-","")))),FALSE))),"US ZIP must be 5 or 9 digits, with an optional ZIP+4 hyphen; ","")&amp;IF(AND($N420&lt;&gt;"",NOT(IFERROR(AND(ISNUMBER(SEARCH("@",$N420)),ISNUMBER(SEARCH(".",$N420,SEARCH("@",$N420)+2))),FALSE))),"Email format appears invalid; ","")&amp;IF(AND($O420&lt;&gt;"",$B420=""),"Dependent SSN is required for every dependent; ","")&amp;IF(AND($B420&lt;&gt;"",$O420=""),"Dependent Relationship is required when Dependent SSN is entered; ","")&amp;IF(AND($O420&lt;&gt;"",$O420&lt;&gt;"Spouse or Common Law Spouse",$O420&lt;&gt;"Domestic Partner",$O420&lt;&gt;"Child",$O420&lt;&gt;"Other",$O420&lt;&gt;"Estate",$O420&lt;&gt;"Unknown"),"Dependent Relationship must use one of the approved options; ",""))</f>
        <v/>
      </c>
      <c r="Z420">
        <f>IF(COUNTA($A420:$U420)=0,"",IF(AND($A420&lt;&gt;"",NOT(IFERROR(AND(LEN($A420&amp;"")=9,ISNUMBER(--($A420&amp;""))),FALSE))),"Employee SSN must contain exactly 9 digits; ","")&amp;IF(AND($A420&lt;&gt;"",OR($A420="123456789",$A420="987654321",$A420="012345678",$A420=REPT(LEFT($A420&amp;"",1),9))),"Employee SSN appears to be a placeholder; ","")&amp;IF(AND($B420&lt;&gt;"",NOT(IFERROR(AND(LEN($B420&amp;"")=9,ISNUMBER(--($B420&amp;""))),FALSE))),"Dependent SSN must contain exactly 9 digits; ","")&amp;IF(AND($B420&lt;&gt;"",OR($B420="123456789",$B420="987654321",$B420="012345678",$B420=REPT(LEFT($B420&amp;"",1),9))),"Dependent SSN appears to be a placeholder; ","")&amp;IF(AND($A420&lt;&gt;"",$B420&lt;&gt;"",$A420&amp;""=$B420&amp;""),"Dependent SSN cannot match Employee SSN; ","")&amp;IF(AND($W420&lt;&gt;"",OR(COUNTIFS($W$2:$W$501,$W420,$C$2:$C$501,"&lt;&gt;"&amp;$C420)&gt;0,COUNTIFS($W$2:$W$501,$W420,$D$2:$D$501,"&lt;&gt;"&amp;$D420)&gt;0,COUNTIFS($W$2:$W$501,$W420,$L$2:$L$501,"&lt;&gt;"&amp;$L420)&gt;0)),"The same SSN is associated with a different name or birthdate; ",""))</f>
        <v/>
      </c>
      <c r="AA420">
        <f>IF(COUNTA($A420:$U420)=0,"",IF(AND($A420&lt;&gt;"",$S420&lt;&gt;"",COUNTIFS($A$2:$A$501,$A420,$S$2:$S$501,$S420,$B$2:$B$501,"",$O$2:$O$501,"")=0),"Add an employee row for this household and plan; ","")&amp;IF(AND($X420="Dependent",COUNTIFS($A$2:$A420,$A420,$S$2:$S420,$S420,$B$2:$B420,"",$O$2:$O420,"")=0),"Place the employee row before dependent rows for this plan; ","")&amp;IF(AND($X420="Dependent",COUNTIFS($A$2:$A$501,$A420,$S$2:$S$501,$S420,$B$2:$B$501,"",$O$2:$O$501,"")&gt;0,IFERROR(OR($P420&lt;&gt;LOOKUP(2,1/(($A$2:$A$501=$A420)*($S$2:$S$501=$S420)*($B$2:$B$501="")*($O$2:$O$501="")),$P$2:$P$501),$Q420&lt;&gt;LOOKUP(2,1/(($A$2:$A$501=$A420)*($S$2:$S$501=$S420)*($B$2:$B$501="")*($O$2:$O$501="")),$Q$2:$Q$501),$R420&lt;&gt;LOOKUP(2,1/(($A$2:$A$501=$A420)*($S$2:$S$501=$S420)*($B$2:$B$501="")*($O$2:$O$501="")),$R$2:$R$501),$T420&lt;&gt;LOOKUP(2,1/(($A$2:$A$501=$A420)*($S$2:$S$501=$S420)*($B$2:$B$501="")*($O$2:$O$501="")),$T$2:$T$501),$U420&lt;&gt;LOOKUP(2,1/(($A$2:$A$501=$A420)*($S$2:$S$501=$S420)*($B$2:$B$501="")*($O$2:$O$501="")),$U$2:$U$501)),FALSE)),"Dependent row does not match the employee row for eligibility, status, coverage level, or funding; ",""))</f>
        <v/>
      </c>
      <c r="AB420">
        <f>IF(COUNTA($A420:$U420)=0,"",IF($L420="","Birthdate is required; ","")&amp;IF(AND($L420&lt;&gt;"",OR(NOT(ISNUMBER($L420)),$L420&lt;=DATE(1900,1,1),$L420&gt;TODAY())),"Birthdate must be an exact valid past date; ","")&amp;IF($P420="","Eligibility Date is required; ","")&amp;IF(AND($P420&lt;&gt;"",OR(NOT(ISNUMBER($P420)),$P420&lt;=DATE(1900,1,1))),"Eligibility Date must be a valid date; ","")&amp;IF(AND($R420="Terminated",$Q420=""),"Termination Date is required when Status is Terminated; ","")&amp;IF(AND($Q420&lt;&gt;"",OR(NOT(ISNUMBER($Q420)),$Q420&lt;=DATE(1900,1,1))),"Termination Date must be a valid date; ","")&amp;IF(AND(ISNUMBER($P420),ISNUMBER($Q420),$Q420&lt;$P420),"Termination Date cannot be before Eligibility Date; ","")&amp;IF($R420="","Status is required; ","")&amp;IF(AND($R420&lt;&gt;"",$R420&lt;&gt;"Active",$R420&lt;&gt;"Terminated"),"Status must be Active or Terminated; ","")&amp;IF(AND('START HERE'!$C$8="Terminations Only",$R420&lt;&gt;"Terminated"),"Terminations Only files must contain terminated records; ",""))</f>
        <v/>
      </c>
      <c r="AC420">
        <f>IF(COUNTA($A420:$U420)=0,"",IF($S420="","Plan Name is required; ","")&amp;IF($T420="","Benefit Coverage Level is required; ","")&amp;IF(AND($U420&lt;&gt;"",OR(NOT(ISNUMBER($U420)),$U420&lt;0)),"Plan Funding Amount must be a nonnegative number; ","")&amp;IF(AND($A420&lt;&gt;"",$S420&lt;&gt;"",COUNTIFS($A$2:$A$501,$A420,$B$2:$B$501,$B420,$S$2:$S$501,$S420)&gt;1),"Duplicate participant and plan row; ",""))</f>
        <v/>
      </c>
      <c r="AD420">
        <f>IF(COUNTA($A420:$U420)=0,"",IF(AND($X420="Employee",$M420="",$N420=""),"No employee phone or email provided; ","")&amp;IF(AND($R420="Active",$Q420&lt;&gt;""),"Active record includes a Termination Date; confirm this is intentional; ","")&amp;IF(AND($B420&lt;&gt;"",$B420&amp;""&lt;&gt;$A420&amp;"",COUNTIF($A$2:$A$501,$B420)&gt;0),"Dependent SSN also appears as an Employee SSN elsewhere; confirm dual-employee coverage is intentional; ","")&amp;IF(AND($B420&lt;&gt;"",COUNTIF($B$2:$B$501,$B420)&gt;COUNTIFS($A$2:$A$501,$A420,$B$2:$B$501,$B420)),"Dependent SSN appears under more than one employee; confirm duplicate family coverage is intentional; ","")&amp;IF(AND(ROW()&gt;2,$A420&lt;&gt;"",$A420&lt;&gt;$A419,COUNTIF($A$2:$A419,$A420)&gt;0),"This household appears in more than one section of the census; keep the family together; ","")&amp;IF(OR(AND($C420&lt;&gt;"",LEN($C420&amp;"")&lt;&gt;LEN(TRIM($C420&amp;""))),AND($D420&lt;&gt;"",LEN($D420&amp;"")&lt;&gt;LEN(TRIM($D420&amp;""))),AND($E420&lt;&gt;"",LEN($E420&amp;"")&lt;&gt;LEN(TRIM($E420&amp;""))),AND($F420&lt;&gt;"",LEN($F420&amp;"")&lt;&gt;LEN(TRIM($F420&amp;""))),AND($G420&lt;&gt;"",LEN($G420&amp;"")&lt;&gt;LEN(TRIM($G420&amp;""))),AND($H420&lt;&gt;"",LEN($H420&amp;"")&lt;&gt;LEN(TRIM($H420&amp;""))),AND($I420&lt;&gt;"",LEN($I420&amp;"")&lt;&gt;LEN(TRIM($I420&amp;""))),AND($J420&lt;&gt;"",LEN($J420&amp;"")&lt;&gt;LEN(TRIM($J420&amp;""))),AND($K420&lt;&gt;"",LEN($K420&amp;"")&lt;&gt;LEN(TRIM($K420&amp;""))),AND($M420&lt;&gt;"",LEN($M420&amp;"")&lt;&gt;LEN(TRIM($M420&amp;""))),AND($N420&lt;&gt;"",LEN($N420&amp;"")&lt;&gt;LEN(TRIM($N420&amp;""))),AND($O420&lt;&gt;"",LEN($O420&amp;"")&lt;&gt;LEN(TRIM($O420&amp;""))),AND($R420&lt;&gt;"",LEN($R420&amp;"")&lt;&gt;LEN(TRIM($R420&amp;""))),AND($S420&lt;&gt;"",LEN($S420&amp;"")&lt;&gt;LEN(TRIM($S420&amp;""))),AND($T420&lt;&gt;"",LEN($T420&amp;"")&lt;&gt;LEN(TRIM($T420&amp;"")))),"Remove leading or trailing spaces from text fields; ","")&amp;IF(OR(AND(LEN($C420)&gt;1,OR(EXACT($C420,UPPER($C420)),EXACT($C420,LOWER($C420)))),AND(LEN($D420)&gt;1,OR(EXACT($D420,UPPER($D420)),EXACT($D420,LOWER($D420)))),AND(LEN($H420)&gt;1,OR(EXACT($H420,UPPER($H420)),EXACT($H420,LOWER($H420))))),"Review capitalization in First Name, Last Name, or City; ","")&amp;IF(AND($N420&lt;&gt;"",NOT(EXACT($N420,LOWER($N420)))),"Email will be standardized to lowercase in the clean output; ","")&amp;IF(AND(OR('START HERE'!$C$8="Initial Enrollment",'START HERE'!$C$8="Open Enrollment"),$R420="Terminated"),"A terminated row is included in an initial or open enrollment file; confirm this is intentional; ",""))</f>
        <v/>
      </c>
      <c r="AE420">
        <f>IF(COUNTA($A420:$U420)=0,"",IF(OR($A420="",AND($A420&lt;&gt;"",NOT(IFERROR(AND(LEN($A420&amp;"")=9,ISNUMBER(--($A420&amp;""))),FALSE))),AND($A420&lt;&gt;"",OR($A420="123456789",$A420="987654321",$A420="012345678",$A420=REPT(LEFT($A420&amp;"",1),9)))),"Employee SSN, ","")&amp;IF(OR(AND($O420&lt;&gt;"",$B420=""),AND($B420&lt;&gt;"",OR(NOT(IFERROR(AND(LEN($B420&amp;"")=9,ISNUMBER(--($B420&amp;""))),FALSE)),$B420=$A420,$B420="123456789",$B420="987654321",$B420="012345678",$B420=REPT(LEFT($B420&amp;"",1),9)))),"Dependent SSN, ","")&amp;IF(OR($C420="",LEN($C420)&gt;19,AND($C420&lt;&gt;"",SUMPRODUCT(--(ROW($1:$19)&lt;=LEN($C420&amp;"")),--ISERROR(FIND(MID($C420&amp;"",ROW($1:$19),1),"ABCDEFGHIJKLMNOPQRSTUVWXYZabcdefghijklmnopqrstuvwxyz .,")))&gt;0)),"First Name, ","")&amp;IF(OR($D420="",LEN($D420)&gt;26,AND($D420&lt;&gt;"",SUMPRODUCT(--(ROW($1:$26)&lt;=LEN($D420&amp;"")),--ISERROR(FIND(MID($D420&amp;"",ROW($1:$26),1),"ABCDEFGHIJKLMNOPQRSTUVWXYZabcdefghijklmnopqrstuvwxyz .,")))&gt;0)),"Last Name, ","")&amp;IF(OR(LEN($E420)&gt;1,AND($E420&lt;&gt;"",SUMPRODUCT(--(ROW($1:$1)&lt;=LEN($E420&amp;"")),--ISERROR(FIND(MID($E420&amp;"",ROW($1:$1),1),"ABCDEFGHIJKLMNOPQRSTUVWXYZabcdefghijklmnopqrstuvwxyz .,")))&gt;0)),"Middle Initial, ","")&amp;IF(OR($F420="",LEN($F420)&gt;75),"Address, ","")&amp;IF(OR($H420="",LEN($H420)&gt;30),"City, ","")&amp;IF(AND($K420="US",OR($I420="",LEN($I420)&lt;&gt;2)),"State, ","")&amp;IF($J420="","ZIP, ","")&amp;IF(OR($K420="",AND($K420&lt;&gt;"US",$K420&lt;&gt;"CA")),"Country, ","")&amp;IF(OR($L420="",AND($L420&lt;&gt;"",OR(NOT(ISNUMBER($L420)),$L420&lt;=DATE(1900,1,1),$L420&gt;TODAY()))),"Birthdate, ","")&amp;IF(AND($N420&lt;&gt;"",NOT(IFERROR(AND(ISNUMBER(SEARCH("@",$N420)),ISNUMBER(SEARCH(".",$N420,SEARCH("@",$N420)+2))),FALSE))),"Email, ","")&amp;IF(OR(AND($B420&lt;&gt;"",$O420=""),AND($O420&lt;&gt;"",$O420&lt;&gt;"Spouse or Common Law Spouse",$O420&lt;&gt;"Domestic Partner",$O420&lt;&gt;"Child",$O420&lt;&gt;"Other",$O420&lt;&gt;"Estate",$O420&lt;&gt;"Unknown")),"Dependent Relationship, ","")&amp;IF($AA420&lt;&gt;"","Household, ","")&amp;IF(OR($P420="",AND($P420&lt;&gt;"",OR(NOT(ISNUMBER($P420)),$P420&lt;=DATE(1900,1,1)))),"Eligibility Date, ","")&amp;IF(OR(AND($R420="Terminated",$Q420=""),AND($Q420&lt;&gt;"",OR(NOT(ISNUMBER($Q420)),$Q420&lt;=DATE(1900,1,1))),AND(ISNUMBER($P420),ISNUMBER($Q420),$Q420&lt;$P420)),"Termination Date, ","")&amp;IF(OR($R420="",AND($R420&lt;&gt;"Active",$R420&lt;&gt;"Terminated"),AND('START HERE'!$C$8="Terminations Only",$R420&lt;&gt;"Terminated")),"Status, ","")&amp;IF($S420="","Plan Name, ","")&amp;IF($T420="","Coverage Level, ","")&amp;IF(AND($U420&lt;&gt;"",OR(NOT(ISNUMBER($U420)),$U420&lt;0)),"Funding, ","")&amp;IF(AND($A420&lt;&gt;"",$S420&lt;&gt;"",COUNTIFS($A$2:$A$501,$A420,$B$2:$B$501,$B420,$S$2:$S$501,$S420)&gt;1),"Duplicate Row, ",""))</f>
        <v/>
      </c>
      <c r="AF420">
        <f>IF(COUNTA($A420:$U420)=0,"",$Y420&amp;$Z420&amp;$AA420&amp;$AB420&amp;$AC420)</f>
        <v/>
      </c>
      <c r="AG420">
        <f>IF($N420="","",LOWER(TRIM($N420)))</f>
        <v/>
      </c>
      <c r="AH420">
        <f>IF($A420="","",COUNTIFS($A$2:$A$501,$A420,$AI$2:$AI$501,1))</f>
        <v/>
      </c>
      <c r="AI420">
        <f>IF(COUNTA($A420:$U420)=0,"",--($AF420&lt;&gt;""))</f>
        <v/>
      </c>
      <c r="AJ420">
        <f>IF(COUNTA($A420:$U420)=0,"",--($AD420&lt;&gt;""))</f>
        <v/>
      </c>
    </row>
    <row r="421" ht="20" customHeight="1">
      <c r="A421" s="80" t="n"/>
      <c r="B421" s="80" t="n"/>
      <c r="C421" s="81" t="n"/>
      <c r="D421" s="81" t="n"/>
      <c r="E421" s="80" t="n"/>
      <c r="F421" s="81" t="n"/>
      <c r="G421" s="81" t="n"/>
      <c r="H421" s="81" t="n"/>
      <c r="I421" s="80" t="n"/>
      <c r="J421" s="80" t="n"/>
      <c r="K421" s="80" t="n"/>
      <c r="L421" s="82" t="n"/>
      <c r="M421" s="80" t="n"/>
      <c r="N421" s="80" t="n"/>
      <c r="O421" s="80" t="n"/>
      <c r="P421" s="82" t="n"/>
      <c r="Q421" s="82" t="n"/>
      <c r="R421" s="80" t="n"/>
      <c r="S421" s="80" t="n"/>
      <c r="T421" s="80" t="n"/>
      <c r="U421" s="83" t="n"/>
      <c r="V421">
        <f>IF($A421="","",IF($A421=$A420,$V420,IF($V420="",0,1-$V420)))</f>
        <v/>
      </c>
      <c r="W421">
        <f>IF($B421&lt;&gt;"",$B421,$A421)</f>
        <v/>
      </c>
      <c r="X421">
        <f>IF(COUNTA($A421:$U421)=0,"",IF(OR($B421&lt;&gt;"",$O421&lt;&gt;""),"Dependent","Employee"))</f>
        <v/>
      </c>
      <c r="Y421">
        <f>IF(COUNTA($A421:$U421)=0,"",IF($A421="","Employee SSN is required; ","")&amp;IF($C421="","First Name is required; ","")&amp;IF(LEN($C421&amp;"")&gt;19,"First Name exceeds 19 characters; ","")&amp;IF(AND($C421&lt;&gt;"",SUMPRODUCT(--(ROW($1:$19)&lt;=LEN($C421&amp;"")),--ISERROR(FIND(MID($C421&amp;"",ROW($1:$19),1),"ABCDEFGHIJKLMNOPQRSTUVWXYZabcdefghijklmnopqrstuvwxyz .,")))&gt;0),"First Name contains unsupported or encoded characters; use plain A-Z letters only; ","")&amp;IF($D421="","Last Name is required; ","")&amp;IF(LEN($D421&amp;"")&gt;26,"Last Name exceeds 26 characters; ","")&amp;IF(AND($D421&lt;&gt;"",SUMPRODUCT(--(ROW($1:$26)&lt;=LEN($D421&amp;"")),--ISERROR(FIND(MID($D421&amp;"",ROW($1:$26),1),"ABCDEFGHIJKLMNOPQRSTUVWXYZabcdefghijklmnopqrstuvwxyz .,")))&gt;0),"Last Name contains unsupported or encoded characters; use plain A-Z letters only; ","")&amp;IF(LEN($E421&amp;"")&gt;1,"Middle Initial may contain only one character; ","")&amp;IF(AND($E421&lt;&gt;"",SUMPRODUCT(--(ROW($1:$1)&lt;=LEN($E421&amp;"")),--ISERROR(FIND(MID($E421&amp;"",ROW($1:$1),1),"ABCDEFGHIJKLMNOPQRSTUVWXYZabcdefghijklmnopqrstuvwxyz .,")))&gt;0),"Middle Initial must be a plain A-Z letter; ","")&amp;IF($F421="","Address is required; ","")&amp;IF(LEN($F421&amp;"")&gt;75,"Address exceeds 75 characters; ","")&amp;IF(LEN($G421&amp;"")&gt;75,"Address 2 exceeds 75 characters; ","")&amp;IF($H421="","City is required; ","")&amp;IF(LEN($H421&amp;"")&gt;30,"City exceeds 30 characters; ","")&amp;IF($K421="","Country is required; ","")&amp;IF(AND($K421&lt;&gt;"",$K421&lt;&gt;"US",$K421&lt;&gt;"CA"),"Country must be US or CA; ","")&amp;IF(AND($K421="US",OR($I421="",LEN($I421&amp;"")&lt;&gt;2)),"Use a 2-letter state code; ","")&amp;IF($J421="","ZIP or postal code is required; ","")&amp;IF(AND($K421="US",$J421&lt;&gt;"",NOT(IFERROR(OR(AND(LEN($J421&amp;"")=5,ISNUMBER(--($J421&amp;""))),AND(LEN($J421&amp;"")=9,ISNUMBER(--($J421&amp;""))),AND(LEN($J421&amp;"")=10,MID($J421&amp;"",6,1)="-",ISNUMBER(--SUBSTITUTE($J421&amp;"","-","")))),FALSE))),"US ZIP must be 5 or 9 digits, with an optional ZIP+4 hyphen; ","")&amp;IF(AND($N421&lt;&gt;"",NOT(IFERROR(AND(ISNUMBER(SEARCH("@",$N421)),ISNUMBER(SEARCH(".",$N421,SEARCH("@",$N421)+2))),FALSE))),"Email format appears invalid; ","")&amp;IF(AND($O421&lt;&gt;"",$B421=""),"Dependent SSN is required for every dependent; ","")&amp;IF(AND($B421&lt;&gt;"",$O421=""),"Dependent Relationship is required when Dependent SSN is entered; ","")&amp;IF(AND($O421&lt;&gt;"",$O421&lt;&gt;"Spouse or Common Law Spouse",$O421&lt;&gt;"Domestic Partner",$O421&lt;&gt;"Child",$O421&lt;&gt;"Other",$O421&lt;&gt;"Estate",$O421&lt;&gt;"Unknown"),"Dependent Relationship must use one of the approved options; ",""))</f>
        <v/>
      </c>
      <c r="Z421">
        <f>IF(COUNTA($A421:$U421)=0,"",IF(AND($A421&lt;&gt;"",NOT(IFERROR(AND(LEN($A421&amp;"")=9,ISNUMBER(--($A421&amp;""))),FALSE))),"Employee SSN must contain exactly 9 digits; ","")&amp;IF(AND($A421&lt;&gt;"",OR($A421="123456789",$A421="987654321",$A421="012345678",$A421=REPT(LEFT($A421&amp;"",1),9))),"Employee SSN appears to be a placeholder; ","")&amp;IF(AND($B421&lt;&gt;"",NOT(IFERROR(AND(LEN($B421&amp;"")=9,ISNUMBER(--($B421&amp;""))),FALSE))),"Dependent SSN must contain exactly 9 digits; ","")&amp;IF(AND($B421&lt;&gt;"",OR($B421="123456789",$B421="987654321",$B421="012345678",$B421=REPT(LEFT($B421&amp;"",1),9))),"Dependent SSN appears to be a placeholder; ","")&amp;IF(AND($A421&lt;&gt;"",$B421&lt;&gt;"",$A421&amp;""=$B421&amp;""),"Dependent SSN cannot match Employee SSN; ","")&amp;IF(AND($W421&lt;&gt;"",OR(COUNTIFS($W$2:$W$501,$W421,$C$2:$C$501,"&lt;&gt;"&amp;$C421)&gt;0,COUNTIFS($W$2:$W$501,$W421,$D$2:$D$501,"&lt;&gt;"&amp;$D421)&gt;0,COUNTIFS($W$2:$W$501,$W421,$L$2:$L$501,"&lt;&gt;"&amp;$L421)&gt;0)),"The same SSN is associated with a different name or birthdate; ",""))</f>
        <v/>
      </c>
      <c r="AA421">
        <f>IF(COUNTA($A421:$U421)=0,"",IF(AND($A421&lt;&gt;"",$S421&lt;&gt;"",COUNTIFS($A$2:$A$501,$A421,$S$2:$S$501,$S421,$B$2:$B$501,"",$O$2:$O$501,"")=0),"Add an employee row for this household and plan; ","")&amp;IF(AND($X421="Dependent",COUNTIFS($A$2:$A421,$A421,$S$2:$S421,$S421,$B$2:$B421,"",$O$2:$O421,"")=0),"Place the employee row before dependent rows for this plan; ","")&amp;IF(AND($X421="Dependent",COUNTIFS($A$2:$A$501,$A421,$S$2:$S$501,$S421,$B$2:$B$501,"",$O$2:$O$501,"")&gt;0,IFERROR(OR($P421&lt;&gt;LOOKUP(2,1/(($A$2:$A$501=$A421)*($S$2:$S$501=$S421)*($B$2:$B$501="")*($O$2:$O$501="")),$P$2:$P$501),$Q421&lt;&gt;LOOKUP(2,1/(($A$2:$A$501=$A421)*($S$2:$S$501=$S421)*($B$2:$B$501="")*($O$2:$O$501="")),$Q$2:$Q$501),$R421&lt;&gt;LOOKUP(2,1/(($A$2:$A$501=$A421)*($S$2:$S$501=$S421)*($B$2:$B$501="")*($O$2:$O$501="")),$R$2:$R$501),$T421&lt;&gt;LOOKUP(2,1/(($A$2:$A$501=$A421)*($S$2:$S$501=$S421)*($B$2:$B$501="")*($O$2:$O$501="")),$T$2:$T$501),$U421&lt;&gt;LOOKUP(2,1/(($A$2:$A$501=$A421)*($S$2:$S$501=$S421)*($B$2:$B$501="")*($O$2:$O$501="")),$U$2:$U$501)),FALSE)),"Dependent row does not match the employee row for eligibility, status, coverage level, or funding; ",""))</f>
        <v/>
      </c>
      <c r="AB421">
        <f>IF(COUNTA($A421:$U421)=0,"",IF($L421="","Birthdate is required; ","")&amp;IF(AND($L421&lt;&gt;"",OR(NOT(ISNUMBER($L421)),$L421&lt;=DATE(1900,1,1),$L421&gt;TODAY())),"Birthdate must be an exact valid past date; ","")&amp;IF($P421="","Eligibility Date is required; ","")&amp;IF(AND($P421&lt;&gt;"",OR(NOT(ISNUMBER($P421)),$P421&lt;=DATE(1900,1,1))),"Eligibility Date must be a valid date; ","")&amp;IF(AND($R421="Terminated",$Q421=""),"Termination Date is required when Status is Terminated; ","")&amp;IF(AND($Q421&lt;&gt;"",OR(NOT(ISNUMBER($Q421)),$Q421&lt;=DATE(1900,1,1))),"Termination Date must be a valid date; ","")&amp;IF(AND(ISNUMBER($P421),ISNUMBER($Q421),$Q421&lt;$P421),"Termination Date cannot be before Eligibility Date; ","")&amp;IF($R421="","Status is required; ","")&amp;IF(AND($R421&lt;&gt;"",$R421&lt;&gt;"Active",$R421&lt;&gt;"Terminated"),"Status must be Active or Terminated; ","")&amp;IF(AND('START HERE'!$C$8="Terminations Only",$R421&lt;&gt;"Terminated"),"Terminations Only files must contain terminated records; ",""))</f>
        <v/>
      </c>
      <c r="AC421">
        <f>IF(COUNTA($A421:$U421)=0,"",IF($S421="","Plan Name is required; ","")&amp;IF($T421="","Benefit Coverage Level is required; ","")&amp;IF(AND($U421&lt;&gt;"",OR(NOT(ISNUMBER($U421)),$U421&lt;0)),"Plan Funding Amount must be a nonnegative number; ","")&amp;IF(AND($A421&lt;&gt;"",$S421&lt;&gt;"",COUNTIFS($A$2:$A$501,$A421,$B$2:$B$501,$B421,$S$2:$S$501,$S421)&gt;1),"Duplicate participant and plan row; ",""))</f>
        <v/>
      </c>
      <c r="AD421">
        <f>IF(COUNTA($A421:$U421)=0,"",IF(AND($X421="Employee",$M421="",$N421=""),"No employee phone or email provided; ","")&amp;IF(AND($R421="Active",$Q421&lt;&gt;""),"Active record includes a Termination Date; confirm this is intentional; ","")&amp;IF(AND($B421&lt;&gt;"",$B421&amp;""&lt;&gt;$A421&amp;"",COUNTIF($A$2:$A$501,$B421)&gt;0),"Dependent SSN also appears as an Employee SSN elsewhere; confirm dual-employee coverage is intentional; ","")&amp;IF(AND($B421&lt;&gt;"",COUNTIF($B$2:$B$501,$B421)&gt;COUNTIFS($A$2:$A$501,$A421,$B$2:$B$501,$B421)),"Dependent SSN appears under more than one employee; confirm duplicate family coverage is intentional; ","")&amp;IF(AND(ROW()&gt;2,$A421&lt;&gt;"",$A421&lt;&gt;$A420,COUNTIF($A$2:$A420,$A421)&gt;0),"This household appears in more than one section of the census; keep the family together; ","")&amp;IF(OR(AND($C421&lt;&gt;"",LEN($C421&amp;"")&lt;&gt;LEN(TRIM($C421&amp;""))),AND($D421&lt;&gt;"",LEN($D421&amp;"")&lt;&gt;LEN(TRIM($D421&amp;""))),AND($E421&lt;&gt;"",LEN($E421&amp;"")&lt;&gt;LEN(TRIM($E421&amp;""))),AND($F421&lt;&gt;"",LEN($F421&amp;"")&lt;&gt;LEN(TRIM($F421&amp;""))),AND($G421&lt;&gt;"",LEN($G421&amp;"")&lt;&gt;LEN(TRIM($G421&amp;""))),AND($H421&lt;&gt;"",LEN($H421&amp;"")&lt;&gt;LEN(TRIM($H421&amp;""))),AND($I421&lt;&gt;"",LEN($I421&amp;"")&lt;&gt;LEN(TRIM($I421&amp;""))),AND($J421&lt;&gt;"",LEN($J421&amp;"")&lt;&gt;LEN(TRIM($J421&amp;""))),AND($K421&lt;&gt;"",LEN($K421&amp;"")&lt;&gt;LEN(TRIM($K421&amp;""))),AND($M421&lt;&gt;"",LEN($M421&amp;"")&lt;&gt;LEN(TRIM($M421&amp;""))),AND($N421&lt;&gt;"",LEN($N421&amp;"")&lt;&gt;LEN(TRIM($N421&amp;""))),AND($O421&lt;&gt;"",LEN($O421&amp;"")&lt;&gt;LEN(TRIM($O421&amp;""))),AND($R421&lt;&gt;"",LEN($R421&amp;"")&lt;&gt;LEN(TRIM($R421&amp;""))),AND($S421&lt;&gt;"",LEN($S421&amp;"")&lt;&gt;LEN(TRIM($S421&amp;""))),AND($T421&lt;&gt;"",LEN($T421&amp;"")&lt;&gt;LEN(TRIM($T421&amp;"")))),"Remove leading or trailing spaces from text fields; ","")&amp;IF(OR(AND(LEN($C421)&gt;1,OR(EXACT($C421,UPPER($C421)),EXACT($C421,LOWER($C421)))),AND(LEN($D421)&gt;1,OR(EXACT($D421,UPPER($D421)),EXACT($D421,LOWER($D421)))),AND(LEN($H421)&gt;1,OR(EXACT($H421,UPPER($H421)),EXACT($H421,LOWER($H421))))),"Review capitalization in First Name, Last Name, or City; ","")&amp;IF(AND($N421&lt;&gt;"",NOT(EXACT($N421,LOWER($N421)))),"Email will be standardized to lowercase in the clean output; ","")&amp;IF(AND(OR('START HERE'!$C$8="Initial Enrollment",'START HERE'!$C$8="Open Enrollment"),$R421="Terminated"),"A terminated row is included in an initial or open enrollment file; confirm this is intentional; ",""))</f>
        <v/>
      </c>
      <c r="AE421">
        <f>IF(COUNTA($A421:$U421)=0,"",IF(OR($A421="",AND($A421&lt;&gt;"",NOT(IFERROR(AND(LEN($A421&amp;"")=9,ISNUMBER(--($A421&amp;""))),FALSE))),AND($A421&lt;&gt;"",OR($A421="123456789",$A421="987654321",$A421="012345678",$A421=REPT(LEFT($A421&amp;"",1),9)))),"Employee SSN, ","")&amp;IF(OR(AND($O421&lt;&gt;"",$B421=""),AND($B421&lt;&gt;"",OR(NOT(IFERROR(AND(LEN($B421&amp;"")=9,ISNUMBER(--($B421&amp;""))),FALSE)),$B421=$A421,$B421="123456789",$B421="987654321",$B421="012345678",$B421=REPT(LEFT($B421&amp;"",1),9)))),"Dependent SSN, ","")&amp;IF(OR($C421="",LEN($C421)&gt;19,AND($C421&lt;&gt;"",SUMPRODUCT(--(ROW($1:$19)&lt;=LEN($C421&amp;"")),--ISERROR(FIND(MID($C421&amp;"",ROW($1:$19),1),"ABCDEFGHIJKLMNOPQRSTUVWXYZabcdefghijklmnopqrstuvwxyz .,")))&gt;0)),"First Name, ","")&amp;IF(OR($D421="",LEN($D421)&gt;26,AND($D421&lt;&gt;"",SUMPRODUCT(--(ROW($1:$26)&lt;=LEN($D421&amp;"")),--ISERROR(FIND(MID($D421&amp;"",ROW($1:$26),1),"ABCDEFGHIJKLMNOPQRSTUVWXYZabcdefghijklmnopqrstuvwxyz .,")))&gt;0)),"Last Name, ","")&amp;IF(OR(LEN($E421)&gt;1,AND($E421&lt;&gt;"",SUMPRODUCT(--(ROW($1:$1)&lt;=LEN($E421&amp;"")),--ISERROR(FIND(MID($E421&amp;"",ROW($1:$1),1),"ABCDEFGHIJKLMNOPQRSTUVWXYZabcdefghijklmnopqrstuvwxyz .,")))&gt;0)),"Middle Initial, ","")&amp;IF(OR($F421="",LEN($F421)&gt;75),"Address, ","")&amp;IF(OR($H421="",LEN($H421)&gt;30),"City, ","")&amp;IF(AND($K421="US",OR($I421="",LEN($I421)&lt;&gt;2)),"State, ","")&amp;IF($J421="","ZIP, ","")&amp;IF(OR($K421="",AND($K421&lt;&gt;"US",$K421&lt;&gt;"CA")),"Country, ","")&amp;IF(OR($L421="",AND($L421&lt;&gt;"",OR(NOT(ISNUMBER($L421)),$L421&lt;=DATE(1900,1,1),$L421&gt;TODAY()))),"Birthdate, ","")&amp;IF(AND($N421&lt;&gt;"",NOT(IFERROR(AND(ISNUMBER(SEARCH("@",$N421)),ISNUMBER(SEARCH(".",$N421,SEARCH("@",$N421)+2))),FALSE))),"Email, ","")&amp;IF(OR(AND($B421&lt;&gt;"",$O421=""),AND($O421&lt;&gt;"",$O421&lt;&gt;"Spouse or Common Law Spouse",$O421&lt;&gt;"Domestic Partner",$O421&lt;&gt;"Child",$O421&lt;&gt;"Other",$O421&lt;&gt;"Estate",$O421&lt;&gt;"Unknown")),"Dependent Relationship, ","")&amp;IF($AA421&lt;&gt;"","Household, ","")&amp;IF(OR($P421="",AND($P421&lt;&gt;"",OR(NOT(ISNUMBER($P421)),$P421&lt;=DATE(1900,1,1)))),"Eligibility Date, ","")&amp;IF(OR(AND($R421="Terminated",$Q421=""),AND($Q421&lt;&gt;"",OR(NOT(ISNUMBER($Q421)),$Q421&lt;=DATE(1900,1,1))),AND(ISNUMBER($P421),ISNUMBER($Q421),$Q421&lt;$P421)),"Termination Date, ","")&amp;IF(OR($R421="",AND($R421&lt;&gt;"Active",$R421&lt;&gt;"Terminated"),AND('START HERE'!$C$8="Terminations Only",$R421&lt;&gt;"Terminated")),"Status, ","")&amp;IF($S421="","Plan Name, ","")&amp;IF($T421="","Coverage Level, ","")&amp;IF(AND($U421&lt;&gt;"",OR(NOT(ISNUMBER($U421)),$U421&lt;0)),"Funding, ","")&amp;IF(AND($A421&lt;&gt;"",$S421&lt;&gt;"",COUNTIFS($A$2:$A$501,$A421,$B$2:$B$501,$B421,$S$2:$S$501,$S421)&gt;1),"Duplicate Row, ",""))</f>
        <v/>
      </c>
      <c r="AF421">
        <f>IF(COUNTA($A421:$U421)=0,"",$Y421&amp;$Z421&amp;$AA421&amp;$AB421&amp;$AC421)</f>
        <v/>
      </c>
      <c r="AG421">
        <f>IF($N421="","",LOWER(TRIM($N421)))</f>
        <v/>
      </c>
      <c r="AH421">
        <f>IF($A421="","",COUNTIFS($A$2:$A$501,$A421,$AI$2:$AI$501,1))</f>
        <v/>
      </c>
      <c r="AI421">
        <f>IF(COUNTA($A421:$U421)=0,"",--($AF421&lt;&gt;""))</f>
        <v/>
      </c>
      <c r="AJ421">
        <f>IF(COUNTA($A421:$U421)=0,"",--($AD421&lt;&gt;""))</f>
        <v/>
      </c>
    </row>
    <row r="422" ht="20" customHeight="1">
      <c r="A422" s="80" t="n"/>
      <c r="B422" s="80" t="n"/>
      <c r="C422" s="81" t="n"/>
      <c r="D422" s="81" t="n"/>
      <c r="E422" s="80" t="n"/>
      <c r="F422" s="81" t="n"/>
      <c r="G422" s="81" t="n"/>
      <c r="H422" s="81" t="n"/>
      <c r="I422" s="80" t="n"/>
      <c r="J422" s="80" t="n"/>
      <c r="K422" s="80" t="n"/>
      <c r="L422" s="82" t="n"/>
      <c r="M422" s="80" t="n"/>
      <c r="N422" s="80" t="n"/>
      <c r="O422" s="80" t="n"/>
      <c r="P422" s="82" t="n"/>
      <c r="Q422" s="82" t="n"/>
      <c r="R422" s="80" t="n"/>
      <c r="S422" s="80" t="n"/>
      <c r="T422" s="80" t="n"/>
      <c r="U422" s="83" t="n"/>
      <c r="V422">
        <f>IF($A422="","",IF($A422=$A421,$V421,IF($V421="",0,1-$V421)))</f>
        <v/>
      </c>
      <c r="W422">
        <f>IF($B422&lt;&gt;"",$B422,$A422)</f>
        <v/>
      </c>
      <c r="X422">
        <f>IF(COUNTA($A422:$U422)=0,"",IF(OR($B422&lt;&gt;"",$O422&lt;&gt;""),"Dependent","Employee"))</f>
        <v/>
      </c>
      <c r="Y422">
        <f>IF(COUNTA($A422:$U422)=0,"",IF($A422="","Employee SSN is required; ","")&amp;IF($C422="","First Name is required; ","")&amp;IF(LEN($C422&amp;"")&gt;19,"First Name exceeds 19 characters; ","")&amp;IF(AND($C422&lt;&gt;"",SUMPRODUCT(--(ROW($1:$19)&lt;=LEN($C422&amp;"")),--ISERROR(FIND(MID($C422&amp;"",ROW($1:$19),1),"ABCDEFGHIJKLMNOPQRSTUVWXYZabcdefghijklmnopqrstuvwxyz .,")))&gt;0),"First Name contains unsupported or encoded characters; use plain A-Z letters only; ","")&amp;IF($D422="","Last Name is required; ","")&amp;IF(LEN($D422&amp;"")&gt;26,"Last Name exceeds 26 characters; ","")&amp;IF(AND($D422&lt;&gt;"",SUMPRODUCT(--(ROW($1:$26)&lt;=LEN($D422&amp;"")),--ISERROR(FIND(MID($D422&amp;"",ROW($1:$26),1),"ABCDEFGHIJKLMNOPQRSTUVWXYZabcdefghijklmnopqrstuvwxyz .,")))&gt;0),"Last Name contains unsupported or encoded characters; use plain A-Z letters only; ","")&amp;IF(LEN($E422&amp;"")&gt;1,"Middle Initial may contain only one character; ","")&amp;IF(AND($E422&lt;&gt;"",SUMPRODUCT(--(ROW($1:$1)&lt;=LEN($E422&amp;"")),--ISERROR(FIND(MID($E422&amp;"",ROW($1:$1),1),"ABCDEFGHIJKLMNOPQRSTUVWXYZabcdefghijklmnopqrstuvwxyz .,")))&gt;0),"Middle Initial must be a plain A-Z letter; ","")&amp;IF($F422="","Address is required; ","")&amp;IF(LEN($F422&amp;"")&gt;75,"Address exceeds 75 characters; ","")&amp;IF(LEN($G422&amp;"")&gt;75,"Address 2 exceeds 75 characters; ","")&amp;IF($H422="","City is required; ","")&amp;IF(LEN($H422&amp;"")&gt;30,"City exceeds 30 characters; ","")&amp;IF($K422="","Country is required; ","")&amp;IF(AND($K422&lt;&gt;"",$K422&lt;&gt;"US",$K422&lt;&gt;"CA"),"Country must be US or CA; ","")&amp;IF(AND($K422="US",OR($I422="",LEN($I422&amp;"")&lt;&gt;2)),"Use a 2-letter state code; ","")&amp;IF($J422="","ZIP or postal code is required; ","")&amp;IF(AND($K422="US",$J422&lt;&gt;"",NOT(IFERROR(OR(AND(LEN($J422&amp;"")=5,ISNUMBER(--($J422&amp;""))),AND(LEN($J422&amp;"")=9,ISNUMBER(--($J422&amp;""))),AND(LEN($J422&amp;"")=10,MID($J422&amp;"",6,1)="-",ISNUMBER(--SUBSTITUTE($J422&amp;"","-","")))),FALSE))),"US ZIP must be 5 or 9 digits, with an optional ZIP+4 hyphen; ","")&amp;IF(AND($N422&lt;&gt;"",NOT(IFERROR(AND(ISNUMBER(SEARCH("@",$N422)),ISNUMBER(SEARCH(".",$N422,SEARCH("@",$N422)+2))),FALSE))),"Email format appears invalid; ","")&amp;IF(AND($O422&lt;&gt;"",$B422=""),"Dependent SSN is required for every dependent; ","")&amp;IF(AND($B422&lt;&gt;"",$O422=""),"Dependent Relationship is required when Dependent SSN is entered; ","")&amp;IF(AND($O422&lt;&gt;"",$O422&lt;&gt;"Spouse or Common Law Spouse",$O422&lt;&gt;"Domestic Partner",$O422&lt;&gt;"Child",$O422&lt;&gt;"Other",$O422&lt;&gt;"Estate",$O422&lt;&gt;"Unknown"),"Dependent Relationship must use one of the approved options; ",""))</f>
        <v/>
      </c>
      <c r="Z422">
        <f>IF(COUNTA($A422:$U422)=0,"",IF(AND($A422&lt;&gt;"",NOT(IFERROR(AND(LEN($A422&amp;"")=9,ISNUMBER(--($A422&amp;""))),FALSE))),"Employee SSN must contain exactly 9 digits; ","")&amp;IF(AND($A422&lt;&gt;"",OR($A422="123456789",$A422="987654321",$A422="012345678",$A422=REPT(LEFT($A422&amp;"",1),9))),"Employee SSN appears to be a placeholder; ","")&amp;IF(AND($B422&lt;&gt;"",NOT(IFERROR(AND(LEN($B422&amp;"")=9,ISNUMBER(--($B422&amp;""))),FALSE))),"Dependent SSN must contain exactly 9 digits; ","")&amp;IF(AND($B422&lt;&gt;"",OR($B422="123456789",$B422="987654321",$B422="012345678",$B422=REPT(LEFT($B422&amp;"",1),9))),"Dependent SSN appears to be a placeholder; ","")&amp;IF(AND($A422&lt;&gt;"",$B422&lt;&gt;"",$A422&amp;""=$B422&amp;""),"Dependent SSN cannot match Employee SSN; ","")&amp;IF(AND($W422&lt;&gt;"",OR(COUNTIFS($W$2:$W$501,$W422,$C$2:$C$501,"&lt;&gt;"&amp;$C422)&gt;0,COUNTIFS($W$2:$W$501,$W422,$D$2:$D$501,"&lt;&gt;"&amp;$D422)&gt;0,COUNTIFS($W$2:$W$501,$W422,$L$2:$L$501,"&lt;&gt;"&amp;$L422)&gt;0)),"The same SSN is associated with a different name or birthdate; ",""))</f>
        <v/>
      </c>
      <c r="AA422">
        <f>IF(COUNTA($A422:$U422)=0,"",IF(AND($A422&lt;&gt;"",$S422&lt;&gt;"",COUNTIFS($A$2:$A$501,$A422,$S$2:$S$501,$S422,$B$2:$B$501,"",$O$2:$O$501,"")=0),"Add an employee row for this household and plan; ","")&amp;IF(AND($X422="Dependent",COUNTIFS($A$2:$A422,$A422,$S$2:$S422,$S422,$B$2:$B422,"",$O$2:$O422,"")=0),"Place the employee row before dependent rows for this plan; ","")&amp;IF(AND($X422="Dependent",COUNTIFS($A$2:$A$501,$A422,$S$2:$S$501,$S422,$B$2:$B$501,"",$O$2:$O$501,"")&gt;0,IFERROR(OR($P422&lt;&gt;LOOKUP(2,1/(($A$2:$A$501=$A422)*($S$2:$S$501=$S422)*($B$2:$B$501="")*($O$2:$O$501="")),$P$2:$P$501),$Q422&lt;&gt;LOOKUP(2,1/(($A$2:$A$501=$A422)*($S$2:$S$501=$S422)*($B$2:$B$501="")*($O$2:$O$501="")),$Q$2:$Q$501),$R422&lt;&gt;LOOKUP(2,1/(($A$2:$A$501=$A422)*($S$2:$S$501=$S422)*($B$2:$B$501="")*($O$2:$O$501="")),$R$2:$R$501),$T422&lt;&gt;LOOKUP(2,1/(($A$2:$A$501=$A422)*($S$2:$S$501=$S422)*($B$2:$B$501="")*($O$2:$O$501="")),$T$2:$T$501),$U422&lt;&gt;LOOKUP(2,1/(($A$2:$A$501=$A422)*($S$2:$S$501=$S422)*($B$2:$B$501="")*($O$2:$O$501="")),$U$2:$U$501)),FALSE)),"Dependent row does not match the employee row for eligibility, status, coverage level, or funding; ",""))</f>
        <v/>
      </c>
      <c r="AB422">
        <f>IF(COUNTA($A422:$U422)=0,"",IF($L422="","Birthdate is required; ","")&amp;IF(AND($L422&lt;&gt;"",OR(NOT(ISNUMBER($L422)),$L422&lt;=DATE(1900,1,1),$L422&gt;TODAY())),"Birthdate must be an exact valid past date; ","")&amp;IF($P422="","Eligibility Date is required; ","")&amp;IF(AND($P422&lt;&gt;"",OR(NOT(ISNUMBER($P422)),$P422&lt;=DATE(1900,1,1))),"Eligibility Date must be a valid date; ","")&amp;IF(AND($R422="Terminated",$Q422=""),"Termination Date is required when Status is Terminated; ","")&amp;IF(AND($Q422&lt;&gt;"",OR(NOT(ISNUMBER($Q422)),$Q422&lt;=DATE(1900,1,1))),"Termination Date must be a valid date; ","")&amp;IF(AND(ISNUMBER($P422),ISNUMBER($Q422),$Q422&lt;$P422),"Termination Date cannot be before Eligibility Date; ","")&amp;IF($R422="","Status is required; ","")&amp;IF(AND($R422&lt;&gt;"",$R422&lt;&gt;"Active",$R422&lt;&gt;"Terminated"),"Status must be Active or Terminated; ","")&amp;IF(AND('START HERE'!$C$8="Terminations Only",$R422&lt;&gt;"Terminated"),"Terminations Only files must contain terminated records; ",""))</f>
        <v/>
      </c>
      <c r="AC422">
        <f>IF(COUNTA($A422:$U422)=0,"",IF($S422="","Plan Name is required; ","")&amp;IF($T422="","Benefit Coverage Level is required; ","")&amp;IF(AND($U422&lt;&gt;"",OR(NOT(ISNUMBER($U422)),$U422&lt;0)),"Plan Funding Amount must be a nonnegative number; ","")&amp;IF(AND($A422&lt;&gt;"",$S422&lt;&gt;"",COUNTIFS($A$2:$A$501,$A422,$B$2:$B$501,$B422,$S$2:$S$501,$S422)&gt;1),"Duplicate participant and plan row; ",""))</f>
        <v/>
      </c>
      <c r="AD422">
        <f>IF(COUNTA($A422:$U422)=0,"",IF(AND($X422="Employee",$M422="",$N422=""),"No employee phone or email provided; ","")&amp;IF(AND($R422="Active",$Q422&lt;&gt;""),"Active record includes a Termination Date; confirm this is intentional; ","")&amp;IF(AND($B422&lt;&gt;"",$B422&amp;""&lt;&gt;$A422&amp;"",COUNTIF($A$2:$A$501,$B422)&gt;0),"Dependent SSN also appears as an Employee SSN elsewhere; confirm dual-employee coverage is intentional; ","")&amp;IF(AND($B422&lt;&gt;"",COUNTIF($B$2:$B$501,$B422)&gt;COUNTIFS($A$2:$A$501,$A422,$B$2:$B$501,$B422)),"Dependent SSN appears under more than one employee; confirm duplicate family coverage is intentional; ","")&amp;IF(AND(ROW()&gt;2,$A422&lt;&gt;"",$A422&lt;&gt;$A421,COUNTIF($A$2:$A421,$A422)&gt;0),"This household appears in more than one section of the census; keep the family together; ","")&amp;IF(OR(AND($C422&lt;&gt;"",LEN($C422&amp;"")&lt;&gt;LEN(TRIM($C422&amp;""))),AND($D422&lt;&gt;"",LEN($D422&amp;"")&lt;&gt;LEN(TRIM($D422&amp;""))),AND($E422&lt;&gt;"",LEN($E422&amp;"")&lt;&gt;LEN(TRIM($E422&amp;""))),AND($F422&lt;&gt;"",LEN($F422&amp;"")&lt;&gt;LEN(TRIM($F422&amp;""))),AND($G422&lt;&gt;"",LEN($G422&amp;"")&lt;&gt;LEN(TRIM($G422&amp;""))),AND($H422&lt;&gt;"",LEN($H422&amp;"")&lt;&gt;LEN(TRIM($H422&amp;""))),AND($I422&lt;&gt;"",LEN($I422&amp;"")&lt;&gt;LEN(TRIM($I422&amp;""))),AND($J422&lt;&gt;"",LEN($J422&amp;"")&lt;&gt;LEN(TRIM($J422&amp;""))),AND($K422&lt;&gt;"",LEN($K422&amp;"")&lt;&gt;LEN(TRIM($K422&amp;""))),AND($M422&lt;&gt;"",LEN($M422&amp;"")&lt;&gt;LEN(TRIM($M422&amp;""))),AND($N422&lt;&gt;"",LEN($N422&amp;"")&lt;&gt;LEN(TRIM($N422&amp;""))),AND($O422&lt;&gt;"",LEN($O422&amp;"")&lt;&gt;LEN(TRIM($O422&amp;""))),AND($R422&lt;&gt;"",LEN($R422&amp;"")&lt;&gt;LEN(TRIM($R422&amp;""))),AND($S422&lt;&gt;"",LEN($S422&amp;"")&lt;&gt;LEN(TRIM($S422&amp;""))),AND($T422&lt;&gt;"",LEN($T422&amp;"")&lt;&gt;LEN(TRIM($T422&amp;"")))),"Remove leading or trailing spaces from text fields; ","")&amp;IF(OR(AND(LEN($C422)&gt;1,OR(EXACT($C422,UPPER($C422)),EXACT($C422,LOWER($C422)))),AND(LEN($D422)&gt;1,OR(EXACT($D422,UPPER($D422)),EXACT($D422,LOWER($D422)))),AND(LEN($H422)&gt;1,OR(EXACT($H422,UPPER($H422)),EXACT($H422,LOWER($H422))))),"Review capitalization in First Name, Last Name, or City; ","")&amp;IF(AND($N422&lt;&gt;"",NOT(EXACT($N422,LOWER($N422)))),"Email will be standardized to lowercase in the clean output; ","")&amp;IF(AND(OR('START HERE'!$C$8="Initial Enrollment",'START HERE'!$C$8="Open Enrollment"),$R422="Terminated"),"A terminated row is included in an initial or open enrollment file; confirm this is intentional; ",""))</f>
        <v/>
      </c>
      <c r="AE422">
        <f>IF(COUNTA($A422:$U422)=0,"",IF(OR($A422="",AND($A422&lt;&gt;"",NOT(IFERROR(AND(LEN($A422&amp;"")=9,ISNUMBER(--($A422&amp;""))),FALSE))),AND($A422&lt;&gt;"",OR($A422="123456789",$A422="987654321",$A422="012345678",$A422=REPT(LEFT($A422&amp;"",1),9)))),"Employee SSN, ","")&amp;IF(OR(AND($O422&lt;&gt;"",$B422=""),AND($B422&lt;&gt;"",OR(NOT(IFERROR(AND(LEN($B422&amp;"")=9,ISNUMBER(--($B422&amp;""))),FALSE)),$B422=$A422,$B422="123456789",$B422="987654321",$B422="012345678",$B422=REPT(LEFT($B422&amp;"",1),9)))),"Dependent SSN, ","")&amp;IF(OR($C422="",LEN($C422)&gt;19,AND($C422&lt;&gt;"",SUMPRODUCT(--(ROW($1:$19)&lt;=LEN($C422&amp;"")),--ISERROR(FIND(MID($C422&amp;"",ROW($1:$19),1),"ABCDEFGHIJKLMNOPQRSTUVWXYZabcdefghijklmnopqrstuvwxyz .,")))&gt;0)),"First Name, ","")&amp;IF(OR($D422="",LEN($D422)&gt;26,AND($D422&lt;&gt;"",SUMPRODUCT(--(ROW($1:$26)&lt;=LEN($D422&amp;"")),--ISERROR(FIND(MID($D422&amp;"",ROW($1:$26),1),"ABCDEFGHIJKLMNOPQRSTUVWXYZabcdefghijklmnopqrstuvwxyz .,")))&gt;0)),"Last Name, ","")&amp;IF(OR(LEN($E422)&gt;1,AND($E422&lt;&gt;"",SUMPRODUCT(--(ROW($1:$1)&lt;=LEN($E422&amp;"")),--ISERROR(FIND(MID($E422&amp;"",ROW($1:$1),1),"ABCDEFGHIJKLMNOPQRSTUVWXYZabcdefghijklmnopqrstuvwxyz .,")))&gt;0)),"Middle Initial, ","")&amp;IF(OR($F422="",LEN($F422)&gt;75),"Address, ","")&amp;IF(OR($H422="",LEN($H422)&gt;30),"City, ","")&amp;IF(AND($K422="US",OR($I422="",LEN($I422)&lt;&gt;2)),"State, ","")&amp;IF($J422="","ZIP, ","")&amp;IF(OR($K422="",AND($K422&lt;&gt;"US",$K422&lt;&gt;"CA")),"Country, ","")&amp;IF(OR($L422="",AND($L422&lt;&gt;"",OR(NOT(ISNUMBER($L422)),$L422&lt;=DATE(1900,1,1),$L422&gt;TODAY()))),"Birthdate, ","")&amp;IF(AND($N422&lt;&gt;"",NOT(IFERROR(AND(ISNUMBER(SEARCH("@",$N422)),ISNUMBER(SEARCH(".",$N422,SEARCH("@",$N422)+2))),FALSE))),"Email, ","")&amp;IF(OR(AND($B422&lt;&gt;"",$O422=""),AND($O422&lt;&gt;"",$O422&lt;&gt;"Spouse or Common Law Spouse",$O422&lt;&gt;"Domestic Partner",$O422&lt;&gt;"Child",$O422&lt;&gt;"Other",$O422&lt;&gt;"Estate",$O422&lt;&gt;"Unknown")),"Dependent Relationship, ","")&amp;IF($AA422&lt;&gt;"","Household, ","")&amp;IF(OR($P422="",AND($P422&lt;&gt;"",OR(NOT(ISNUMBER($P422)),$P422&lt;=DATE(1900,1,1)))),"Eligibility Date, ","")&amp;IF(OR(AND($R422="Terminated",$Q422=""),AND($Q422&lt;&gt;"",OR(NOT(ISNUMBER($Q422)),$Q422&lt;=DATE(1900,1,1))),AND(ISNUMBER($P422),ISNUMBER($Q422),$Q422&lt;$P422)),"Termination Date, ","")&amp;IF(OR($R422="",AND($R422&lt;&gt;"Active",$R422&lt;&gt;"Terminated"),AND('START HERE'!$C$8="Terminations Only",$R422&lt;&gt;"Terminated")),"Status, ","")&amp;IF($S422="","Plan Name, ","")&amp;IF($T422="","Coverage Level, ","")&amp;IF(AND($U422&lt;&gt;"",OR(NOT(ISNUMBER($U422)),$U422&lt;0)),"Funding, ","")&amp;IF(AND($A422&lt;&gt;"",$S422&lt;&gt;"",COUNTIFS($A$2:$A$501,$A422,$B$2:$B$501,$B422,$S$2:$S$501,$S422)&gt;1),"Duplicate Row, ",""))</f>
        <v/>
      </c>
      <c r="AF422">
        <f>IF(COUNTA($A422:$U422)=0,"",$Y422&amp;$Z422&amp;$AA422&amp;$AB422&amp;$AC422)</f>
        <v/>
      </c>
      <c r="AG422">
        <f>IF($N422="","",LOWER(TRIM($N422)))</f>
        <v/>
      </c>
      <c r="AH422">
        <f>IF($A422="","",COUNTIFS($A$2:$A$501,$A422,$AI$2:$AI$501,1))</f>
        <v/>
      </c>
      <c r="AI422">
        <f>IF(COUNTA($A422:$U422)=0,"",--($AF422&lt;&gt;""))</f>
        <v/>
      </c>
      <c r="AJ422">
        <f>IF(COUNTA($A422:$U422)=0,"",--($AD422&lt;&gt;""))</f>
        <v/>
      </c>
    </row>
    <row r="423" ht="20" customHeight="1">
      <c r="A423" s="80" t="n"/>
      <c r="B423" s="80" t="n"/>
      <c r="C423" s="81" t="n"/>
      <c r="D423" s="81" t="n"/>
      <c r="E423" s="80" t="n"/>
      <c r="F423" s="81" t="n"/>
      <c r="G423" s="81" t="n"/>
      <c r="H423" s="81" t="n"/>
      <c r="I423" s="80" t="n"/>
      <c r="J423" s="80" t="n"/>
      <c r="K423" s="80" t="n"/>
      <c r="L423" s="82" t="n"/>
      <c r="M423" s="80" t="n"/>
      <c r="N423" s="80" t="n"/>
      <c r="O423" s="80" t="n"/>
      <c r="P423" s="82" t="n"/>
      <c r="Q423" s="82" t="n"/>
      <c r="R423" s="80" t="n"/>
      <c r="S423" s="80" t="n"/>
      <c r="T423" s="80" t="n"/>
      <c r="U423" s="83" t="n"/>
      <c r="V423">
        <f>IF($A423="","",IF($A423=$A422,$V422,IF($V422="",0,1-$V422)))</f>
        <v/>
      </c>
      <c r="W423">
        <f>IF($B423&lt;&gt;"",$B423,$A423)</f>
        <v/>
      </c>
      <c r="X423">
        <f>IF(COUNTA($A423:$U423)=0,"",IF(OR($B423&lt;&gt;"",$O423&lt;&gt;""),"Dependent","Employee"))</f>
        <v/>
      </c>
      <c r="Y423">
        <f>IF(COUNTA($A423:$U423)=0,"",IF($A423="","Employee SSN is required; ","")&amp;IF($C423="","First Name is required; ","")&amp;IF(LEN($C423&amp;"")&gt;19,"First Name exceeds 19 characters; ","")&amp;IF(AND($C423&lt;&gt;"",SUMPRODUCT(--(ROW($1:$19)&lt;=LEN($C423&amp;"")),--ISERROR(FIND(MID($C423&amp;"",ROW($1:$19),1),"ABCDEFGHIJKLMNOPQRSTUVWXYZabcdefghijklmnopqrstuvwxyz .,")))&gt;0),"First Name contains unsupported or encoded characters; use plain A-Z letters only; ","")&amp;IF($D423="","Last Name is required; ","")&amp;IF(LEN($D423&amp;"")&gt;26,"Last Name exceeds 26 characters; ","")&amp;IF(AND($D423&lt;&gt;"",SUMPRODUCT(--(ROW($1:$26)&lt;=LEN($D423&amp;"")),--ISERROR(FIND(MID($D423&amp;"",ROW($1:$26),1),"ABCDEFGHIJKLMNOPQRSTUVWXYZabcdefghijklmnopqrstuvwxyz .,")))&gt;0),"Last Name contains unsupported or encoded characters; use plain A-Z letters only; ","")&amp;IF(LEN($E423&amp;"")&gt;1,"Middle Initial may contain only one character; ","")&amp;IF(AND($E423&lt;&gt;"",SUMPRODUCT(--(ROW($1:$1)&lt;=LEN($E423&amp;"")),--ISERROR(FIND(MID($E423&amp;"",ROW($1:$1),1),"ABCDEFGHIJKLMNOPQRSTUVWXYZabcdefghijklmnopqrstuvwxyz .,")))&gt;0),"Middle Initial must be a plain A-Z letter; ","")&amp;IF($F423="","Address is required; ","")&amp;IF(LEN($F423&amp;"")&gt;75,"Address exceeds 75 characters; ","")&amp;IF(LEN($G423&amp;"")&gt;75,"Address 2 exceeds 75 characters; ","")&amp;IF($H423="","City is required; ","")&amp;IF(LEN($H423&amp;"")&gt;30,"City exceeds 30 characters; ","")&amp;IF($K423="","Country is required; ","")&amp;IF(AND($K423&lt;&gt;"",$K423&lt;&gt;"US",$K423&lt;&gt;"CA"),"Country must be US or CA; ","")&amp;IF(AND($K423="US",OR($I423="",LEN($I423&amp;"")&lt;&gt;2)),"Use a 2-letter state code; ","")&amp;IF($J423="","ZIP or postal code is required; ","")&amp;IF(AND($K423="US",$J423&lt;&gt;"",NOT(IFERROR(OR(AND(LEN($J423&amp;"")=5,ISNUMBER(--($J423&amp;""))),AND(LEN($J423&amp;"")=9,ISNUMBER(--($J423&amp;""))),AND(LEN($J423&amp;"")=10,MID($J423&amp;"",6,1)="-",ISNUMBER(--SUBSTITUTE($J423&amp;"","-","")))),FALSE))),"US ZIP must be 5 or 9 digits, with an optional ZIP+4 hyphen; ","")&amp;IF(AND($N423&lt;&gt;"",NOT(IFERROR(AND(ISNUMBER(SEARCH("@",$N423)),ISNUMBER(SEARCH(".",$N423,SEARCH("@",$N423)+2))),FALSE))),"Email format appears invalid; ","")&amp;IF(AND($O423&lt;&gt;"",$B423=""),"Dependent SSN is required for every dependent; ","")&amp;IF(AND($B423&lt;&gt;"",$O423=""),"Dependent Relationship is required when Dependent SSN is entered; ","")&amp;IF(AND($O423&lt;&gt;"",$O423&lt;&gt;"Spouse or Common Law Spouse",$O423&lt;&gt;"Domestic Partner",$O423&lt;&gt;"Child",$O423&lt;&gt;"Other",$O423&lt;&gt;"Estate",$O423&lt;&gt;"Unknown"),"Dependent Relationship must use one of the approved options; ",""))</f>
        <v/>
      </c>
      <c r="Z423">
        <f>IF(COUNTA($A423:$U423)=0,"",IF(AND($A423&lt;&gt;"",NOT(IFERROR(AND(LEN($A423&amp;"")=9,ISNUMBER(--($A423&amp;""))),FALSE))),"Employee SSN must contain exactly 9 digits; ","")&amp;IF(AND($A423&lt;&gt;"",OR($A423="123456789",$A423="987654321",$A423="012345678",$A423=REPT(LEFT($A423&amp;"",1),9))),"Employee SSN appears to be a placeholder; ","")&amp;IF(AND($B423&lt;&gt;"",NOT(IFERROR(AND(LEN($B423&amp;"")=9,ISNUMBER(--($B423&amp;""))),FALSE))),"Dependent SSN must contain exactly 9 digits; ","")&amp;IF(AND($B423&lt;&gt;"",OR($B423="123456789",$B423="987654321",$B423="012345678",$B423=REPT(LEFT($B423&amp;"",1),9))),"Dependent SSN appears to be a placeholder; ","")&amp;IF(AND($A423&lt;&gt;"",$B423&lt;&gt;"",$A423&amp;""=$B423&amp;""),"Dependent SSN cannot match Employee SSN; ","")&amp;IF(AND($W423&lt;&gt;"",OR(COUNTIFS($W$2:$W$501,$W423,$C$2:$C$501,"&lt;&gt;"&amp;$C423)&gt;0,COUNTIFS($W$2:$W$501,$W423,$D$2:$D$501,"&lt;&gt;"&amp;$D423)&gt;0,COUNTIFS($W$2:$W$501,$W423,$L$2:$L$501,"&lt;&gt;"&amp;$L423)&gt;0)),"The same SSN is associated with a different name or birthdate; ",""))</f>
        <v/>
      </c>
      <c r="AA423">
        <f>IF(COUNTA($A423:$U423)=0,"",IF(AND($A423&lt;&gt;"",$S423&lt;&gt;"",COUNTIFS($A$2:$A$501,$A423,$S$2:$S$501,$S423,$B$2:$B$501,"",$O$2:$O$501,"")=0),"Add an employee row for this household and plan; ","")&amp;IF(AND($X423="Dependent",COUNTIFS($A$2:$A423,$A423,$S$2:$S423,$S423,$B$2:$B423,"",$O$2:$O423,"")=0),"Place the employee row before dependent rows for this plan; ","")&amp;IF(AND($X423="Dependent",COUNTIFS($A$2:$A$501,$A423,$S$2:$S$501,$S423,$B$2:$B$501,"",$O$2:$O$501,"")&gt;0,IFERROR(OR($P423&lt;&gt;LOOKUP(2,1/(($A$2:$A$501=$A423)*($S$2:$S$501=$S423)*($B$2:$B$501="")*($O$2:$O$501="")),$P$2:$P$501),$Q423&lt;&gt;LOOKUP(2,1/(($A$2:$A$501=$A423)*($S$2:$S$501=$S423)*($B$2:$B$501="")*($O$2:$O$501="")),$Q$2:$Q$501),$R423&lt;&gt;LOOKUP(2,1/(($A$2:$A$501=$A423)*($S$2:$S$501=$S423)*($B$2:$B$501="")*($O$2:$O$501="")),$R$2:$R$501),$T423&lt;&gt;LOOKUP(2,1/(($A$2:$A$501=$A423)*($S$2:$S$501=$S423)*($B$2:$B$501="")*($O$2:$O$501="")),$T$2:$T$501),$U423&lt;&gt;LOOKUP(2,1/(($A$2:$A$501=$A423)*($S$2:$S$501=$S423)*($B$2:$B$501="")*($O$2:$O$501="")),$U$2:$U$501)),FALSE)),"Dependent row does not match the employee row for eligibility, status, coverage level, or funding; ",""))</f>
        <v/>
      </c>
      <c r="AB423">
        <f>IF(COUNTA($A423:$U423)=0,"",IF($L423="","Birthdate is required; ","")&amp;IF(AND($L423&lt;&gt;"",OR(NOT(ISNUMBER($L423)),$L423&lt;=DATE(1900,1,1),$L423&gt;TODAY())),"Birthdate must be an exact valid past date; ","")&amp;IF($P423="","Eligibility Date is required; ","")&amp;IF(AND($P423&lt;&gt;"",OR(NOT(ISNUMBER($P423)),$P423&lt;=DATE(1900,1,1))),"Eligibility Date must be a valid date; ","")&amp;IF(AND($R423="Terminated",$Q423=""),"Termination Date is required when Status is Terminated; ","")&amp;IF(AND($Q423&lt;&gt;"",OR(NOT(ISNUMBER($Q423)),$Q423&lt;=DATE(1900,1,1))),"Termination Date must be a valid date; ","")&amp;IF(AND(ISNUMBER($P423),ISNUMBER($Q423),$Q423&lt;$P423),"Termination Date cannot be before Eligibility Date; ","")&amp;IF($R423="","Status is required; ","")&amp;IF(AND($R423&lt;&gt;"",$R423&lt;&gt;"Active",$R423&lt;&gt;"Terminated"),"Status must be Active or Terminated; ","")&amp;IF(AND('START HERE'!$C$8="Terminations Only",$R423&lt;&gt;"Terminated"),"Terminations Only files must contain terminated records; ",""))</f>
        <v/>
      </c>
      <c r="AC423">
        <f>IF(COUNTA($A423:$U423)=0,"",IF($S423="","Plan Name is required; ","")&amp;IF($T423="","Benefit Coverage Level is required; ","")&amp;IF(AND($U423&lt;&gt;"",OR(NOT(ISNUMBER($U423)),$U423&lt;0)),"Plan Funding Amount must be a nonnegative number; ","")&amp;IF(AND($A423&lt;&gt;"",$S423&lt;&gt;"",COUNTIFS($A$2:$A$501,$A423,$B$2:$B$501,$B423,$S$2:$S$501,$S423)&gt;1),"Duplicate participant and plan row; ",""))</f>
        <v/>
      </c>
      <c r="AD423">
        <f>IF(COUNTA($A423:$U423)=0,"",IF(AND($X423="Employee",$M423="",$N423=""),"No employee phone or email provided; ","")&amp;IF(AND($R423="Active",$Q423&lt;&gt;""),"Active record includes a Termination Date; confirm this is intentional; ","")&amp;IF(AND($B423&lt;&gt;"",$B423&amp;""&lt;&gt;$A423&amp;"",COUNTIF($A$2:$A$501,$B423)&gt;0),"Dependent SSN also appears as an Employee SSN elsewhere; confirm dual-employee coverage is intentional; ","")&amp;IF(AND($B423&lt;&gt;"",COUNTIF($B$2:$B$501,$B423)&gt;COUNTIFS($A$2:$A$501,$A423,$B$2:$B$501,$B423)),"Dependent SSN appears under more than one employee; confirm duplicate family coverage is intentional; ","")&amp;IF(AND(ROW()&gt;2,$A423&lt;&gt;"",$A423&lt;&gt;$A422,COUNTIF($A$2:$A422,$A423)&gt;0),"This household appears in more than one section of the census; keep the family together; ","")&amp;IF(OR(AND($C423&lt;&gt;"",LEN($C423&amp;"")&lt;&gt;LEN(TRIM($C423&amp;""))),AND($D423&lt;&gt;"",LEN($D423&amp;"")&lt;&gt;LEN(TRIM($D423&amp;""))),AND($E423&lt;&gt;"",LEN($E423&amp;"")&lt;&gt;LEN(TRIM($E423&amp;""))),AND($F423&lt;&gt;"",LEN($F423&amp;"")&lt;&gt;LEN(TRIM($F423&amp;""))),AND($G423&lt;&gt;"",LEN($G423&amp;"")&lt;&gt;LEN(TRIM($G423&amp;""))),AND($H423&lt;&gt;"",LEN($H423&amp;"")&lt;&gt;LEN(TRIM($H423&amp;""))),AND($I423&lt;&gt;"",LEN($I423&amp;"")&lt;&gt;LEN(TRIM($I423&amp;""))),AND($J423&lt;&gt;"",LEN($J423&amp;"")&lt;&gt;LEN(TRIM($J423&amp;""))),AND($K423&lt;&gt;"",LEN($K423&amp;"")&lt;&gt;LEN(TRIM($K423&amp;""))),AND($M423&lt;&gt;"",LEN($M423&amp;"")&lt;&gt;LEN(TRIM($M423&amp;""))),AND($N423&lt;&gt;"",LEN($N423&amp;"")&lt;&gt;LEN(TRIM($N423&amp;""))),AND($O423&lt;&gt;"",LEN($O423&amp;"")&lt;&gt;LEN(TRIM($O423&amp;""))),AND($R423&lt;&gt;"",LEN($R423&amp;"")&lt;&gt;LEN(TRIM($R423&amp;""))),AND($S423&lt;&gt;"",LEN($S423&amp;"")&lt;&gt;LEN(TRIM($S423&amp;""))),AND($T423&lt;&gt;"",LEN($T423&amp;"")&lt;&gt;LEN(TRIM($T423&amp;"")))),"Remove leading or trailing spaces from text fields; ","")&amp;IF(OR(AND(LEN($C423)&gt;1,OR(EXACT($C423,UPPER($C423)),EXACT($C423,LOWER($C423)))),AND(LEN($D423)&gt;1,OR(EXACT($D423,UPPER($D423)),EXACT($D423,LOWER($D423)))),AND(LEN($H423)&gt;1,OR(EXACT($H423,UPPER($H423)),EXACT($H423,LOWER($H423))))),"Review capitalization in First Name, Last Name, or City; ","")&amp;IF(AND($N423&lt;&gt;"",NOT(EXACT($N423,LOWER($N423)))),"Email will be standardized to lowercase in the clean output; ","")&amp;IF(AND(OR('START HERE'!$C$8="Initial Enrollment",'START HERE'!$C$8="Open Enrollment"),$R423="Terminated"),"A terminated row is included in an initial or open enrollment file; confirm this is intentional; ",""))</f>
        <v/>
      </c>
      <c r="AE423">
        <f>IF(COUNTA($A423:$U423)=0,"",IF(OR($A423="",AND($A423&lt;&gt;"",NOT(IFERROR(AND(LEN($A423&amp;"")=9,ISNUMBER(--($A423&amp;""))),FALSE))),AND($A423&lt;&gt;"",OR($A423="123456789",$A423="987654321",$A423="012345678",$A423=REPT(LEFT($A423&amp;"",1),9)))),"Employee SSN, ","")&amp;IF(OR(AND($O423&lt;&gt;"",$B423=""),AND($B423&lt;&gt;"",OR(NOT(IFERROR(AND(LEN($B423&amp;"")=9,ISNUMBER(--($B423&amp;""))),FALSE)),$B423=$A423,$B423="123456789",$B423="987654321",$B423="012345678",$B423=REPT(LEFT($B423&amp;"",1),9)))),"Dependent SSN, ","")&amp;IF(OR($C423="",LEN($C423)&gt;19,AND($C423&lt;&gt;"",SUMPRODUCT(--(ROW($1:$19)&lt;=LEN($C423&amp;"")),--ISERROR(FIND(MID($C423&amp;"",ROW($1:$19),1),"ABCDEFGHIJKLMNOPQRSTUVWXYZabcdefghijklmnopqrstuvwxyz .,")))&gt;0)),"First Name, ","")&amp;IF(OR($D423="",LEN($D423)&gt;26,AND($D423&lt;&gt;"",SUMPRODUCT(--(ROW($1:$26)&lt;=LEN($D423&amp;"")),--ISERROR(FIND(MID($D423&amp;"",ROW($1:$26),1),"ABCDEFGHIJKLMNOPQRSTUVWXYZabcdefghijklmnopqrstuvwxyz .,")))&gt;0)),"Last Name, ","")&amp;IF(OR(LEN($E423)&gt;1,AND($E423&lt;&gt;"",SUMPRODUCT(--(ROW($1:$1)&lt;=LEN($E423&amp;"")),--ISERROR(FIND(MID($E423&amp;"",ROW($1:$1),1),"ABCDEFGHIJKLMNOPQRSTUVWXYZabcdefghijklmnopqrstuvwxyz .,")))&gt;0)),"Middle Initial, ","")&amp;IF(OR($F423="",LEN($F423)&gt;75),"Address, ","")&amp;IF(OR($H423="",LEN($H423)&gt;30),"City, ","")&amp;IF(AND($K423="US",OR($I423="",LEN($I423)&lt;&gt;2)),"State, ","")&amp;IF($J423="","ZIP, ","")&amp;IF(OR($K423="",AND($K423&lt;&gt;"US",$K423&lt;&gt;"CA")),"Country, ","")&amp;IF(OR($L423="",AND($L423&lt;&gt;"",OR(NOT(ISNUMBER($L423)),$L423&lt;=DATE(1900,1,1),$L423&gt;TODAY()))),"Birthdate, ","")&amp;IF(AND($N423&lt;&gt;"",NOT(IFERROR(AND(ISNUMBER(SEARCH("@",$N423)),ISNUMBER(SEARCH(".",$N423,SEARCH("@",$N423)+2))),FALSE))),"Email, ","")&amp;IF(OR(AND($B423&lt;&gt;"",$O423=""),AND($O423&lt;&gt;"",$O423&lt;&gt;"Spouse or Common Law Spouse",$O423&lt;&gt;"Domestic Partner",$O423&lt;&gt;"Child",$O423&lt;&gt;"Other",$O423&lt;&gt;"Estate",$O423&lt;&gt;"Unknown")),"Dependent Relationship, ","")&amp;IF($AA423&lt;&gt;"","Household, ","")&amp;IF(OR($P423="",AND($P423&lt;&gt;"",OR(NOT(ISNUMBER($P423)),$P423&lt;=DATE(1900,1,1)))),"Eligibility Date, ","")&amp;IF(OR(AND($R423="Terminated",$Q423=""),AND($Q423&lt;&gt;"",OR(NOT(ISNUMBER($Q423)),$Q423&lt;=DATE(1900,1,1))),AND(ISNUMBER($P423),ISNUMBER($Q423),$Q423&lt;$P423)),"Termination Date, ","")&amp;IF(OR($R423="",AND($R423&lt;&gt;"Active",$R423&lt;&gt;"Terminated"),AND('START HERE'!$C$8="Terminations Only",$R423&lt;&gt;"Terminated")),"Status, ","")&amp;IF($S423="","Plan Name, ","")&amp;IF($T423="","Coverage Level, ","")&amp;IF(AND($U423&lt;&gt;"",OR(NOT(ISNUMBER($U423)),$U423&lt;0)),"Funding, ","")&amp;IF(AND($A423&lt;&gt;"",$S423&lt;&gt;"",COUNTIFS($A$2:$A$501,$A423,$B$2:$B$501,$B423,$S$2:$S$501,$S423)&gt;1),"Duplicate Row, ",""))</f>
        <v/>
      </c>
      <c r="AF423">
        <f>IF(COUNTA($A423:$U423)=0,"",$Y423&amp;$Z423&amp;$AA423&amp;$AB423&amp;$AC423)</f>
        <v/>
      </c>
      <c r="AG423">
        <f>IF($N423="","",LOWER(TRIM($N423)))</f>
        <v/>
      </c>
      <c r="AH423">
        <f>IF($A423="","",COUNTIFS($A$2:$A$501,$A423,$AI$2:$AI$501,1))</f>
        <v/>
      </c>
      <c r="AI423">
        <f>IF(COUNTA($A423:$U423)=0,"",--($AF423&lt;&gt;""))</f>
        <v/>
      </c>
      <c r="AJ423">
        <f>IF(COUNTA($A423:$U423)=0,"",--($AD423&lt;&gt;""))</f>
        <v/>
      </c>
    </row>
    <row r="424" ht="20" customHeight="1">
      <c r="A424" s="80" t="n"/>
      <c r="B424" s="80" t="n"/>
      <c r="C424" s="81" t="n"/>
      <c r="D424" s="81" t="n"/>
      <c r="E424" s="80" t="n"/>
      <c r="F424" s="81" t="n"/>
      <c r="G424" s="81" t="n"/>
      <c r="H424" s="81" t="n"/>
      <c r="I424" s="80" t="n"/>
      <c r="J424" s="80" t="n"/>
      <c r="K424" s="80" t="n"/>
      <c r="L424" s="82" t="n"/>
      <c r="M424" s="80" t="n"/>
      <c r="N424" s="80" t="n"/>
      <c r="O424" s="80" t="n"/>
      <c r="P424" s="82" t="n"/>
      <c r="Q424" s="82" t="n"/>
      <c r="R424" s="80" t="n"/>
      <c r="S424" s="80" t="n"/>
      <c r="T424" s="80" t="n"/>
      <c r="U424" s="83" t="n"/>
      <c r="V424">
        <f>IF($A424="","",IF($A424=$A423,$V423,IF($V423="",0,1-$V423)))</f>
        <v/>
      </c>
      <c r="W424">
        <f>IF($B424&lt;&gt;"",$B424,$A424)</f>
        <v/>
      </c>
      <c r="X424">
        <f>IF(COUNTA($A424:$U424)=0,"",IF(OR($B424&lt;&gt;"",$O424&lt;&gt;""),"Dependent","Employee"))</f>
        <v/>
      </c>
      <c r="Y424">
        <f>IF(COUNTA($A424:$U424)=0,"",IF($A424="","Employee SSN is required; ","")&amp;IF($C424="","First Name is required; ","")&amp;IF(LEN($C424&amp;"")&gt;19,"First Name exceeds 19 characters; ","")&amp;IF(AND($C424&lt;&gt;"",SUMPRODUCT(--(ROW($1:$19)&lt;=LEN($C424&amp;"")),--ISERROR(FIND(MID($C424&amp;"",ROW($1:$19),1),"ABCDEFGHIJKLMNOPQRSTUVWXYZabcdefghijklmnopqrstuvwxyz .,")))&gt;0),"First Name contains unsupported or encoded characters; use plain A-Z letters only; ","")&amp;IF($D424="","Last Name is required; ","")&amp;IF(LEN($D424&amp;"")&gt;26,"Last Name exceeds 26 characters; ","")&amp;IF(AND($D424&lt;&gt;"",SUMPRODUCT(--(ROW($1:$26)&lt;=LEN($D424&amp;"")),--ISERROR(FIND(MID($D424&amp;"",ROW($1:$26),1),"ABCDEFGHIJKLMNOPQRSTUVWXYZabcdefghijklmnopqrstuvwxyz .,")))&gt;0),"Last Name contains unsupported or encoded characters; use plain A-Z letters only; ","")&amp;IF(LEN($E424&amp;"")&gt;1,"Middle Initial may contain only one character; ","")&amp;IF(AND($E424&lt;&gt;"",SUMPRODUCT(--(ROW($1:$1)&lt;=LEN($E424&amp;"")),--ISERROR(FIND(MID($E424&amp;"",ROW($1:$1),1),"ABCDEFGHIJKLMNOPQRSTUVWXYZabcdefghijklmnopqrstuvwxyz .,")))&gt;0),"Middle Initial must be a plain A-Z letter; ","")&amp;IF($F424="","Address is required; ","")&amp;IF(LEN($F424&amp;"")&gt;75,"Address exceeds 75 characters; ","")&amp;IF(LEN($G424&amp;"")&gt;75,"Address 2 exceeds 75 characters; ","")&amp;IF($H424="","City is required; ","")&amp;IF(LEN($H424&amp;"")&gt;30,"City exceeds 30 characters; ","")&amp;IF($K424="","Country is required; ","")&amp;IF(AND($K424&lt;&gt;"",$K424&lt;&gt;"US",$K424&lt;&gt;"CA"),"Country must be US or CA; ","")&amp;IF(AND($K424="US",OR($I424="",LEN($I424&amp;"")&lt;&gt;2)),"Use a 2-letter state code; ","")&amp;IF($J424="","ZIP or postal code is required; ","")&amp;IF(AND($K424="US",$J424&lt;&gt;"",NOT(IFERROR(OR(AND(LEN($J424&amp;"")=5,ISNUMBER(--($J424&amp;""))),AND(LEN($J424&amp;"")=9,ISNUMBER(--($J424&amp;""))),AND(LEN($J424&amp;"")=10,MID($J424&amp;"",6,1)="-",ISNUMBER(--SUBSTITUTE($J424&amp;"","-","")))),FALSE))),"US ZIP must be 5 or 9 digits, with an optional ZIP+4 hyphen; ","")&amp;IF(AND($N424&lt;&gt;"",NOT(IFERROR(AND(ISNUMBER(SEARCH("@",$N424)),ISNUMBER(SEARCH(".",$N424,SEARCH("@",$N424)+2))),FALSE))),"Email format appears invalid; ","")&amp;IF(AND($O424&lt;&gt;"",$B424=""),"Dependent SSN is required for every dependent; ","")&amp;IF(AND($B424&lt;&gt;"",$O424=""),"Dependent Relationship is required when Dependent SSN is entered; ","")&amp;IF(AND($O424&lt;&gt;"",$O424&lt;&gt;"Spouse or Common Law Spouse",$O424&lt;&gt;"Domestic Partner",$O424&lt;&gt;"Child",$O424&lt;&gt;"Other",$O424&lt;&gt;"Estate",$O424&lt;&gt;"Unknown"),"Dependent Relationship must use one of the approved options; ",""))</f>
        <v/>
      </c>
      <c r="Z424">
        <f>IF(COUNTA($A424:$U424)=0,"",IF(AND($A424&lt;&gt;"",NOT(IFERROR(AND(LEN($A424&amp;"")=9,ISNUMBER(--($A424&amp;""))),FALSE))),"Employee SSN must contain exactly 9 digits; ","")&amp;IF(AND($A424&lt;&gt;"",OR($A424="123456789",$A424="987654321",$A424="012345678",$A424=REPT(LEFT($A424&amp;"",1),9))),"Employee SSN appears to be a placeholder; ","")&amp;IF(AND($B424&lt;&gt;"",NOT(IFERROR(AND(LEN($B424&amp;"")=9,ISNUMBER(--($B424&amp;""))),FALSE))),"Dependent SSN must contain exactly 9 digits; ","")&amp;IF(AND($B424&lt;&gt;"",OR($B424="123456789",$B424="987654321",$B424="012345678",$B424=REPT(LEFT($B424&amp;"",1),9))),"Dependent SSN appears to be a placeholder; ","")&amp;IF(AND($A424&lt;&gt;"",$B424&lt;&gt;"",$A424&amp;""=$B424&amp;""),"Dependent SSN cannot match Employee SSN; ","")&amp;IF(AND($W424&lt;&gt;"",OR(COUNTIFS($W$2:$W$501,$W424,$C$2:$C$501,"&lt;&gt;"&amp;$C424)&gt;0,COUNTIFS($W$2:$W$501,$W424,$D$2:$D$501,"&lt;&gt;"&amp;$D424)&gt;0,COUNTIFS($W$2:$W$501,$W424,$L$2:$L$501,"&lt;&gt;"&amp;$L424)&gt;0)),"The same SSN is associated with a different name or birthdate; ",""))</f>
        <v/>
      </c>
      <c r="AA424">
        <f>IF(COUNTA($A424:$U424)=0,"",IF(AND($A424&lt;&gt;"",$S424&lt;&gt;"",COUNTIFS($A$2:$A$501,$A424,$S$2:$S$501,$S424,$B$2:$B$501,"",$O$2:$O$501,"")=0),"Add an employee row for this household and plan; ","")&amp;IF(AND($X424="Dependent",COUNTIFS($A$2:$A424,$A424,$S$2:$S424,$S424,$B$2:$B424,"",$O$2:$O424,"")=0),"Place the employee row before dependent rows for this plan; ","")&amp;IF(AND($X424="Dependent",COUNTIFS($A$2:$A$501,$A424,$S$2:$S$501,$S424,$B$2:$B$501,"",$O$2:$O$501,"")&gt;0,IFERROR(OR($P424&lt;&gt;LOOKUP(2,1/(($A$2:$A$501=$A424)*($S$2:$S$501=$S424)*($B$2:$B$501="")*($O$2:$O$501="")),$P$2:$P$501),$Q424&lt;&gt;LOOKUP(2,1/(($A$2:$A$501=$A424)*($S$2:$S$501=$S424)*($B$2:$B$501="")*($O$2:$O$501="")),$Q$2:$Q$501),$R424&lt;&gt;LOOKUP(2,1/(($A$2:$A$501=$A424)*($S$2:$S$501=$S424)*($B$2:$B$501="")*($O$2:$O$501="")),$R$2:$R$501),$T424&lt;&gt;LOOKUP(2,1/(($A$2:$A$501=$A424)*($S$2:$S$501=$S424)*($B$2:$B$501="")*($O$2:$O$501="")),$T$2:$T$501),$U424&lt;&gt;LOOKUP(2,1/(($A$2:$A$501=$A424)*($S$2:$S$501=$S424)*($B$2:$B$501="")*($O$2:$O$501="")),$U$2:$U$501)),FALSE)),"Dependent row does not match the employee row for eligibility, status, coverage level, or funding; ",""))</f>
        <v/>
      </c>
      <c r="AB424">
        <f>IF(COUNTA($A424:$U424)=0,"",IF($L424="","Birthdate is required; ","")&amp;IF(AND($L424&lt;&gt;"",OR(NOT(ISNUMBER($L424)),$L424&lt;=DATE(1900,1,1),$L424&gt;TODAY())),"Birthdate must be an exact valid past date; ","")&amp;IF($P424="","Eligibility Date is required; ","")&amp;IF(AND($P424&lt;&gt;"",OR(NOT(ISNUMBER($P424)),$P424&lt;=DATE(1900,1,1))),"Eligibility Date must be a valid date; ","")&amp;IF(AND($R424="Terminated",$Q424=""),"Termination Date is required when Status is Terminated; ","")&amp;IF(AND($Q424&lt;&gt;"",OR(NOT(ISNUMBER($Q424)),$Q424&lt;=DATE(1900,1,1))),"Termination Date must be a valid date; ","")&amp;IF(AND(ISNUMBER($P424),ISNUMBER($Q424),$Q424&lt;$P424),"Termination Date cannot be before Eligibility Date; ","")&amp;IF($R424="","Status is required; ","")&amp;IF(AND($R424&lt;&gt;"",$R424&lt;&gt;"Active",$R424&lt;&gt;"Terminated"),"Status must be Active or Terminated; ","")&amp;IF(AND('START HERE'!$C$8="Terminations Only",$R424&lt;&gt;"Terminated"),"Terminations Only files must contain terminated records; ",""))</f>
        <v/>
      </c>
      <c r="AC424">
        <f>IF(COUNTA($A424:$U424)=0,"",IF($S424="","Plan Name is required; ","")&amp;IF($T424="","Benefit Coverage Level is required; ","")&amp;IF(AND($U424&lt;&gt;"",OR(NOT(ISNUMBER($U424)),$U424&lt;0)),"Plan Funding Amount must be a nonnegative number; ","")&amp;IF(AND($A424&lt;&gt;"",$S424&lt;&gt;"",COUNTIFS($A$2:$A$501,$A424,$B$2:$B$501,$B424,$S$2:$S$501,$S424)&gt;1),"Duplicate participant and plan row; ",""))</f>
        <v/>
      </c>
      <c r="AD424">
        <f>IF(COUNTA($A424:$U424)=0,"",IF(AND($X424="Employee",$M424="",$N424=""),"No employee phone or email provided; ","")&amp;IF(AND($R424="Active",$Q424&lt;&gt;""),"Active record includes a Termination Date; confirm this is intentional; ","")&amp;IF(AND($B424&lt;&gt;"",$B424&amp;""&lt;&gt;$A424&amp;"",COUNTIF($A$2:$A$501,$B424)&gt;0),"Dependent SSN also appears as an Employee SSN elsewhere; confirm dual-employee coverage is intentional; ","")&amp;IF(AND($B424&lt;&gt;"",COUNTIF($B$2:$B$501,$B424)&gt;COUNTIFS($A$2:$A$501,$A424,$B$2:$B$501,$B424)),"Dependent SSN appears under more than one employee; confirm duplicate family coverage is intentional; ","")&amp;IF(AND(ROW()&gt;2,$A424&lt;&gt;"",$A424&lt;&gt;$A423,COUNTIF($A$2:$A423,$A424)&gt;0),"This household appears in more than one section of the census; keep the family together; ","")&amp;IF(OR(AND($C424&lt;&gt;"",LEN($C424&amp;"")&lt;&gt;LEN(TRIM($C424&amp;""))),AND($D424&lt;&gt;"",LEN($D424&amp;"")&lt;&gt;LEN(TRIM($D424&amp;""))),AND($E424&lt;&gt;"",LEN($E424&amp;"")&lt;&gt;LEN(TRIM($E424&amp;""))),AND($F424&lt;&gt;"",LEN($F424&amp;"")&lt;&gt;LEN(TRIM($F424&amp;""))),AND($G424&lt;&gt;"",LEN($G424&amp;"")&lt;&gt;LEN(TRIM($G424&amp;""))),AND($H424&lt;&gt;"",LEN($H424&amp;"")&lt;&gt;LEN(TRIM($H424&amp;""))),AND($I424&lt;&gt;"",LEN($I424&amp;"")&lt;&gt;LEN(TRIM($I424&amp;""))),AND($J424&lt;&gt;"",LEN($J424&amp;"")&lt;&gt;LEN(TRIM($J424&amp;""))),AND($K424&lt;&gt;"",LEN($K424&amp;"")&lt;&gt;LEN(TRIM($K424&amp;""))),AND($M424&lt;&gt;"",LEN($M424&amp;"")&lt;&gt;LEN(TRIM($M424&amp;""))),AND($N424&lt;&gt;"",LEN($N424&amp;"")&lt;&gt;LEN(TRIM($N424&amp;""))),AND($O424&lt;&gt;"",LEN($O424&amp;"")&lt;&gt;LEN(TRIM($O424&amp;""))),AND($R424&lt;&gt;"",LEN($R424&amp;"")&lt;&gt;LEN(TRIM($R424&amp;""))),AND($S424&lt;&gt;"",LEN($S424&amp;"")&lt;&gt;LEN(TRIM($S424&amp;""))),AND($T424&lt;&gt;"",LEN($T424&amp;"")&lt;&gt;LEN(TRIM($T424&amp;"")))),"Remove leading or trailing spaces from text fields; ","")&amp;IF(OR(AND(LEN($C424)&gt;1,OR(EXACT($C424,UPPER($C424)),EXACT($C424,LOWER($C424)))),AND(LEN($D424)&gt;1,OR(EXACT($D424,UPPER($D424)),EXACT($D424,LOWER($D424)))),AND(LEN($H424)&gt;1,OR(EXACT($H424,UPPER($H424)),EXACT($H424,LOWER($H424))))),"Review capitalization in First Name, Last Name, or City; ","")&amp;IF(AND($N424&lt;&gt;"",NOT(EXACT($N424,LOWER($N424)))),"Email will be standardized to lowercase in the clean output; ","")&amp;IF(AND(OR('START HERE'!$C$8="Initial Enrollment",'START HERE'!$C$8="Open Enrollment"),$R424="Terminated"),"A terminated row is included in an initial or open enrollment file; confirm this is intentional; ",""))</f>
        <v/>
      </c>
      <c r="AE424">
        <f>IF(COUNTA($A424:$U424)=0,"",IF(OR($A424="",AND($A424&lt;&gt;"",NOT(IFERROR(AND(LEN($A424&amp;"")=9,ISNUMBER(--($A424&amp;""))),FALSE))),AND($A424&lt;&gt;"",OR($A424="123456789",$A424="987654321",$A424="012345678",$A424=REPT(LEFT($A424&amp;"",1),9)))),"Employee SSN, ","")&amp;IF(OR(AND($O424&lt;&gt;"",$B424=""),AND($B424&lt;&gt;"",OR(NOT(IFERROR(AND(LEN($B424&amp;"")=9,ISNUMBER(--($B424&amp;""))),FALSE)),$B424=$A424,$B424="123456789",$B424="987654321",$B424="012345678",$B424=REPT(LEFT($B424&amp;"",1),9)))),"Dependent SSN, ","")&amp;IF(OR($C424="",LEN($C424)&gt;19,AND($C424&lt;&gt;"",SUMPRODUCT(--(ROW($1:$19)&lt;=LEN($C424&amp;"")),--ISERROR(FIND(MID($C424&amp;"",ROW($1:$19),1),"ABCDEFGHIJKLMNOPQRSTUVWXYZabcdefghijklmnopqrstuvwxyz .,")))&gt;0)),"First Name, ","")&amp;IF(OR($D424="",LEN($D424)&gt;26,AND($D424&lt;&gt;"",SUMPRODUCT(--(ROW($1:$26)&lt;=LEN($D424&amp;"")),--ISERROR(FIND(MID($D424&amp;"",ROW($1:$26),1),"ABCDEFGHIJKLMNOPQRSTUVWXYZabcdefghijklmnopqrstuvwxyz .,")))&gt;0)),"Last Name, ","")&amp;IF(OR(LEN($E424)&gt;1,AND($E424&lt;&gt;"",SUMPRODUCT(--(ROW($1:$1)&lt;=LEN($E424&amp;"")),--ISERROR(FIND(MID($E424&amp;"",ROW($1:$1),1),"ABCDEFGHIJKLMNOPQRSTUVWXYZabcdefghijklmnopqrstuvwxyz .,")))&gt;0)),"Middle Initial, ","")&amp;IF(OR($F424="",LEN($F424)&gt;75),"Address, ","")&amp;IF(OR($H424="",LEN($H424)&gt;30),"City, ","")&amp;IF(AND($K424="US",OR($I424="",LEN($I424)&lt;&gt;2)),"State, ","")&amp;IF($J424="","ZIP, ","")&amp;IF(OR($K424="",AND($K424&lt;&gt;"US",$K424&lt;&gt;"CA")),"Country, ","")&amp;IF(OR($L424="",AND($L424&lt;&gt;"",OR(NOT(ISNUMBER($L424)),$L424&lt;=DATE(1900,1,1),$L424&gt;TODAY()))),"Birthdate, ","")&amp;IF(AND($N424&lt;&gt;"",NOT(IFERROR(AND(ISNUMBER(SEARCH("@",$N424)),ISNUMBER(SEARCH(".",$N424,SEARCH("@",$N424)+2))),FALSE))),"Email, ","")&amp;IF(OR(AND($B424&lt;&gt;"",$O424=""),AND($O424&lt;&gt;"",$O424&lt;&gt;"Spouse or Common Law Spouse",$O424&lt;&gt;"Domestic Partner",$O424&lt;&gt;"Child",$O424&lt;&gt;"Other",$O424&lt;&gt;"Estate",$O424&lt;&gt;"Unknown")),"Dependent Relationship, ","")&amp;IF($AA424&lt;&gt;"","Household, ","")&amp;IF(OR($P424="",AND($P424&lt;&gt;"",OR(NOT(ISNUMBER($P424)),$P424&lt;=DATE(1900,1,1)))),"Eligibility Date, ","")&amp;IF(OR(AND($R424="Terminated",$Q424=""),AND($Q424&lt;&gt;"",OR(NOT(ISNUMBER($Q424)),$Q424&lt;=DATE(1900,1,1))),AND(ISNUMBER($P424),ISNUMBER($Q424),$Q424&lt;$P424)),"Termination Date, ","")&amp;IF(OR($R424="",AND($R424&lt;&gt;"Active",$R424&lt;&gt;"Terminated"),AND('START HERE'!$C$8="Terminations Only",$R424&lt;&gt;"Terminated")),"Status, ","")&amp;IF($S424="","Plan Name, ","")&amp;IF($T424="","Coverage Level, ","")&amp;IF(AND($U424&lt;&gt;"",OR(NOT(ISNUMBER($U424)),$U424&lt;0)),"Funding, ","")&amp;IF(AND($A424&lt;&gt;"",$S424&lt;&gt;"",COUNTIFS($A$2:$A$501,$A424,$B$2:$B$501,$B424,$S$2:$S$501,$S424)&gt;1),"Duplicate Row, ",""))</f>
        <v/>
      </c>
      <c r="AF424">
        <f>IF(COUNTA($A424:$U424)=0,"",$Y424&amp;$Z424&amp;$AA424&amp;$AB424&amp;$AC424)</f>
        <v/>
      </c>
      <c r="AG424">
        <f>IF($N424="","",LOWER(TRIM($N424)))</f>
        <v/>
      </c>
      <c r="AH424">
        <f>IF($A424="","",COUNTIFS($A$2:$A$501,$A424,$AI$2:$AI$501,1))</f>
        <v/>
      </c>
      <c r="AI424">
        <f>IF(COUNTA($A424:$U424)=0,"",--($AF424&lt;&gt;""))</f>
        <v/>
      </c>
      <c r="AJ424">
        <f>IF(COUNTA($A424:$U424)=0,"",--($AD424&lt;&gt;""))</f>
        <v/>
      </c>
    </row>
    <row r="425" ht="20" customHeight="1">
      <c r="A425" s="80" t="n"/>
      <c r="B425" s="80" t="n"/>
      <c r="C425" s="81" t="n"/>
      <c r="D425" s="81" t="n"/>
      <c r="E425" s="80" t="n"/>
      <c r="F425" s="81" t="n"/>
      <c r="G425" s="81" t="n"/>
      <c r="H425" s="81" t="n"/>
      <c r="I425" s="80" t="n"/>
      <c r="J425" s="80" t="n"/>
      <c r="K425" s="80" t="n"/>
      <c r="L425" s="82" t="n"/>
      <c r="M425" s="80" t="n"/>
      <c r="N425" s="80" t="n"/>
      <c r="O425" s="80" t="n"/>
      <c r="P425" s="82" t="n"/>
      <c r="Q425" s="82" t="n"/>
      <c r="R425" s="80" t="n"/>
      <c r="S425" s="80" t="n"/>
      <c r="T425" s="80" t="n"/>
      <c r="U425" s="83" t="n"/>
      <c r="V425">
        <f>IF($A425="","",IF($A425=$A424,$V424,IF($V424="",0,1-$V424)))</f>
        <v/>
      </c>
      <c r="W425">
        <f>IF($B425&lt;&gt;"",$B425,$A425)</f>
        <v/>
      </c>
      <c r="X425">
        <f>IF(COUNTA($A425:$U425)=0,"",IF(OR($B425&lt;&gt;"",$O425&lt;&gt;""),"Dependent","Employee"))</f>
        <v/>
      </c>
      <c r="Y425">
        <f>IF(COUNTA($A425:$U425)=0,"",IF($A425="","Employee SSN is required; ","")&amp;IF($C425="","First Name is required; ","")&amp;IF(LEN($C425&amp;"")&gt;19,"First Name exceeds 19 characters; ","")&amp;IF(AND($C425&lt;&gt;"",SUMPRODUCT(--(ROW($1:$19)&lt;=LEN($C425&amp;"")),--ISERROR(FIND(MID($C425&amp;"",ROW($1:$19),1),"ABCDEFGHIJKLMNOPQRSTUVWXYZabcdefghijklmnopqrstuvwxyz .,")))&gt;0),"First Name contains unsupported or encoded characters; use plain A-Z letters only; ","")&amp;IF($D425="","Last Name is required; ","")&amp;IF(LEN($D425&amp;"")&gt;26,"Last Name exceeds 26 characters; ","")&amp;IF(AND($D425&lt;&gt;"",SUMPRODUCT(--(ROW($1:$26)&lt;=LEN($D425&amp;"")),--ISERROR(FIND(MID($D425&amp;"",ROW($1:$26),1),"ABCDEFGHIJKLMNOPQRSTUVWXYZabcdefghijklmnopqrstuvwxyz .,")))&gt;0),"Last Name contains unsupported or encoded characters; use plain A-Z letters only; ","")&amp;IF(LEN($E425&amp;"")&gt;1,"Middle Initial may contain only one character; ","")&amp;IF(AND($E425&lt;&gt;"",SUMPRODUCT(--(ROW($1:$1)&lt;=LEN($E425&amp;"")),--ISERROR(FIND(MID($E425&amp;"",ROW($1:$1),1),"ABCDEFGHIJKLMNOPQRSTUVWXYZabcdefghijklmnopqrstuvwxyz .,")))&gt;0),"Middle Initial must be a plain A-Z letter; ","")&amp;IF($F425="","Address is required; ","")&amp;IF(LEN($F425&amp;"")&gt;75,"Address exceeds 75 characters; ","")&amp;IF(LEN($G425&amp;"")&gt;75,"Address 2 exceeds 75 characters; ","")&amp;IF($H425="","City is required; ","")&amp;IF(LEN($H425&amp;"")&gt;30,"City exceeds 30 characters; ","")&amp;IF($K425="","Country is required; ","")&amp;IF(AND($K425&lt;&gt;"",$K425&lt;&gt;"US",$K425&lt;&gt;"CA"),"Country must be US or CA; ","")&amp;IF(AND($K425="US",OR($I425="",LEN($I425&amp;"")&lt;&gt;2)),"Use a 2-letter state code; ","")&amp;IF($J425="","ZIP or postal code is required; ","")&amp;IF(AND($K425="US",$J425&lt;&gt;"",NOT(IFERROR(OR(AND(LEN($J425&amp;"")=5,ISNUMBER(--($J425&amp;""))),AND(LEN($J425&amp;"")=9,ISNUMBER(--($J425&amp;""))),AND(LEN($J425&amp;"")=10,MID($J425&amp;"",6,1)="-",ISNUMBER(--SUBSTITUTE($J425&amp;"","-","")))),FALSE))),"US ZIP must be 5 or 9 digits, with an optional ZIP+4 hyphen; ","")&amp;IF(AND($N425&lt;&gt;"",NOT(IFERROR(AND(ISNUMBER(SEARCH("@",$N425)),ISNUMBER(SEARCH(".",$N425,SEARCH("@",$N425)+2))),FALSE))),"Email format appears invalid; ","")&amp;IF(AND($O425&lt;&gt;"",$B425=""),"Dependent SSN is required for every dependent; ","")&amp;IF(AND($B425&lt;&gt;"",$O425=""),"Dependent Relationship is required when Dependent SSN is entered; ","")&amp;IF(AND($O425&lt;&gt;"",$O425&lt;&gt;"Spouse or Common Law Spouse",$O425&lt;&gt;"Domestic Partner",$O425&lt;&gt;"Child",$O425&lt;&gt;"Other",$O425&lt;&gt;"Estate",$O425&lt;&gt;"Unknown"),"Dependent Relationship must use one of the approved options; ",""))</f>
        <v/>
      </c>
      <c r="Z425">
        <f>IF(COUNTA($A425:$U425)=0,"",IF(AND($A425&lt;&gt;"",NOT(IFERROR(AND(LEN($A425&amp;"")=9,ISNUMBER(--($A425&amp;""))),FALSE))),"Employee SSN must contain exactly 9 digits; ","")&amp;IF(AND($A425&lt;&gt;"",OR($A425="123456789",$A425="987654321",$A425="012345678",$A425=REPT(LEFT($A425&amp;"",1),9))),"Employee SSN appears to be a placeholder; ","")&amp;IF(AND($B425&lt;&gt;"",NOT(IFERROR(AND(LEN($B425&amp;"")=9,ISNUMBER(--($B425&amp;""))),FALSE))),"Dependent SSN must contain exactly 9 digits; ","")&amp;IF(AND($B425&lt;&gt;"",OR($B425="123456789",$B425="987654321",$B425="012345678",$B425=REPT(LEFT($B425&amp;"",1),9))),"Dependent SSN appears to be a placeholder; ","")&amp;IF(AND($A425&lt;&gt;"",$B425&lt;&gt;"",$A425&amp;""=$B425&amp;""),"Dependent SSN cannot match Employee SSN; ","")&amp;IF(AND($W425&lt;&gt;"",OR(COUNTIFS($W$2:$W$501,$W425,$C$2:$C$501,"&lt;&gt;"&amp;$C425)&gt;0,COUNTIFS($W$2:$W$501,$W425,$D$2:$D$501,"&lt;&gt;"&amp;$D425)&gt;0,COUNTIFS($W$2:$W$501,$W425,$L$2:$L$501,"&lt;&gt;"&amp;$L425)&gt;0)),"The same SSN is associated with a different name or birthdate; ",""))</f>
        <v/>
      </c>
      <c r="AA425">
        <f>IF(COUNTA($A425:$U425)=0,"",IF(AND($A425&lt;&gt;"",$S425&lt;&gt;"",COUNTIFS($A$2:$A$501,$A425,$S$2:$S$501,$S425,$B$2:$B$501,"",$O$2:$O$501,"")=0),"Add an employee row for this household and plan; ","")&amp;IF(AND($X425="Dependent",COUNTIFS($A$2:$A425,$A425,$S$2:$S425,$S425,$B$2:$B425,"",$O$2:$O425,"")=0),"Place the employee row before dependent rows for this plan; ","")&amp;IF(AND($X425="Dependent",COUNTIFS($A$2:$A$501,$A425,$S$2:$S$501,$S425,$B$2:$B$501,"",$O$2:$O$501,"")&gt;0,IFERROR(OR($P425&lt;&gt;LOOKUP(2,1/(($A$2:$A$501=$A425)*($S$2:$S$501=$S425)*($B$2:$B$501="")*($O$2:$O$501="")),$P$2:$P$501),$Q425&lt;&gt;LOOKUP(2,1/(($A$2:$A$501=$A425)*($S$2:$S$501=$S425)*($B$2:$B$501="")*($O$2:$O$501="")),$Q$2:$Q$501),$R425&lt;&gt;LOOKUP(2,1/(($A$2:$A$501=$A425)*($S$2:$S$501=$S425)*($B$2:$B$501="")*($O$2:$O$501="")),$R$2:$R$501),$T425&lt;&gt;LOOKUP(2,1/(($A$2:$A$501=$A425)*($S$2:$S$501=$S425)*($B$2:$B$501="")*($O$2:$O$501="")),$T$2:$T$501),$U425&lt;&gt;LOOKUP(2,1/(($A$2:$A$501=$A425)*($S$2:$S$501=$S425)*($B$2:$B$501="")*($O$2:$O$501="")),$U$2:$U$501)),FALSE)),"Dependent row does not match the employee row for eligibility, status, coverage level, or funding; ",""))</f>
        <v/>
      </c>
      <c r="AB425">
        <f>IF(COUNTA($A425:$U425)=0,"",IF($L425="","Birthdate is required; ","")&amp;IF(AND($L425&lt;&gt;"",OR(NOT(ISNUMBER($L425)),$L425&lt;=DATE(1900,1,1),$L425&gt;TODAY())),"Birthdate must be an exact valid past date; ","")&amp;IF($P425="","Eligibility Date is required; ","")&amp;IF(AND($P425&lt;&gt;"",OR(NOT(ISNUMBER($P425)),$P425&lt;=DATE(1900,1,1))),"Eligibility Date must be a valid date; ","")&amp;IF(AND($R425="Terminated",$Q425=""),"Termination Date is required when Status is Terminated; ","")&amp;IF(AND($Q425&lt;&gt;"",OR(NOT(ISNUMBER($Q425)),$Q425&lt;=DATE(1900,1,1))),"Termination Date must be a valid date; ","")&amp;IF(AND(ISNUMBER($P425),ISNUMBER($Q425),$Q425&lt;$P425),"Termination Date cannot be before Eligibility Date; ","")&amp;IF($R425="","Status is required; ","")&amp;IF(AND($R425&lt;&gt;"",$R425&lt;&gt;"Active",$R425&lt;&gt;"Terminated"),"Status must be Active or Terminated; ","")&amp;IF(AND('START HERE'!$C$8="Terminations Only",$R425&lt;&gt;"Terminated"),"Terminations Only files must contain terminated records; ",""))</f>
        <v/>
      </c>
      <c r="AC425">
        <f>IF(COUNTA($A425:$U425)=0,"",IF($S425="","Plan Name is required; ","")&amp;IF($T425="","Benefit Coverage Level is required; ","")&amp;IF(AND($U425&lt;&gt;"",OR(NOT(ISNUMBER($U425)),$U425&lt;0)),"Plan Funding Amount must be a nonnegative number; ","")&amp;IF(AND($A425&lt;&gt;"",$S425&lt;&gt;"",COUNTIFS($A$2:$A$501,$A425,$B$2:$B$501,$B425,$S$2:$S$501,$S425)&gt;1),"Duplicate participant and plan row; ",""))</f>
        <v/>
      </c>
      <c r="AD425">
        <f>IF(COUNTA($A425:$U425)=0,"",IF(AND($X425="Employee",$M425="",$N425=""),"No employee phone or email provided; ","")&amp;IF(AND($R425="Active",$Q425&lt;&gt;""),"Active record includes a Termination Date; confirm this is intentional; ","")&amp;IF(AND($B425&lt;&gt;"",$B425&amp;""&lt;&gt;$A425&amp;"",COUNTIF($A$2:$A$501,$B425)&gt;0),"Dependent SSN also appears as an Employee SSN elsewhere; confirm dual-employee coverage is intentional; ","")&amp;IF(AND($B425&lt;&gt;"",COUNTIF($B$2:$B$501,$B425)&gt;COUNTIFS($A$2:$A$501,$A425,$B$2:$B$501,$B425)),"Dependent SSN appears under more than one employee; confirm duplicate family coverage is intentional; ","")&amp;IF(AND(ROW()&gt;2,$A425&lt;&gt;"",$A425&lt;&gt;$A424,COUNTIF($A$2:$A424,$A425)&gt;0),"This household appears in more than one section of the census; keep the family together; ","")&amp;IF(OR(AND($C425&lt;&gt;"",LEN($C425&amp;"")&lt;&gt;LEN(TRIM($C425&amp;""))),AND($D425&lt;&gt;"",LEN($D425&amp;"")&lt;&gt;LEN(TRIM($D425&amp;""))),AND($E425&lt;&gt;"",LEN($E425&amp;"")&lt;&gt;LEN(TRIM($E425&amp;""))),AND($F425&lt;&gt;"",LEN($F425&amp;"")&lt;&gt;LEN(TRIM($F425&amp;""))),AND($G425&lt;&gt;"",LEN($G425&amp;"")&lt;&gt;LEN(TRIM($G425&amp;""))),AND($H425&lt;&gt;"",LEN($H425&amp;"")&lt;&gt;LEN(TRIM($H425&amp;""))),AND($I425&lt;&gt;"",LEN($I425&amp;"")&lt;&gt;LEN(TRIM($I425&amp;""))),AND($J425&lt;&gt;"",LEN($J425&amp;"")&lt;&gt;LEN(TRIM($J425&amp;""))),AND($K425&lt;&gt;"",LEN($K425&amp;"")&lt;&gt;LEN(TRIM($K425&amp;""))),AND($M425&lt;&gt;"",LEN($M425&amp;"")&lt;&gt;LEN(TRIM($M425&amp;""))),AND($N425&lt;&gt;"",LEN($N425&amp;"")&lt;&gt;LEN(TRIM($N425&amp;""))),AND($O425&lt;&gt;"",LEN($O425&amp;"")&lt;&gt;LEN(TRIM($O425&amp;""))),AND($R425&lt;&gt;"",LEN($R425&amp;"")&lt;&gt;LEN(TRIM($R425&amp;""))),AND($S425&lt;&gt;"",LEN($S425&amp;"")&lt;&gt;LEN(TRIM($S425&amp;""))),AND($T425&lt;&gt;"",LEN($T425&amp;"")&lt;&gt;LEN(TRIM($T425&amp;"")))),"Remove leading or trailing spaces from text fields; ","")&amp;IF(OR(AND(LEN($C425)&gt;1,OR(EXACT($C425,UPPER($C425)),EXACT($C425,LOWER($C425)))),AND(LEN($D425)&gt;1,OR(EXACT($D425,UPPER($D425)),EXACT($D425,LOWER($D425)))),AND(LEN($H425)&gt;1,OR(EXACT($H425,UPPER($H425)),EXACT($H425,LOWER($H425))))),"Review capitalization in First Name, Last Name, or City; ","")&amp;IF(AND($N425&lt;&gt;"",NOT(EXACT($N425,LOWER($N425)))),"Email will be standardized to lowercase in the clean output; ","")&amp;IF(AND(OR('START HERE'!$C$8="Initial Enrollment",'START HERE'!$C$8="Open Enrollment"),$R425="Terminated"),"A terminated row is included in an initial or open enrollment file; confirm this is intentional; ",""))</f>
        <v/>
      </c>
      <c r="AE425">
        <f>IF(COUNTA($A425:$U425)=0,"",IF(OR($A425="",AND($A425&lt;&gt;"",NOT(IFERROR(AND(LEN($A425&amp;"")=9,ISNUMBER(--($A425&amp;""))),FALSE))),AND($A425&lt;&gt;"",OR($A425="123456789",$A425="987654321",$A425="012345678",$A425=REPT(LEFT($A425&amp;"",1),9)))),"Employee SSN, ","")&amp;IF(OR(AND($O425&lt;&gt;"",$B425=""),AND($B425&lt;&gt;"",OR(NOT(IFERROR(AND(LEN($B425&amp;"")=9,ISNUMBER(--($B425&amp;""))),FALSE)),$B425=$A425,$B425="123456789",$B425="987654321",$B425="012345678",$B425=REPT(LEFT($B425&amp;"",1),9)))),"Dependent SSN, ","")&amp;IF(OR($C425="",LEN($C425)&gt;19,AND($C425&lt;&gt;"",SUMPRODUCT(--(ROW($1:$19)&lt;=LEN($C425&amp;"")),--ISERROR(FIND(MID($C425&amp;"",ROW($1:$19),1),"ABCDEFGHIJKLMNOPQRSTUVWXYZabcdefghijklmnopqrstuvwxyz .,")))&gt;0)),"First Name, ","")&amp;IF(OR($D425="",LEN($D425)&gt;26,AND($D425&lt;&gt;"",SUMPRODUCT(--(ROW($1:$26)&lt;=LEN($D425&amp;"")),--ISERROR(FIND(MID($D425&amp;"",ROW($1:$26),1),"ABCDEFGHIJKLMNOPQRSTUVWXYZabcdefghijklmnopqrstuvwxyz .,")))&gt;0)),"Last Name, ","")&amp;IF(OR(LEN($E425)&gt;1,AND($E425&lt;&gt;"",SUMPRODUCT(--(ROW($1:$1)&lt;=LEN($E425&amp;"")),--ISERROR(FIND(MID($E425&amp;"",ROW($1:$1),1),"ABCDEFGHIJKLMNOPQRSTUVWXYZabcdefghijklmnopqrstuvwxyz .,")))&gt;0)),"Middle Initial, ","")&amp;IF(OR($F425="",LEN($F425)&gt;75),"Address, ","")&amp;IF(OR($H425="",LEN($H425)&gt;30),"City, ","")&amp;IF(AND($K425="US",OR($I425="",LEN($I425)&lt;&gt;2)),"State, ","")&amp;IF($J425="","ZIP, ","")&amp;IF(OR($K425="",AND($K425&lt;&gt;"US",$K425&lt;&gt;"CA")),"Country, ","")&amp;IF(OR($L425="",AND($L425&lt;&gt;"",OR(NOT(ISNUMBER($L425)),$L425&lt;=DATE(1900,1,1),$L425&gt;TODAY()))),"Birthdate, ","")&amp;IF(AND($N425&lt;&gt;"",NOT(IFERROR(AND(ISNUMBER(SEARCH("@",$N425)),ISNUMBER(SEARCH(".",$N425,SEARCH("@",$N425)+2))),FALSE))),"Email, ","")&amp;IF(OR(AND($B425&lt;&gt;"",$O425=""),AND($O425&lt;&gt;"",$O425&lt;&gt;"Spouse or Common Law Spouse",$O425&lt;&gt;"Domestic Partner",$O425&lt;&gt;"Child",$O425&lt;&gt;"Other",$O425&lt;&gt;"Estate",$O425&lt;&gt;"Unknown")),"Dependent Relationship, ","")&amp;IF($AA425&lt;&gt;"","Household, ","")&amp;IF(OR($P425="",AND($P425&lt;&gt;"",OR(NOT(ISNUMBER($P425)),$P425&lt;=DATE(1900,1,1)))),"Eligibility Date, ","")&amp;IF(OR(AND($R425="Terminated",$Q425=""),AND($Q425&lt;&gt;"",OR(NOT(ISNUMBER($Q425)),$Q425&lt;=DATE(1900,1,1))),AND(ISNUMBER($P425),ISNUMBER($Q425),$Q425&lt;$P425)),"Termination Date, ","")&amp;IF(OR($R425="",AND($R425&lt;&gt;"Active",$R425&lt;&gt;"Terminated"),AND('START HERE'!$C$8="Terminations Only",$R425&lt;&gt;"Terminated")),"Status, ","")&amp;IF($S425="","Plan Name, ","")&amp;IF($T425="","Coverage Level, ","")&amp;IF(AND($U425&lt;&gt;"",OR(NOT(ISNUMBER($U425)),$U425&lt;0)),"Funding, ","")&amp;IF(AND($A425&lt;&gt;"",$S425&lt;&gt;"",COUNTIFS($A$2:$A$501,$A425,$B$2:$B$501,$B425,$S$2:$S$501,$S425)&gt;1),"Duplicate Row, ",""))</f>
        <v/>
      </c>
      <c r="AF425">
        <f>IF(COUNTA($A425:$U425)=0,"",$Y425&amp;$Z425&amp;$AA425&amp;$AB425&amp;$AC425)</f>
        <v/>
      </c>
      <c r="AG425">
        <f>IF($N425="","",LOWER(TRIM($N425)))</f>
        <v/>
      </c>
      <c r="AH425">
        <f>IF($A425="","",COUNTIFS($A$2:$A$501,$A425,$AI$2:$AI$501,1))</f>
        <v/>
      </c>
      <c r="AI425">
        <f>IF(COUNTA($A425:$U425)=0,"",--($AF425&lt;&gt;""))</f>
        <v/>
      </c>
      <c r="AJ425">
        <f>IF(COUNTA($A425:$U425)=0,"",--($AD425&lt;&gt;""))</f>
        <v/>
      </c>
    </row>
    <row r="426" ht="20" customHeight="1">
      <c r="A426" s="80" t="n"/>
      <c r="B426" s="80" t="n"/>
      <c r="C426" s="81" t="n"/>
      <c r="D426" s="81" t="n"/>
      <c r="E426" s="80" t="n"/>
      <c r="F426" s="81" t="n"/>
      <c r="G426" s="81" t="n"/>
      <c r="H426" s="81" t="n"/>
      <c r="I426" s="80" t="n"/>
      <c r="J426" s="80" t="n"/>
      <c r="K426" s="80" t="n"/>
      <c r="L426" s="82" t="n"/>
      <c r="M426" s="80" t="n"/>
      <c r="N426" s="80" t="n"/>
      <c r="O426" s="80" t="n"/>
      <c r="P426" s="82" t="n"/>
      <c r="Q426" s="82" t="n"/>
      <c r="R426" s="80" t="n"/>
      <c r="S426" s="80" t="n"/>
      <c r="T426" s="80" t="n"/>
      <c r="U426" s="83" t="n"/>
      <c r="V426">
        <f>IF($A426="","",IF($A426=$A425,$V425,IF($V425="",0,1-$V425)))</f>
        <v/>
      </c>
      <c r="W426">
        <f>IF($B426&lt;&gt;"",$B426,$A426)</f>
        <v/>
      </c>
      <c r="X426">
        <f>IF(COUNTA($A426:$U426)=0,"",IF(OR($B426&lt;&gt;"",$O426&lt;&gt;""),"Dependent","Employee"))</f>
        <v/>
      </c>
      <c r="Y426">
        <f>IF(COUNTA($A426:$U426)=0,"",IF($A426="","Employee SSN is required; ","")&amp;IF($C426="","First Name is required; ","")&amp;IF(LEN($C426&amp;"")&gt;19,"First Name exceeds 19 characters; ","")&amp;IF(AND($C426&lt;&gt;"",SUMPRODUCT(--(ROW($1:$19)&lt;=LEN($C426&amp;"")),--ISERROR(FIND(MID($C426&amp;"",ROW($1:$19),1),"ABCDEFGHIJKLMNOPQRSTUVWXYZabcdefghijklmnopqrstuvwxyz .,")))&gt;0),"First Name contains unsupported or encoded characters; use plain A-Z letters only; ","")&amp;IF($D426="","Last Name is required; ","")&amp;IF(LEN($D426&amp;"")&gt;26,"Last Name exceeds 26 characters; ","")&amp;IF(AND($D426&lt;&gt;"",SUMPRODUCT(--(ROW($1:$26)&lt;=LEN($D426&amp;"")),--ISERROR(FIND(MID($D426&amp;"",ROW($1:$26),1),"ABCDEFGHIJKLMNOPQRSTUVWXYZabcdefghijklmnopqrstuvwxyz .,")))&gt;0),"Last Name contains unsupported or encoded characters; use plain A-Z letters only; ","")&amp;IF(LEN($E426&amp;"")&gt;1,"Middle Initial may contain only one character; ","")&amp;IF(AND($E426&lt;&gt;"",SUMPRODUCT(--(ROW($1:$1)&lt;=LEN($E426&amp;"")),--ISERROR(FIND(MID($E426&amp;"",ROW($1:$1),1),"ABCDEFGHIJKLMNOPQRSTUVWXYZabcdefghijklmnopqrstuvwxyz .,")))&gt;0),"Middle Initial must be a plain A-Z letter; ","")&amp;IF($F426="","Address is required; ","")&amp;IF(LEN($F426&amp;"")&gt;75,"Address exceeds 75 characters; ","")&amp;IF(LEN($G426&amp;"")&gt;75,"Address 2 exceeds 75 characters; ","")&amp;IF($H426="","City is required; ","")&amp;IF(LEN($H426&amp;"")&gt;30,"City exceeds 30 characters; ","")&amp;IF($K426="","Country is required; ","")&amp;IF(AND($K426&lt;&gt;"",$K426&lt;&gt;"US",$K426&lt;&gt;"CA"),"Country must be US or CA; ","")&amp;IF(AND($K426="US",OR($I426="",LEN($I426&amp;"")&lt;&gt;2)),"Use a 2-letter state code; ","")&amp;IF($J426="","ZIP or postal code is required; ","")&amp;IF(AND($K426="US",$J426&lt;&gt;"",NOT(IFERROR(OR(AND(LEN($J426&amp;"")=5,ISNUMBER(--($J426&amp;""))),AND(LEN($J426&amp;"")=9,ISNUMBER(--($J426&amp;""))),AND(LEN($J426&amp;"")=10,MID($J426&amp;"",6,1)="-",ISNUMBER(--SUBSTITUTE($J426&amp;"","-","")))),FALSE))),"US ZIP must be 5 or 9 digits, with an optional ZIP+4 hyphen; ","")&amp;IF(AND($N426&lt;&gt;"",NOT(IFERROR(AND(ISNUMBER(SEARCH("@",$N426)),ISNUMBER(SEARCH(".",$N426,SEARCH("@",$N426)+2))),FALSE))),"Email format appears invalid; ","")&amp;IF(AND($O426&lt;&gt;"",$B426=""),"Dependent SSN is required for every dependent; ","")&amp;IF(AND($B426&lt;&gt;"",$O426=""),"Dependent Relationship is required when Dependent SSN is entered; ","")&amp;IF(AND($O426&lt;&gt;"",$O426&lt;&gt;"Spouse or Common Law Spouse",$O426&lt;&gt;"Domestic Partner",$O426&lt;&gt;"Child",$O426&lt;&gt;"Other",$O426&lt;&gt;"Estate",$O426&lt;&gt;"Unknown"),"Dependent Relationship must use one of the approved options; ",""))</f>
        <v/>
      </c>
      <c r="Z426">
        <f>IF(COUNTA($A426:$U426)=0,"",IF(AND($A426&lt;&gt;"",NOT(IFERROR(AND(LEN($A426&amp;"")=9,ISNUMBER(--($A426&amp;""))),FALSE))),"Employee SSN must contain exactly 9 digits; ","")&amp;IF(AND($A426&lt;&gt;"",OR($A426="123456789",$A426="987654321",$A426="012345678",$A426=REPT(LEFT($A426&amp;"",1),9))),"Employee SSN appears to be a placeholder; ","")&amp;IF(AND($B426&lt;&gt;"",NOT(IFERROR(AND(LEN($B426&amp;"")=9,ISNUMBER(--($B426&amp;""))),FALSE))),"Dependent SSN must contain exactly 9 digits; ","")&amp;IF(AND($B426&lt;&gt;"",OR($B426="123456789",$B426="987654321",$B426="012345678",$B426=REPT(LEFT($B426&amp;"",1),9))),"Dependent SSN appears to be a placeholder; ","")&amp;IF(AND($A426&lt;&gt;"",$B426&lt;&gt;"",$A426&amp;""=$B426&amp;""),"Dependent SSN cannot match Employee SSN; ","")&amp;IF(AND($W426&lt;&gt;"",OR(COUNTIFS($W$2:$W$501,$W426,$C$2:$C$501,"&lt;&gt;"&amp;$C426)&gt;0,COUNTIFS($W$2:$W$501,$W426,$D$2:$D$501,"&lt;&gt;"&amp;$D426)&gt;0,COUNTIFS($W$2:$W$501,$W426,$L$2:$L$501,"&lt;&gt;"&amp;$L426)&gt;0)),"The same SSN is associated with a different name or birthdate; ",""))</f>
        <v/>
      </c>
      <c r="AA426">
        <f>IF(COUNTA($A426:$U426)=0,"",IF(AND($A426&lt;&gt;"",$S426&lt;&gt;"",COUNTIFS($A$2:$A$501,$A426,$S$2:$S$501,$S426,$B$2:$B$501,"",$O$2:$O$501,"")=0),"Add an employee row for this household and plan; ","")&amp;IF(AND($X426="Dependent",COUNTIFS($A$2:$A426,$A426,$S$2:$S426,$S426,$B$2:$B426,"",$O$2:$O426,"")=0),"Place the employee row before dependent rows for this plan; ","")&amp;IF(AND($X426="Dependent",COUNTIFS($A$2:$A$501,$A426,$S$2:$S$501,$S426,$B$2:$B$501,"",$O$2:$O$501,"")&gt;0,IFERROR(OR($P426&lt;&gt;LOOKUP(2,1/(($A$2:$A$501=$A426)*($S$2:$S$501=$S426)*($B$2:$B$501="")*($O$2:$O$501="")),$P$2:$P$501),$Q426&lt;&gt;LOOKUP(2,1/(($A$2:$A$501=$A426)*($S$2:$S$501=$S426)*($B$2:$B$501="")*($O$2:$O$501="")),$Q$2:$Q$501),$R426&lt;&gt;LOOKUP(2,1/(($A$2:$A$501=$A426)*($S$2:$S$501=$S426)*($B$2:$B$501="")*($O$2:$O$501="")),$R$2:$R$501),$T426&lt;&gt;LOOKUP(2,1/(($A$2:$A$501=$A426)*($S$2:$S$501=$S426)*($B$2:$B$501="")*($O$2:$O$501="")),$T$2:$T$501),$U426&lt;&gt;LOOKUP(2,1/(($A$2:$A$501=$A426)*($S$2:$S$501=$S426)*($B$2:$B$501="")*($O$2:$O$501="")),$U$2:$U$501)),FALSE)),"Dependent row does not match the employee row for eligibility, status, coverage level, or funding; ",""))</f>
        <v/>
      </c>
      <c r="AB426">
        <f>IF(COUNTA($A426:$U426)=0,"",IF($L426="","Birthdate is required; ","")&amp;IF(AND($L426&lt;&gt;"",OR(NOT(ISNUMBER($L426)),$L426&lt;=DATE(1900,1,1),$L426&gt;TODAY())),"Birthdate must be an exact valid past date; ","")&amp;IF($P426="","Eligibility Date is required; ","")&amp;IF(AND($P426&lt;&gt;"",OR(NOT(ISNUMBER($P426)),$P426&lt;=DATE(1900,1,1))),"Eligibility Date must be a valid date; ","")&amp;IF(AND($R426="Terminated",$Q426=""),"Termination Date is required when Status is Terminated; ","")&amp;IF(AND($Q426&lt;&gt;"",OR(NOT(ISNUMBER($Q426)),$Q426&lt;=DATE(1900,1,1))),"Termination Date must be a valid date; ","")&amp;IF(AND(ISNUMBER($P426),ISNUMBER($Q426),$Q426&lt;$P426),"Termination Date cannot be before Eligibility Date; ","")&amp;IF($R426="","Status is required; ","")&amp;IF(AND($R426&lt;&gt;"",$R426&lt;&gt;"Active",$R426&lt;&gt;"Terminated"),"Status must be Active or Terminated; ","")&amp;IF(AND('START HERE'!$C$8="Terminations Only",$R426&lt;&gt;"Terminated"),"Terminations Only files must contain terminated records; ",""))</f>
        <v/>
      </c>
      <c r="AC426">
        <f>IF(COUNTA($A426:$U426)=0,"",IF($S426="","Plan Name is required; ","")&amp;IF($T426="","Benefit Coverage Level is required; ","")&amp;IF(AND($U426&lt;&gt;"",OR(NOT(ISNUMBER($U426)),$U426&lt;0)),"Plan Funding Amount must be a nonnegative number; ","")&amp;IF(AND($A426&lt;&gt;"",$S426&lt;&gt;"",COUNTIFS($A$2:$A$501,$A426,$B$2:$B$501,$B426,$S$2:$S$501,$S426)&gt;1),"Duplicate participant and plan row; ",""))</f>
        <v/>
      </c>
      <c r="AD426">
        <f>IF(COUNTA($A426:$U426)=0,"",IF(AND($X426="Employee",$M426="",$N426=""),"No employee phone or email provided; ","")&amp;IF(AND($R426="Active",$Q426&lt;&gt;""),"Active record includes a Termination Date; confirm this is intentional; ","")&amp;IF(AND($B426&lt;&gt;"",$B426&amp;""&lt;&gt;$A426&amp;"",COUNTIF($A$2:$A$501,$B426)&gt;0),"Dependent SSN also appears as an Employee SSN elsewhere; confirm dual-employee coverage is intentional; ","")&amp;IF(AND($B426&lt;&gt;"",COUNTIF($B$2:$B$501,$B426)&gt;COUNTIFS($A$2:$A$501,$A426,$B$2:$B$501,$B426)),"Dependent SSN appears under more than one employee; confirm duplicate family coverage is intentional; ","")&amp;IF(AND(ROW()&gt;2,$A426&lt;&gt;"",$A426&lt;&gt;$A425,COUNTIF($A$2:$A425,$A426)&gt;0),"This household appears in more than one section of the census; keep the family together; ","")&amp;IF(OR(AND($C426&lt;&gt;"",LEN($C426&amp;"")&lt;&gt;LEN(TRIM($C426&amp;""))),AND($D426&lt;&gt;"",LEN($D426&amp;"")&lt;&gt;LEN(TRIM($D426&amp;""))),AND($E426&lt;&gt;"",LEN($E426&amp;"")&lt;&gt;LEN(TRIM($E426&amp;""))),AND($F426&lt;&gt;"",LEN($F426&amp;"")&lt;&gt;LEN(TRIM($F426&amp;""))),AND($G426&lt;&gt;"",LEN($G426&amp;"")&lt;&gt;LEN(TRIM($G426&amp;""))),AND($H426&lt;&gt;"",LEN($H426&amp;"")&lt;&gt;LEN(TRIM($H426&amp;""))),AND($I426&lt;&gt;"",LEN($I426&amp;"")&lt;&gt;LEN(TRIM($I426&amp;""))),AND($J426&lt;&gt;"",LEN($J426&amp;"")&lt;&gt;LEN(TRIM($J426&amp;""))),AND($K426&lt;&gt;"",LEN($K426&amp;"")&lt;&gt;LEN(TRIM($K426&amp;""))),AND($M426&lt;&gt;"",LEN($M426&amp;"")&lt;&gt;LEN(TRIM($M426&amp;""))),AND($N426&lt;&gt;"",LEN($N426&amp;"")&lt;&gt;LEN(TRIM($N426&amp;""))),AND($O426&lt;&gt;"",LEN($O426&amp;"")&lt;&gt;LEN(TRIM($O426&amp;""))),AND($R426&lt;&gt;"",LEN($R426&amp;"")&lt;&gt;LEN(TRIM($R426&amp;""))),AND($S426&lt;&gt;"",LEN($S426&amp;"")&lt;&gt;LEN(TRIM($S426&amp;""))),AND($T426&lt;&gt;"",LEN($T426&amp;"")&lt;&gt;LEN(TRIM($T426&amp;"")))),"Remove leading or trailing spaces from text fields; ","")&amp;IF(OR(AND(LEN($C426)&gt;1,OR(EXACT($C426,UPPER($C426)),EXACT($C426,LOWER($C426)))),AND(LEN($D426)&gt;1,OR(EXACT($D426,UPPER($D426)),EXACT($D426,LOWER($D426)))),AND(LEN($H426)&gt;1,OR(EXACT($H426,UPPER($H426)),EXACT($H426,LOWER($H426))))),"Review capitalization in First Name, Last Name, or City; ","")&amp;IF(AND($N426&lt;&gt;"",NOT(EXACT($N426,LOWER($N426)))),"Email will be standardized to lowercase in the clean output; ","")&amp;IF(AND(OR('START HERE'!$C$8="Initial Enrollment",'START HERE'!$C$8="Open Enrollment"),$R426="Terminated"),"A terminated row is included in an initial or open enrollment file; confirm this is intentional; ",""))</f>
        <v/>
      </c>
      <c r="AE426">
        <f>IF(COUNTA($A426:$U426)=0,"",IF(OR($A426="",AND($A426&lt;&gt;"",NOT(IFERROR(AND(LEN($A426&amp;"")=9,ISNUMBER(--($A426&amp;""))),FALSE))),AND($A426&lt;&gt;"",OR($A426="123456789",$A426="987654321",$A426="012345678",$A426=REPT(LEFT($A426&amp;"",1),9)))),"Employee SSN, ","")&amp;IF(OR(AND($O426&lt;&gt;"",$B426=""),AND($B426&lt;&gt;"",OR(NOT(IFERROR(AND(LEN($B426&amp;"")=9,ISNUMBER(--($B426&amp;""))),FALSE)),$B426=$A426,$B426="123456789",$B426="987654321",$B426="012345678",$B426=REPT(LEFT($B426&amp;"",1),9)))),"Dependent SSN, ","")&amp;IF(OR($C426="",LEN($C426)&gt;19,AND($C426&lt;&gt;"",SUMPRODUCT(--(ROW($1:$19)&lt;=LEN($C426&amp;"")),--ISERROR(FIND(MID($C426&amp;"",ROW($1:$19),1),"ABCDEFGHIJKLMNOPQRSTUVWXYZabcdefghijklmnopqrstuvwxyz .,")))&gt;0)),"First Name, ","")&amp;IF(OR($D426="",LEN($D426)&gt;26,AND($D426&lt;&gt;"",SUMPRODUCT(--(ROW($1:$26)&lt;=LEN($D426&amp;"")),--ISERROR(FIND(MID($D426&amp;"",ROW($1:$26),1),"ABCDEFGHIJKLMNOPQRSTUVWXYZabcdefghijklmnopqrstuvwxyz .,")))&gt;0)),"Last Name, ","")&amp;IF(OR(LEN($E426)&gt;1,AND($E426&lt;&gt;"",SUMPRODUCT(--(ROW($1:$1)&lt;=LEN($E426&amp;"")),--ISERROR(FIND(MID($E426&amp;"",ROW($1:$1),1),"ABCDEFGHIJKLMNOPQRSTUVWXYZabcdefghijklmnopqrstuvwxyz .,")))&gt;0)),"Middle Initial, ","")&amp;IF(OR($F426="",LEN($F426)&gt;75),"Address, ","")&amp;IF(OR($H426="",LEN($H426)&gt;30),"City, ","")&amp;IF(AND($K426="US",OR($I426="",LEN($I426)&lt;&gt;2)),"State, ","")&amp;IF($J426="","ZIP, ","")&amp;IF(OR($K426="",AND($K426&lt;&gt;"US",$K426&lt;&gt;"CA")),"Country, ","")&amp;IF(OR($L426="",AND($L426&lt;&gt;"",OR(NOT(ISNUMBER($L426)),$L426&lt;=DATE(1900,1,1),$L426&gt;TODAY()))),"Birthdate, ","")&amp;IF(AND($N426&lt;&gt;"",NOT(IFERROR(AND(ISNUMBER(SEARCH("@",$N426)),ISNUMBER(SEARCH(".",$N426,SEARCH("@",$N426)+2))),FALSE))),"Email, ","")&amp;IF(OR(AND($B426&lt;&gt;"",$O426=""),AND($O426&lt;&gt;"",$O426&lt;&gt;"Spouse or Common Law Spouse",$O426&lt;&gt;"Domestic Partner",$O426&lt;&gt;"Child",$O426&lt;&gt;"Other",$O426&lt;&gt;"Estate",$O426&lt;&gt;"Unknown")),"Dependent Relationship, ","")&amp;IF($AA426&lt;&gt;"","Household, ","")&amp;IF(OR($P426="",AND($P426&lt;&gt;"",OR(NOT(ISNUMBER($P426)),$P426&lt;=DATE(1900,1,1)))),"Eligibility Date, ","")&amp;IF(OR(AND($R426="Terminated",$Q426=""),AND($Q426&lt;&gt;"",OR(NOT(ISNUMBER($Q426)),$Q426&lt;=DATE(1900,1,1))),AND(ISNUMBER($P426),ISNUMBER($Q426),$Q426&lt;$P426)),"Termination Date, ","")&amp;IF(OR($R426="",AND($R426&lt;&gt;"Active",$R426&lt;&gt;"Terminated"),AND('START HERE'!$C$8="Terminations Only",$R426&lt;&gt;"Terminated")),"Status, ","")&amp;IF($S426="","Plan Name, ","")&amp;IF($T426="","Coverage Level, ","")&amp;IF(AND($U426&lt;&gt;"",OR(NOT(ISNUMBER($U426)),$U426&lt;0)),"Funding, ","")&amp;IF(AND($A426&lt;&gt;"",$S426&lt;&gt;"",COUNTIFS($A$2:$A$501,$A426,$B$2:$B$501,$B426,$S$2:$S$501,$S426)&gt;1),"Duplicate Row, ",""))</f>
        <v/>
      </c>
      <c r="AF426">
        <f>IF(COUNTA($A426:$U426)=0,"",$Y426&amp;$Z426&amp;$AA426&amp;$AB426&amp;$AC426)</f>
        <v/>
      </c>
      <c r="AG426">
        <f>IF($N426="","",LOWER(TRIM($N426)))</f>
        <v/>
      </c>
      <c r="AH426">
        <f>IF($A426="","",COUNTIFS($A$2:$A$501,$A426,$AI$2:$AI$501,1))</f>
        <v/>
      </c>
      <c r="AI426">
        <f>IF(COUNTA($A426:$U426)=0,"",--($AF426&lt;&gt;""))</f>
        <v/>
      </c>
      <c r="AJ426">
        <f>IF(COUNTA($A426:$U426)=0,"",--($AD426&lt;&gt;""))</f>
        <v/>
      </c>
    </row>
    <row r="427" ht="20" customHeight="1">
      <c r="A427" s="80" t="n"/>
      <c r="B427" s="80" t="n"/>
      <c r="C427" s="81" t="n"/>
      <c r="D427" s="81" t="n"/>
      <c r="E427" s="80" t="n"/>
      <c r="F427" s="81" t="n"/>
      <c r="G427" s="81" t="n"/>
      <c r="H427" s="81" t="n"/>
      <c r="I427" s="80" t="n"/>
      <c r="J427" s="80" t="n"/>
      <c r="K427" s="80" t="n"/>
      <c r="L427" s="82" t="n"/>
      <c r="M427" s="80" t="n"/>
      <c r="N427" s="80" t="n"/>
      <c r="O427" s="80" t="n"/>
      <c r="P427" s="82" t="n"/>
      <c r="Q427" s="82" t="n"/>
      <c r="R427" s="80" t="n"/>
      <c r="S427" s="80" t="n"/>
      <c r="T427" s="80" t="n"/>
      <c r="U427" s="83" t="n"/>
      <c r="V427">
        <f>IF($A427="","",IF($A427=$A426,$V426,IF($V426="",0,1-$V426)))</f>
        <v/>
      </c>
      <c r="W427">
        <f>IF($B427&lt;&gt;"",$B427,$A427)</f>
        <v/>
      </c>
      <c r="X427">
        <f>IF(COUNTA($A427:$U427)=0,"",IF(OR($B427&lt;&gt;"",$O427&lt;&gt;""),"Dependent","Employee"))</f>
        <v/>
      </c>
      <c r="Y427">
        <f>IF(COUNTA($A427:$U427)=0,"",IF($A427="","Employee SSN is required; ","")&amp;IF($C427="","First Name is required; ","")&amp;IF(LEN($C427&amp;"")&gt;19,"First Name exceeds 19 characters; ","")&amp;IF(AND($C427&lt;&gt;"",SUMPRODUCT(--(ROW($1:$19)&lt;=LEN($C427&amp;"")),--ISERROR(FIND(MID($C427&amp;"",ROW($1:$19),1),"ABCDEFGHIJKLMNOPQRSTUVWXYZabcdefghijklmnopqrstuvwxyz .,")))&gt;0),"First Name contains unsupported or encoded characters; use plain A-Z letters only; ","")&amp;IF($D427="","Last Name is required; ","")&amp;IF(LEN($D427&amp;"")&gt;26,"Last Name exceeds 26 characters; ","")&amp;IF(AND($D427&lt;&gt;"",SUMPRODUCT(--(ROW($1:$26)&lt;=LEN($D427&amp;"")),--ISERROR(FIND(MID($D427&amp;"",ROW($1:$26),1),"ABCDEFGHIJKLMNOPQRSTUVWXYZabcdefghijklmnopqrstuvwxyz .,")))&gt;0),"Last Name contains unsupported or encoded characters; use plain A-Z letters only; ","")&amp;IF(LEN($E427&amp;"")&gt;1,"Middle Initial may contain only one character; ","")&amp;IF(AND($E427&lt;&gt;"",SUMPRODUCT(--(ROW($1:$1)&lt;=LEN($E427&amp;"")),--ISERROR(FIND(MID($E427&amp;"",ROW($1:$1),1),"ABCDEFGHIJKLMNOPQRSTUVWXYZabcdefghijklmnopqrstuvwxyz .,")))&gt;0),"Middle Initial must be a plain A-Z letter; ","")&amp;IF($F427="","Address is required; ","")&amp;IF(LEN($F427&amp;"")&gt;75,"Address exceeds 75 characters; ","")&amp;IF(LEN($G427&amp;"")&gt;75,"Address 2 exceeds 75 characters; ","")&amp;IF($H427="","City is required; ","")&amp;IF(LEN($H427&amp;"")&gt;30,"City exceeds 30 characters; ","")&amp;IF($K427="","Country is required; ","")&amp;IF(AND($K427&lt;&gt;"",$K427&lt;&gt;"US",$K427&lt;&gt;"CA"),"Country must be US or CA; ","")&amp;IF(AND($K427="US",OR($I427="",LEN($I427&amp;"")&lt;&gt;2)),"Use a 2-letter state code; ","")&amp;IF($J427="","ZIP or postal code is required; ","")&amp;IF(AND($K427="US",$J427&lt;&gt;"",NOT(IFERROR(OR(AND(LEN($J427&amp;"")=5,ISNUMBER(--($J427&amp;""))),AND(LEN($J427&amp;"")=9,ISNUMBER(--($J427&amp;""))),AND(LEN($J427&amp;"")=10,MID($J427&amp;"",6,1)="-",ISNUMBER(--SUBSTITUTE($J427&amp;"","-","")))),FALSE))),"US ZIP must be 5 or 9 digits, with an optional ZIP+4 hyphen; ","")&amp;IF(AND($N427&lt;&gt;"",NOT(IFERROR(AND(ISNUMBER(SEARCH("@",$N427)),ISNUMBER(SEARCH(".",$N427,SEARCH("@",$N427)+2))),FALSE))),"Email format appears invalid; ","")&amp;IF(AND($O427&lt;&gt;"",$B427=""),"Dependent SSN is required for every dependent; ","")&amp;IF(AND($B427&lt;&gt;"",$O427=""),"Dependent Relationship is required when Dependent SSN is entered; ","")&amp;IF(AND($O427&lt;&gt;"",$O427&lt;&gt;"Spouse or Common Law Spouse",$O427&lt;&gt;"Domestic Partner",$O427&lt;&gt;"Child",$O427&lt;&gt;"Other",$O427&lt;&gt;"Estate",$O427&lt;&gt;"Unknown"),"Dependent Relationship must use one of the approved options; ",""))</f>
        <v/>
      </c>
      <c r="Z427">
        <f>IF(COUNTA($A427:$U427)=0,"",IF(AND($A427&lt;&gt;"",NOT(IFERROR(AND(LEN($A427&amp;"")=9,ISNUMBER(--($A427&amp;""))),FALSE))),"Employee SSN must contain exactly 9 digits; ","")&amp;IF(AND($A427&lt;&gt;"",OR($A427="123456789",$A427="987654321",$A427="012345678",$A427=REPT(LEFT($A427&amp;"",1),9))),"Employee SSN appears to be a placeholder; ","")&amp;IF(AND($B427&lt;&gt;"",NOT(IFERROR(AND(LEN($B427&amp;"")=9,ISNUMBER(--($B427&amp;""))),FALSE))),"Dependent SSN must contain exactly 9 digits; ","")&amp;IF(AND($B427&lt;&gt;"",OR($B427="123456789",$B427="987654321",$B427="012345678",$B427=REPT(LEFT($B427&amp;"",1),9))),"Dependent SSN appears to be a placeholder; ","")&amp;IF(AND($A427&lt;&gt;"",$B427&lt;&gt;"",$A427&amp;""=$B427&amp;""),"Dependent SSN cannot match Employee SSN; ","")&amp;IF(AND($W427&lt;&gt;"",OR(COUNTIFS($W$2:$W$501,$W427,$C$2:$C$501,"&lt;&gt;"&amp;$C427)&gt;0,COUNTIFS($W$2:$W$501,$W427,$D$2:$D$501,"&lt;&gt;"&amp;$D427)&gt;0,COUNTIFS($W$2:$W$501,$W427,$L$2:$L$501,"&lt;&gt;"&amp;$L427)&gt;0)),"The same SSN is associated with a different name or birthdate; ",""))</f>
        <v/>
      </c>
      <c r="AA427">
        <f>IF(COUNTA($A427:$U427)=0,"",IF(AND($A427&lt;&gt;"",$S427&lt;&gt;"",COUNTIFS($A$2:$A$501,$A427,$S$2:$S$501,$S427,$B$2:$B$501,"",$O$2:$O$501,"")=0),"Add an employee row for this household and plan; ","")&amp;IF(AND($X427="Dependent",COUNTIFS($A$2:$A427,$A427,$S$2:$S427,$S427,$B$2:$B427,"",$O$2:$O427,"")=0),"Place the employee row before dependent rows for this plan; ","")&amp;IF(AND($X427="Dependent",COUNTIFS($A$2:$A$501,$A427,$S$2:$S$501,$S427,$B$2:$B$501,"",$O$2:$O$501,"")&gt;0,IFERROR(OR($P427&lt;&gt;LOOKUP(2,1/(($A$2:$A$501=$A427)*($S$2:$S$501=$S427)*($B$2:$B$501="")*($O$2:$O$501="")),$P$2:$P$501),$Q427&lt;&gt;LOOKUP(2,1/(($A$2:$A$501=$A427)*($S$2:$S$501=$S427)*($B$2:$B$501="")*($O$2:$O$501="")),$Q$2:$Q$501),$R427&lt;&gt;LOOKUP(2,1/(($A$2:$A$501=$A427)*($S$2:$S$501=$S427)*($B$2:$B$501="")*($O$2:$O$501="")),$R$2:$R$501),$T427&lt;&gt;LOOKUP(2,1/(($A$2:$A$501=$A427)*($S$2:$S$501=$S427)*($B$2:$B$501="")*($O$2:$O$501="")),$T$2:$T$501),$U427&lt;&gt;LOOKUP(2,1/(($A$2:$A$501=$A427)*($S$2:$S$501=$S427)*($B$2:$B$501="")*($O$2:$O$501="")),$U$2:$U$501)),FALSE)),"Dependent row does not match the employee row for eligibility, status, coverage level, or funding; ",""))</f>
        <v/>
      </c>
      <c r="AB427">
        <f>IF(COUNTA($A427:$U427)=0,"",IF($L427="","Birthdate is required; ","")&amp;IF(AND($L427&lt;&gt;"",OR(NOT(ISNUMBER($L427)),$L427&lt;=DATE(1900,1,1),$L427&gt;TODAY())),"Birthdate must be an exact valid past date; ","")&amp;IF($P427="","Eligibility Date is required; ","")&amp;IF(AND($P427&lt;&gt;"",OR(NOT(ISNUMBER($P427)),$P427&lt;=DATE(1900,1,1))),"Eligibility Date must be a valid date; ","")&amp;IF(AND($R427="Terminated",$Q427=""),"Termination Date is required when Status is Terminated; ","")&amp;IF(AND($Q427&lt;&gt;"",OR(NOT(ISNUMBER($Q427)),$Q427&lt;=DATE(1900,1,1))),"Termination Date must be a valid date; ","")&amp;IF(AND(ISNUMBER($P427),ISNUMBER($Q427),$Q427&lt;$P427),"Termination Date cannot be before Eligibility Date; ","")&amp;IF($R427="","Status is required; ","")&amp;IF(AND($R427&lt;&gt;"",$R427&lt;&gt;"Active",$R427&lt;&gt;"Terminated"),"Status must be Active or Terminated; ","")&amp;IF(AND('START HERE'!$C$8="Terminations Only",$R427&lt;&gt;"Terminated"),"Terminations Only files must contain terminated records; ",""))</f>
        <v/>
      </c>
      <c r="AC427">
        <f>IF(COUNTA($A427:$U427)=0,"",IF($S427="","Plan Name is required; ","")&amp;IF($T427="","Benefit Coverage Level is required; ","")&amp;IF(AND($U427&lt;&gt;"",OR(NOT(ISNUMBER($U427)),$U427&lt;0)),"Plan Funding Amount must be a nonnegative number; ","")&amp;IF(AND($A427&lt;&gt;"",$S427&lt;&gt;"",COUNTIFS($A$2:$A$501,$A427,$B$2:$B$501,$B427,$S$2:$S$501,$S427)&gt;1),"Duplicate participant and plan row; ",""))</f>
        <v/>
      </c>
      <c r="AD427">
        <f>IF(COUNTA($A427:$U427)=0,"",IF(AND($X427="Employee",$M427="",$N427=""),"No employee phone or email provided; ","")&amp;IF(AND($R427="Active",$Q427&lt;&gt;""),"Active record includes a Termination Date; confirm this is intentional; ","")&amp;IF(AND($B427&lt;&gt;"",$B427&amp;""&lt;&gt;$A427&amp;"",COUNTIF($A$2:$A$501,$B427)&gt;0),"Dependent SSN also appears as an Employee SSN elsewhere; confirm dual-employee coverage is intentional; ","")&amp;IF(AND($B427&lt;&gt;"",COUNTIF($B$2:$B$501,$B427)&gt;COUNTIFS($A$2:$A$501,$A427,$B$2:$B$501,$B427)),"Dependent SSN appears under more than one employee; confirm duplicate family coverage is intentional; ","")&amp;IF(AND(ROW()&gt;2,$A427&lt;&gt;"",$A427&lt;&gt;$A426,COUNTIF($A$2:$A426,$A427)&gt;0),"This household appears in more than one section of the census; keep the family together; ","")&amp;IF(OR(AND($C427&lt;&gt;"",LEN($C427&amp;"")&lt;&gt;LEN(TRIM($C427&amp;""))),AND($D427&lt;&gt;"",LEN($D427&amp;"")&lt;&gt;LEN(TRIM($D427&amp;""))),AND($E427&lt;&gt;"",LEN($E427&amp;"")&lt;&gt;LEN(TRIM($E427&amp;""))),AND($F427&lt;&gt;"",LEN($F427&amp;"")&lt;&gt;LEN(TRIM($F427&amp;""))),AND($G427&lt;&gt;"",LEN($G427&amp;"")&lt;&gt;LEN(TRIM($G427&amp;""))),AND($H427&lt;&gt;"",LEN($H427&amp;"")&lt;&gt;LEN(TRIM($H427&amp;""))),AND($I427&lt;&gt;"",LEN($I427&amp;"")&lt;&gt;LEN(TRIM($I427&amp;""))),AND($J427&lt;&gt;"",LEN($J427&amp;"")&lt;&gt;LEN(TRIM($J427&amp;""))),AND($K427&lt;&gt;"",LEN($K427&amp;"")&lt;&gt;LEN(TRIM($K427&amp;""))),AND($M427&lt;&gt;"",LEN($M427&amp;"")&lt;&gt;LEN(TRIM($M427&amp;""))),AND($N427&lt;&gt;"",LEN($N427&amp;"")&lt;&gt;LEN(TRIM($N427&amp;""))),AND($O427&lt;&gt;"",LEN($O427&amp;"")&lt;&gt;LEN(TRIM($O427&amp;""))),AND($R427&lt;&gt;"",LEN($R427&amp;"")&lt;&gt;LEN(TRIM($R427&amp;""))),AND($S427&lt;&gt;"",LEN($S427&amp;"")&lt;&gt;LEN(TRIM($S427&amp;""))),AND($T427&lt;&gt;"",LEN($T427&amp;"")&lt;&gt;LEN(TRIM($T427&amp;"")))),"Remove leading or trailing spaces from text fields; ","")&amp;IF(OR(AND(LEN($C427)&gt;1,OR(EXACT($C427,UPPER($C427)),EXACT($C427,LOWER($C427)))),AND(LEN($D427)&gt;1,OR(EXACT($D427,UPPER($D427)),EXACT($D427,LOWER($D427)))),AND(LEN($H427)&gt;1,OR(EXACT($H427,UPPER($H427)),EXACT($H427,LOWER($H427))))),"Review capitalization in First Name, Last Name, or City; ","")&amp;IF(AND($N427&lt;&gt;"",NOT(EXACT($N427,LOWER($N427)))),"Email will be standardized to lowercase in the clean output; ","")&amp;IF(AND(OR('START HERE'!$C$8="Initial Enrollment",'START HERE'!$C$8="Open Enrollment"),$R427="Terminated"),"A terminated row is included in an initial or open enrollment file; confirm this is intentional; ",""))</f>
        <v/>
      </c>
      <c r="AE427">
        <f>IF(COUNTA($A427:$U427)=0,"",IF(OR($A427="",AND($A427&lt;&gt;"",NOT(IFERROR(AND(LEN($A427&amp;"")=9,ISNUMBER(--($A427&amp;""))),FALSE))),AND($A427&lt;&gt;"",OR($A427="123456789",$A427="987654321",$A427="012345678",$A427=REPT(LEFT($A427&amp;"",1),9)))),"Employee SSN, ","")&amp;IF(OR(AND($O427&lt;&gt;"",$B427=""),AND($B427&lt;&gt;"",OR(NOT(IFERROR(AND(LEN($B427&amp;"")=9,ISNUMBER(--($B427&amp;""))),FALSE)),$B427=$A427,$B427="123456789",$B427="987654321",$B427="012345678",$B427=REPT(LEFT($B427&amp;"",1),9)))),"Dependent SSN, ","")&amp;IF(OR($C427="",LEN($C427)&gt;19,AND($C427&lt;&gt;"",SUMPRODUCT(--(ROW($1:$19)&lt;=LEN($C427&amp;"")),--ISERROR(FIND(MID($C427&amp;"",ROW($1:$19),1),"ABCDEFGHIJKLMNOPQRSTUVWXYZabcdefghijklmnopqrstuvwxyz .,")))&gt;0)),"First Name, ","")&amp;IF(OR($D427="",LEN($D427)&gt;26,AND($D427&lt;&gt;"",SUMPRODUCT(--(ROW($1:$26)&lt;=LEN($D427&amp;"")),--ISERROR(FIND(MID($D427&amp;"",ROW($1:$26),1),"ABCDEFGHIJKLMNOPQRSTUVWXYZabcdefghijklmnopqrstuvwxyz .,")))&gt;0)),"Last Name, ","")&amp;IF(OR(LEN($E427)&gt;1,AND($E427&lt;&gt;"",SUMPRODUCT(--(ROW($1:$1)&lt;=LEN($E427&amp;"")),--ISERROR(FIND(MID($E427&amp;"",ROW($1:$1),1),"ABCDEFGHIJKLMNOPQRSTUVWXYZabcdefghijklmnopqrstuvwxyz .,")))&gt;0)),"Middle Initial, ","")&amp;IF(OR($F427="",LEN($F427)&gt;75),"Address, ","")&amp;IF(OR($H427="",LEN($H427)&gt;30),"City, ","")&amp;IF(AND($K427="US",OR($I427="",LEN($I427)&lt;&gt;2)),"State, ","")&amp;IF($J427="","ZIP, ","")&amp;IF(OR($K427="",AND($K427&lt;&gt;"US",$K427&lt;&gt;"CA")),"Country, ","")&amp;IF(OR($L427="",AND($L427&lt;&gt;"",OR(NOT(ISNUMBER($L427)),$L427&lt;=DATE(1900,1,1),$L427&gt;TODAY()))),"Birthdate, ","")&amp;IF(AND($N427&lt;&gt;"",NOT(IFERROR(AND(ISNUMBER(SEARCH("@",$N427)),ISNUMBER(SEARCH(".",$N427,SEARCH("@",$N427)+2))),FALSE))),"Email, ","")&amp;IF(OR(AND($B427&lt;&gt;"",$O427=""),AND($O427&lt;&gt;"",$O427&lt;&gt;"Spouse or Common Law Spouse",$O427&lt;&gt;"Domestic Partner",$O427&lt;&gt;"Child",$O427&lt;&gt;"Other",$O427&lt;&gt;"Estate",$O427&lt;&gt;"Unknown")),"Dependent Relationship, ","")&amp;IF($AA427&lt;&gt;"","Household, ","")&amp;IF(OR($P427="",AND($P427&lt;&gt;"",OR(NOT(ISNUMBER($P427)),$P427&lt;=DATE(1900,1,1)))),"Eligibility Date, ","")&amp;IF(OR(AND($R427="Terminated",$Q427=""),AND($Q427&lt;&gt;"",OR(NOT(ISNUMBER($Q427)),$Q427&lt;=DATE(1900,1,1))),AND(ISNUMBER($P427),ISNUMBER($Q427),$Q427&lt;$P427)),"Termination Date, ","")&amp;IF(OR($R427="",AND($R427&lt;&gt;"Active",$R427&lt;&gt;"Terminated"),AND('START HERE'!$C$8="Terminations Only",$R427&lt;&gt;"Terminated")),"Status, ","")&amp;IF($S427="","Plan Name, ","")&amp;IF($T427="","Coverage Level, ","")&amp;IF(AND($U427&lt;&gt;"",OR(NOT(ISNUMBER($U427)),$U427&lt;0)),"Funding, ","")&amp;IF(AND($A427&lt;&gt;"",$S427&lt;&gt;"",COUNTIFS($A$2:$A$501,$A427,$B$2:$B$501,$B427,$S$2:$S$501,$S427)&gt;1),"Duplicate Row, ",""))</f>
        <v/>
      </c>
      <c r="AF427">
        <f>IF(COUNTA($A427:$U427)=0,"",$Y427&amp;$Z427&amp;$AA427&amp;$AB427&amp;$AC427)</f>
        <v/>
      </c>
      <c r="AG427">
        <f>IF($N427="","",LOWER(TRIM($N427)))</f>
        <v/>
      </c>
      <c r="AH427">
        <f>IF($A427="","",COUNTIFS($A$2:$A$501,$A427,$AI$2:$AI$501,1))</f>
        <v/>
      </c>
      <c r="AI427">
        <f>IF(COUNTA($A427:$U427)=0,"",--($AF427&lt;&gt;""))</f>
        <v/>
      </c>
      <c r="AJ427">
        <f>IF(COUNTA($A427:$U427)=0,"",--($AD427&lt;&gt;""))</f>
        <v/>
      </c>
    </row>
    <row r="428" ht="20" customHeight="1">
      <c r="A428" s="80" t="n"/>
      <c r="B428" s="80" t="n"/>
      <c r="C428" s="81" t="n"/>
      <c r="D428" s="81" t="n"/>
      <c r="E428" s="80" t="n"/>
      <c r="F428" s="81" t="n"/>
      <c r="G428" s="81" t="n"/>
      <c r="H428" s="81" t="n"/>
      <c r="I428" s="80" t="n"/>
      <c r="J428" s="80" t="n"/>
      <c r="K428" s="80" t="n"/>
      <c r="L428" s="82" t="n"/>
      <c r="M428" s="80" t="n"/>
      <c r="N428" s="80" t="n"/>
      <c r="O428" s="80" t="n"/>
      <c r="P428" s="82" t="n"/>
      <c r="Q428" s="82" t="n"/>
      <c r="R428" s="80" t="n"/>
      <c r="S428" s="80" t="n"/>
      <c r="T428" s="80" t="n"/>
      <c r="U428" s="83" t="n"/>
      <c r="V428">
        <f>IF($A428="","",IF($A428=$A427,$V427,IF($V427="",0,1-$V427)))</f>
        <v/>
      </c>
      <c r="W428">
        <f>IF($B428&lt;&gt;"",$B428,$A428)</f>
        <v/>
      </c>
      <c r="X428">
        <f>IF(COUNTA($A428:$U428)=0,"",IF(OR($B428&lt;&gt;"",$O428&lt;&gt;""),"Dependent","Employee"))</f>
        <v/>
      </c>
      <c r="Y428">
        <f>IF(COUNTA($A428:$U428)=0,"",IF($A428="","Employee SSN is required; ","")&amp;IF($C428="","First Name is required; ","")&amp;IF(LEN($C428&amp;"")&gt;19,"First Name exceeds 19 characters; ","")&amp;IF(AND($C428&lt;&gt;"",SUMPRODUCT(--(ROW($1:$19)&lt;=LEN($C428&amp;"")),--ISERROR(FIND(MID($C428&amp;"",ROW($1:$19),1),"ABCDEFGHIJKLMNOPQRSTUVWXYZabcdefghijklmnopqrstuvwxyz .,")))&gt;0),"First Name contains unsupported or encoded characters; use plain A-Z letters only; ","")&amp;IF($D428="","Last Name is required; ","")&amp;IF(LEN($D428&amp;"")&gt;26,"Last Name exceeds 26 characters; ","")&amp;IF(AND($D428&lt;&gt;"",SUMPRODUCT(--(ROW($1:$26)&lt;=LEN($D428&amp;"")),--ISERROR(FIND(MID($D428&amp;"",ROW($1:$26),1),"ABCDEFGHIJKLMNOPQRSTUVWXYZabcdefghijklmnopqrstuvwxyz .,")))&gt;0),"Last Name contains unsupported or encoded characters; use plain A-Z letters only; ","")&amp;IF(LEN($E428&amp;"")&gt;1,"Middle Initial may contain only one character; ","")&amp;IF(AND($E428&lt;&gt;"",SUMPRODUCT(--(ROW($1:$1)&lt;=LEN($E428&amp;"")),--ISERROR(FIND(MID($E428&amp;"",ROW($1:$1),1),"ABCDEFGHIJKLMNOPQRSTUVWXYZabcdefghijklmnopqrstuvwxyz .,")))&gt;0),"Middle Initial must be a plain A-Z letter; ","")&amp;IF($F428="","Address is required; ","")&amp;IF(LEN($F428&amp;"")&gt;75,"Address exceeds 75 characters; ","")&amp;IF(LEN($G428&amp;"")&gt;75,"Address 2 exceeds 75 characters; ","")&amp;IF($H428="","City is required; ","")&amp;IF(LEN($H428&amp;"")&gt;30,"City exceeds 30 characters; ","")&amp;IF($K428="","Country is required; ","")&amp;IF(AND($K428&lt;&gt;"",$K428&lt;&gt;"US",$K428&lt;&gt;"CA"),"Country must be US or CA; ","")&amp;IF(AND($K428="US",OR($I428="",LEN($I428&amp;"")&lt;&gt;2)),"Use a 2-letter state code; ","")&amp;IF($J428="","ZIP or postal code is required; ","")&amp;IF(AND($K428="US",$J428&lt;&gt;"",NOT(IFERROR(OR(AND(LEN($J428&amp;"")=5,ISNUMBER(--($J428&amp;""))),AND(LEN($J428&amp;"")=9,ISNUMBER(--($J428&amp;""))),AND(LEN($J428&amp;"")=10,MID($J428&amp;"",6,1)="-",ISNUMBER(--SUBSTITUTE($J428&amp;"","-","")))),FALSE))),"US ZIP must be 5 or 9 digits, with an optional ZIP+4 hyphen; ","")&amp;IF(AND($N428&lt;&gt;"",NOT(IFERROR(AND(ISNUMBER(SEARCH("@",$N428)),ISNUMBER(SEARCH(".",$N428,SEARCH("@",$N428)+2))),FALSE))),"Email format appears invalid; ","")&amp;IF(AND($O428&lt;&gt;"",$B428=""),"Dependent SSN is required for every dependent; ","")&amp;IF(AND($B428&lt;&gt;"",$O428=""),"Dependent Relationship is required when Dependent SSN is entered; ","")&amp;IF(AND($O428&lt;&gt;"",$O428&lt;&gt;"Spouse or Common Law Spouse",$O428&lt;&gt;"Domestic Partner",$O428&lt;&gt;"Child",$O428&lt;&gt;"Other",$O428&lt;&gt;"Estate",$O428&lt;&gt;"Unknown"),"Dependent Relationship must use one of the approved options; ",""))</f>
        <v/>
      </c>
      <c r="Z428">
        <f>IF(COUNTA($A428:$U428)=0,"",IF(AND($A428&lt;&gt;"",NOT(IFERROR(AND(LEN($A428&amp;"")=9,ISNUMBER(--($A428&amp;""))),FALSE))),"Employee SSN must contain exactly 9 digits; ","")&amp;IF(AND($A428&lt;&gt;"",OR($A428="123456789",$A428="987654321",$A428="012345678",$A428=REPT(LEFT($A428&amp;"",1),9))),"Employee SSN appears to be a placeholder; ","")&amp;IF(AND($B428&lt;&gt;"",NOT(IFERROR(AND(LEN($B428&amp;"")=9,ISNUMBER(--($B428&amp;""))),FALSE))),"Dependent SSN must contain exactly 9 digits; ","")&amp;IF(AND($B428&lt;&gt;"",OR($B428="123456789",$B428="987654321",$B428="012345678",$B428=REPT(LEFT($B428&amp;"",1),9))),"Dependent SSN appears to be a placeholder; ","")&amp;IF(AND($A428&lt;&gt;"",$B428&lt;&gt;"",$A428&amp;""=$B428&amp;""),"Dependent SSN cannot match Employee SSN; ","")&amp;IF(AND($W428&lt;&gt;"",OR(COUNTIFS($W$2:$W$501,$W428,$C$2:$C$501,"&lt;&gt;"&amp;$C428)&gt;0,COUNTIFS($W$2:$W$501,$W428,$D$2:$D$501,"&lt;&gt;"&amp;$D428)&gt;0,COUNTIFS($W$2:$W$501,$W428,$L$2:$L$501,"&lt;&gt;"&amp;$L428)&gt;0)),"The same SSN is associated with a different name or birthdate; ",""))</f>
        <v/>
      </c>
      <c r="AA428">
        <f>IF(COUNTA($A428:$U428)=0,"",IF(AND($A428&lt;&gt;"",$S428&lt;&gt;"",COUNTIFS($A$2:$A$501,$A428,$S$2:$S$501,$S428,$B$2:$B$501,"",$O$2:$O$501,"")=0),"Add an employee row for this household and plan; ","")&amp;IF(AND($X428="Dependent",COUNTIFS($A$2:$A428,$A428,$S$2:$S428,$S428,$B$2:$B428,"",$O$2:$O428,"")=0),"Place the employee row before dependent rows for this plan; ","")&amp;IF(AND($X428="Dependent",COUNTIFS($A$2:$A$501,$A428,$S$2:$S$501,$S428,$B$2:$B$501,"",$O$2:$O$501,"")&gt;0,IFERROR(OR($P428&lt;&gt;LOOKUP(2,1/(($A$2:$A$501=$A428)*($S$2:$S$501=$S428)*($B$2:$B$501="")*($O$2:$O$501="")),$P$2:$P$501),$Q428&lt;&gt;LOOKUP(2,1/(($A$2:$A$501=$A428)*($S$2:$S$501=$S428)*($B$2:$B$501="")*($O$2:$O$501="")),$Q$2:$Q$501),$R428&lt;&gt;LOOKUP(2,1/(($A$2:$A$501=$A428)*($S$2:$S$501=$S428)*($B$2:$B$501="")*($O$2:$O$501="")),$R$2:$R$501),$T428&lt;&gt;LOOKUP(2,1/(($A$2:$A$501=$A428)*($S$2:$S$501=$S428)*($B$2:$B$501="")*($O$2:$O$501="")),$T$2:$T$501),$U428&lt;&gt;LOOKUP(2,1/(($A$2:$A$501=$A428)*($S$2:$S$501=$S428)*($B$2:$B$501="")*($O$2:$O$501="")),$U$2:$U$501)),FALSE)),"Dependent row does not match the employee row for eligibility, status, coverage level, or funding; ",""))</f>
        <v/>
      </c>
      <c r="AB428">
        <f>IF(COUNTA($A428:$U428)=0,"",IF($L428="","Birthdate is required; ","")&amp;IF(AND($L428&lt;&gt;"",OR(NOT(ISNUMBER($L428)),$L428&lt;=DATE(1900,1,1),$L428&gt;TODAY())),"Birthdate must be an exact valid past date; ","")&amp;IF($P428="","Eligibility Date is required; ","")&amp;IF(AND($P428&lt;&gt;"",OR(NOT(ISNUMBER($P428)),$P428&lt;=DATE(1900,1,1))),"Eligibility Date must be a valid date; ","")&amp;IF(AND($R428="Terminated",$Q428=""),"Termination Date is required when Status is Terminated; ","")&amp;IF(AND($Q428&lt;&gt;"",OR(NOT(ISNUMBER($Q428)),$Q428&lt;=DATE(1900,1,1))),"Termination Date must be a valid date; ","")&amp;IF(AND(ISNUMBER($P428),ISNUMBER($Q428),$Q428&lt;$P428),"Termination Date cannot be before Eligibility Date; ","")&amp;IF($R428="","Status is required; ","")&amp;IF(AND($R428&lt;&gt;"",$R428&lt;&gt;"Active",$R428&lt;&gt;"Terminated"),"Status must be Active or Terminated; ","")&amp;IF(AND('START HERE'!$C$8="Terminations Only",$R428&lt;&gt;"Terminated"),"Terminations Only files must contain terminated records; ",""))</f>
        <v/>
      </c>
      <c r="AC428">
        <f>IF(COUNTA($A428:$U428)=0,"",IF($S428="","Plan Name is required; ","")&amp;IF($T428="","Benefit Coverage Level is required; ","")&amp;IF(AND($U428&lt;&gt;"",OR(NOT(ISNUMBER($U428)),$U428&lt;0)),"Plan Funding Amount must be a nonnegative number; ","")&amp;IF(AND($A428&lt;&gt;"",$S428&lt;&gt;"",COUNTIFS($A$2:$A$501,$A428,$B$2:$B$501,$B428,$S$2:$S$501,$S428)&gt;1),"Duplicate participant and plan row; ",""))</f>
        <v/>
      </c>
      <c r="AD428">
        <f>IF(COUNTA($A428:$U428)=0,"",IF(AND($X428="Employee",$M428="",$N428=""),"No employee phone or email provided; ","")&amp;IF(AND($R428="Active",$Q428&lt;&gt;""),"Active record includes a Termination Date; confirm this is intentional; ","")&amp;IF(AND($B428&lt;&gt;"",$B428&amp;""&lt;&gt;$A428&amp;"",COUNTIF($A$2:$A$501,$B428)&gt;0),"Dependent SSN also appears as an Employee SSN elsewhere; confirm dual-employee coverage is intentional; ","")&amp;IF(AND($B428&lt;&gt;"",COUNTIF($B$2:$B$501,$B428)&gt;COUNTIFS($A$2:$A$501,$A428,$B$2:$B$501,$B428)),"Dependent SSN appears under more than one employee; confirm duplicate family coverage is intentional; ","")&amp;IF(AND(ROW()&gt;2,$A428&lt;&gt;"",$A428&lt;&gt;$A427,COUNTIF($A$2:$A427,$A428)&gt;0),"This household appears in more than one section of the census; keep the family together; ","")&amp;IF(OR(AND($C428&lt;&gt;"",LEN($C428&amp;"")&lt;&gt;LEN(TRIM($C428&amp;""))),AND($D428&lt;&gt;"",LEN($D428&amp;"")&lt;&gt;LEN(TRIM($D428&amp;""))),AND($E428&lt;&gt;"",LEN($E428&amp;"")&lt;&gt;LEN(TRIM($E428&amp;""))),AND($F428&lt;&gt;"",LEN($F428&amp;"")&lt;&gt;LEN(TRIM($F428&amp;""))),AND($G428&lt;&gt;"",LEN($G428&amp;"")&lt;&gt;LEN(TRIM($G428&amp;""))),AND($H428&lt;&gt;"",LEN($H428&amp;"")&lt;&gt;LEN(TRIM($H428&amp;""))),AND($I428&lt;&gt;"",LEN($I428&amp;"")&lt;&gt;LEN(TRIM($I428&amp;""))),AND($J428&lt;&gt;"",LEN($J428&amp;"")&lt;&gt;LEN(TRIM($J428&amp;""))),AND($K428&lt;&gt;"",LEN($K428&amp;"")&lt;&gt;LEN(TRIM($K428&amp;""))),AND($M428&lt;&gt;"",LEN($M428&amp;"")&lt;&gt;LEN(TRIM($M428&amp;""))),AND($N428&lt;&gt;"",LEN($N428&amp;"")&lt;&gt;LEN(TRIM($N428&amp;""))),AND($O428&lt;&gt;"",LEN($O428&amp;"")&lt;&gt;LEN(TRIM($O428&amp;""))),AND($R428&lt;&gt;"",LEN($R428&amp;"")&lt;&gt;LEN(TRIM($R428&amp;""))),AND($S428&lt;&gt;"",LEN($S428&amp;"")&lt;&gt;LEN(TRIM($S428&amp;""))),AND($T428&lt;&gt;"",LEN($T428&amp;"")&lt;&gt;LEN(TRIM($T428&amp;"")))),"Remove leading or trailing spaces from text fields; ","")&amp;IF(OR(AND(LEN($C428)&gt;1,OR(EXACT($C428,UPPER($C428)),EXACT($C428,LOWER($C428)))),AND(LEN($D428)&gt;1,OR(EXACT($D428,UPPER($D428)),EXACT($D428,LOWER($D428)))),AND(LEN($H428)&gt;1,OR(EXACT($H428,UPPER($H428)),EXACT($H428,LOWER($H428))))),"Review capitalization in First Name, Last Name, or City; ","")&amp;IF(AND($N428&lt;&gt;"",NOT(EXACT($N428,LOWER($N428)))),"Email will be standardized to lowercase in the clean output; ","")&amp;IF(AND(OR('START HERE'!$C$8="Initial Enrollment",'START HERE'!$C$8="Open Enrollment"),$R428="Terminated"),"A terminated row is included in an initial or open enrollment file; confirm this is intentional; ",""))</f>
        <v/>
      </c>
      <c r="AE428">
        <f>IF(COUNTA($A428:$U428)=0,"",IF(OR($A428="",AND($A428&lt;&gt;"",NOT(IFERROR(AND(LEN($A428&amp;"")=9,ISNUMBER(--($A428&amp;""))),FALSE))),AND($A428&lt;&gt;"",OR($A428="123456789",$A428="987654321",$A428="012345678",$A428=REPT(LEFT($A428&amp;"",1),9)))),"Employee SSN, ","")&amp;IF(OR(AND($O428&lt;&gt;"",$B428=""),AND($B428&lt;&gt;"",OR(NOT(IFERROR(AND(LEN($B428&amp;"")=9,ISNUMBER(--($B428&amp;""))),FALSE)),$B428=$A428,$B428="123456789",$B428="987654321",$B428="012345678",$B428=REPT(LEFT($B428&amp;"",1),9)))),"Dependent SSN, ","")&amp;IF(OR($C428="",LEN($C428)&gt;19,AND($C428&lt;&gt;"",SUMPRODUCT(--(ROW($1:$19)&lt;=LEN($C428&amp;"")),--ISERROR(FIND(MID($C428&amp;"",ROW($1:$19),1),"ABCDEFGHIJKLMNOPQRSTUVWXYZabcdefghijklmnopqrstuvwxyz .,")))&gt;0)),"First Name, ","")&amp;IF(OR($D428="",LEN($D428)&gt;26,AND($D428&lt;&gt;"",SUMPRODUCT(--(ROW($1:$26)&lt;=LEN($D428&amp;"")),--ISERROR(FIND(MID($D428&amp;"",ROW($1:$26),1),"ABCDEFGHIJKLMNOPQRSTUVWXYZabcdefghijklmnopqrstuvwxyz .,")))&gt;0)),"Last Name, ","")&amp;IF(OR(LEN($E428)&gt;1,AND($E428&lt;&gt;"",SUMPRODUCT(--(ROW($1:$1)&lt;=LEN($E428&amp;"")),--ISERROR(FIND(MID($E428&amp;"",ROW($1:$1),1),"ABCDEFGHIJKLMNOPQRSTUVWXYZabcdefghijklmnopqrstuvwxyz .,")))&gt;0)),"Middle Initial, ","")&amp;IF(OR($F428="",LEN($F428)&gt;75),"Address, ","")&amp;IF(OR($H428="",LEN($H428)&gt;30),"City, ","")&amp;IF(AND($K428="US",OR($I428="",LEN($I428)&lt;&gt;2)),"State, ","")&amp;IF($J428="","ZIP, ","")&amp;IF(OR($K428="",AND($K428&lt;&gt;"US",$K428&lt;&gt;"CA")),"Country, ","")&amp;IF(OR($L428="",AND($L428&lt;&gt;"",OR(NOT(ISNUMBER($L428)),$L428&lt;=DATE(1900,1,1),$L428&gt;TODAY()))),"Birthdate, ","")&amp;IF(AND($N428&lt;&gt;"",NOT(IFERROR(AND(ISNUMBER(SEARCH("@",$N428)),ISNUMBER(SEARCH(".",$N428,SEARCH("@",$N428)+2))),FALSE))),"Email, ","")&amp;IF(OR(AND($B428&lt;&gt;"",$O428=""),AND($O428&lt;&gt;"",$O428&lt;&gt;"Spouse or Common Law Spouse",$O428&lt;&gt;"Domestic Partner",$O428&lt;&gt;"Child",$O428&lt;&gt;"Other",$O428&lt;&gt;"Estate",$O428&lt;&gt;"Unknown")),"Dependent Relationship, ","")&amp;IF($AA428&lt;&gt;"","Household, ","")&amp;IF(OR($P428="",AND($P428&lt;&gt;"",OR(NOT(ISNUMBER($P428)),$P428&lt;=DATE(1900,1,1)))),"Eligibility Date, ","")&amp;IF(OR(AND($R428="Terminated",$Q428=""),AND($Q428&lt;&gt;"",OR(NOT(ISNUMBER($Q428)),$Q428&lt;=DATE(1900,1,1))),AND(ISNUMBER($P428),ISNUMBER($Q428),$Q428&lt;$P428)),"Termination Date, ","")&amp;IF(OR($R428="",AND($R428&lt;&gt;"Active",$R428&lt;&gt;"Terminated"),AND('START HERE'!$C$8="Terminations Only",$R428&lt;&gt;"Terminated")),"Status, ","")&amp;IF($S428="","Plan Name, ","")&amp;IF($T428="","Coverage Level, ","")&amp;IF(AND($U428&lt;&gt;"",OR(NOT(ISNUMBER($U428)),$U428&lt;0)),"Funding, ","")&amp;IF(AND($A428&lt;&gt;"",$S428&lt;&gt;"",COUNTIFS($A$2:$A$501,$A428,$B$2:$B$501,$B428,$S$2:$S$501,$S428)&gt;1),"Duplicate Row, ",""))</f>
        <v/>
      </c>
      <c r="AF428">
        <f>IF(COUNTA($A428:$U428)=0,"",$Y428&amp;$Z428&amp;$AA428&amp;$AB428&amp;$AC428)</f>
        <v/>
      </c>
      <c r="AG428">
        <f>IF($N428="","",LOWER(TRIM($N428)))</f>
        <v/>
      </c>
      <c r="AH428">
        <f>IF($A428="","",COUNTIFS($A$2:$A$501,$A428,$AI$2:$AI$501,1))</f>
        <v/>
      </c>
      <c r="AI428">
        <f>IF(COUNTA($A428:$U428)=0,"",--($AF428&lt;&gt;""))</f>
        <v/>
      </c>
      <c r="AJ428">
        <f>IF(COUNTA($A428:$U428)=0,"",--($AD428&lt;&gt;""))</f>
        <v/>
      </c>
    </row>
    <row r="429" ht="20" customHeight="1">
      <c r="A429" s="80" t="n"/>
      <c r="B429" s="80" t="n"/>
      <c r="C429" s="81" t="n"/>
      <c r="D429" s="81" t="n"/>
      <c r="E429" s="80" t="n"/>
      <c r="F429" s="81" t="n"/>
      <c r="G429" s="81" t="n"/>
      <c r="H429" s="81" t="n"/>
      <c r="I429" s="80" t="n"/>
      <c r="J429" s="80" t="n"/>
      <c r="K429" s="80" t="n"/>
      <c r="L429" s="82" t="n"/>
      <c r="M429" s="80" t="n"/>
      <c r="N429" s="80" t="n"/>
      <c r="O429" s="80" t="n"/>
      <c r="P429" s="82" t="n"/>
      <c r="Q429" s="82" t="n"/>
      <c r="R429" s="80" t="n"/>
      <c r="S429" s="80" t="n"/>
      <c r="T429" s="80" t="n"/>
      <c r="U429" s="83" t="n"/>
      <c r="V429">
        <f>IF($A429="","",IF($A429=$A428,$V428,IF($V428="",0,1-$V428)))</f>
        <v/>
      </c>
      <c r="W429">
        <f>IF($B429&lt;&gt;"",$B429,$A429)</f>
        <v/>
      </c>
      <c r="X429">
        <f>IF(COUNTA($A429:$U429)=0,"",IF(OR($B429&lt;&gt;"",$O429&lt;&gt;""),"Dependent","Employee"))</f>
        <v/>
      </c>
      <c r="Y429">
        <f>IF(COUNTA($A429:$U429)=0,"",IF($A429="","Employee SSN is required; ","")&amp;IF($C429="","First Name is required; ","")&amp;IF(LEN($C429&amp;"")&gt;19,"First Name exceeds 19 characters; ","")&amp;IF(AND($C429&lt;&gt;"",SUMPRODUCT(--(ROW($1:$19)&lt;=LEN($C429&amp;"")),--ISERROR(FIND(MID($C429&amp;"",ROW($1:$19),1),"ABCDEFGHIJKLMNOPQRSTUVWXYZabcdefghijklmnopqrstuvwxyz .,")))&gt;0),"First Name contains unsupported or encoded characters; use plain A-Z letters only; ","")&amp;IF($D429="","Last Name is required; ","")&amp;IF(LEN($D429&amp;"")&gt;26,"Last Name exceeds 26 characters; ","")&amp;IF(AND($D429&lt;&gt;"",SUMPRODUCT(--(ROW($1:$26)&lt;=LEN($D429&amp;"")),--ISERROR(FIND(MID($D429&amp;"",ROW($1:$26),1),"ABCDEFGHIJKLMNOPQRSTUVWXYZabcdefghijklmnopqrstuvwxyz .,")))&gt;0),"Last Name contains unsupported or encoded characters; use plain A-Z letters only; ","")&amp;IF(LEN($E429&amp;"")&gt;1,"Middle Initial may contain only one character; ","")&amp;IF(AND($E429&lt;&gt;"",SUMPRODUCT(--(ROW($1:$1)&lt;=LEN($E429&amp;"")),--ISERROR(FIND(MID($E429&amp;"",ROW($1:$1),1),"ABCDEFGHIJKLMNOPQRSTUVWXYZabcdefghijklmnopqrstuvwxyz .,")))&gt;0),"Middle Initial must be a plain A-Z letter; ","")&amp;IF($F429="","Address is required; ","")&amp;IF(LEN($F429&amp;"")&gt;75,"Address exceeds 75 characters; ","")&amp;IF(LEN($G429&amp;"")&gt;75,"Address 2 exceeds 75 characters; ","")&amp;IF($H429="","City is required; ","")&amp;IF(LEN($H429&amp;"")&gt;30,"City exceeds 30 characters; ","")&amp;IF($K429="","Country is required; ","")&amp;IF(AND($K429&lt;&gt;"",$K429&lt;&gt;"US",$K429&lt;&gt;"CA"),"Country must be US or CA; ","")&amp;IF(AND($K429="US",OR($I429="",LEN($I429&amp;"")&lt;&gt;2)),"Use a 2-letter state code; ","")&amp;IF($J429="","ZIP or postal code is required; ","")&amp;IF(AND($K429="US",$J429&lt;&gt;"",NOT(IFERROR(OR(AND(LEN($J429&amp;"")=5,ISNUMBER(--($J429&amp;""))),AND(LEN($J429&amp;"")=9,ISNUMBER(--($J429&amp;""))),AND(LEN($J429&amp;"")=10,MID($J429&amp;"",6,1)="-",ISNUMBER(--SUBSTITUTE($J429&amp;"","-","")))),FALSE))),"US ZIP must be 5 or 9 digits, with an optional ZIP+4 hyphen; ","")&amp;IF(AND($N429&lt;&gt;"",NOT(IFERROR(AND(ISNUMBER(SEARCH("@",$N429)),ISNUMBER(SEARCH(".",$N429,SEARCH("@",$N429)+2))),FALSE))),"Email format appears invalid; ","")&amp;IF(AND($O429&lt;&gt;"",$B429=""),"Dependent SSN is required for every dependent; ","")&amp;IF(AND($B429&lt;&gt;"",$O429=""),"Dependent Relationship is required when Dependent SSN is entered; ","")&amp;IF(AND($O429&lt;&gt;"",$O429&lt;&gt;"Spouse or Common Law Spouse",$O429&lt;&gt;"Domestic Partner",$O429&lt;&gt;"Child",$O429&lt;&gt;"Other",$O429&lt;&gt;"Estate",$O429&lt;&gt;"Unknown"),"Dependent Relationship must use one of the approved options; ",""))</f>
        <v/>
      </c>
      <c r="Z429">
        <f>IF(COUNTA($A429:$U429)=0,"",IF(AND($A429&lt;&gt;"",NOT(IFERROR(AND(LEN($A429&amp;"")=9,ISNUMBER(--($A429&amp;""))),FALSE))),"Employee SSN must contain exactly 9 digits; ","")&amp;IF(AND($A429&lt;&gt;"",OR($A429="123456789",$A429="987654321",$A429="012345678",$A429=REPT(LEFT($A429&amp;"",1),9))),"Employee SSN appears to be a placeholder; ","")&amp;IF(AND($B429&lt;&gt;"",NOT(IFERROR(AND(LEN($B429&amp;"")=9,ISNUMBER(--($B429&amp;""))),FALSE))),"Dependent SSN must contain exactly 9 digits; ","")&amp;IF(AND($B429&lt;&gt;"",OR($B429="123456789",$B429="987654321",$B429="012345678",$B429=REPT(LEFT($B429&amp;"",1),9))),"Dependent SSN appears to be a placeholder; ","")&amp;IF(AND($A429&lt;&gt;"",$B429&lt;&gt;"",$A429&amp;""=$B429&amp;""),"Dependent SSN cannot match Employee SSN; ","")&amp;IF(AND($W429&lt;&gt;"",OR(COUNTIFS($W$2:$W$501,$W429,$C$2:$C$501,"&lt;&gt;"&amp;$C429)&gt;0,COUNTIFS($W$2:$W$501,$W429,$D$2:$D$501,"&lt;&gt;"&amp;$D429)&gt;0,COUNTIFS($W$2:$W$501,$W429,$L$2:$L$501,"&lt;&gt;"&amp;$L429)&gt;0)),"The same SSN is associated with a different name or birthdate; ",""))</f>
        <v/>
      </c>
      <c r="AA429">
        <f>IF(COUNTA($A429:$U429)=0,"",IF(AND($A429&lt;&gt;"",$S429&lt;&gt;"",COUNTIFS($A$2:$A$501,$A429,$S$2:$S$501,$S429,$B$2:$B$501,"",$O$2:$O$501,"")=0),"Add an employee row for this household and plan; ","")&amp;IF(AND($X429="Dependent",COUNTIFS($A$2:$A429,$A429,$S$2:$S429,$S429,$B$2:$B429,"",$O$2:$O429,"")=0),"Place the employee row before dependent rows for this plan; ","")&amp;IF(AND($X429="Dependent",COUNTIFS($A$2:$A$501,$A429,$S$2:$S$501,$S429,$B$2:$B$501,"",$O$2:$O$501,"")&gt;0,IFERROR(OR($P429&lt;&gt;LOOKUP(2,1/(($A$2:$A$501=$A429)*($S$2:$S$501=$S429)*($B$2:$B$501="")*($O$2:$O$501="")),$P$2:$P$501),$Q429&lt;&gt;LOOKUP(2,1/(($A$2:$A$501=$A429)*($S$2:$S$501=$S429)*($B$2:$B$501="")*($O$2:$O$501="")),$Q$2:$Q$501),$R429&lt;&gt;LOOKUP(2,1/(($A$2:$A$501=$A429)*($S$2:$S$501=$S429)*($B$2:$B$501="")*($O$2:$O$501="")),$R$2:$R$501),$T429&lt;&gt;LOOKUP(2,1/(($A$2:$A$501=$A429)*($S$2:$S$501=$S429)*($B$2:$B$501="")*($O$2:$O$501="")),$T$2:$T$501),$U429&lt;&gt;LOOKUP(2,1/(($A$2:$A$501=$A429)*($S$2:$S$501=$S429)*($B$2:$B$501="")*($O$2:$O$501="")),$U$2:$U$501)),FALSE)),"Dependent row does not match the employee row for eligibility, status, coverage level, or funding; ",""))</f>
        <v/>
      </c>
      <c r="AB429">
        <f>IF(COUNTA($A429:$U429)=0,"",IF($L429="","Birthdate is required; ","")&amp;IF(AND($L429&lt;&gt;"",OR(NOT(ISNUMBER($L429)),$L429&lt;=DATE(1900,1,1),$L429&gt;TODAY())),"Birthdate must be an exact valid past date; ","")&amp;IF($P429="","Eligibility Date is required; ","")&amp;IF(AND($P429&lt;&gt;"",OR(NOT(ISNUMBER($P429)),$P429&lt;=DATE(1900,1,1))),"Eligibility Date must be a valid date; ","")&amp;IF(AND($R429="Terminated",$Q429=""),"Termination Date is required when Status is Terminated; ","")&amp;IF(AND($Q429&lt;&gt;"",OR(NOT(ISNUMBER($Q429)),$Q429&lt;=DATE(1900,1,1))),"Termination Date must be a valid date; ","")&amp;IF(AND(ISNUMBER($P429),ISNUMBER($Q429),$Q429&lt;$P429),"Termination Date cannot be before Eligibility Date; ","")&amp;IF($R429="","Status is required; ","")&amp;IF(AND($R429&lt;&gt;"",$R429&lt;&gt;"Active",$R429&lt;&gt;"Terminated"),"Status must be Active or Terminated; ","")&amp;IF(AND('START HERE'!$C$8="Terminations Only",$R429&lt;&gt;"Terminated"),"Terminations Only files must contain terminated records; ",""))</f>
        <v/>
      </c>
      <c r="AC429">
        <f>IF(COUNTA($A429:$U429)=0,"",IF($S429="","Plan Name is required; ","")&amp;IF($T429="","Benefit Coverage Level is required; ","")&amp;IF(AND($U429&lt;&gt;"",OR(NOT(ISNUMBER($U429)),$U429&lt;0)),"Plan Funding Amount must be a nonnegative number; ","")&amp;IF(AND($A429&lt;&gt;"",$S429&lt;&gt;"",COUNTIFS($A$2:$A$501,$A429,$B$2:$B$501,$B429,$S$2:$S$501,$S429)&gt;1),"Duplicate participant and plan row; ",""))</f>
        <v/>
      </c>
      <c r="AD429">
        <f>IF(COUNTA($A429:$U429)=0,"",IF(AND($X429="Employee",$M429="",$N429=""),"No employee phone or email provided; ","")&amp;IF(AND($R429="Active",$Q429&lt;&gt;""),"Active record includes a Termination Date; confirm this is intentional; ","")&amp;IF(AND($B429&lt;&gt;"",$B429&amp;""&lt;&gt;$A429&amp;"",COUNTIF($A$2:$A$501,$B429)&gt;0),"Dependent SSN also appears as an Employee SSN elsewhere; confirm dual-employee coverage is intentional; ","")&amp;IF(AND($B429&lt;&gt;"",COUNTIF($B$2:$B$501,$B429)&gt;COUNTIFS($A$2:$A$501,$A429,$B$2:$B$501,$B429)),"Dependent SSN appears under more than one employee; confirm duplicate family coverage is intentional; ","")&amp;IF(AND(ROW()&gt;2,$A429&lt;&gt;"",$A429&lt;&gt;$A428,COUNTIF($A$2:$A428,$A429)&gt;0),"This household appears in more than one section of the census; keep the family together; ","")&amp;IF(OR(AND($C429&lt;&gt;"",LEN($C429&amp;"")&lt;&gt;LEN(TRIM($C429&amp;""))),AND($D429&lt;&gt;"",LEN($D429&amp;"")&lt;&gt;LEN(TRIM($D429&amp;""))),AND($E429&lt;&gt;"",LEN($E429&amp;"")&lt;&gt;LEN(TRIM($E429&amp;""))),AND($F429&lt;&gt;"",LEN($F429&amp;"")&lt;&gt;LEN(TRIM($F429&amp;""))),AND($G429&lt;&gt;"",LEN($G429&amp;"")&lt;&gt;LEN(TRIM($G429&amp;""))),AND($H429&lt;&gt;"",LEN($H429&amp;"")&lt;&gt;LEN(TRIM($H429&amp;""))),AND($I429&lt;&gt;"",LEN($I429&amp;"")&lt;&gt;LEN(TRIM($I429&amp;""))),AND($J429&lt;&gt;"",LEN($J429&amp;"")&lt;&gt;LEN(TRIM($J429&amp;""))),AND($K429&lt;&gt;"",LEN($K429&amp;"")&lt;&gt;LEN(TRIM($K429&amp;""))),AND($M429&lt;&gt;"",LEN($M429&amp;"")&lt;&gt;LEN(TRIM($M429&amp;""))),AND($N429&lt;&gt;"",LEN($N429&amp;"")&lt;&gt;LEN(TRIM($N429&amp;""))),AND($O429&lt;&gt;"",LEN($O429&amp;"")&lt;&gt;LEN(TRIM($O429&amp;""))),AND($R429&lt;&gt;"",LEN($R429&amp;"")&lt;&gt;LEN(TRIM($R429&amp;""))),AND($S429&lt;&gt;"",LEN($S429&amp;"")&lt;&gt;LEN(TRIM($S429&amp;""))),AND($T429&lt;&gt;"",LEN($T429&amp;"")&lt;&gt;LEN(TRIM($T429&amp;"")))),"Remove leading or trailing spaces from text fields; ","")&amp;IF(OR(AND(LEN($C429)&gt;1,OR(EXACT($C429,UPPER($C429)),EXACT($C429,LOWER($C429)))),AND(LEN($D429)&gt;1,OR(EXACT($D429,UPPER($D429)),EXACT($D429,LOWER($D429)))),AND(LEN($H429)&gt;1,OR(EXACT($H429,UPPER($H429)),EXACT($H429,LOWER($H429))))),"Review capitalization in First Name, Last Name, or City; ","")&amp;IF(AND($N429&lt;&gt;"",NOT(EXACT($N429,LOWER($N429)))),"Email will be standardized to lowercase in the clean output; ","")&amp;IF(AND(OR('START HERE'!$C$8="Initial Enrollment",'START HERE'!$C$8="Open Enrollment"),$R429="Terminated"),"A terminated row is included in an initial or open enrollment file; confirm this is intentional; ",""))</f>
        <v/>
      </c>
      <c r="AE429">
        <f>IF(COUNTA($A429:$U429)=0,"",IF(OR($A429="",AND($A429&lt;&gt;"",NOT(IFERROR(AND(LEN($A429&amp;"")=9,ISNUMBER(--($A429&amp;""))),FALSE))),AND($A429&lt;&gt;"",OR($A429="123456789",$A429="987654321",$A429="012345678",$A429=REPT(LEFT($A429&amp;"",1),9)))),"Employee SSN, ","")&amp;IF(OR(AND($O429&lt;&gt;"",$B429=""),AND($B429&lt;&gt;"",OR(NOT(IFERROR(AND(LEN($B429&amp;"")=9,ISNUMBER(--($B429&amp;""))),FALSE)),$B429=$A429,$B429="123456789",$B429="987654321",$B429="012345678",$B429=REPT(LEFT($B429&amp;"",1),9)))),"Dependent SSN, ","")&amp;IF(OR($C429="",LEN($C429)&gt;19,AND($C429&lt;&gt;"",SUMPRODUCT(--(ROW($1:$19)&lt;=LEN($C429&amp;"")),--ISERROR(FIND(MID($C429&amp;"",ROW($1:$19),1),"ABCDEFGHIJKLMNOPQRSTUVWXYZabcdefghijklmnopqrstuvwxyz .,")))&gt;0)),"First Name, ","")&amp;IF(OR($D429="",LEN($D429)&gt;26,AND($D429&lt;&gt;"",SUMPRODUCT(--(ROW($1:$26)&lt;=LEN($D429&amp;"")),--ISERROR(FIND(MID($D429&amp;"",ROW($1:$26),1),"ABCDEFGHIJKLMNOPQRSTUVWXYZabcdefghijklmnopqrstuvwxyz .,")))&gt;0)),"Last Name, ","")&amp;IF(OR(LEN($E429)&gt;1,AND($E429&lt;&gt;"",SUMPRODUCT(--(ROW($1:$1)&lt;=LEN($E429&amp;"")),--ISERROR(FIND(MID($E429&amp;"",ROW($1:$1),1),"ABCDEFGHIJKLMNOPQRSTUVWXYZabcdefghijklmnopqrstuvwxyz .,")))&gt;0)),"Middle Initial, ","")&amp;IF(OR($F429="",LEN($F429)&gt;75),"Address, ","")&amp;IF(OR($H429="",LEN($H429)&gt;30),"City, ","")&amp;IF(AND($K429="US",OR($I429="",LEN($I429)&lt;&gt;2)),"State, ","")&amp;IF($J429="","ZIP, ","")&amp;IF(OR($K429="",AND($K429&lt;&gt;"US",$K429&lt;&gt;"CA")),"Country, ","")&amp;IF(OR($L429="",AND($L429&lt;&gt;"",OR(NOT(ISNUMBER($L429)),$L429&lt;=DATE(1900,1,1),$L429&gt;TODAY()))),"Birthdate, ","")&amp;IF(AND($N429&lt;&gt;"",NOT(IFERROR(AND(ISNUMBER(SEARCH("@",$N429)),ISNUMBER(SEARCH(".",$N429,SEARCH("@",$N429)+2))),FALSE))),"Email, ","")&amp;IF(OR(AND($B429&lt;&gt;"",$O429=""),AND($O429&lt;&gt;"",$O429&lt;&gt;"Spouse or Common Law Spouse",$O429&lt;&gt;"Domestic Partner",$O429&lt;&gt;"Child",$O429&lt;&gt;"Other",$O429&lt;&gt;"Estate",$O429&lt;&gt;"Unknown")),"Dependent Relationship, ","")&amp;IF($AA429&lt;&gt;"","Household, ","")&amp;IF(OR($P429="",AND($P429&lt;&gt;"",OR(NOT(ISNUMBER($P429)),$P429&lt;=DATE(1900,1,1)))),"Eligibility Date, ","")&amp;IF(OR(AND($R429="Terminated",$Q429=""),AND($Q429&lt;&gt;"",OR(NOT(ISNUMBER($Q429)),$Q429&lt;=DATE(1900,1,1))),AND(ISNUMBER($P429),ISNUMBER($Q429),$Q429&lt;$P429)),"Termination Date, ","")&amp;IF(OR($R429="",AND($R429&lt;&gt;"Active",$R429&lt;&gt;"Terminated"),AND('START HERE'!$C$8="Terminations Only",$R429&lt;&gt;"Terminated")),"Status, ","")&amp;IF($S429="","Plan Name, ","")&amp;IF($T429="","Coverage Level, ","")&amp;IF(AND($U429&lt;&gt;"",OR(NOT(ISNUMBER($U429)),$U429&lt;0)),"Funding, ","")&amp;IF(AND($A429&lt;&gt;"",$S429&lt;&gt;"",COUNTIFS($A$2:$A$501,$A429,$B$2:$B$501,$B429,$S$2:$S$501,$S429)&gt;1),"Duplicate Row, ",""))</f>
        <v/>
      </c>
      <c r="AF429">
        <f>IF(COUNTA($A429:$U429)=0,"",$Y429&amp;$Z429&amp;$AA429&amp;$AB429&amp;$AC429)</f>
        <v/>
      </c>
      <c r="AG429">
        <f>IF($N429="","",LOWER(TRIM($N429)))</f>
        <v/>
      </c>
      <c r="AH429">
        <f>IF($A429="","",COUNTIFS($A$2:$A$501,$A429,$AI$2:$AI$501,1))</f>
        <v/>
      </c>
      <c r="AI429">
        <f>IF(COUNTA($A429:$U429)=0,"",--($AF429&lt;&gt;""))</f>
        <v/>
      </c>
      <c r="AJ429">
        <f>IF(COUNTA($A429:$U429)=0,"",--($AD429&lt;&gt;""))</f>
        <v/>
      </c>
    </row>
    <row r="430" ht="20" customHeight="1">
      <c r="A430" s="80" t="n"/>
      <c r="B430" s="80" t="n"/>
      <c r="C430" s="81" t="n"/>
      <c r="D430" s="81" t="n"/>
      <c r="E430" s="80" t="n"/>
      <c r="F430" s="81" t="n"/>
      <c r="G430" s="81" t="n"/>
      <c r="H430" s="81" t="n"/>
      <c r="I430" s="80" t="n"/>
      <c r="J430" s="80" t="n"/>
      <c r="K430" s="80" t="n"/>
      <c r="L430" s="82" t="n"/>
      <c r="M430" s="80" t="n"/>
      <c r="N430" s="80" t="n"/>
      <c r="O430" s="80" t="n"/>
      <c r="P430" s="82" t="n"/>
      <c r="Q430" s="82" t="n"/>
      <c r="R430" s="80" t="n"/>
      <c r="S430" s="80" t="n"/>
      <c r="T430" s="80" t="n"/>
      <c r="U430" s="83" t="n"/>
      <c r="V430">
        <f>IF($A430="","",IF($A430=$A429,$V429,IF($V429="",0,1-$V429)))</f>
        <v/>
      </c>
      <c r="W430">
        <f>IF($B430&lt;&gt;"",$B430,$A430)</f>
        <v/>
      </c>
      <c r="X430">
        <f>IF(COUNTA($A430:$U430)=0,"",IF(OR($B430&lt;&gt;"",$O430&lt;&gt;""),"Dependent","Employee"))</f>
        <v/>
      </c>
      <c r="Y430">
        <f>IF(COUNTA($A430:$U430)=0,"",IF($A430="","Employee SSN is required; ","")&amp;IF($C430="","First Name is required; ","")&amp;IF(LEN($C430&amp;"")&gt;19,"First Name exceeds 19 characters; ","")&amp;IF(AND($C430&lt;&gt;"",SUMPRODUCT(--(ROW($1:$19)&lt;=LEN($C430&amp;"")),--ISERROR(FIND(MID($C430&amp;"",ROW($1:$19),1),"ABCDEFGHIJKLMNOPQRSTUVWXYZabcdefghijklmnopqrstuvwxyz .,")))&gt;0),"First Name contains unsupported or encoded characters; use plain A-Z letters only; ","")&amp;IF($D430="","Last Name is required; ","")&amp;IF(LEN($D430&amp;"")&gt;26,"Last Name exceeds 26 characters; ","")&amp;IF(AND($D430&lt;&gt;"",SUMPRODUCT(--(ROW($1:$26)&lt;=LEN($D430&amp;"")),--ISERROR(FIND(MID($D430&amp;"",ROW($1:$26),1),"ABCDEFGHIJKLMNOPQRSTUVWXYZabcdefghijklmnopqrstuvwxyz .,")))&gt;0),"Last Name contains unsupported or encoded characters; use plain A-Z letters only; ","")&amp;IF(LEN($E430&amp;"")&gt;1,"Middle Initial may contain only one character; ","")&amp;IF(AND($E430&lt;&gt;"",SUMPRODUCT(--(ROW($1:$1)&lt;=LEN($E430&amp;"")),--ISERROR(FIND(MID($E430&amp;"",ROW($1:$1),1),"ABCDEFGHIJKLMNOPQRSTUVWXYZabcdefghijklmnopqrstuvwxyz .,")))&gt;0),"Middle Initial must be a plain A-Z letter; ","")&amp;IF($F430="","Address is required; ","")&amp;IF(LEN($F430&amp;"")&gt;75,"Address exceeds 75 characters; ","")&amp;IF(LEN($G430&amp;"")&gt;75,"Address 2 exceeds 75 characters; ","")&amp;IF($H430="","City is required; ","")&amp;IF(LEN($H430&amp;"")&gt;30,"City exceeds 30 characters; ","")&amp;IF($K430="","Country is required; ","")&amp;IF(AND($K430&lt;&gt;"",$K430&lt;&gt;"US",$K430&lt;&gt;"CA"),"Country must be US or CA; ","")&amp;IF(AND($K430="US",OR($I430="",LEN($I430&amp;"")&lt;&gt;2)),"Use a 2-letter state code; ","")&amp;IF($J430="","ZIP or postal code is required; ","")&amp;IF(AND($K430="US",$J430&lt;&gt;"",NOT(IFERROR(OR(AND(LEN($J430&amp;"")=5,ISNUMBER(--($J430&amp;""))),AND(LEN($J430&amp;"")=9,ISNUMBER(--($J430&amp;""))),AND(LEN($J430&amp;"")=10,MID($J430&amp;"",6,1)="-",ISNUMBER(--SUBSTITUTE($J430&amp;"","-","")))),FALSE))),"US ZIP must be 5 or 9 digits, with an optional ZIP+4 hyphen; ","")&amp;IF(AND($N430&lt;&gt;"",NOT(IFERROR(AND(ISNUMBER(SEARCH("@",$N430)),ISNUMBER(SEARCH(".",$N430,SEARCH("@",$N430)+2))),FALSE))),"Email format appears invalid; ","")&amp;IF(AND($O430&lt;&gt;"",$B430=""),"Dependent SSN is required for every dependent; ","")&amp;IF(AND($B430&lt;&gt;"",$O430=""),"Dependent Relationship is required when Dependent SSN is entered; ","")&amp;IF(AND($O430&lt;&gt;"",$O430&lt;&gt;"Spouse or Common Law Spouse",$O430&lt;&gt;"Domestic Partner",$O430&lt;&gt;"Child",$O430&lt;&gt;"Other",$O430&lt;&gt;"Estate",$O430&lt;&gt;"Unknown"),"Dependent Relationship must use one of the approved options; ",""))</f>
        <v/>
      </c>
      <c r="Z430">
        <f>IF(COUNTA($A430:$U430)=0,"",IF(AND($A430&lt;&gt;"",NOT(IFERROR(AND(LEN($A430&amp;"")=9,ISNUMBER(--($A430&amp;""))),FALSE))),"Employee SSN must contain exactly 9 digits; ","")&amp;IF(AND($A430&lt;&gt;"",OR($A430="123456789",$A430="987654321",$A430="012345678",$A430=REPT(LEFT($A430&amp;"",1),9))),"Employee SSN appears to be a placeholder; ","")&amp;IF(AND($B430&lt;&gt;"",NOT(IFERROR(AND(LEN($B430&amp;"")=9,ISNUMBER(--($B430&amp;""))),FALSE))),"Dependent SSN must contain exactly 9 digits; ","")&amp;IF(AND($B430&lt;&gt;"",OR($B430="123456789",$B430="987654321",$B430="012345678",$B430=REPT(LEFT($B430&amp;"",1),9))),"Dependent SSN appears to be a placeholder; ","")&amp;IF(AND($A430&lt;&gt;"",$B430&lt;&gt;"",$A430&amp;""=$B430&amp;""),"Dependent SSN cannot match Employee SSN; ","")&amp;IF(AND($W430&lt;&gt;"",OR(COUNTIFS($W$2:$W$501,$W430,$C$2:$C$501,"&lt;&gt;"&amp;$C430)&gt;0,COUNTIFS($W$2:$W$501,$W430,$D$2:$D$501,"&lt;&gt;"&amp;$D430)&gt;0,COUNTIFS($W$2:$W$501,$W430,$L$2:$L$501,"&lt;&gt;"&amp;$L430)&gt;0)),"The same SSN is associated with a different name or birthdate; ",""))</f>
        <v/>
      </c>
      <c r="AA430">
        <f>IF(COUNTA($A430:$U430)=0,"",IF(AND($A430&lt;&gt;"",$S430&lt;&gt;"",COUNTIFS($A$2:$A$501,$A430,$S$2:$S$501,$S430,$B$2:$B$501,"",$O$2:$O$501,"")=0),"Add an employee row for this household and plan; ","")&amp;IF(AND($X430="Dependent",COUNTIFS($A$2:$A430,$A430,$S$2:$S430,$S430,$B$2:$B430,"",$O$2:$O430,"")=0),"Place the employee row before dependent rows for this plan; ","")&amp;IF(AND($X430="Dependent",COUNTIFS($A$2:$A$501,$A430,$S$2:$S$501,$S430,$B$2:$B$501,"",$O$2:$O$501,"")&gt;0,IFERROR(OR($P430&lt;&gt;LOOKUP(2,1/(($A$2:$A$501=$A430)*($S$2:$S$501=$S430)*($B$2:$B$501="")*($O$2:$O$501="")),$P$2:$P$501),$Q430&lt;&gt;LOOKUP(2,1/(($A$2:$A$501=$A430)*($S$2:$S$501=$S430)*($B$2:$B$501="")*($O$2:$O$501="")),$Q$2:$Q$501),$R430&lt;&gt;LOOKUP(2,1/(($A$2:$A$501=$A430)*($S$2:$S$501=$S430)*($B$2:$B$501="")*($O$2:$O$501="")),$R$2:$R$501),$T430&lt;&gt;LOOKUP(2,1/(($A$2:$A$501=$A430)*($S$2:$S$501=$S430)*($B$2:$B$501="")*($O$2:$O$501="")),$T$2:$T$501),$U430&lt;&gt;LOOKUP(2,1/(($A$2:$A$501=$A430)*($S$2:$S$501=$S430)*($B$2:$B$501="")*($O$2:$O$501="")),$U$2:$U$501)),FALSE)),"Dependent row does not match the employee row for eligibility, status, coverage level, or funding; ",""))</f>
        <v/>
      </c>
      <c r="AB430">
        <f>IF(COUNTA($A430:$U430)=0,"",IF($L430="","Birthdate is required; ","")&amp;IF(AND($L430&lt;&gt;"",OR(NOT(ISNUMBER($L430)),$L430&lt;=DATE(1900,1,1),$L430&gt;TODAY())),"Birthdate must be an exact valid past date; ","")&amp;IF($P430="","Eligibility Date is required; ","")&amp;IF(AND($P430&lt;&gt;"",OR(NOT(ISNUMBER($P430)),$P430&lt;=DATE(1900,1,1))),"Eligibility Date must be a valid date; ","")&amp;IF(AND($R430="Terminated",$Q430=""),"Termination Date is required when Status is Terminated; ","")&amp;IF(AND($Q430&lt;&gt;"",OR(NOT(ISNUMBER($Q430)),$Q430&lt;=DATE(1900,1,1))),"Termination Date must be a valid date; ","")&amp;IF(AND(ISNUMBER($P430),ISNUMBER($Q430),$Q430&lt;$P430),"Termination Date cannot be before Eligibility Date; ","")&amp;IF($R430="","Status is required; ","")&amp;IF(AND($R430&lt;&gt;"",$R430&lt;&gt;"Active",$R430&lt;&gt;"Terminated"),"Status must be Active or Terminated; ","")&amp;IF(AND('START HERE'!$C$8="Terminations Only",$R430&lt;&gt;"Terminated"),"Terminations Only files must contain terminated records; ",""))</f>
        <v/>
      </c>
      <c r="AC430">
        <f>IF(COUNTA($A430:$U430)=0,"",IF($S430="","Plan Name is required; ","")&amp;IF($T430="","Benefit Coverage Level is required; ","")&amp;IF(AND($U430&lt;&gt;"",OR(NOT(ISNUMBER($U430)),$U430&lt;0)),"Plan Funding Amount must be a nonnegative number; ","")&amp;IF(AND($A430&lt;&gt;"",$S430&lt;&gt;"",COUNTIFS($A$2:$A$501,$A430,$B$2:$B$501,$B430,$S$2:$S$501,$S430)&gt;1),"Duplicate participant and plan row; ",""))</f>
        <v/>
      </c>
      <c r="AD430">
        <f>IF(COUNTA($A430:$U430)=0,"",IF(AND($X430="Employee",$M430="",$N430=""),"No employee phone or email provided; ","")&amp;IF(AND($R430="Active",$Q430&lt;&gt;""),"Active record includes a Termination Date; confirm this is intentional; ","")&amp;IF(AND($B430&lt;&gt;"",$B430&amp;""&lt;&gt;$A430&amp;"",COUNTIF($A$2:$A$501,$B430)&gt;0),"Dependent SSN also appears as an Employee SSN elsewhere; confirm dual-employee coverage is intentional; ","")&amp;IF(AND($B430&lt;&gt;"",COUNTIF($B$2:$B$501,$B430)&gt;COUNTIFS($A$2:$A$501,$A430,$B$2:$B$501,$B430)),"Dependent SSN appears under more than one employee; confirm duplicate family coverage is intentional; ","")&amp;IF(AND(ROW()&gt;2,$A430&lt;&gt;"",$A430&lt;&gt;$A429,COUNTIF($A$2:$A429,$A430)&gt;0),"This household appears in more than one section of the census; keep the family together; ","")&amp;IF(OR(AND($C430&lt;&gt;"",LEN($C430&amp;"")&lt;&gt;LEN(TRIM($C430&amp;""))),AND($D430&lt;&gt;"",LEN($D430&amp;"")&lt;&gt;LEN(TRIM($D430&amp;""))),AND($E430&lt;&gt;"",LEN($E430&amp;"")&lt;&gt;LEN(TRIM($E430&amp;""))),AND($F430&lt;&gt;"",LEN($F430&amp;"")&lt;&gt;LEN(TRIM($F430&amp;""))),AND($G430&lt;&gt;"",LEN($G430&amp;"")&lt;&gt;LEN(TRIM($G430&amp;""))),AND($H430&lt;&gt;"",LEN($H430&amp;"")&lt;&gt;LEN(TRIM($H430&amp;""))),AND($I430&lt;&gt;"",LEN($I430&amp;"")&lt;&gt;LEN(TRIM($I430&amp;""))),AND($J430&lt;&gt;"",LEN($J430&amp;"")&lt;&gt;LEN(TRIM($J430&amp;""))),AND($K430&lt;&gt;"",LEN($K430&amp;"")&lt;&gt;LEN(TRIM($K430&amp;""))),AND($M430&lt;&gt;"",LEN($M430&amp;"")&lt;&gt;LEN(TRIM($M430&amp;""))),AND($N430&lt;&gt;"",LEN($N430&amp;"")&lt;&gt;LEN(TRIM($N430&amp;""))),AND($O430&lt;&gt;"",LEN($O430&amp;"")&lt;&gt;LEN(TRIM($O430&amp;""))),AND($R430&lt;&gt;"",LEN($R430&amp;"")&lt;&gt;LEN(TRIM($R430&amp;""))),AND($S430&lt;&gt;"",LEN($S430&amp;"")&lt;&gt;LEN(TRIM($S430&amp;""))),AND($T430&lt;&gt;"",LEN($T430&amp;"")&lt;&gt;LEN(TRIM($T430&amp;"")))),"Remove leading or trailing spaces from text fields; ","")&amp;IF(OR(AND(LEN($C430)&gt;1,OR(EXACT($C430,UPPER($C430)),EXACT($C430,LOWER($C430)))),AND(LEN($D430)&gt;1,OR(EXACT($D430,UPPER($D430)),EXACT($D430,LOWER($D430)))),AND(LEN($H430)&gt;1,OR(EXACT($H430,UPPER($H430)),EXACT($H430,LOWER($H430))))),"Review capitalization in First Name, Last Name, or City; ","")&amp;IF(AND($N430&lt;&gt;"",NOT(EXACT($N430,LOWER($N430)))),"Email will be standardized to lowercase in the clean output; ","")&amp;IF(AND(OR('START HERE'!$C$8="Initial Enrollment",'START HERE'!$C$8="Open Enrollment"),$R430="Terminated"),"A terminated row is included in an initial or open enrollment file; confirm this is intentional; ",""))</f>
        <v/>
      </c>
      <c r="AE430">
        <f>IF(COUNTA($A430:$U430)=0,"",IF(OR($A430="",AND($A430&lt;&gt;"",NOT(IFERROR(AND(LEN($A430&amp;"")=9,ISNUMBER(--($A430&amp;""))),FALSE))),AND($A430&lt;&gt;"",OR($A430="123456789",$A430="987654321",$A430="012345678",$A430=REPT(LEFT($A430&amp;"",1),9)))),"Employee SSN, ","")&amp;IF(OR(AND($O430&lt;&gt;"",$B430=""),AND($B430&lt;&gt;"",OR(NOT(IFERROR(AND(LEN($B430&amp;"")=9,ISNUMBER(--($B430&amp;""))),FALSE)),$B430=$A430,$B430="123456789",$B430="987654321",$B430="012345678",$B430=REPT(LEFT($B430&amp;"",1),9)))),"Dependent SSN, ","")&amp;IF(OR($C430="",LEN($C430)&gt;19,AND($C430&lt;&gt;"",SUMPRODUCT(--(ROW($1:$19)&lt;=LEN($C430&amp;"")),--ISERROR(FIND(MID($C430&amp;"",ROW($1:$19),1),"ABCDEFGHIJKLMNOPQRSTUVWXYZabcdefghijklmnopqrstuvwxyz .,")))&gt;0)),"First Name, ","")&amp;IF(OR($D430="",LEN($D430)&gt;26,AND($D430&lt;&gt;"",SUMPRODUCT(--(ROW($1:$26)&lt;=LEN($D430&amp;"")),--ISERROR(FIND(MID($D430&amp;"",ROW($1:$26),1),"ABCDEFGHIJKLMNOPQRSTUVWXYZabcdefghijklmnopqrstuvwxyz .,")))&gt;0)),"Last Name, ","")&amp;IF(OR(LEN($E430)&gt;1,AND($E430&lt;&gt;"",SUMPRODUCT(--(ROW($1:$1)&lt;=LEN($E430&amp;"")),--ISERROR(FIND(MID($E430&amp;"",ROW($1:$1),1),"ABCDEFGHIJKLMNOPQRSTUVWXYZabcdefghijklmnopqrstuvwxyz .,")))&gt;0)),"Middle Initial, ","")&amp;IF(OR($F430="",LEN($F430)&gt;75),"Address, ","")&amp;IF(OR($H430="",LEN($H430)&gt;30),"City, ","")&amp;IF(AND($K430="US",OR($I430="",LEN($I430)&lt;&gt;2)),"State, ","")&amp;IF($J430="","ZIP, ","")&amp;IF(OR($K430="",AND($K430&lt;&gt;"US",$K430&lt;&gt;"CA")),"Country, ","")&amp;IF(OR($L430="",AND($L430&lt;&gt;"",OR(NOT(ISNUMBER($L430)),$L430&lt;=DATE(1900,1,1),$L430&gt;TODAY()))),"Birthdate, ","")&amp;IF(AND($N430&lt;&gt;"",NOT(IFERROR(AND(ISNUMBER(SEARCH("@",$N430)),ISNUMBER(SEARCH(".",$N430,SEARCH("@",$N430)+2))),FALSE))),"Email, ","")&amp;IF(OR(AND($B430&lt;&gt;"",$O430=""),AND($O430&lt;&gt;"",$O430&lt;&gt;"Spouse or Common Law Spouse",$O430&lt;&gt;"Domestic Partner",$O430&lt;&gt;"Child",$O430&lt;&gt;"Other",$O430&lt;&gt;"Estate",$O430&lt;&gt;"Unknown")),"Dependent Relationship, ","")&amp;IF($AA430&lt;&gt;"","Household, ","")&amp;IF(OR($P430="",AND($P430&lt;&gt;"",OR(NOT(ISNUMBER($P430)),$P430&lt;=DATE(1900,1,1)))),"Eligibility Date, ","")&amp;IF(OR(AND($R430="Terminated",$Q430=""),AND($Q430&lt;&gt;"",OR(NOT(ISNUMBER($Q430)),$Q430&lt;=DATE(1900,1,1))),AND(ISNUMBER($P430),ISNUMBER($Q430),$Q430&lt;$P430)),"Termination Date, ","")&amp;IF(OR($R430="",AND($R430&lt;&gt;"Active",$R430&lt;&gt;"Terminated"),AND('START HERE'!$C$8="Terminations Only",$R430&lt;&gt;"Terminated")),"Status, ","")&amp;IF($S430="","Plan Name, ","")&amp;IF($T430="","Coverage Level, ","")&amp;IF(AND($U430&lt;&gt;"",OR(NOT(ISNUMBER($U430)),$U430&lt;0)),"Funding, ","")&amp;IF(AND($A430&lt;&gt;"",$S430&lt;&gt;"",COUNTIFS($A$2:$A$501,$A430,$B$2:$B$501,$B430,$S$2:$S$501,$S430)&gt;1),"Duplicate Row, ",""))</f>
        <v/>
      </c>
      <c r="AF430">
        <f>IF(COUNTA($A430:$U430)=0,"",$Y430&amp;$Z430&amp;$AA430&amp;$AB430&amp;$AC430)</f>
        <v/>
      </c>
      <c r="AG430">
        <f>IF($N430="","",LOWER(TRIM($N430)))</f>
        <v/>
      </c>
      <c r="AH430">
        <f>IF($A430="","",COUNTIFS($A$2:$A$501,$A430,$AI$2:$AI$501,1))</f>
        <v/>
      </c>
      <c r="AI430">
        <f>IF(COUNTA($A430:$U430)=0,"",--($AF430&lt;&gt;""))</f>
        <v/>
      </c>
      <c r="AJ430">
        <f>IF(COUNTA($A430:$U430)=0,"",--($AD430&lt;&gt;""))</f>
        <v/>
      </c>
    </row>
    <row r="431" ht="20" customHeight="1">
      <c r="A431" s="80" t="n"/>
      <c r="B431" s="80" t="n"/>
      <c r="C431" s="81" t="n"/>
      <c r="D431" s="81" t="n"/>
      <c r="E431" s="80" t="n"/>
      <c r="F431" s="81" t="n"/>
      <c r="G431" s="81" t="n"/>
      <c r="H431" s="81" t="n"/>
      <c r="I431" s="80" t="n"/>
      <c r="J431" s="80" t="n"/>
      <c r="K431" s="80" t="n"/>
      <c r="L431" s="82" t="n"/>
      <c r="M431" s="80" t="n"/>
      <c r="N431" s="80" t="n"/>
      <c r="O431" s="80" t="n"/>
      <c r="P431" s="82" t="n"/>
      <c r="Q431" s="82" t="n"/>
      <c r="R431" s="80" t="n"/>
      <c r="S431" s="80" t="n"/>
      <c r="T431" s="80" t="n"/>
      <c r="U431" s="83" t="n"/>
      <c r="V431">
        <f>IF($A431="","",IF($A431=$A430,$V430,IF($V430="",0,1-$V430)))</f>
        <v/>
      </c>
      <c r="W431">
        <f>IF($B431&lt;&gt;"",$B431,$A431)</f>
        <v/>
      </c>
      <c r="X431">
        <f>IF(COUNTA($A431:$U431)=0,"",IF(OR($B431&lt;&gt;"",$O431&lt;&gt;""),"Dependent","Employee"))</f>
        <v/>
      </c>
      <c r="Y431">
        <f>IF(COUNTA($A431:$U431)=0,"",IF($A431="","Employee SSN is required; ","")&amp;IF($C431="","First Name is required; ","")&amp;IF(LEN($C431&amp;"")&gt;19,"First Name exceeds 19 characters; ","")&amp;IF(AND($C431&lt;&gt;"",SUMPRODUCT(--(ROW($1:$19)&lt;=LEN($C431&amp;"")),--ISERROR(FIND(MID($C431&amp;"",ROW($1:$19),1),"ABCDEFGHIJKLMNOPQRSTUVWXYZabcdefghijklmnopqrstuvwxyz .,")))&gt;0),"First Name contains unsupported or encoded characters; use plain A-Z letters only; ","")&amp;IF($D431="","Last Name is required; ","")&amp;IF(LEN($D431&amp;"")&gt;26,"Last Name exceeds 26 characters; ","")&amp;IF(AND($D431&lt;&gt;"",SUMPRODUCT(--(ROW($1:$26)&lt;=LEN($D431&amp;"")),--ISERROR(FIND(MID($D431&amp;"",ROW($1:$26),1),"ABCDEFGHIJKLMNOPQRSTUVWXYZabcdefghijklmnopqrstuvwxyz .,")))&gt;0),"Last Name contains unsupported or encoded characters; use plain A-Z letters only; ","")&amp;IF(LEN($E431&amp;"")&gt;1,"Middle Initial may contain only one character; ","")&amp;IF(AND($E431&lt;&gt;"",SUMPRODUCT(--(ROW($1:$1)&lt;=LEN($E431&amp;"")),--ISERROR(FIND(MID($E431&amp;"",ROW($1:$1),1),"ABCDEFGHIJKLMNOPQRSTUVWXYZabcdefghijklmnopqrstuvwxyz .,")))&gt;0),"Middle Initial must be a plain A-Z letter; ","")&amp;IF($F431="","Address is required; ","")&amp;IF(LEN($F431&amp;"")&gt;75,"Address exceeds 75 characters; ","")&amp;IF(LEN($G431&amp;"")&gt;75,"Address 2 exceeds 75 characters; ","")&amp;IF($H431="","City is required; ","")&amp;IF(LEN($H431&amp;"")&gt;30,"City exceeds 30 characters; ","")&amp;IF($K431="","Country is required; ","")&amp;IF(AND($K431&lt;&gt;"",$K431&lt;&gt;"US",$K431&lt;&gt;"CA"),"Country must be US or CA; ","")&amp;IF(AND($K431="US",OR($I431="",LEN($I431&amp;"")&lt;&gt;2)),"Use a 2-letter state code; ","")&amp;IF($J431="","ZIP or postal code is required; ","")&amp;IF(AND($K431="US",$J431&lt;&gt;"",NOT(IFERROR(OR(AND(LEN($J431&amp;"")=5,ISNUMBER(--($J431&amp;""))),AND(LEN($J431&amp;"")=9,ISNUMBER(--($J431&amp;""))),AND(LEN($J431&amp;"")=10,MID($J431&amp;"",6,1)="-",ISNUMBER(--SUBSTITUTE($J431&amp;"","-","")))),FALSE))),"US ZIP must be 5 or 9 digits, with an optional ZIP+4 hyphen; ","")&amp;IF(AND($N431&lt;&gt;"",NOT(IFERROR(AND(ISNUMBER(SEARCH("@",$N431)),ISNUMBER(SEARCH(".",$N431,SEARCH("@",$N431)+2))),FALSE))),"Email format appears invalid; ","")&amp;IF(AND($O431&lt;&gt;"",$B431=""),"Dependent SSN is required for every dependent; ","")&amp;IF(AND($B431&lt;&gt;"",$O431=""),"Dependent Relationship is required when Dependent SSN is entered; ","")&amp;IF(AND($O431&lt;&gt;"",$O431&lt;&gt;"Spouse or Common Law Spouse",$O431&lt;&gt;"Domestic Partner",$O431&lt;&gt;"Child",$O431&lt;&gt;"Other",$O431&lt;&gt;"Estate",$O431&lt;&gt;"Unknown"),"Dependent Relationship must use one of the approved options; ",""))</f>
        <v/>
      </c>
      <c r="Z431">
        <f>IF(COUNTA($A431:$U431)=0,"",IF(AND($A431&lt;&gt;"",NOT(IFERROR(AND(LEN($A431&amp;"")=9,ISNUMBER(--($A431&amp;""))),FALSE))),"Employee SSN must contain exactly 9 digits; ","")&amp;IF(AND($A431&lt;&gt;"",OR($A431="123456789",$A431="987654321",$A431="012345678",$A431=REPT(LEFT($A431&amp;"",1),9))),"Employee SSN appears to be a placeholder; ","")&amp;IF(AND($B431&lt;&gt;"",NOT(IFERROR(AND(LEN($B431&amp;"")=9,ISNUMBER(--($B431&amp;""))),FALSE))),"Dependent SSN must contain exactly 9 digits; ","")&amp;IF(AND($B431&lt;&gt;"",OR($B431="123456789",$B431="987654321",$B431="012345678",$B431=REPT(LEFT($B431&amp;"",1),9))),"Dependent SSN appears to be a placeholder; ","")&amp;IF(AND($A431&lt;&gt;"",$B431&lt;&gt;"",$A431&amp;""=$B431&amp;""),"Dependent SSN cannot match Employee SSN; ","")&amp;IF(AND($W431&lt;&gt;"",OR(COUNTIFS($W$2:$W$501,$W431,$C$2:$C$501,"&lt;&gt;"&amp;$C431)&gt;0,COUNTIFS($W$2:$W$501,$W431,$D$2:$D$501,"&lt;&gt;"&amp;$D431)&gt;0,COUNTIFS($W$2:$W$501,$W431,$L$2:$L$501,"&lt;&gt;"&amp;$L431)&gt;0)),"The same SSN is associated with a different name or birthdate; ",""))</f>
        <v/>
      </c>
      <c r="AA431">
        <f>IF(COUNTA($A431:$U431)=0,"",IF(AND($A431&lt;&gt;"",$S431&lt;&gt;"",COUNTIFS($A$2:$A$501,$A431,$S$2:$S$501,$S431,$B$2:$B$501,"",$O$2:$O$501,"")=0),"Add an employee row for this household and plan; ","")&amp;IF(AND($X431="Dependent",COUNTIFS($A$2:$A431,$A431,$S$2:$S431,$S431,$B$2:$B431,"",$O$2:$O431,"")=0),"Place the employee row before dependent rows for this plan; ","")&amp;IF(AND($X431="Dependent",COUNTIFS($A$2:$A$501,$A431,$S$2:$S$501,$S431,$B$2:$B$501,"",$O$2:$O$501,"")&gt;0,IFERROR(OR($P431&lt;&gt;LOOKUP(2,1/(($A$2:$A$501=$A431)*($S$2:$S$501=$S431)*($B$2:$B$501="")*($O$2:$O$501="")),$P$2:$P$501),$Q431&lt;&gt;LOOKUP(2,1/(($A$2:$A$501=$A431)*($S$2:$S$501=$S431)*($B$2:$B$501="")*($O$2:$O$501="")),$Q$2:$Q$501),$R431&lt;&gt;LOOKUP(2,1/(($A$2:$A$501=$A431)*($S$2:$S$501=$S431)*($B$2:$B$501="")*($O$2:$O$501="")),$R$2:$R$501),$T431&lt;&gt;LOOKUP(2,1/(($A$2:$A$501=$A431)*($S$2:$S$501=$S431)*($B$2:$B$501="")*($O$2:$O$501="")),$T$2:$T$501),$U431&lt;&gt;LOOKUP(2,1/(($A$2:$A$501=$A431)*($S$2:$S$501=$S431)*($B$2:$B$501="")*($O$2:$O$501="")),$U$2:$U$501)),FALSE)),"Dependent row does not match the employee row for eligibility, status, coverage level, or funding; ",""))</f>
        <v/>
      </c>
      <c r="AB431">
        <f>IF(COUNTA($A431:$U431)=0,"",IF($L431="","Birthdate is required; ","")&amp;IF(AND($L431&lt;&gt;"",OR(NOT(ISNUMBER($L431)),$L431&lt;=DATE(1900,1,1),$L431&gt;TODAY())),"Birthdate must be an exact valid past date; ","")&amp;IF($P431="","Eligibility Date is required; ","")&amp;IF(AND($P431&lt;&gt;"",OR(NOT(ISNUMBER($P431)),$P431&lt;=DATE(1900,1,1))),"Eligibility Date must be a valid date; ","")&amp;IF(AND($R431="Terminated",$Q431=""),"Termination Date is required when Status is Terminated; ","")&amp;IF(AND($Q431&lt;&gt;"",OR(NOT(ISNUMBER($Q431)),$Q431&lt;=DATE(1900,1,1))),"Termination Date must be a valid date; ","")&amp;IF(AND(ISNUMBER($P431),ISNUMBER($Q431),$Q431&lt;$P431),"Termination Date cannot be before Eligibility Date; ","")&amp;IF($R431="","Status is required; ","")&amp;IF(AND($R431&lt;&gt;"",$R431&lt;&gt;"Active",$R431&lt;&gt;"Terminated"),"Status must be Active or Terminated; ","")&amp;IF(AND('START HERE'!$C$8="Terminations Only",$R431&lt;&gt;"Terminated"),"Terminations Only files must contain terminated records; ",""))</f>
        <v/>
      </c>
      <c r="AC431">
        <f>IF(COUNTA($A431:$U431)=0,"",IF($S431="","Plan Name is required; ","")&amp;IF($T431="","Benefit Coverage Level is required; ","")&amp;IF(AND($U431&lt;&gt;"",OR(NOT(ISNUMBER($U431)),$U431&lt;0)),"Plan Funding Amount must be a nonnegative number; ","")&amp;IF(AND($A431&lt;&gt;"",$S431&lt;&gt;"",COUNTIFS($A$2:$A$501,$A431,$B$2:$B$501,$B431,$S$2:$S$501,$S431)&gt;1),"Duplicate participant and plan row; ",""))</f>
        <v/>
      </c>
      <c r="AD431">
        <f>IF(COUNTA($A431:$U431)=0,"",IF(AND($X431="Employee",$M431="",$N431=""),"No employee phone or email provided; ","")&amp;IF(AND($R431="Active",$Q431&lt;&gt;""),"Active record includes a Termination Date; confirm this is intentional; ","")&amp;IF(AND($B431&lt;&gt;"",$B431&amp;""&lt;&gt;$A431&amp;"",COUNTIF($A$2:$A$501,$B431)&gt;0),"Dependent SSN also appears as an Employee SSN elsewhere; confirm dual-employee coverage is intentional; ","")&amp;IF(AND($B431&lt;&gt;"",COUNTIF($B$2:$B$501,$B431)&gt;COUNTIFS($A$2:$A$501,$A431,$B$2:$B$501,$B431)),"Dependent SSN appears under more than one employee; confirm duplicate family coverage is intentional; ","")&amp;IF(AND(ROW()&gt;2,$A431&lt;&gt;"",$A431&lt;&gt;$A430,COUNTIF($A$2:$A430,$A431)&gt;0),"This household appears in more than one section of the census; keep the family together; ","")&amp;IF(OR(AND($C431&lt;&gt;"",LEN($C431&amp;"")&lt;&gt;LEN(TRIM($C431&amp;""))),AND($D431&lt;&gt;"",LEN($D431&amp;"")&lt;&gt;LEN(TRIM($D431&amp;""))),AND($E431&lt;&gt;"",LEN($E431&amp;"")&lt;&gt;LEN(TRIM($E431&amp;""))),AND($F431&lt;&gt;"",LEN($F431&amp;"")&lt;&gt;LEN(TRIM($F431&amp;""))),AND($G431&lt;&gt;"",LEN($G431&amp;"")&lt;&gt;LEN(TRIM($G431&amp;""))),AND($H431&lt;&gt;"",LEN($H431&amp;"")&lt;&gt;LEN(TRIM($H431&amp;""))),AND($I431&lt;&gt;"",LEN($I431&amp;"")&lt;&gt;LEN(TRIM($I431&amp;""))),AND($J431&lt;&gt;"",LEN($J431&amp;"")&lt;&gt;LEN(TRIM($J431&amp;""))),AND($K431&lt;&gt;"",LEN($K431&amp;"")&lt;&gt;LEN(TRIM($K431&amp;""))),AND($M431&lt;&gt;"",LEN($M431&amp;"")&lt;&gt;LEN(TRIM($M431&amp;""))),AND($N431&lt;&gt;"",LEN($N431&amp;"")&lt;&gt;LEN(TRIM($N431&amp;""))),AND($O431&lt;&gt;"",LEN($O431&amp;"")&lt;&gt;LEN(TRIM($O431&amp;""))),AND($R431&lt;&gt;"",LEN($R431&amp;"")&lt;&gt;LEN(TRIM($R431&amp;""))),AND($S431&lt;&gt;"",LEN($S431&amp;"")&lt;&gt;LEN(TRIM($S431&amp;""))),AND($T431&lt;&gt;"",LEN($T431&amp;"")&lt;&gt;LEN(TRIM($T431&amp;"")))),"Remove leading or trailing spaces from text fields; ","")&amp;IF(OR(AND(LEN($C431)&gt;1,OR(EXACT($C431,UPPER($C431)),EXACT($C431,LOWER($C431)))),AND(LEN($D431)&gt;1,OR(EXACT($D431,UPPER($D431)),EXACT($D431,LOWER($D431)))),AND(LEN($H431)&gt;1,OR(EXACT($H431,UPPER($H431)),EXACT($H431,LOWER($H431))))),"Review capitalization in First Name, Last Name, or City; ","")&amp;IF(AND($N431&lt;&gt;"",NOT(EXACT($N431,LOWER($N431)))),"Email will be standardized to lowercase in the clean output; ","")&amp;IF(AND(OR('START HERE'!$C$8="Initial Enrollment",'START HERE'!$C$8="Open Enrollment"),$R431="Terminated"),"A terminated row is included in an initial or open enrollment file; confirm this is intentional; ",""))</f>
        <v/>
      </c>
      <c r="AE431">
        <f>IF(COUNTA($A431:$U431)=0,"",IF(OR($A431="",AND($A431&lt;&gt;"",NOT(IFERROR(AND(LEN($A431&amp;"")=9,ISNUMBER(--($A431&amp;""))),FALSE))),AND($A431&lt;&gt;"",OR($A431="123456789",$A431="987654321",$A431="012345678",$A431=REPT(LEFT($A431&amp;"",1),9)))),"Employee SSN, ","")&amp;IF(OR(AND($O431&lt;&gt;"",$B431=""),AND($B431&lt;&gt;"",OR(NOT(IFERROR(AND(LEN($B431&amp;"")=9,ISNUMBER(--($B431&amp;""))),FALSE)),$B431=$A431,$B431="123456789",$B431="987654321",$B431="012345678",$B431=REPT(LEFT($B431&amp;"",1),9)))),"Dependent SSN, ","")&amp;IF(OR($C431="",LEN($C431)&gt;19,AND($C431&lt;&gt;"",SUMPRODUCT(--(ROW($1:$19)&lt;=LEN($C431&amp;"")),--ISERROR(FIND(MID($C431&amp;"",ROW($1:$19),1),"ABCDEFGHIJKLMNOPQRSTUVWXYZabcdefghijklmnopqrstuvwxyz .,")))&gt;0)),"First Name, ","")&amp;IF(OR($D431="",LEN($D431)&gt;26,AND($D431&lt;&gt;"",SUMPRODUCT(--(ROW($1:$26)&lt;=LEN($D431&amp;"")),--ISERROR(FIND(MID($D431&amp;"",ROW($1:$26),1),"ABCDEFGHIJKLMNOPQRSTUVWXYZabcdefghijklmnopqrstuvwxyz .,")))&gt;0)),"Last Name, ","")&amp;IF(OR(LEN($E431)&gt;1,AND($E431&lt;&gt;"",SUMPRODUCT(--(ROW($1:$1)&lt;=LEN($E431&amp;"")),--ISERROR(FIND(MID($E431&amp;"",ROW($1:$1),1),"ABCDEFGHIJKLMNOPQRSTUVWXYZabcdefghijklmnopqrstuvwxyz .,")))&gt;0)),"Middle Initial, ","")&amp;IF(OR($F431="",LEN($F431)&gt;75),"Address, ","")&amp;IF(OR($H431="",LEN($H431)&gt;30),"City, ","")&amp;IF(AND($K431="US",OR($I431="",LEN($I431)&lt;&gt;2)),"State, ","")&amp;IF($J431="","ZIP, ","")&amp;IF(OR($K431="",AND($K431&lt;&gt;"US",$K431&lt;&gt;"CA")),"Country, ","")&amp;IF(OR($L431="",AND($L431&lt;&gt;"",OR(NOT(ISNUMBER($L431)),$L431&lt;=DATE(1900,1,1),$L431&gt;TODAY()))),"Birthdate, ","")&amp;IF(AND($N431&lt;&gt;"",NOT(IFERROR(AND(ISNUMBER(SEARCH("@",$N431)),ISNUMBER(SEARCH(".",$N431,SEARCH("@",$N431)+2))),FALSE))),"Email, ","")&amp;IF(OR(AND($B431&lt;&gt;"",$O431=""),AND($O431&lt;&gt;"",$O431&lt;&gt;"Spouse or Common Law Spouse",$O431&lt;&gt;"Domestic Partner",$O431&lt;&gt;"Child",$O431&lt;&gt;"Other",$O431&lt;&gt;"Estate",$O431&lt;&gt;"Unknown")),"Dependent Relationship, ","")&amp;IF($AA431&lt;&gt;"","Household, ","")&amp;IF(OR($P431="",AND($P431&lt;&gt;"",OR(NOT(ISNUMBER($P431)),$P431&lt;=DATE(1900,1,1)))),"Eligibility Date, ","")&amp;IF(OR(AND($R431="Terminated",$Q431=""),AND($Q431&lt;&gt;"",OR(NOT(ISNUMBER($Q431)),$Q431&lt;=DATE(1900,1,1))),AND(ISNUMBER($P431),ISNUMBER($Q431),$Q431&lt;$P431)),"Termination Date, ","")&amp;IF(OR($R431="",AND($R431&lt;&gt;"Active",$R431&lt;&gt;"Terminated"),AND('START HERE'!$C$8="Terminations Only",$R431&lt;&gt;"Terminated")),"Status, ","")&amp;IF($S431="","Plan Name, ","")&amp;IF($T431="","Coverage Level, ","")&amp;IF(AND($U431&lt;&gt;"",OR(NOT(ISNUMBER($U431)),$U431&lt;0)),"Funding, ","")&amp;IF(AND($A431&lt;&gt;"",$S431&lt;&gt;"",COUNTIFS($A$2:$A$501,$A431,$B$2:$B$501,$B431,$S$2:$S$501,$S431)&gt;1),"Duplicate Row, ",""))</f>
        <v/>
      </c>
      <c r="AF431">
        <f>IF(COUNTA($A431:$U431)=0,"",$Y431&amp;$Z431&amp;$AA431&amp;$AB431&amp;$AC431)</f>
        <v/>
      </c>
      <c r="AG431">
        <f>IF($N431="","",LOWER(TRIM($N431)))</f>
        <v/>
      </c>
      <c r="AH431">
        <f>IF($A431="","",COUNTIFS($A$2:$A$501,$A431,$AI$2:$AI$501,1))</f>
        <v/>
      </c>
      <c r="AI431">
        <f>IF(COUNTA($A431:$U431)=0,"",--($AF431&lt;&gt;""))</f>
        <v/>
      </c>
      <c r="AJ431">
        <f>IF(COUNTA($A431:$U431)=0,"",--($AD431&lt;&gt;""))</f>
        <v/>
      </c>
    </row>
    <row r="432" ht="20" customHeight="1">
      <c r="A432" s="80" t="n"/>
      <c r="B432" s="80" t="n"/>
      <c r="C432" s="81" t="n"/>
      <c r="D432" s="81" t="n"/>
      <c r="E432" s="80" t="n"/>
      <c r="F432" s="81" t="n"/>
      <c r="G432" s="81" t="n"/>
      <c r="H432" s="81" t="n"/>
      <c r="I432" s="80" t="n"/>
      <c r="J432" s="80" t="n"/>
      <c r="K432" s="80" t="n"/>
      <c r="L432" s="82" t="n"/>
      <c r="M432" s="80" t="n"/>
      <c r="N432" s="80" t="n"/>
      <c r="O432" s="80" t="n"/>
      <c r="P432" s="82" t="n"/>
      <c r="Q432" s="82" t="n"/>
      <c r="R432" s="80" t="n"/>
      <c r="S432" s="80" t="n"/>
      <c r="T432" s="80" t="n"/>
      <c r="U432" s="83" t="n"/>
      <c r="V432">
        <f>IF($A432="","",IF($A432=$A431,$V431,IF($V431="",0,1-$V431)))</f>
        <v/>
      </c>
      <c r="W432">
        <f>IF($B432&lt;&gt;"",$B432,$A432)</f>
        <v/>
      </c>
      <c r="X432">
        <f>IF(COUNTA($A432:$U432)=0,"",IF(OR($B432&lt;&gt;"",$O432&lt;&gt;""),"Dependent","Employee"))</f>
        <v/>
      </c>
      <c r="Y432">
        <f>IF(COUNTA($A432:$U432)=0,"",IF($A432="","Employee SSN is required; ","")&amp;IF($C432="","First Name is required; ","")&amp;IF(LEN($C432&amp;"")&gt;19,"First Name exceeds 19 characters; ","")&amp;IF(AND($C432&lt;&gt;"",SUMPRODUCT(--(ROW($1:$19)&lt;=LEN($C432&amp;"")),--ISERROR(FIND(MID($C432&amp;"",ROW($1:$19),1),"ABCDEFGHIJKLMNOPQRSTUVWXYZabcdefghijklmnopqrstuvwxyz .,")))&gt;0),"First Name contains unsupported or encoded characters; use plain A-Z letters only; ","")&amp;IF($D432="","Last Name is required; ","")&amp;IF(LEN($D432&amp;"")&gt;26,"Last Name exceeds 26 characters; ","")&amp;IF(AND($D432&lt;&gt;"",SUMPRODUCT(--(ROW($1:$26)&lt;=LEN($D432&amp;"")),--ISERROR(FIND(MID($D432&amp;"",ROW($1:$26),1),"ABCDEFGHIJKLMNOPQRSTUVWXYZabcdefghijklmnopqrstuvwxyz .,")))&gt;0),"Last Name contains unsupported or encoded characters; use plain A-Z letters only; ","")&amp;IF(LEN($E432&amp;"")&gt;1,"Middle Initial may contain only one character; ","")&amp;IF(AND($E432&lt;&gt;"",SUMPRODUCT(--(ROW($1:$1)&lt;=LEN($E432&amp;"")),--ISERROR(FIND(MID($E432&amp;"",ROW($1:$1),1),"ABCDEFGHIJKLMNOPQRSTUVWXYZabcdefghijklmnopqrstuvwxyz .,")))&gt;0),"Middle Initial must be a plain A-Z letter; ","")&amp;IF($F432="","Address is required; ","")&amp;IF(LEN($F432&amp;"")&gt;75,"Address exceeds 75 characters; ","")&amp;IF(LEN($G432&amp;"")&gt;75,"Address 2 exceeds 75 characters; ","")&amp;IF($H432="","City is required; ","")&amp;IF(LEN($H432&amp;"")&gt;30,"City exceeds 30 characters; ","")&amp;IF($K432="","Country is required; ","")&amp;IF(AND($K432&lt;&gt;"",$K432&lt;&gt;"US",$K432&lt;&gt;"CA"),"Country must be US or CA; ","")&amp;IF(AND($K432="US",OR($I432="",LEN($I432&amp;"")&lt;&gt;2)),"Use a 2-letter state code; ","")&amp;IF($J432="","ZIP or postal code is required; ","")&amp;IF(AND($K432="US",$J432&lt;&gt;"",NOT(IFERROR(OR(AND(LEN($J432&amp;"")=5,ISNUMBER(--($J432&amp;""))),AND(LEN($J432&amp;"")=9,ISNUMBER(--($J432&amp;""))),AND(LEN($J432&amp;"")=10,MID($J432&amp;"",6,1)="-",ISNUMBER(--SUBSTITUTE($J432&amp;"","-","")))),FALSE))),"US ZIP must be 5 or 9 digits, with an optional ZIP+4 hyphen; ","")&amp;IF(AND($N432&lt;&gt;"",NOT(IFERROR(AND(ISNUMBER(SEARCH("@",$N432)),ISNUMBER(SEARCH(".",$N432,SEARCH("@",$N432)+2))),FALSE))),"Email format appears invalid; ","")&amp;IF(AND($O432&lt;&gt;"",$B432=""),"Dependent SSN is required for every dependent; ","")&amp;IF(AND($B432&lt;&gt;"",$O432=""),"Dependent Relationship is required when Dependent SSN is entered; ","")&amp;IF(AND($O432&lt;&gt;"",$O432&lt;&gt;"Spouse or Common Law Spouse",$O432&lt;&gt;"Domestic Partner",$O432&lt;&gt;"Child",$O432&lt;&gt;"Other",$O432&lt;&gt;"Estate",$O432&lt;&gt;"Unknown"),"Dependent Relationship must use one of the approved options; ",""))</f>
        <v/>
      </c>
      <c r="Z432">
        <f>IF(COUNTA($A432:$U432)=0,"",IF(AND($A432&lt;&gt;"",NOT(IFERROR(AND(LEN($A432&amp;"")=9,ISNUMBER(--($A432&amp;""))),FALSE))),"Employee SSN must contain exactly 9 digits; ","")&amp;IF(AND($A432&lt;&gt;"",OR($A432="123456789",$A432="987654321",$A432="012345678",$A432=REPT(LEFT($A432&amp;"",1),9))),"Employee SSN appears to be a placeholder; ","")&amp;IF(AND($B432&lt;&gt;"",NOT(IFERROR(AND(LEN($B432&amp;"")=9,ISNUMBER(--($B432&amp;""))),FALSE))),"Dependent SSN must contain exactly 9 digits; ","")&amp;IF(AND($B432&lt;&gt;"",OR($B432="123456789",$B432="987654321",$B432="012345678",$B432=REPT(LEFT($B432&amp;"",1),9))),"Dependent SSN appears to be a placeholder; ","")&amp;IF(AND($A432&lt;&gt;"",$B432&lt;&gt;"",$A432&amp;""=$B432&amp;""),"Dependent SSN cannot match Employee SSN; ","")&amp;IF(AND($W432&lt;&gt;"",OR(COUNTIFS($W$2:$W$501,$W432,$C$2:$C$501,"&lt;&gt;"&amp;$C432)&gt;0,COUNTIFS($W$2:$W$501,$W432,$D$2:$D$501,"&lt;&gt;"&amp;$D432)&gt;0,COUNTIFS($W$2:$W$501,$W432,$L$2:$L$501,"&lt;&gt;"&amp;$L432)&gt;0)),"The same SSN is associated with a different name or birthdate; ",""))</f>
        <v/>
      </c>
      <c r="AA432">
        <f>IF(COUNTA($A432:$U432)=0,"",IF(AND($A432&lt;&gt;"",$S432&lt;&gt;"",COUNTIFS($A$2:$A$501,$A432,$S$2:$S$501,$S432,$B$2:$B$501,"",$O$2:$O$501,"")=0),"Add an employee row for this household and plan; ","")&amp;IF(AND($X432="Dependent",COUNTIFS($A$2:$A432,$A432,$S$2:$S432,$S432,$B$2:$B432,"",$O$2:$O432,"")=0),"Place the employee row before dependent rows for this plan; ","")&amp;IF(AND($X432="Dependent",COUNTIFS($A$2:$A$501,$A432,$S$2:$S$501,$S432,$B$2:$B$501,"",$O$2:$O$501,"")&gt;0,IFERROR(OR($P432&lt;&gt;LOOKUP(2,1/(($A$2:$A$501=$A432)*($S$2:$S$501=$S432)*($B$2:$B$501="")*($O$2:$O$501="")),$P$2:$P$501),$Q432&lt;&gt;LOOKUP(2,1/(($A$2:$A$501=$A432)*($S$2:$S$501=$S432)*($B$2:$B$501="")*($O$2:$O$501="")),$Q$2:$Q$501),$R432&lt;&gt;LOOKUP(2,1/(($A$2:$A$501=$A432)*($S$2:$S$501=$S432)*($B$2:$B$501="")*($O$2:$O$501="")),$R$2:$R$501),$T432&lt;&gt;LOOKUP(2,1/(($A$2:$A$501=$A432)*($S$2:$S$501=$S432)*($B$2:$B$501="")*($O$2:$O$501="")),$T$2:$T$501),$U432&lt;&gt;LOOKUP(2,1/(($A$2:$A$501=$A432)*($S$2:$S$501=$S432)*($B$2:$B$501="")*($O$2:$O$501="")),$U$2:$U$501)),FALSE)),"Dependent row does not match the employee row for eligibility, status, coverage level, or funding; ",""))</f>
        <v/>
      </c>
      <c r="AB432">
        <f>IF(COUNTA($A432:$U432)=0,"",IF($L432="","Birthdate is required; ","")&amp;IF(AND($L432&lt;&gt;"",OR(NOT(ISNUMBER($L432)),$L432&lt;=DATE(1900,1,1),$L432&gt;TODAY())),"Birthdate must be an exact valid past date; ","")&amp;IF($P432="","Eligibility Date is required; ","")&amp;IF(AND($P432&lt;&gt;"",OR(NOT(ISNUMBER($P432)),$P432&lt;=DATE(1900,1,1))),"Eligibility Date must be a valid date; ","")&amp;IF(AND($R432="Terminated",$Q432=""),"Termination Date is required when Status is Terminated; ","")&amp;IF(AND($Q432&lt;&gt;"",OR(NOT(ISNUMBER($Q432)),$Q432&lt;=DATE(1900,1,1))),"Termination Date must be a valid date; ","")&amp;IF(AND(ISNUMBER($P432),ISNUMBER($Q432),$Q432&lt;$P432),"Termination Date cannot be before Eligibility Date; ","")&amp;IF($R432="","Status is required; ","")&amp;IF(AND($R432&lt;&gt;"",$R432&lt;&gt;"Active",$R432&lt;&gt;"Terminated"),"Status must be Active or Terminated; ","")&amp;IF(AND('START HERE'!$C$8="Terminations Only",$R432&lt;&gt;"Terminated"),"Terminations Only files must contain terminated records; ",""))</f>
        <v/>
      </c>
      <c r="AC432">
        <f>IF(COUNTA($A432:$U432)=0,"",IF($S432="","Plan Name is required; ","")&amp;IF($T432="","Benefit Coverage Level is required; ","")&amp;IF(AND($U432&lt;&gt;"",OR(NOT(ISNUMBER($U432)),$U432&lt;0)),"Plan Funding Amount must be a nonnegative number; ","")&amp;IF(AND($A432&lt;&gt;"",$S432&lt;&gt;"",COUNTIFS($A$2:$A$501,$A432,$B$2:$B$501,$B432,$S$2:$S$501,$S432)&gt;1),"Duplicate participant and plan row; ",""))</f>
        <v/>
      </c>
      <c r="AD432">
        <f>IF(COUNTA($A432:$U432)=0,"",IF(AND($X432="Employee",$M432="",$N432=""),"No employee phone or email provided; ","")&amp;IF(AND($R432="Active",$Q432&lt;&gt;""),"Active record includes a Termination Date; confirm this is intentional; ","")&amp;IF(AND($B432&lt;&gt;"",$B432&amp;""&lt;&gt;$A432&amp;"",COUNTIF($A$2:$A$501,$B432)&gt;0),"Dependent SSN also appears as an Employee SSN elsewhere; confirm dual-employee coverage is intentional; ","")&amp;IF(AND($B432&lt;&gt;"",COUNTIF($B$2:$B$501,$B432)&gt;COUNTIFS($A$2:$A$501,$A432,$B$2:$B$501,$B432)),"Dependent SSN appears under more than one employee; confirm duplicate family coverage is intentional; ","")&amp;IF(AND(ROW()&gt;2,$A432&lt;&gt;"",$A432&lt;&gt;$A431,COUNTIF($A$2:$A431,$A432)&gt;0),"This household appears in more than one section of the census; keep the family together; ","")&amp;IF(OR(AND($C432&lt;&gt;"",LEN($C432&amp;"")&lt;&gt;LEN(TRIM($C432&amp;""))),AND($D432&lt;&gt;"",LEN($D432&amp;"")&lt;&gt;LEN(TRIM($D432&amp;""))),AND($E432&lt;&gt;"",LEN($E432&amp;"")&lt;&gt;LEN(TRIM($E432&amp;""))),AND($F432&lt;&gt;"",LEN($F432&amp;"")&lt;&gt;LEN(TRIM($F432&amp;""))),AND($G432&lt;&gt;"",LEN($G432&amp;"")&lt;&gt;LEN(TRIM($G432&amp;""))),AND($H432&lt;&gt;"",LEN($H432&amp;"")&lt;&gt;LEN(TRIM($H432&amp;""))),AND($I432&lt;&gt;"",LEN($I432&amp;"")&lt;&gt;LEN(TRIM($I432&amp;""))),AND($J432&lt;&gt;"",LEN($J432&amp;"")&lt;&gt;LEN(TRIM($J432&amp;""))),AND($K432&lt;&gt;"",LEN($K432&amp;"")&lt;&gt;LEN(TRIM($K432&amp;""))),AND($M432&lt;&gt;"",LEN($M432&amp;"")&lt;&gt;LEN(TRIM($M432&amp;""))),AND($N432&lt;&gt;"",LEN($N432&amp;"")&lt;&gt;LEN(TRIM($N432&amp;""))),AND($O432&lt;&gt;"",LEN($O432&amp;"")&lt;&gt;LEN(TRIM($O432&amp;""))),AND($R432&lt;&gt;"",LEN($R432&amp;"")&lt;&gt;LEN(TRIM($R432&amp;""))),AND($S432&lt;&gt;"",LEN($S432&amp;"")&lt;&gt;LEN(TRIM($S432&amp;""))),AND($T432&lt;&gt;"",LEN($T432&amp;"")&lt;&gt;LEN(TRIM($T432&amp;"")))),"Remove leading or trailing spaces from text fields; ","")&amp;IF(OR(AND(LEN($C432)&gt;1,OR(EXACT($C432,UPPER($C432)),EXACT($C432,LOWER($C432)))),AND(LEN($D432)&gt;1,OR(EXACT($D432,UPPER($D432)),EXACT($D432,LOWER($D432)))),AND(LEN($H432)&gt;1,OR(EXACT($H432,UPPER($H432)),EXACT($H432,LOWER($H432))))),"Review capitalization in First Name, Last Name, or City; ","")&amp;IF(AND($N432&lt;&gt;"",NOT(EXACT($N432,LOWER($N432)))),"Email will be standardized to lowercase in the clean output; ","")&amp;IF(AND(OR('START HERE'!$C$8="Initial Enrollment",'START HERE'!$C$8="Open Enrollment"),$R432="Terminated"),"A terminated row is included in an initial or open enrollment file; confirm this is intentional; ",""))</f>
        <v/>
      </c>
      <c r="AE432">
        <f>IF(COUNTA($A432:$U432)=0,"",IF(OR($A432="",AND($A432&lt;&gt;"",NOT(IFERROR(AND(LEN($A432&amp;"")=9,ISNUMBER(--($A432&amp;""))),FALSE))),AND($A432&lt;&gt;"",OR($A432="123456789",$A432="987654321",$A432="012345678",$A432=REPT(LEFT($A432&amp;"",1),9)))),"Employee SSN, ","")&amp;IF(OR(AND($O432&lt;&gt;"",$B432=""),AND($B432&lt;&gt;"",OR(NOT(IFERROR(AND(LEN($B432&amp;"")=9,ISNUMBER(--($B432&amp;""))),FALSE)),$B432=$A432,$B432="123456789",$B432="987654321",$B432="012345678",$B432=REPT(LEFT($B432&amp;"",1),9)))),"Dependent SSN, ","")&amp;IF(OR($C432="",LEN($C432)&gt;19,AND($C432&lt;&gt;"",SUMPRODUCT(--(ROW($1:$19)&lt;=LEN($C432&amp;"")),--ISERROR(FIND(MID($C432&amp;"",ROW($1:$19),1),"ABCDEFGHIJKLMNOPQRSTUVWXYZabcdefghijklmnopqrstuvwxyz .,")))&gt;0)),"First Name, ","")&amp;IF(OR($D432="",LEN($D432)&gt;26,AND($D432&lt;&gt;"",SUMPRODUCT(--(ROW($1:$26)&lt;=LEN($D432&amp;"")),--ISERROR(FIND(MID($D432&amp;"",ROW($1:$26),1),"ABCDEFGHIJKLMNOPQRSTUVWXYZabcdefghijklmnopqrstuvwxyz .,")))&gt;0)),"Last Name, ","")&amp;IF(OR(LEN($E432)&gt;1,AND($E432&lt;&gt;"",SUMPRODUCT(--(ROW($1:$1)&lt;=LEN($E432&amp;"")),--ISERROR(FIND(MID($E432&amp;"",ROW($1:$1),1),"ABCDEFGHIJKLMNOPQRSTUVWXYZabcdefghijklmnopqrstuvwxyz .,")))&gt;0)),"Middle Initial, ","")&amp;IF(OR($F432="",LEN($F432)&gt;75),"Address, ","")&amp;IF(OR($H432="",LEN($H432)&gt;30),"City, ","")&amp;IF(AND($K432="US",OR($I432="",LEN($I432)&lt;&gt;2)),"State, ","")&amp;IF($J432="","ZIP, ","")&amp;IF(OR($K432="",AND($K432&lt;&gt;"US",$K432&lt;&gt;"CA")),"Country, ","")&amp;IF(OR($L432="",AND($L432&lt;&gt;"",OR(NOT(ISNUMBER($L432)),$L432&lt;=DATE(1900,1,1),$L432&gt;TODAY()))),"Birthdate, ","")&amp;IF(AND($N432&lt;&gt;"",NOT(IFERROR(AND(ISNUMBER(SEARCH("@",$N432)),ISNUMBER(SEARCH(".",$N432,SEARCH("@",$N432)+2))),FALSE))),"Email, ","")&amp;IF(OR(AND($B432&lt;&gt;"",$O432=""),AND($O432&lt;&gt;"",$O432&lt;&gt;"Spouse or Common Law Spouse",$O432&lt;&gt;"Domestic Partner",$O432&lt;&gt;"Child",$O432&lt;&gt;"Other",$O432&lt;&gt;"Estate",$O432&lt;&gt;"Unknown")),"Dependent Relationship, ","")&amp;IF($AA432&lt;&gt;"","Household, ","")&amp;IF(OR($P432="",AND($P432&lt;&gt;"",OR(NOT(ISNUMBER($P432)),$P432&lt;=DATE(1900,1,1)))),"Eligibility Date, ","")&amp;IF(OR(AND($R432="Terminated",$Q432=""),AND($Q432&lt;&gt;"",OR(NOT(ISNUMBER($Q432)),$Q432&lt;=DATE(1900,1,1))),AND(ISNUMBER($P432),ISNUMBER($Q432),$Q432&lt;$P432)),"Termination Date, ","")&amp;IF(OR($R432="",AND($R432&lt;&gt;"Active",$R432&lt;&gt;"Terminated"),AND('START HERE'!$C$8="Terminations Only",$R432&lt;&gt;"Terminated")),"Status, ","")&amp;IF($S432="","Plan Name, ","")&amp;IF($T432="","Coverage Level, ","")&amp;IF(AND($U432&lt;&gt;"",OR(NOT(ISNUMBER($U432)),$U432&lt;0)),"Funding, ","")&amp;IF(AND($A432&lt;&gt;"",$S432&lt;&gt;"",COUNTIFS($A$2:$A$501,$A432,$B$2:$B$501,$B432,$S$2:$S$501,$S432)&gt;1),"Duplicate Row, ",""))</f>
        <v/>
      </c>
      <c r="AF432">
        <f>IF(COUNTA($A432:$U432)=0,"",$Y432&amp;$Z432&amp;$AA432&amp;$AB432&amp;$AC432)</f>
        <v/>
      </c>
      <c r="AG432">
        <f>IF($N432="","",LOWER(TRIM($N432)))</f>
        <v/>
      </c>
      <c r="AH432">
        <f>IF($A432="","",COUNTIFS($A$2:$A$501,$A432,$AI$2:$AI$501,1))</f>
        <v/>
      </c>
      <c r="AI432">
        <f>IF(COUNTA($A432:$U432)=0,"",--($AF432&lt;&gt;""))</f>
        <v/>
      </c>
      <c r="AJ432">
        <f>IF(COUNTA($A432:$U432)=0,"",--($AD432&lt;&gt;""))</f>
        <v/>
      </c>
    </row>
    <row r="433" ht="20" customHeight="1">
      <c r="A433" s="80" t="n"/>
      <c r="B433" s="80" t="n"/>
      <c r="C433" s="81" t="n"/>
      <c r="D433" s="81" t="n"/>
      <c r="E433" s="80" t="n"/>
      <c r="F433" s="81" t="n"/>
      <c r="G433" s="81" t="n"/>
      <c r="H433" s="81" t="n"/>
      <c r="I433" s="80" t="n"/>
      <c r="J433" s="80" t="n"/>
      <c r="K433" s="80" t="n"/>
      <c r="L433" s="82" t="n"/>
      <c r="M433" s="80" t="n"/>
      <c r="N433" s="80" t="n"/>
      <c r="O433" s="80" t="n"/>
      <c r="P433" s="82" t="n"/>
      <c r="Q433" s="82" t="n"/>
      <c r="R433" s="80" t="n"/>
      <c r="S433" s="80" t="n"/>
      <c r="T433" s="80" t="n"/>
      <c r="U433" s="83" t="n"/>
      <c r="V433">
        <f>IF($A433="","",IF($A433=$A432,$V432,IF($V432="",0,1-$V432)))</f>
        <v/>
      </c>
      <c r="W433">
        <f>IF($B433&lt;&gt;"",$B433,$A433)</f>
        <v/>
      </c>
      <c r="X433">
        <f>IF(COUNTA($A433:$U433)=0,"",IF(OR($B433&lt;&gt;"",$O433&lt;&gt;""),"Dependent","Employee"))</f>
        <v/>
      </c>
      <c r="Y433">
        <f>IF(COUNTA($A433:$U433)=0,"",IF($A433="","Employee SSN is required; ","")&amp;IF($C433="","First Name is required; ","")&amp;IF(LEN($C433&amp;"")&gt;19,"First Name exceeds 19 characters; ","")&amp;IF(AND($C433&lt;&gt;"",SUMPRODUCT(--(ROW($1:$19)&lt;=LEN($C433&amp;"")),--ISERROR(FIND(MID($C433&amp;"",ROW($1:$19),1),"ABCDEFGHIJKLMNOPQRSTUVWXYZabcdefghijklmnopqrstuvwxyz .,")))&gt;0),"First Name contains unsupported or encoded characters; use plain A-Z letters only; ","")&amp;IF($D433="","Last Name is required; ","")&amp;IF(LEN($D433&amp;"")&gt;26,"Last Name exceeds 26 characters; ","")&amp;IF(AND($D433&lt;&gt;"",SUMPRODUCT(--(ROW($1:$26)&lt;=LEN($D433&amp;"")),--ISERROR(FIND(MID($D433&amp;"",ROW($1:$26),1),"ABCDEFGHIJKLMNOPQRSTUVWXYZabcdefghijklmnopqrstuvwxyz .,")))&gt;0),"Last Name contains unsupported or encoded characters; use plain A-Z letters only; ","")&amp;IF(LEN($E433&amp;"")&gt;1,"Middle Initial may contain only one character; ","")&amp;IF(AND($E433&lt;&gt;"",SUMPRODUCT(--(ROW($1:$1)&lt;=LEN($E433&amp;"")),--ISERROR(FIND(MID($E433&amp;"",ROW($1:$1),1),"ABCDEFGHIJKLMNOPQRSTUVWXYZabcdefghijklmnopqrstuvwxyz .,")))&gt;0),"Middle Initial must be a plain A-Z letter; ","")&amp;IF($F433="","Address is required; ","")&amp;IF(LEN($F433&amp;"")&gt;75,"Address exceeds 75 characters; ","")&amp;IF(LEN($G433&amp;"")&gt;75,"Address 2 exceeds 75 characters; ","")&amp;IF($H433="","City is required; ","")&amp;IF(LEN($H433&amp;"")&gt;30,"City exceeds 30 characters; ","")&amp;IF($K433="","Country is required; ","")&amp;IF(AND($K433&lt;&gt;"",$K433&lt;&gt;"US",$K433&lt;&gt;"CA"),"Country must be US or CA; ","")&amp;IF(AND($K433="US",OR($I433="",LEN($I433&amp;"")&lt;&gt;2)),"Use a 2-letter state code; ","")&amp;IF($J433="","ZIP or postal code is required; ","")&amp;IF(AND($K433="US",$J433&lt;&gt;"",NOT(IFERROR(OR(AND(LEN($J433&amp;"")=5,ISNUMBER(--($J433&amp;""))),AND(LEN($J433&amp;"")=9,ISNUMBER(--($J433&amp;""))),AND(LEN($J433&amp;"")=10,MID($J433&amp;"",6,1)="-",ISNUMBER(--SUBSTITUTE($J433&amp;"","-","")))),FALSE))),"US ZIP must be 5 or 9 digits, with an optional ZIP+4 hyphen; ","")&amp;IF(AND($N433&lt;&gt;"",NOT(IFERROR(AND(ISNUMBER(SEARCH("@",$N433)),ISNUMBER(SEARCH(".",$N433,SEARCH("@",$N433)+2))),FALSE))),"Email format appears invalid; ","")&amp;IF(AND($O433&lt;&gt;"",$B433=""),"Dependent SSN is required for every dependent; ","")&amp;IF(AND($B433&lt;&gt;"",$O433=""),"Dependent Relationship is required when Dependent SSN is entered; ","")&amp;IF(AND($O433&lt;&gt;"",$O433&lt;&gt;"Spouse or Common Law Spouse",$O433&lt;&gt;"Domestic Partner",$O433&lt;&gt;"Child",$O433&lt;&gt;"Other",$O433&lt;&gt;"Estate",$O433&lt;&gt;"Unknown"),"Dependent Relationship must use one of the approved options; ",""))</f>
        <v/>
      </c>
      <c r="Z433">
        <f>IF(COUNTA($A433:$U433)=0,"",IF(AND($A433&lt;&gt;"",NOT(IFERROR(AND(LEN($A433&amp;"")=9,ISNUMBER(--($A433&amp;""))),FALSE))),"Employee SSN must contain exactly 9 digits; ","")&amp;IF(AND($A433&lt;&gt;"",OR($A433="123456789",$A433="987654321",$A433="012345678",$A433=REPT(LEFT($A433&amp;"",1),9))),"Employee SSN appears to be a placeholder; ","")&amp;IF(AND($B433&lt;&gt;"",NOT(IFERROR(AND(LEN($B433&amp;"")=9,ISNUMBER(--($B433&amp;""))),FALSE))),"Dependent SSN must contain exactly 9 digits; ","")&amp;IF(AND($B433&lt;&gt;"",OR($B433="123456789",$B433="987654321",$B433="012345678",$B433=REPT(LEFT($B433&amp;"",1),9))),"Dependent SSN appears to be a placeholder; ","")&amp;IF(AND($A433&lt;&gt;"",$B433&lt;&gt;"",$A433&amp;""=$B433&amp;""),"Dependent SSN cannot match Employee SSN; ","")&amp;IF(AND($W433&lt;&gt;"",OR(COUNTIFS($W$2:$W$501,$W433,$C$2:$C$501,"&lt;&gt;"&amp;$C433)&gt;0,COUNTIFS($W$2:$W$501,$W433,$D$2:$D$501,"&lt;&gt;"&amp;$D433)&gt;0,COUNTIFS($W$2:$W$501,$W433,$L$2:$L$501,"&lt;&gt;"&amp;$L433)&gt;0)),"The same SSN is associated with a different name or birthdate; ",""))</f>
        <v/>
      </c>
      <c r="AA433">
        <f>IF(COUNTA($A433:$U433)=0,"",IF(AND($A433&lt;&gt;"",$S433&lt;&gt;"",COUNTIFS($A$2:$A$501,$A433,$S$2:$S$501,$S433,$B$2:$B$501,"",$O$2:$O$501,"")=0),"Add an employee row for this household and plan; ","")&amp;IF(AND($X433="Dependent",COUNTIFS($A$2:$A433,$A433,$S$2:$S433,$S433,$B$2:$B433,"",$O$2:$O433,"")=0),"Place the employee row before dependent rows for this plan; ","")&amp;IF(AND($X433="Dependent",COUNTIFS($A$2:$A$501,$A433,$S$2:$S$501,$S433,$B$2:$B$501,"",$O$2:$O$501,"")&gt;0,IFERROR(OR($P433&lt;&gt;LOOKUP(2,1/(($A$2:$A$501=$A433)*($S$2:$S$501=$S433)*($B$2:$B$501="")*($O$2:$O$501="")),$P$2:$P$501),$Q433&lt;&gt;LOOKUP(2,1/(($A$2:$A$501=$A433)*($S$2:$S$501=$S433)*($B$2:$B$501="")*($O$2:$O$501="")),$Q$2:$Q$501),$R433&lt;&gt;LOOKUP(2,1/(($A$2:$A$501=$A433)*($S$2:$S$501=$S433)*($B$2:$B$501="")*($O$2:$O$501="")),$R$2:$R$501),$T433&lt;&gt;LOOKUP(2,1/(($A$2:$A$501=$A433)*($S$2:$S$501=$S433)*($B$2:$B$501="")*($O$2:$O$501="")),$T$2:$T$501),$U433&lt;&gt;LOOKUP(2,1/(($A$2:$A$501=$A433)*($S$2:$S$501=$S433)*($B$2:$B$501="")*($O$2:$O$501="")),$U$2:$U$501)),FALSE)),"Dependent row does not match the employee row for eligibility, status, coverage level, or funding; ",""))</f>
        <v/>
      </c>
      <c r="AB433">
        <f>IF(COUNTA($A433:$U433)=0,"",IF($L433="","Birthdate is required; ","")&amp;IF(AND($L433&lt;&gt;"",OR(NOT(ISNUMBER($L433)),$L433&lt;=DATE(1900,1,1),$L433&gt;TODAY())),"Birthdate must be an exact valid past date; ","")&amp;IF($P433="","Eligibility Date is required; ","")&amp;IF(AND($P433&lt;&gt;"",OR(NOT(ISNUMBER($P433)),$P433&lt;=DATE(1900,1,1))),"Eligibility Date must be a valid date; ","")&amp;IF(AND($R433="Terminated",$Q433=""),"Termination Date is required when Status is Terminated; ","")&amp;IF(AND($Q433&lt;&gt;"",OR(NOT(ISNUMBER($Q433)),$Q433&lt;=DATE(1900,1,1))),"Termination Date must be a valid date; ","")&amp;IF(AND(ISNUMBER($P433),ISNUMBER($Q433),$Q433&lt;$P433),"Termination Date cannot be before Eligibility Date; ","")&amp;IF($R433="","Status is required; ","")&amp;IF(AND($R433&lt;&gt;"",$R433&lt;&gt;"Active",$R433&lt;&gt;"Terminated"),"Status must be Active or Terminated; ","")&amp;IF(AND('START HERE'!$C$8="Terminations Only",$R433&lt;&gt;"Terminated"),"Terminations Only files must contain terminated records; ",""))</f>
        <v/>
      </c>
      <c r="AC433">
        <f>IF(COUNTA($A433:$U433)=0,"",IF($S433="","Plan Name is required; ","")&amp;IF($T433="","Benefit Coverage Level is required; ","")&amp;IF(AND($U433&lt;&gt;"",OR(NOT(ISNUMBER($U433)),$U433&lt;0)),"Plan Funding Amount must be a nonnegative number; ","")&amp;IF(AND($A433&lt;&gt;"",$S433&lt;&gt;"",COUNTIFS($A$2:$A$501,$A433,$B$2:$B$501,$B433,$S$2:$S$501,$S433)&gt;1),"Duplicate participant and plan row; ",""))</f>
        <v/>
      </c>
      <c r="AD433">
        <f>IF(COUNTA($A433:$U433)=0,"",IF(AND($X433="Employee",$M433="",$N433=""),"No employee phone or email provided; ","")&amp;IF(AND($R433="Active",$Q433&lt;&gt;""),"Active record includes a Termination Date; confirm this is intentional; ","")&amp;IF(AND($B433&lt;&gt;"",$B433&amp;""&lt;&gt;$A433&amp;"",COUNTIF($A$2:$A$501,$B433)&gt;0),"Dependent SSN also appears as an Employee SSN elsewhere; confirm dual-employee coverage is intentional; ","")&amp;IF(AND($B433&lt;&gt;"",COUNTIF($B$2:$B$501,$B433)&gt;COUNTIFS($A$2:$A$501,$A433,$B$2:$B$501,$B433)),"Dependent SSN appears under more than one employee; confirm duplicate family coverage is intentional; ","")&amp;IF(AND(ROW()&gt;2,$A433&lt;&gt;"",$A433&lt;&gt;$A432,COUNTIF($A$2:$A432,$A433)&gt;0),"This household appears in more than one section of the census; keep the family together; ","")&amp;IF(OR(AND($C433&lt;&gt;"",LEN($C433&amp;"")&lt;&gt;LEN(TRIM($C433&amp;""))),AND($D433&lt;&gt;"",LEN($D433&amp;"")&lt;&gt;LEN(TRIM($D433&amp;""))),AND($E433&lt;&gt;"",LEN($E433&amp;"")&lt;&gt;LEN(TRIM($E433&amp;""))),AND($F433&lt;&gt;"",LEN($F433&amp;"")&lt;&gt;LEN(TRIM($F433&amp;""))),AND($G433&lt;&gt;"",LEN($G433&amp;"")&lt;&gt;LEN(TRIM($G433&amp;""))),AND($H433&lt;&gt;"",LEN($H433&amp;"")&lt;&gt;LEN(TRIM($H433&amp;""))),AND($I433&lt;&gt;"",LEN($I433&amp;"")&lt;&gt;LEN(TRIM($I433&amp;""))),AND($J433&lt;&gt;"",LEN($J433&amp;"")&lt;&gt;LEN(TRIM($J433&amp;""))),AND($K433&lt;&gt;"",LEN($K433&amp;"")&lt;&gt;LEN(TRIM($K433&amp;""))),AND($M433&lt;&gt;"",LEN($M433&amp;"")&lt;&gt;LEN(TRIM($M433&amp;""))),AND($N433&lt;&gt;"",LEN($N433&amp;"")&lt;&gt;LEN(TRIM($N433&amp;""))),AND($O433&lt;&gt;"",LEN($O433&amp;"")&lt;&gt;LEN(TRIM($O433&amp;""))),AND($R433&lt;&gt;"",LEN($R433&amp;"")&lt;&gt;LEN(TRIM($R433&amp;""))),AND($S433&lt;&gt;"",LEN($S433&amp;"")&lt;&gt;LEN(TRIM($S433&amp;""))),AND($T433&lt;&gt;"",LEN($T433&amp;"")&lt;&gt;LEN(TRIM($T433&amp;"")))),"Remove leading or trailing spaces from text fields; ","")&amp;IF(OR(AND(LEN($C433)&gt;1,OR(EXACT($C433,UPPER($C433)),EXACT($C433,LOWER($C433)))),AND(LEN($D433)&gt;1,OR(EXACT($D433,UPPER($D433)),EXACT($D433,LOWER($D433)))),AND(LEN($H433)&gt;1,OR(EXACT($H433,UPPER($H433)),EXACT($H433,LOWER($H433))))),"Review capitalization in First Name, Last Name, or City; ","")&amp;IF(AND($N433&lt;&gt;"",NOT(EXACT($N433,LOWER($N433)))),"Email will be standardized to lowercase in the clean output; ","")&amp;IF(AND(OR('START HERE'!$C$8="Initial Enrollment",'START HERE'!$C$8="Open Enrollment"),$R433="Terminated"),"A terminated row is included in an initial or open enrollment file; confirm this is intentional; ",""))</f>
        <v/>
      </c>
      <c r="AE433">
        <f>IF(COUNTA($A433:$U433)=0,"",IF(OR($A433="",AND($A433&lt;&gt;"",NOT(IFERROR(AND(LEN($A433&amp;"")=9,ISNUMBER(--($A433&amp;""))),FALSE))),AND($A433&lt;&gt;"",OR($A433="123456789",$A433="987654321",$A433="012345678",$A433=REPT(LEFT($A433&amp;"",1),9)))),"Employee SSN, ","")&amp;IF(OR(AND($O433&lt;&gt;"",$B433=""),AND($B433&lt;&gt;"",OR(NOT(IFERROR(AND(LEN($B433&amp;"")=9,ISNUMBER(--($B433&amp;""))),FALSE)),$B433=$A433,$B433="123456789",$B433="987654321",$B433="012345678",$B433=REPT(LEFT($B433&amp;"",1),9)))),"Dependent SSN, ","")&amp;IF(OR($C433="",LEN($C433)&gt;19,AND($C433&lt;&gt;"",SUMPRODUCT(--(ROW($1:$19)&lt;=LEN($C433&amp;"")),--ISERROR(FIND(MID($C433&amp;"",ROW($1:$19),1),"ABCDEFGHIJKLMNOPQRSTUVWXYZabcdefghijklmnopqrstuvwxyz .,")))&gt;0)),"First Name, ","")&amp;IF(OR($D433="",LEN($D433)&gt;26,AND($D433&lt;&gt;"",SUMPRODUCT(--(ROW($1:$26)&lt;=LEN($D433&amp;"")),--ISERROR(FIND(MID($D433&amp;"",ROW($1:$26),1),"ABCDEFGHIJKLMNOPQRSTUVWXYZabcdefghijklmnopqrstuvwxyz .,")))&gt;0)),"Last Name, ","")&amp;IF(OR(LEN($E433)&gt;1,AND($E433&lt;&gt;"",SUMPRODUCT(--(ROW($1:$1)&lt;=LEN($E433&amp;"")),--ISERROR(FIND(MID($E433&amp;"",ROW($1:$1),1),"ABCDEFGHIJKLMNOPQRSTUVWXYZabcdefghijklmnopqrstuvwxyz .,")))&gt;0)),"Middle Initial, ","")&amp;IF(OR($F433="",LEN($F433)&gt;75),"Address, ","")&amp;IF(OR($H433="",LEN($H433)&gt;30),"City, ","")&amp;IF(AND($K433="US",OR($I433="",LEN($I433)&lt;&gt;2)),"State, ","")&amp;IF($J433="","ZIP, ","")&amp;IF(OR($K433="",AND($K433&lt;&gt;"US",$K433&lt;&gt;"CA")),"Country, ","")&amp;IF(OR($L433="",AND($L433&lt;&gt;"",OR(NOT(ISNUMBER($L433)),$L433&lt;=DATE(1900,1,1),$L433&gt;TODAY()))),"Birthdate, ","")&amp;IF(AND($N433&lt;&gt;"",NOT(IFERROR(AND(ISNUMBER(SEARCH("@",$N433)),ISNUMBER(SEARCH(".",$N433,SEARCH("@",$N433)+2))),FALSE))),"Email, ","")&amp;IF(OR(AND($B433&lt;&gt;"",$O433=""),AND($O433&lt;&gt;"",$O433&lt;&gt;"Spouse or Common Law Spouse",$O433&lt;&gt;"Domestic Partner",$O433&lt;&gt;"Child",$O433&lt;&gt;"Other",$O433&lt;&gt;"Estate",$O433&lt;&gt;"Unknown")),"Dependent Relationship, ","")&amp;IF($AA433&lt;&gt;"","Household, ","")&amp;IF(OR($P433="",AND($P433&lt;&gt;"",OR(NOT(ISNUMBER($P433)),$P433&lt;=DATE(1900,1,1)))),"Eligibility Date, ","")&amp;IF(OR(AND($R433="Terminated",$Q433=""),AND($Q433&lt;&gt;"",OR(NOT(ISNUMBER($Q433)),$Q433&lt;=DATE(1900,1,1))),AND(ISNUMBER($P433),ISNUMBER($Q433),$Q433&lt;$P433)),"Termination Date, ","")&amp;IF(OR($R433="",AND($R433&lt;&gt;"Active",$R433&lt;&gt;"Terminated"),AND('START HERE'!$C$8="Terminations Only",$R433&lt;&gt;"Terminated")),"Status, ","")&amp;IF($S433="","Plan Name, ","")&amp;IF($T433="","Coverage Level, ","")&amp;IF(AND($U433&lt;&gt;"",OR(NOT(ISNUMBER($U433)),$U433&lt;0)),"Funding, ","")&amp;IF(AND($A433&lt;&gt;"",$S433&lt;&gt;"",COUNTIFS($A$2:$A$501,$A433,$B$2:$B$501,$B433,$S$2:$S$501,$S433)&gt;1),"Duplicate Row, ",""))</f>
        <v/>
      </c>
      <c r="AF433">
        <f>IF(COUNTA($A433:$U433)=0,"",$Y433&amp;$Z433&amp;$AA433&amp;$AB433&amp;$AC433)</f>
        <v/>
      </c>
      <c r="AG433">
        <f>IF($N433="","",LOWER(TRIM($N433)))</f>
        <v/>
      </c>
      <c r="AH433">
        <f>IF($A433="","",COUNTIFS($A$2:$A$501,$A433,$AI$2:$AI$501,1))</f>
        <v/>
      </c>
      <c r="AI433">
        <f>IF(COUNTA($A433:$U433)=0,"",--($AF433&lt;&gt;""))</f>
        <v/>
      </c>
      <c r="AJ433">
        <f>IF(COUNTA($A433:$U433)=0,"",--($AD433&lt;&gt;""))</f>
        <v/>
      </c>
    </row>
    <row r="434" ht="20" customHeight="1">
      <c r="A434" s="80" t="n"/>
      <c r="B434" s="80" t="n"/>
      <c r="C434" s="81" t="n"/>
      <c r="D434" s="81" t="n"/>
      <c r="E434" s="80" t="n"/>
      <c r="F434" s="81" t="n"/>
      <c r="G434" s="81" t="n"/>
      <c r="H434" s="81" t="n"/>
      <c r="I434" s="80" t="n"/>
      <c r="J434" s="80" t="n"/>
      <c r="K434" s="80" t="n"/>
      <c r="L434" s="82" t="n"/>
      <c r="M434" s="80" t="n"/>
      <c r="N434" s="80" t="n"/>
      <c r="O434" s="80" t="n"/>
      <c r="P434" s="82" t="n"/>
      <c r="Q434" s="82" t="n"/>
      <c r="R434" s="80" t="n"/>
      <c r="S434" s="80" t="n"/>
      <c r="T434" s="80" t="n"/>
      <c r="U434" s="83" t="n"/>
      <c r="V434">
        <f>IF($A434="","",IF($A434=$A433,$V433,IF($V433="",0,1-$V433)))</f>
        <v/>
      </c>
      <c r="W434">
        <f>IF($B434&lt;&gt;"",$B434,$A434)</f>
        <v/>
      </c>
      <c r="X434">
        <f>IF(COUNTA($A434:$U434)=0,"",IF(OR($B434&lt;&gt;"",$O434&lt;&gt;""),"Dependent","Employee"))</f>
        <v/>
      </c>
      <c r="Y434">
        <f>IF(COUNTA($A434:$U434)=0,"",IF($A434="","Employee SSN is required; ","")&amp;IF($C434="","First Name is required; ","")&amp;IF(LEN($C434&amp;"")&gt;19,"First Name exceeds 19 characters; ","")&amp;IF(AND($C434&lt;&gt;"",SUMPRODUCT(--(ROW($1:$19)&lt;=LEN($C434&amp;"")),--ISERROR(FIND(MID($C434&amp;"",ROW($1:$19),1),"ABCDEFGHIJKLMNOPQRSTUVWXYZabcdefghijklmnopqrstuvwxyz .,")))&gt;0),"First Name contains unsupported or encoded characters; use plain A-Z letters only; ","")&amp;IF($D434="","Last Name is required; ","")&amp;IF(LEN($D434&amp;"")&gt;26,"Last Name exceeds 26 characters; ","")&amp;IF(AND($D434&lt;&gt;"",SUMPRODUCT(--(ROW($1:$26)&lt;=LEN($D434&amp;"")),--ISERROR(FIND(MID($D434&amp;"",ROW($1:$26),1),"ABCDEFGHIJKLMNOPQRSTUVWXYZabcdefghijklmnopqrstuvwxyz .,")))&gt;0),"Last Name contains unsupported or encoded characters; use plain A-Z letters only; ","")&amp;IF(LEN($E434&amp;"")&gt;1,"Middle Initial may contain only one character; ","")&amp;IF(AND($E434&lt;&gt;"",SUMPRODUCT(--(ROW($1:$1)&lt;=LEN($E434&amp;"")),--ISERROR(FIND(MID($E434&amp;"",ROW($1:$1),1),"ABCDEFGHIJKLMNOPQRSTUVWXYZabcdefghijklmnopqrstuvwxyz .,")))&gt;0),"Middle Initial must be a plain A-Z letter; ","")&amp;IF($F434="","Address is required; ","")&amp;IF(LEN($F434&amp;"")&gt;75,"Address exceeds 75 characters; ","")&amp;IF(LEN($G434&amp;"")&gt;75,"Address 2 exceeds 75 characters; ","")&amp;IF($H434="","City is required; ","")&amp;IF(LEN($H434&amp;"")&gt;30,"City exceeds 30 characters; ","")&amp;IF($K434="","Country is required; ","")&amp;IF(AND($K434&lt;&gt;"",$K434&lt;&gt;"US",$K434&lt;&gt;"CA"),"Country must be US or CA; ","")&amp;IF(AND($K434="US",OR($I434="",LEN($I434&amp;"")&lt;&gt;2)),"Use a 2-letter state code; ","")&amp;IF($J434="","ZIP or postal code is required; ","")&amp;IF(AND($K434="US",$J434&lt;&gt;"",NOT(IFERROR(OR(AND(LEN($J434&amp;"")=5,ISNUMBER(--($J434&amp;""))),AND(LEN($J434&amp;"")=9,ISNUMBER(--($J434&amp;""))),AND(LEN($J434&amp;"")=10,MID($J434&amp;"",6,1)="-",ISNUMBER(--SUBSTITUTE($J434&amp;"","-","")))),FALSE))),"US ZIP must be 5 or 9 digits, with an optional ZIP+4 hyphen; ","")&amp;IF(AND($N434&lt;&gt;"",NOT(IFERROR(AND(ISNUMBER(SEARCH("@",$N434)),ISNUMBER(SEARCH(".",$N434,SEARCH("@",$N434)+2))),FALSE))),"Email format appears invalid; ","")&amp;IF(AND($O434&lt;&gt;"",$B434=""),"Dependent SSN is required for every dependent; ","")&amp;IF(AND($B434&lt;&gt;"",$O434=""),"Dependent Relationship is required when Dependent SSN is entered; ","")&amp;IF(AND($O434&lt;&gt;"",$O434&lt;&gt;"Spouse or Common Law Spouse",$O434&lt;&gt;"Domestic Partner",$O434&lt;&gt;"Child",$O434&lt;&gt;"Other",$O434&lt;&gt;"Estate",$O434&lt;&gt;"Unknown"),"Dependent Relationship must use one of the approved options; ",""))</f>
        <v/>
      </c>
      <c r="Z434">
        <f>IF(COUNTA($A434:$U434)=0,"",IF(AND($A434&lt;&gt;"",NOT(IFERROR(AND(LEN($A434&amp;"")=9,ISNUMBER(--($A434&amp;""))),FALSE))),"Employee SSN must contain exactly 9 digits; ","")&amp;IF(AND($A434&lt;&gt;"",OR($A434="123456789",$A434="987654321",$A434="012345678",$A434=REPT(LEFT($A434&amp;"",1),9))),"Employee SSN appears to be a placeholder; ","")&amp;IF(AND($B434&lt;&gt;"",NOT(IFERROR(AND(LEN($B434&amp;"")=9,ISNUMBER(--($B434&amp;""))),FALSE))),"Dependent SSN must contain exactly 9 digits; ","")&amp;IF(AND($B434&lt;&gt;"",OR($B434="123456789",$B434="987654321",$B434="012345678",$B434=REPT(LEFT($B434&amp;"",1),9))),"Dependent SSN appears to be a placeholder; ","")&amp;IF(AND($A434&lt;&gt;"",$B434&lt;&gt;"",$A434&amp;""=$B434&amp;""),"Dependent SSN cannot match Employee SSN; ","")&amp;IF(AND($W434&lt;&gt;"",OR(COUNTIFS($W$2:$W$501,$W434,$C$2:$C$501,"&lt;&gt;"&amp;$C434)&gt;0,COUNTIFS($W$2:$W$501,$W434,$D$2:$D$501,"&lt;&gt;"&amp;$D434)&gt;0,COUNTIFS($W$2:$W$501,$W434,$L$2:$L$501,"&lt;&gt;"&amp;$L434)&gt;0)),"The same SSN is associated with a different name or birthdate; ",""))</f>
        <v/>
      </c>
      <c r="AA434">
        <f>IF(COUNTA($A434:$U434)=0,"",IF(AND($A434&lt;&gt;"",$S434&lt;&gt;"",COUNTIFS($A$2:$A$501,$A434,$S$2:$S$501,$S434,$B$2:$B$501,"",$O$2:$O$501,"")=0),"Add an employee row for this household and plan; ","")&amp;IF(AND($X434="Dependent",COUNTIFS($A$2:$A434,$A434,$S$2:$S434,$S434,$B$2:$B434,"",$O$2:$O434,"")=0),"Place the employee row before dependent rows for this plan; ","")&amp;IF(AND($X434="Dependent",COUNTIFS($A$2:$A$501,$A434,$S$2:$S$501,$S434,$B$2:$B$501,"",$O$2:$O$501,"")&gt;0,IFERROR(OR($P434&lt;&gt;LOOKUP(2,1/(($A$2:$A$501=$A434)*($S$2:$S$501=$S434)*($B$2:$B$501="")*($O$2:$O$501="")),$P$2:$P$501),$Q434&lt;&gt;LOOKUP(2,1/(($A$2:$A$501=$A434)*($S$2:$S$501=$S434)*($B$2:$B$501="")*($O$2:$O$501="")),$Q$2:$Q$501),$R434&lt;&gt;LOOKUP(2,1/(($A$2:$A$501=$A434)*($S$2:$S$501=$S434)*($B$2:$B$501="")*($O$2:$O$501="")),$R$2:$R$501),$T434&lt;&gt;LOOKUP(2,1/(($A$2:$A$501=$A434)*($S$2:$S$501=$S434)*($B$2:$B$501="")*($O$2:$O$501="")),$T$2:$T$501),$U434&lt;&gt;LOOKUP(2,1/(($A$2:$A$501=$A434)*($S$2:$S$501=$S434)*($B$2:$B$501="")*($O$2:$O$501="")),$U$2:$U$501)),FALSE)),"Dependent row does not match the employee row for eligibility, status, coverage level, or funding; ",""))</f>
        <v/>
      </c>
      <c r="AB434">
        <f>IF(COUNTA($A434:$U434)=0,"",IF($L434="","Birthdate is required; ","")&amp;IF(AND($L434&lt;&gt;"",OR(NOT(ISNUMBER($L434)),$L434&lt;=DATE(1900,1,1),$L434&gt;TODAY())),"Birthdate must be an exact valid past date; ","")&amp;IF($P434="","Eligibility Date is required; ","")&amp;IF(AND($P434&lt;&gt;"",OR(NOT(ISNUMBER($P434)),$P434&lt;=DATE(1900,1,1))),"Eligibility Date must be a valid date; ","")&amp;IF(AND($R434="Terminated",$Q434=""),"Termination Date is required when Status is Terminated; ","")&amp;IF(AND($Q434&lt;&gt;"",OR(NOT(ISNUMBER($Q434)),$Q434&lt;=DATE(1900,1,1))),"Termination Date must be a valid date; ","")&amp;IF(AND(ISNUMBER($P434),ISNUMBER($Q434),$Q434&lt;$P434),"Termination Date cannot be before Eligibility Date; ","")&amp;IF($R434="","Status is required; ","")&amp;IF(AND($R434&lt;&gt;"",$R434&lt;&gt;"Active",$R434&lt;&gt;"Terminated"),"Status must be Active or Terminated; ","")&amp;IF(AND('START HERE'!$C$8="Terminations Only",$R434&lt;&gt;"Terminated"),"Terminations Only files must contain terminated records; ",""))</f>
        <v/>
      </c>
      <c r="AC434">
        <f>IF(COUNTA($A434:$U434)=0,"",IF($S434="","Plan Name is required; ","")&amp;IF($T434="","Benefit Coverage Level is required; ","")&amp;IF(AND($U434&lt;&gt;"",OR(NOT(ISNUMBER($U434)),$U434&lt;0)),"Plan Funding Amount must be a nonnegative number; ","")&amp;IF(AND($A434&lt;&gt;"",$S434&lt;&gt;"",COUNTIFS($A$2:$A$501,$A434,$B$2:$B$501,$B434,$S$2:$S$501,$S434)&gt;1),"Duplicate participant and plan row; ",""))</f>
        <v/>
      </c>
      <c r="AD434">
        <f>IF(COUNTA($A434:$U434)=0,"",IF(AND($X434="Employee",$M434="",$N434=""),"No employee phone or email provided; ","")&amp;IF(AND($R434="Active",$Q434&lt;&gt;""),"Active record includes a Termination Date; confirm this is intentional; ","")&amp;IF(AND($B434&lt;&gt;"",$B434&amp;""&lt;&gt;$A434&amp;"",COUNTIF($A$2:$A$501,$B434)&gt;0),"Dependent SSN also appears as an Employee SSN elsewhere; confirm dual-employee coverage is intentional; ","")&amp;IF(AND($B434&lt;&gt;"",COUNTIF($B$2:$B$501,$B434)&gt;COUNTIFS($A$2:$A$501,$A434,$B$2:$B$501,$B434)),"Dependent SSN appears under more than one employee; confirm duplicate family coverage is intentional; ","")&amp;IF(AND(ROW()&gt;2,$A434&lt;&gt;"",$A434&lt;&gt;$A433,COUNTIF($A$2:$A433,$A434)&gt;0),"This household appears in more than one section of the census; keep the family together; ","")&amp;IF(OR(AND($C434&lt;&gt;"",LEN($C434&amp;"")&lt;&gt;LEN(TRIM($C434&amp;""))),AND($D434&lt;&gt;"",LEN($D434&amp;"")&lt;&gt;LEN(TRIM($D434&amp;""))),AND($E434&lt;&gt;"",LEN($E434&amp;"")&lt;&gt;LEN(TRIM($E434&amp;""))),AND($F434&lt;&gt;"",LEN($F434&amp;"")&lt;&gt;LEN(TRIM($F434&amp;""))),AND($G434&lt;&gt;"",LEN($G434&amp;"")&lt;&gt;LEN(TRIM($G434&amp;""))),AND($H434&lt;&gt;"",LEN($H434&amp;"")&lt;&gt;LEN(TRIM($H434&amp;""))),AND($I434&lt;&gt;"",LEN($I434&amp;"")&lt;&gt;LEN(TRIM($I434&amp;""))),AND($J434&lt;&gt;"",LEN($J434&amp;"")&lt;&gt;LEN(TRIM($J434&amp;""))),AND($K434&lt;&gt;"",LEN($K434&amp;"")&lt;&gt;LEN(TRIM($K434&amp;""))),AND($M434&lt;&gt;"",LEN($M434&amp;"")&lt;&gt;LEN(TRIM($M434&amp;""))),AND($N434&lt;&gt;"",LEN($N434&amp;"")&lt;&gt;LEN(TRIM($N434&amp;""))),AND($O434&lt;&gt;"",LEN($O434&amp;"")&lt;&gt;LEN(TRIM($O434&amp;""))),AND($R434&lt;&gt;"",LEN($R434&amp;"")&lt;&gt;LEN(TRIM($R434&amp;""))),AND($S434&lt;&gt;"",LEN($S434&amp;"")&lt;&gt;LEN(TRIM($S434&amp;""))),AND($T434&lt;&gt;"",LEN($T434&amp;"")&lt;&gt;LEN(TRIM($T434&amp;"")))),"Remove leading or trailing spaces from text fields; ","")&amp;IF(OR(AND(LEN($C434)&gt;1,OR(EXACT($C434,UPPER($C434)),EXACT($C434,LOWER($C434)))),AND(LEN($D434)&gt;1,OR(EXACT($D434,UPPER($D434)),EXACT($D434,LOWER($D434)))),AND(LEN($H434)&gt;1,OR(EXACT($H434,UPPER($H434)),EXACT($H434,LOWER($H434))))),"Review capitalization in First Name, Last Name, or City; ","")&amp;IF(AND($N434&lt;&gt;"",NOT(EXACT($N434,LOWER($N434)))),"Email will be standardized to lowercase in the clean output; ","")&amp;IF(AND(OR('START HERE'!$C$8="Initial Enrollment",'START HERE'!$C$8="Open Enrollment"),$R434="Terminated"),"A terminated row is included in an initial or open enrollment file; confirm this is intentional; ",""))</f>
        <v/>
      </c>
      <c r="AE434">
        <f>IF(COUNTA($A434:$U434)=0,"",IF(OR($A434="",AND($A434&lt;&gt;"",NOT(IFERROR(AND(LEN($A434&amp;"")=9,ISNUMBER(--($A434&amp;""))),FALSE))),AND($A434&lt;&gt;"",OR($A434="123456789",$A434="987654321",$A434="012345678",$A434=REPT(LEFT($A434&amp;"",1),9)))),"Employee SSN, ","")&amp;IF(OR(AND($O434&lt;&gt;"",$B434=""),AND($B434&lt;&gt;"",OR(NOT(IFERROR(AND(LEN($B434&amp;"")=9,ISNUMBER(--($B434&amp;""))),FALSE)),$B434=$A434,$B434="123456789",$B434="987654321",$B434="012345678",$B434=REPT(LEFT($B434&amp;"",1),9)))),"Dependent SSN, ","")&amp;IF(OR($C434="",LEN($C434)&gt;19,AND($C434&lt;&gt;"",SUMPRODUCT(--(ROW($1:$19)&lt;=LEN($C434&amp;"")),--ISERROR(FIND(MID($C434&amp;"",ROW($1:$19),1),"ABCDEFGHIJKLMNOPQRSTUVWXYZabcdefghijklmnopqrstuvwxyz .,")))&gt;0)),"First Name, ","")&amp;IF(OR($D434="",LEN($D434)&gt;26,AND($D434&lt;&gt;"",SUMPRODUCT(--(ROW($1:$26)&lt;=LEN($D434&amp;"")),--ISERROR(FIND(MID($D434&amp;"",ROW($1:$26),1),"ABCDEFGHIJKLMNOPQRSTUVWXYZabcdefghijklmnopqrstuvwxyz .,")))&gt;0)),"Last Name, ","")&amp;IF(OR(LEN($E434)&gt;1,AND($E434&lt;&gt;"",SUMPRODUCT(--(ROW($1:$1)&lt;=LEN($E434&amp;"")),--ISERROR(FIND(MID($E434&amp;"",ROW($1:$1),1),"ABCDEFGHIJKLMNOPQRSTUVWXYZabcdefghijklmnopqrstuvwxyz .,")))&gt;0)),"Middle Initial, ","")&amp;IF(OR($F434="",LEN($F434)&gt;75),"Address, ","")&amp;IF(OR($H434="",LEN($H434)&gt;30),"City, ","")&amp;IF(AND($K434="US",OR($I434="",LEN($I434)&lt;&gt;2)),"State, ","")&amp;IF($J434="","ZIP, ","")&amp;IF(OR($K434="",AND($K434&lt;&gt;"US",$K434&lt;&gt;"CA")),"Country, ","")&amp;IF(OR($L434="",AND($L434&lt;&gt;"",OR(NOT(ISNUMBER($L434)),$L434&lt;=DATE(1900,1,1),$L434&gt;TODAY()))),"Birthdate, ","")&amp;IF(AND($N434&lt;&gt;"",NOT(IFERROR(AND(ISNUMBER(SEARCH("@",$N434)),ISNUMBER(SEARCH(".",$N434,SEARCH("@",$N434)+2))),FALSE))),"Email, ","")&amp;IF(OR(AND($B434&lt;&gt;"",$O434=""),AND($O434&lt;&gt;"",$O434&lt;&gt;"Spouse or Common Law Spouse",$O434&lt;&gt;"Domestic Partner",$O434&lt;&gt;"Child",$O434&lt;&gt;"Other",$O434&lt;&gt;"Estate",$O434&lt;&gt;"Unknown")),"Dependent Relationship, ","")&amp;IF($AA434&lt;&gt;"","Household, ","")&amp;IF(OR($P434="",AND($P434&lt;&gt;"",OR(NOT(ISNUMBER($P434)),$P434&lt;=DATE(1900,1,1)))),"Eligibility Date, ","")&amp;IF(OR(AND($R434="Terminated",$Q434=""),AND($Q434&lt;&gt;"",OR(NOT(ISNUMBER($Q434)),$Q434&lt;=DATE(1900,1,1))),AND(ISNUMBER($P434),ISNUMBER($Q434),$Q434&lt;$P434)),"Termination Date, ","")&amp;IF(OR($R434="",AND($R434&lt;&gt;"Active",$R434&lt;&gt;"Terminated"),AND('START HERE'!$C$8="Terminations Only",$R434&lt;&gt;"Terminated")),"Status, ","")&amp;IF($S434="","Plan Name, ","")&amp;IF($T434="","Coverage Level, ","")&amp;IF(AND($U434&lt;&gt;"",OR(NOT(ISNUMBER($U434)),$U434&lt;0)),"Funding, ","")&amp;IF(AND($A434&lt;&gt;"",$S434&lt;&gt;"",COUNTIFS($A$2:$A$501,$A434,$B$2:$B$501,$B434,$S$2:$S$501,$S434)&gt;1),"Duplicate Row, ",""))</f>
        <v/>
      </c>
      <c r="AF434">
        <f>IF(COUNTA($A434:$U434)=0,"",$Y434&amp;$Z434&amp;$AA434&amp;$AB434&amp;$AC434)</f>
        <v/>
      </c>
      <c r="AG434">
        <f>IF($N434="","",LOWER(TRIM($N434)))</f>
        <v/>
      </c>
      <c r="AH434">
        <f>IF($A434="","",COUNTIFS($A$2:$A$501,$A434,$AI$2:$AI$501,1))</f>
        <v/>
      </c>
      <c r="AI434">
        <f>IF(COUNTA($A434:$U434)=0,"",--($AF434&lt;&gt;""))</f>
        <v/>
      </c>
      <c r="AJ434">
        <f>IF(COUNTA($A434:$U434)=0,"",--($AD434&lt;&gt;""))</f>
        <v/>
      </c>
    </row>
    <row r="435" ht="20" customHeight="1">
      <c r="A435" s="80" t="n"/>
      <c r="B435" s="80" t="n"/>
      <c r="C435" s="81" t="n"/>
      <c r="D435" s="81" t="n"/>
      <c r="E435" s="80" t="n"/>
      <c r="F435" s="81" t="n"/>
      <c r="G435" s="81" t="n"/>
      <c r="H435" s="81" t="n"/>
      <c r="I435" s="80" t="n"/>
      <c r="J435" s="80" t="n"/>
      <c r="K435" s="80" t="n"/>
      <c r="L435" s="82" t="n"/>
      <c r="M435" s="80" t="n"/>
      <c r="N435" s="80" t="n"/>
      <c r="O435" s="80" t="n"/>
      <c r="P435" s="82" t="n"/>
      <c r="Q435" s="82" t="n"/>
      <c r="R435" s="80" t="n"/>
      <c r="S435" s="80" t="n"/>
      <c r="T435" s="80" t="n"/>
      <c r="U435" s="83" t="n"/>
      <c r="V435">
        <f>IF($A435="","",IF($A435=$A434,$V434,IF($V434="",0,1-$V434)))</f>
        <v/>
      </c>
      <c r="W435">
        <f>IF($B435&lt;&gt;"",$B435,$A435)</f>
        <v/>
      </c>
      <c r="X435">
        <f>IF(COUNTA($A435:$U435)=0,"",IF(OR($B435&lt;&gt;"",$O435&lt;&gt;""),"Dependent","Employee"))</f>
        <v/>
      </c>
      <c r="Y435">
        <f>IF(COUNTA($A435:$U435)=0,"",IF($A435="","Employee SSN is required; ","")&amp;IF($C435="","First Name is required; ","")&amp;IF(LEN($C435&amp;"")&gt;19,"First Name exceeds 19 characters; ","")&amp;IF(AND($C435&lt;&gt;"",SUMPRODUCT(--(ROW($1:$19)&lt;=LEN($C435&amp;"")),--ISERROR(FIND(MID($C435&amp;"",ROW($1:$19),1),"ABCDEFGHIJKLMNOPQRSTUVWXYZabcdefghijklmnopqrstuvwxyz .,")))&gt;0),"First Name contains unsupported or encoded characters; use plain A-Z letters only; ","")&amp;IF($D435="","Last Name is required; ","")&amp;IF(LEN($D435&amp;"")&gt;26,"Last Name exceeds 26 characters; ","")&amp;IF(AND($D435&lt;&gt;"",SUMPRODUCT(--(ROW($1:$26)&lt;=LEN($D435&amp;"")),--ISERROR(FIND(MID($D435&amp;"",ROW($1:$26),1),"ABCDEFGHIJKLMNOPQRSTUVWXYZabcdefghijklmnopqrstuvwxyz .,")))&gt;0),"Last Name contains unsupported or encoded characters; use plain A-Z letters only; ","")&amp;IF(LEN($E435&amp;"")&gt;1,"Middle Initial may contain only one character; ","")&amp;IF(AND($E435&lt;&gt;"",SUMPRODUCT(--(ROW($1:$1)&lt;=LEN($E435&amp;"")),--ISERROR(FIND(MID($E435&amp;"",ROW($1:$1),1),"ABCDEFGHIJKLMNOPQRSTUVWXYZabcdefghijklmnopqrstuvwxyz .,")))&gt;0),"Middle Initial must be a plain A-Z letter; ","")&amp;IF($F435="","Address is required; ","")&amp;IF(LEN($F435&amp;"")&gt;75,"Address exceeds 75 characters; ","")&amp;IF(LEN($G435&amp;"")&gt;75,"Address 2 exceeds 75 characters; ","")&amp;IF($H435="","City is required; ","")&amp;IF(LEN($H435&amp;"")&gt;30,"City exceeds 30 characters; ","")&amp;IF($K435="","Country is required; ","")&amp;IF(AND($K435&lt;&gt;"",$K435&lt;&gt;"US",$K435&lt;&gt;"CA"),"Country must be US or CA; ","")&amp;IF(AND($K435="US",OR($I435="",LEN($I435&amp;"")&lt;&gt;2)),"Use a 2-letter state code; ","")&amp;IF($J435="","ZIP or postal code is required; ","")&amp;IF(AND($K435="US",$J435&lt;&gt;"",NOT(IFERROR(OR(AND(LEN($J435&amp;"")=5,ISNUMBER(--($J435&amp;""))),AND(LEN($J435&amp;"")=9,ISNUMBER(--($J435&amp;""))),AND(LEN($J435&amp;"")=10,MID($J435&amp;"",6,1)="-",ISNUMBER(--SUBSTITUTE($J435&amp;"","-","")))),FALSE))),"US ZIP must be 5 or 9 digits, with an optional ZIP+4 hyphen; ","")&amp;IF(AND($N435&lt;&gt;"",NOT(IFERROR(AND(ISNUMBER(SEARCH("@",$N435)),ISNUMBER(SEARCH(".",$N435,SEARCH("@",$N435)+2))),FALSE))),"Email format appears invalid; ","")&amp;IF(AND($O435&lt;&gt;"",$B435=""),"Dependent SSN is required for every dependent; ","")&amp;IF(AND($B435&lt;&gt;"",$O435=""),"Dependent Relationship is required when Dependent SSN is entered; ","")&amp;IF(AND($O435&lt;&gt;"",$O435&lt;&gt;"Spouse or Common Law Spouse",$O435&lt;&gt;"Domestic Partner",$O435&lt;&gt;"Child",$O435&lt;&gt;"Other",$O435&lt;&gt;"Estate",$O435&lt;&gt;"Unknown"),"Dependent Relationship must use one of the approved options; ",""))</f>
        <v/>
      </c>
      <c r="Z435">
        <f>IF(COUNTA($A435:$U435)=0,"",IF(AND($A435&lt;&gt;"",NOT(IFERROR(AND(LEN($A435&amp;"")=9,ISNUMBER(--($A435&amp;""))),FALSE))),"Employee SSN must contain exactly 9 digits; ","")&amp;IF(AND($A435&lt;&gt;"",OR($A435="123456789",$A435="987654321",$A435="012345678",$A435=REPT(LEFT($A435&amp;"",1),9))),"Employee SSN appears to be a placeholder; ","")&amp;IF(AND($B435&lt;&gt;"",NOT(IFERROR(AND(LEN($B435&amp;"")=9,ISNUMBER(--($B435&amp;""))),FALSE))),"Dependent SSN must contain exactly 9 digits; ","")&amp;IF(AND($B435&lt;&gt;"",OR($B435="123456789",$B435="987654321",$B435="012345678",$B435=REPT(LEFT($B435&amp;"",1),9))),"Dependent SSN appears to be a placeholder; ","")&amp;IF(AND($A435&lt;&gt;"",$B435&lt;&gt;"",$A435&amp;""=$B435&amp;""),"Dependent SSN cannot match Employee SSN; ","")&amp;IF(AND($W435&lt;&gt;"",OR(COUNTIFS($W$2:$W$501,$W435,$C$2:$C$501,"&lt;&gt;"&amp;$C435)&gt;0,COUNTIFS($W$2:$W$501,$W435,$D$2:$D$501,"&lt;&gt;"&amp;$D435)&gt;0,COUNTIFS($W$2:$W$501,$W435,$L$2:$L$501,"&lt;&gt;"&amp;$L435)&gt;0)),"The same SSN is associated with a different name or birthdate; ",""))</f>
        <v/>
      </c>
      <c r="AA435">
        <f>IF(COUNTA($A435:$U435)=0,"",IF(AND($A435&lt;&gt;"",$S435&lt;&gt;"",COUNTIFS($A$2:$A$501,$A435,$S$2:$S$501,$S435,$B$2:$B$501,"",$O$2:$O$501,"")=0),"Add an employee row for this household and plan; ","")&amp;IF(AND($X435="Dependent",COUNTIFS($A$2:$A435,$A435,$S$2:$S435,$S435,$B$2:$B435,"",$O$2:$O435,"")=0),"Place the employee row before dependent rows for this plan; ","")&amp;IF(AND($X435="Dependent",COUNTIFS($A$2:$A$501,$A435,$S$2:$S$501,$S435,$B$2:$B$501,"",$O$2:$O$501,"")&gt;0,IFERROR(OR($P435&lt;&gt;LOOKUP(2,1/(($A$2:$A$501=$A435)*($S$2:$S$501=$S435)*($B$2:$B$501="")*($O$2:$O$501="")),$P$2:$P$501),$Q435&lt;&gt;LOOKUP(2,1/(($A$2:$A$501=$A435)*($S$2:$S$501=$S435)*($B$2:$B$501="")*($O$2:$O$501="")),$Q$2:$Q$501),$R435&lt;&gt;LOOKUP(2,1/(($A$2:$A$501=$A435)*($S$2:$S$501=$S435)*($B$2:$B$501="")*($O$2:$O$501="")),$R$2:$R$501),$T435&lt;&gt;LOOKUP(2,1/(($A$2:$A$501=$A435)*($S$2:$S$501=$S435)*($B$2:$B$501="")*($O$2:$O$501="")),$T$2:$T$501),$U435&lt;&gt;LOOKUP(2,1/(($A$2:$A$501=$A435)*($S$2:$S$501=$S435)*($B$2:$B$501="")*($O$2:$O$501="")),$U$2:$U$501)),FALSE)),"Dependent row does not match the employee row for eligibility, status, coverage level, or funding; ",""))</f>
        <v/>
      </c>
      <c r="AB435">
        <f>IF(COUNTA($A435:$U435)=0,"",IF($L435="","Birthdate is required; ","")&amp;IF(AND($L435&lt;&gt;"",OR(NOT(ISNUMBER($L435)),$L435&lt;=DATE(1900,1,1),$L435&gt;TODAY())),"Birthdate must be an exact valid past date; ","")&amp;IF($P435="","Eligibility Date is required; ","")&amp;IF(AND($P435&lt;&gt;"",OR(NOT(ISNUMBER($P435)),$P435&lt;=DATE(1900,1,1))),"Eligibility Date must be a valid date; ","")&amp;IF(AND($R435="Terminated",$Q435=""),"Termination Date is required when Status is Terminated; ","")&amp;IF(AND($Q435&lt;&gt;"",OR(NOT(ISNUMBER($Q435)),$Q435&lt;=DATE(1900,1,1))),"Termination Date must be a valid date; ","")&amp;IF(AND(ISNUMBER($P435),ISNUMBER($Q435),$Q435&lt;$P435),"Termination Date cannot be before Eligibility Date; ","")&amp;IF($R435="","Status is required; ","")&amp;IF(AND($R435&lt;&gt;"",$R435&lt;&gt;"Active",$R435&lt;&gt;"Terminated"),"Status must be Active or Terminated; ","")&amp;IF(AND('START HERE'!$C$8="Terminations Only",$R435&lt;&gt;"Terminated"),"Terminations Only files must contain terminated records; ",""))</f>
        <v/>
      </c>
      <c r="AC435">
        <f>IF(COUNTA($A435:$U435)=0,"",IF($S435="","Plan Name is required; ","")&amp;IF($T435="","Benefit Coverage Level is required; ","")&amp;IF(AND($U435&lt;&gt;"",OR(NOT(ISNUMBER($U435)),$U435&lt;0)),"Plan Funding Amount must be a nonnegative number; ","")&amp;IF(AND($A435&lt;&gt;"",$S435&lt;&gt;"",COUNTIFS($A$2:$A$501,$A435,$B$2:$B$501,$B435,$S$2:$S$501,$S435)&gt;1),"Duplicate participant and plan row; ",""))</f>
        <v/>
      </c>
      <c r="AD435">
        <f>IF(COUNTA($A435:$U435)=0,"",IF(AND($X435="Employee",$M435="",$N435=""),"No employee phone or email provided; ","")&amp;IF(AND($R435="Active",$Q435&lt;&gt;""),"Active record includes a Termination Date; confirm this is intentional; ","")&amp;IF(AND($B435&lt;&gt;"",$B435&amp;""&lt;&gt;$A435&amp;"",COUNTIF($A$2:$A$501,$B435)&gt;0),"Dependent SSN also appears as an Employee SSN elsewhere; confirm dual-employee coverage is intentional; ","")&amp;IF(AND($B435&lt;&gt;"",COUNTIF($B$2:$B$501,$B435)&gt;COUNTIFS($A$2:$A$501,$A435,$B$2:$B$501,$B435)),"Dependent SSN appears under more than one employee; confirm duplicate family coverage is intentional; ","")&amp;IF(AND(ROW()&gt;2,$A435&lt;&gt;"",$A435&lt;&gt;$A434,COUNTIF($A$2:$A434,$A435)&gt;0),"This household appears in more than one section of the census; keep the family together; ","")&amp;IF(OR(AND($C435&lt;&gt;"",LEN($C435&amp;"")&lt;&gt;LEN(TRIM($C435&amp;""))),AND($D435&lt;&gt;"",LEN($D435&amp;"")&lt;&gt;LEN(TRIM($D435&amp;""))),AND($E435&lt;&gt;"",LEN($E435&amp;"")&lt;&gt;LEN(TRIM($E435&amp;""))),AND($F435&lt;&gt;"",LEN($F435&amp;"")&lt;&gt;LEN(TRIM($F435&amp;""))),AND($G435&lt;&gt;"",LEN($G435&amp;"")&lt;&gt;LEN(TRIM($G435&amp;""))),AND($H435&lt;&gt;"",LEN($H435&amp;"")&lt;&gt;LEN(TRIM($H435&amp;""))),AND($I435&lt;&gt;"",LEN($I435&amp;"")&lt;&gt;LEN(TRIM($I435&amp;""))),AND($J435&lt;&gt;"",LEN($J435&amp;"")&lt;&gt;LEN(TRIM($J435&amp;""))),AND($K435&lt;&gt;"",LEN($K435&amp;"")&lt;&gt;LEN(TRIM($K435&amp;""))),AND($M435&lt;&gt;"",LEN($M435&amp;"")&lt;&gt;LEN(TRIM($M435&amp;""))),AND($N435&lt;&gt;"",LEN($N435&amp;"")&lt;&gt;LEN(TRIM($N435&amp;""))),AND($O435&lt;&gt;"",LEN($O435&amp;"")&lt;&gt;LEN(TRIM($O435&amp;""))),AND($R435&lt;&gt;"",LEN($R435&amp;"")&lt;&gt;LEN(TRIM($R435&amp;""))),AND($S435&lt;&gt;"",LEN($S435&amp;"")&lt;&gt;LEN(TRIM($S435&amp;""))),AND($T435&lt;&gt;"",LEN($T435&amp;"")&lt;&gt;LEN(TRIM($T435&amp;"")))),"Remove leading or trailing spaces from text fields; ","")&amp;IF(OR(AND(LEN($C435)&gt;1,OR(EXACT($C435,UPPER($C435)),EXACT($C435,LOWER($C435)))),AND(LEN($D435)&gt;1,OR(EXACT($D435,UPPER($D435)),EXACT($D435,LOWER($D435)))),AND(LEN($H435)&gt;1,OR(EXACT($H435,UPPER($H435)),EXACT($H435,LOWER($H435))))),"Review capitalization in First Name, Last Name, or City; ","")&amp;IF(AND($N435&lt;&gt;"",NOT(EXACT($N435,LOWER($N435)))),"Email will be standardized to lowercase in the clean output; ","")&amp;IF(AND(OR('START HERE'!$C$8="Initial Enrollment",'START HERE'!$C$8="Open Enrollment"),$R435="Terminated"),"A terminated row is included in an initial or open enrollment file; confirm this is intentional; ",""))</f>
        <v/>
      </c>
      <c r="AE435">
        <f>IF(COUNTA($A435:$U435)=0,"",IF(OR($A435="",AND($A435&lt;&gt;"",NOT(IFERROR(AND(LEN($A435&amp;"")=9,ISNUMBER(--($A435&amp;""))),FALSE))),AND($A435&lt;&gt;"",OR($A435="123456789",$A435="987654321",$A435="012345678",$A435=REPT(LEFT($A435&amp;"",1),9)))),"Employee SSN, ","")&amp;IF(OR(AND($O435&lt;&gt;"",$B435=""),AND($B435&lt;&gt;"",OR(NOT(IFERROR(AND(LEN($B435&amp;"")=9,ISNUMBER(--($B435&amp;""))),FALSE)),$B435=$A435,$B435="123456789",$B435="987654321",$B435="012345678",$B435=REPT(LEFT($B435&amp;"",1),9)))),"Dependent SSN, ","")&amp;IF(OR($C435="",LEN($C435)&gt;19,AND($C435&lt;&gt;"",SUMPRODUCT(--(ROW($1:$19)&lt;=LEN($C435&amp;"")),--ISERROR(FIND(MID($C435&amp;"",ROW($1:$19),1),"ABCDEFGHIJKLMNOPQRSTUVWXYZabcdefghijklmnopqrstuvwxyz .,")))&gt;0)),"First Name, ","")&amp;IF(OR($D435="",LEN($D435)&gt;26,AND($D435&lt;&gt;"",SUMPRODUCT(--(ROW($1:$26)&lt;=LEN($D435&amp;"")),--ISERROR(FIND(MID($D435&amp;"",ROW($1:$26),1),"ABCDEFGHIJKLMNOPQRSTUVWXYZabcdefghijklmnopqrstuvwxyz .,")))&gt;0)),"Last Name, ","")&amp;IF(OR(LEN($E435)&gt;1,AND($E435&lt;&gt;"",SUMPRODUCT(--(ROW($1:$1)&lt;=LEN($E435&amp;"")),--ISERROR(FIND(MID($E435&amp;"",ROW($1:$1),1),"ABCDEFGHIJKLMNOPQRSTUVWXYZabcdefghijklmnopqrstuvwxyz .,")))&gt;0)),"Middle Initial, ","")&amp;IF(OR($F435="",LEN($F435)&gt;75),"Address, ","")&amp;IF(OR($H435="",LEN($H435)&gt;30),"City, ","")&amp;IF(AND($K435="US",OR($I435="",LEN($I435)&lt;&gt;2)),"State, ","")&amp;IF($J435="","ZIP, ","")&amp;IF(OR($K435="",AND($K435&lt;&gt;"US",$K435&lt;&gt;"CA")),"Country, ","")&amp;IF(OR($L435="",AND($L435&lt;&gt;"",OR(NOT(ISNUMBER($L435)),$L435&lt;=DATE(1900,1,1),$L435&gt;TODAY()))),"Birthdate, ","")&amp;IF(AND($N435&lt;&gt;"",NOT(IFERROR(AND(ISNUMBER(SEARCH("@",$N435)),ISNUMBER(SEARCH(".",$N435,SEARCH("@",$N435)+2))),FALSE))),"Email, ","")&amp;IF(OR(AND($B435&lt;&gt;"",$O435=""),AND($O435&lt;&gt;"",$O435&lt;&gt;"Spouse or Common Law Spouse",$O435&lt;&gt;"Domestic Partner",$O435&lt;&gt;"Child",$O435&lt;&gt;"Other",$O435&lt;&gt;"Estate",$O435&lt;&gt;"Unknown")),"Dependent Relationship, ","")&amp;IF($AA435&lt;&gt;"","Household, ","")&amp;IF(OR($P435="",AND($P435&lt;&gt;"",OR(NOT(ISNUMBER($P435)),$P435&lt;=DATE(1900,1,1)))),"Eligibility Date, ","")&amp;IF(OR(AND($R435="Terminated",$Q435=""),AND($Q435&lt;&gt;"",OR(NOT(ISNUMBER($Q435)),$Q435&lt;=DATE(1900,1,1))),AND(ISNUMBER($P435),ISNUMBER($Q435),$Q435&lt;$P435)),"Termination Date, ","")&amp;IF(OR($R435="",AND($R435&lt;&gt;"Active",$R435&lt;&gt;"Terminated"),AND('START HERE'!$C$8="Terminations Only",$R435&lt;&gt;"Terminated")),"Status, ","")&amp;IF($S435="","Plan Name, ","")&amp;IF($T435="","Coverage Level, ","")&amp;IF(AND($U435&lt;&gt;"",OR(NOT(ISNUMBER($U435)),$U435&lt;0)),"Funding, ","")&amp;IF(AND($A435&lt;&gt;"",$S435&lt;&gt;"",COUNTIFS($A$2:$A$501,$A435,$B$2:$B$501,$B435,$S$2:$S$501,$S435)&gt;1),"Duplicate Row, ",""))</f>
        <v/>
      </c>
      <c r="AF435">
        <f>IF(COUNTA($A435:$U435)=0,"",$Y435&amp;$Z435&amp;$AA435&amp;$AB435&amp;$AC435)</f>
        <v/>
      </c>
      <c r="AG435">
        <f>IF($N435="","",LOWER(TRIM($N435)))</f>
        <v/>
      </c>
      <c r="AH435">
        <f>IF($A435="","",COUNTIFS($A$2:$A$501,$A435,$AI$2:$AI$501,1))</f>
        <v/>
      </c>
      <c r="AI435">
        <f>IF(COUNTA($A435:$U435)=0,"",--($AF435&lt;&gt;""))</f>
        <v/>
      </c>
      <c r="AJ435">
        <f>IF(COUNTA($A435:$U435)=0,"",--($AD435&lt;&gt;""))</f>
        <v/>
      </c>
    </row>
    <row r="436" ht="20" customHeight="1">
      <c r="A436" s="80" t="n"/>
      <c r="B436" s="80" t="n"/>
      <c r="C436" s="81" t="n"/>
      <c r="D436" s="81" t="n"/>
      <c r="E436" s="80" t="n"/>
      <c r="F436" s="81" t="n"/>
      <c r="G436" s="81" t="n"/>
      <c r="H436" s="81" t="n"/>
      <c r="I436" s="80" t="n"/>
      <c r="J436" s="80" t="n"/>
      <c r="K436" s="80" t="n"/>
      <c r="L436" s="82" t="n"/>
      <c r="M436" s="80" t="n"/>
      <c r="N436" s="80" t="n"/>
      <c r="O436" s="80" t="n"/>
      <c r="P436" s="82" t="n"/>
      <c r="Q436" s="82" t="n"/>
      <c r="R436" s="80" t="n"/>
      <c r="S436" s="80" t="n"/>
      <c r="T436" s="80" t="n"/>
      <c r="U436" s="83" t="n"/>
      <c r="V436">
        <f>IF($A436="","",IF($A436=$A435,$V435,IF($V435="",0,1-$V435)))</f>
        <v/>
      </c>
      <c r="W436">
        <f>IF($B436&lt;&gt;"",$B436,$A436)</f>
        <v/>
      </c>
      <c r="X436">
        <f>IF(COUNTA($A436:$U436)=0,"",IF(OR($B436&lt;&gt;"",$O436&lt;&gt;""),"Dependent","Employee"))</f>
        <v/>
      </c>
      <c r="Y436">
        <f>IF(COUNTA($A436:$U436)=0,"",IF($A436="","Employee SSN is required; ","")&amp;IF($C436="","First Name is required; ","")&amp;IF(LEN($C436&amp;"")&gt;19,"First Name exceeds 19 characters; ","")&amp;IF(AND($C436&lt;&gt;"",SUMPRODUCT(--(ROW($1:$19)&lt;=LEN($C436&amp;"")),--ISERROR(FIND(MID($C436&amp;"",ROW($1:$19),1),"ABCDEFGHIJKLMNOPQRSTUVWXYZabcdefghijklmnopqrstuvwxyz .,")))&gt;0),"First Name contains unsupported or encoded characters; use plain A-Z letters only; ","")&amp;IF($D436="","Last Name is required; ","")&amp;IF(LEN($D436&amp;"")&gt;26,"Last Name exceeds 26 characters; ","")&amp;IF(AND($D436&lt;&gt;"",SUMPRODUCT(--(ROW($1:$26)&lt;=LEN($D436&amp;"")),--ISERROR(FIND(MID($D436&amp;"",ROW($1:$26),1),"ABCDEFGHIJKLMNOPQRSTUVWXYZabcdefghijklmnopqrstuvwxyz .,")))&gt;0),"Last Name contains unsupported or encoded characters; use plain A-Z letters only; ","")&amp;IF(LEN($E436&amp;"")&gt;1,"Middle Initial may contain only one character; ","")&amp;IF(AND($E436&lt;&gt;"",SUMPRODUCT(--(ROW($1:$1)&lt;=LEN($E436&amp;"")),--ISERROR(FIND(MID($E436&amp;"",ROW($1:$1),1),"ABCDEFGHIJKLMNOPQRSTUVWXYZabcdefghijklmnopqrstuvwxyz .,")))&gt;0),"Middle Initial must be a plain A-Z letter; ","")&amp;IF($F436="","Address is required; ","")&amp;IF(LEN($F436&amp;"")&gt;75,"Address exceeds 75 characters; ","")&amp;IF(LEN($G436&amp;"")&gt;75,"Address 2 exceeds 75 characters; ","")&amp;IF($H436="","City is required; ","")&amp;IF(LEN($H436&amp;"")&gt;30,"City exceeds 30 characters; ","")&amp;IF($K436="","Country is required; ","")&amp;IF(AND($K436&lt;&gt;"",$K436&lt;&gt;"US",$K436&lt;&gt;"CA"),"Country must be US or CA; ","")&amp;IF(AND($K436="US",OR($I436="",LEN($I436&amp;"")&lt;&gt;2)),"Use a 2-letter state code; ","")&amp;IF($J436="","ZIP or postal code is required; ","")&amp;IF(AND($K436="US",$J436&lt;&gt;"",NOT(IFERROR(OR(AND(LEN($J436&amp;"")=5,ISNUMBER(--($J436&amp;""))),AND(LEN($J436&amp;"")=9,ISNUMBER(--($J436&amp;""))),AND(LEN($J436&amp;"")=10,MID($J436&amp;"",6,1)="-",ISNUMBER(--SUBSTITUTE($J436&amp;"","-","")))),FALSE))),"US ZIP must be 5 or 9 digits, with an optional ZIP+4 hyphen; ","")&amp;IF(AND($N436&lt;&gt;"",NOT(IFERROR(AND(ISNUMBER(SEARCH("@",$N436)),ISNUMBER(SEARCH(".",$N436,SEARCH("@",$N436)+2))),FALSE))),"Email format appears invalid; ","")&amp;IF(AND($O436&lt;&gt;"",$B436=""),"Dependent SSN is required for every dependent; ","")&amp;IF(AND($B436&lt;&gt;"",$O436=""),"Dependent Relationship is required when Dependent SSN is entered; ","")&amp;IF(AND($O436&lt;&gt;"",$O436&lt;&gt;"Spouse or Common Law Spouse",$O436&lt;&gt;"Domestic Partner",$O436&lt;&gt;"Child",$O436&lt;&gt;"Other",$O436&lt;&gt;"Estate",$O436&lt;&gt;"Unknown"),"Dependent Relationship must use one of the approved options; ",""))</f>
        <v/>
      </c>
      <c r="Z436">
        <f>IF(COUNTA($A436:$U436)=0,"",IF(AND($A436&lt;&gt;"",NOT(IFERROR(AND(LEN($A436&amp;"")=9,ISNUMBER(--($A436&amp;""))),FALSE))),"Employee SSN must contain exactly 9 digits; ","")&amp;IF(AND($A436&lt;&gt;"",OR($A436="123456789",$A436="987654321",$A436="012345678",$A436=REPT(LEFT($A436&amp;"",1),9))),"Employee SSN appears to be a placeholder; ","")&amp;IF(AND($B436&lt;&gt;"",NOT(IFERROR(AND(LEN($B436&amp;"")=9,ISNUMBER(--($B436&amp;""))),FALSE))),"Dependent SSN must contain exactly 9 digits; ","")&amp;IF(AND($B436&lt;&gt;"",OR($B436="123456789",$B436="987654321",$B436="012345678",$B436=REPT(LEFT($B436&amp;"",1),9))),"Dependent SSN appears to be a placeholder; ","")&amp;IF(AND($A436&lt;&gt;"",$B436&lt;&gt;"",$A436&amp;""=$B436&amp;""),"Dependent SSN cannot match Employee SSN; ","")&amp;IF(AND($W436&lt;&gt;"",OR(COUNTIFS($W$2:$W$501,$W436,$C$2:$C$501,"&lt;&gt;"&amp;$C436)&gt;0,COUNTIFS($W$2:$W$501,$W436,$D$2:$D$501,"&lt;&gt;"&amp;$D436)&gt;0,COUNTIFS($W$2:$W$501,$W436,$L$2:$L$501,"&lt;&gt;"&amp;$L436)&gt;0)),"The same SSN is associated with a different name or birthdate; ",""))</f>
        <v/>
      </c>
      <c r="AA436">
        <f>IF(COUNTA($A436:$U436)=0,"",IF(AND($A436&lt;&gt;"",$S436&lt;&gt;"",COUNTIFS($A$2:$A$501,$A436,$S$2:$S$501,$S436,$B$2:$B$501,"",$O$2:$O$501,"")=0),"Add an employee row for this household and plan; ","")&amp;IF(AND($X436="Dependent",COUNTIFS($A$2:$A436,$A436,$S$2:$S436,$S436,$B$2:$B436,"",$O$2:$O436,"")=0),"Place the employee row before dependent rows for this plan; ","")&amp;IF(AND($X436="Dependent",COUNTIFS($A$2:$A$501,$A436,$S$2:$S$501,$S436,$B$2:$B$501,"",$O$2:$O$501,"")&gt;0,IFERROR(OR($P436&lt;&gt;LOOKUP(2,1/(($A$2:$A$501=$A436)*($S$2:$S$501=$S436)*($B$2:$B$501="")*($O$2:$O$501="")),$P$2:$P$501),$Q436&lt;&gt;LOOKUP(2,1/(($A$2:$A$501=$A436)*($S$2:$S$501=$S436)*($B$2:$B$501="")*($O$2:$O$501="")),$Q$2:$Q$501),$R436&lt;&gt;LOOKUP(2,1/(($A$2:$A$501=$A436)*($S$2:$S$501=$S436)*($B$2:$B$501="")*($O$2:$O$501="")),$R$2:$R$501),$T436&lt;&gt;LOOKUP(2,1/(($A$2:$A$501=$A436)*($S$2:$S$501=$S436)*($B$2:$B$501="")*($O$2:$O$501="")),$T$2:$T$501),$U436&lt;&gt;LOOKUP(2,1/(($A$2:$A$501=$A436)*($S$2:$S$501=$S436)*($B$2:$B$501="")*($O$2:$O$501="")),$U$2:$U$501)),FALSE)),"Dependent row does not match the employee row for eligibility, status, coverage level, or funding; ",""))</f>
        <v/>
      </c>
      <c r="AB436">
        <f>IF(COUNTA($A436:$U436)=0,"",IF($L436="","Birthdate is required; ","")&amp;IF(AND($L436&lt;&gt;"",OR(NOT(ISNUMBER($L436)),$L436&lt;=DATE(1900,1,1),$L436&gt;TODAY())),"Birthdate must be an exact valid past date; ","")&amp;IF($P436="","Eligibility Date is required; ","")&amp;IF(AND($P436&lt;&gt;"",OR(NOT(ISNUMBER($P436)),$P436&lt;=DATE(1900,1,1))),"Eligibility Date must be a valid date; ","")&amp;IF(AND($R436="Terminated",$Q436=""),"Termination Date is required when Status is Terminated; ","")&amp;IF(AND($Q436&lt;&gt;"",OR(NOT(ISNUMBER($Q436)),$Q436&lt;=DATE(1900,1,1))),"Termination Date must be a valid date; ","")&amp;IF(AND(ISNUMBER($P436),ISNUMBER($Q436),$Q436&lt;$P436),"Termination Date cannot be before Eligibility Date; ","")&amp;IF($R436="","Status is required; ","")&amp;IF(AND($R436&lt;&gt;"",$R436&lt;&gt;"Active",$R436&lt;&gt;"Terminated"),"Status must be Active or Terminated; ","")&amp;IF(AND('START HERE'!$C$8="Terminations Only",$R436&lt;&gt;"Terminated"),"Terminations Only files must contain terminated records; ",""))</f>
        <v/>
      </c>
      <c r="AC436">
        <f>IF(COUNTA($A436:$U436)=0,"",IF($S436="","Plan Name is required; ","")&amp;IF($T436="","Benefit Coverage Level is required; ","")&amp;IF(AND($U436&lt;&gt;"",OR(NOT(ISNUMBER($U436)),$U436&lt;0)),"Plan Funding Amount must be a nonnegative number; ","")&amp;IF(AND($A436&lt;&gt;"",$S436&lt;&gt;"",COUNTIFS($A$2:$A$501,$A436,$B$2:$B$501,$B436,$S$2:$S$501,$S436)&gt;1),"Duplicate participant and plan row; ",""))</f>
        <v/>
      </c>
      <c r="AD436">
        <f>IF(COUNTA($A436:$U436)=0,"",IF(AND($X436="Employee",$M436="",$N436=""),"No employee phone or email provided; ","")&amp;IF(AND($R436="Active",$Q436&lt;&gt;""),"Active record includes a Termination Date; confirm this is intentional; ","")&amp;IF(AND($B436&lt;&gt;"",$B436&amp;""&lt;&gt;$A436&amp;"",COUNTIF($A$2:$A$501,$B436)&gt;0),"Dependent SSN also appears as an Employee SSN elsewhere; confirm dual-employee coverage is intentional; ","")&amp;IF(AND($B436&lt;&gt;"",COUNTIF($B$2:$B$501,$B436)&gt;COUNTIFS($A$2:$A$501,$A436,$B$2:$B$501,$B436)),"Dependent SSN appears under more than one employee; confirm duplicate family coverage is intentional; ","")&amp;IF(AND(ROW()&gt;2,$A436&lt;&gt;"",$A436&lt;&gt;$A435,COUNTIF($A$2:$A435,$A436)&gt;0),"This household appears in more than one section of the census; keep the family together; ","")&amp;IF(OR(AND($C436&lt;&gt;"",LEN($C436&amp;"")&lt;&gt;LEN(TRIM($C436&amp;""))),AND($D436&lt;&gt;"",LEN($D436&amp;"")&lt;&gt;LEN(TRIM($D436&amp;""))),AND($E436&lt;&gt;"",LEN($E436&amp;"")&lt;&gt;LEN(TRIM($E436&amp;""))),AND($F436&lt;&gt;"",LEN($F436&amp;"")&lt;&gt;LEN(TRIM($F436&amp;""))),AND($G436&lt;&gt;"",LEN($G436&amp;"")&lt;&gt;LEN(TRIM($G436&amp;""))),AND($H436&lt;&gt;"",LEN($H436&amp;"")&lt;&gt;LEN(TRIM($H436&amp;""))),AND($I436&lt;&gt;"",LEN($I436&amp;"")&lt;&gt;LEN(TRIM($I436&amp;""))),AND($J436&lt;&gt;"",LEN($J436&amp;"")&lt;&gt;LEN(TRIM($J436&amp;""))),AND($K436&lt;&gt;"",LEN($K436&amp;"")&lt;&gt;LEN(TRIM($K436&amp;""))),AND($M436&lt;&gt;"",LEN($M436&amp;"")&lt;&gt;LEN(TRIM($M436&amp;""))),AND($N436&lt;&gt;"",LEN($N436&amp;"")&lt;&gt;LEN(TRIM($N436&amp;""))),AND($O436&lt;&gt;"",LEN($O436&amp;"")&lt;&gt;LEN(TRIM($O436&amp;""))),AND($R436&lt;&gt;"",LEN($R436&amp;"")&lt;&gt;LEN(TRIM($R436&amp;""))),AND($S436&lt;&gt;"",LEN($S436&amp;"")&lt;&gt;LEN(TRIM($S436&amp;""))),AND($T436&lt;&gt;"",LEN($T436&amp;"")&lt;&gt;LEN(TRIM($T436&amp;"")))),"Remove leading or trailing spaces from text fields; ","")&amp;IF(OR(AND(LEN($C436)&gt;1,OR(EXACT($C436,UPPER($C436)),EXACT($C436,LOWER($C436)))),AND(LEN($D436)&gt;1,OR(EXACT($D436,UPPER($D436)),EXACT($D436,LOWER($D436)))),AND(LEN($H436)&gt;1,OR(EXACT($H436,UPPER($H436)),EXACT($H436,LOWER($H436))))),"Review capitalization in First Name, Last Name, or City; ","")&amp;IF(AND($N436&lt;&gt;"",NOT(EXACT($N436,LOWER($N436)))),"Email will be standardized to lowercase in the clean output; ","")&amp;IF(AND(OR('START HERE'!$C$8="Initial Enrollment",'START HERE'!$C$8="Open Enrollment"),$R436="Terminated"),"A terminated row is included in an initial or open enrollment file; confirm this is intentional; ",""))</f>
        <v/>
      </c>
      <c r="AE436">
        <f>IF(COUNTA($A436:$U436)=0,"",IF(OR($A436="",AND($A436&lt;&gt;"",NOT(IFERROR(AND(LEN($A436&amp;"")=9,ISNUMBER(--($A436&amp;""))),FALSE))),AND($A436&lt;&gt;"",OR($A436="123456789",$A436="987654321",$A436="012345678",$A436=REPT(LEFT($A436&amp;"",1),9)))),"Employee SSN, ","")&amp;IF(OR(AND($O436&lt;&gt;"",$B436=""),AND($B436&lt;&gt;"",OR(NOT(IFERROR(AND(LEN($B436&amp;"")=9,ISNUMBER(--($B436&amp;""))),FALSE)),$B436=$A436,$B436="123456789",$B436="987654321",$B436="012345678",$B436=REPT(LEFT($B436&amp;"",1),9)))),"Dependent SSN, ","")&amp;IF(OR($C436="",LEN($C436)&gt;19,AND($C436&lt;&gt;"",SUMPRODUCT(--(ROW($1:$19)&lt;=LEN($C436&amp;"")),--ISERROR(FIND(MID($C436&amp;"",ROW($1:$19),1),"ABCDEFGHIJKLMNOPQRSTUVWXYZabcdefghijklmnopqrstuvwxyz .,")))&gt;0)),"First Name, ","")&amp;IF(OR($D436="",LEN($D436)&gt;26,AND($D436&lt;&gt;"",SUMPRODUCT(--(ROW($1:$26)&lt;=LEN($D436&amp;"")),--ISERROR(FIND(MID($D436&amp;"",ROW($1:$26),1),"ABCDEFGHIJKLMNOPQRSTUVWXYZabcdefghijklmnopqrstuvwxyz .,")))&gt;0)),"Last Name, ","")&amp;IF(OR(LEN($E436)&gt;1,AND($E436&lt;&gt;"",SUMPRODUCT(--(ROW($1:$1)&lt;=LEN($E436&amp;"")),--ISERROR(FIND(MID($E436&amp;"",ROW($1:$1),1),"ABCDEFGHIJKLMNOPQRSTUVWXYZabcdefghijklmnopqrstuvwxyz .,")))&gt;0)),"Middle Initial, ","")&amp;IF(OR($F436="",LEN($F436)&gt;75),"Address, ","")&amp;IF(OR($H436="",LEN($H436)&gt;30),"City, ","")&amp;IF(AND($K436="US",OR($I436="",LEN($I436)&lt;&gt;2)),"State, ","")&amp;IF($J436="","ZIP, ","")&amp;IF(OR($K436="",AND($K436&lt;&gt;"US",$K436&lt;&gt;"CA")),"Country, ","")&amp;IF(OR($L436="",AND($L436&lt;&gt;"",OR(NOT(ISNUMBER($L436)),$L436&lt;=DATE(1900,1,1),$L436&gt;TODAY()))),"Birthdate, ","")&amp;IF(AND($N436&lt;&gt;"",NOT(IFERROR(AND(ISNUMBER(SEARCH("@",$N436)),ISNUMBER(SEARCH(".",$N436,SEARCH("@",$N436)+2))),FALSE))),"Email, ","")&amp;IF(OR(AND($B436&lt;&gt;"",$O436=""),AND($O436&lt;&gt;"",$O436&lt;&gt;"Spouse or Common Law Spouse",$O436&lt;&gt;"Domestic Partner",$O436&lt;&gt;"Child",$O436&lt;&gt;"Other",$O436&lt;&gt;"Estate",$O436&lt;&gt;"Unknown")),"Dependent Relationship, ","")&amp;IF($AA436&lt;&gt;"","Household, ","")&amp;IF(OR($P436="",AND($P436&lt;&gt;"",OR(NOT(ISNUMBER($P436)),$P436&lt;=DATE(1900,1,1)))),"Eligibility Date, ","")&amp;IF(OR(AND($R436="Terminated",$Q436=""),AND($Q436&lt;&gt;"",OR(NOT(ISNUMBER($Q436)),$Q436&lt;=DATE(1900,1,1))),AND(ISNUMBER($P436),ISNUMBER($Q436),$Q436&lt;$P436)),"Termination Date, ","")&amp;IF(OR($R436="",AND($R436&lt;&gt;"Active",$R436&lt;&gt;"Terminated"),AND('START HERE'!$C$8="Terminations Only",$R436&lt;&gt;"Terminated")),"Status, ","")&amp;IF($S436="","Plan Name, ","")&amp;IF($T436="","Coverage Level, ","")&amp;IF(AND($U436&lt;&gt;"",OR(NOT(ISNUMBER($U436)),$U436&lt;0)),"Funding, ","")&amp;IF(AND($A436&lt;&gt;"",$S436&lt;&gt;"",COUNTIFS($A$2:$A$501,$A436,$B$2:$B$501,$B436,$S$2:$S$501,$S436)&gt;1),"Duplicate Row, ",""))</f>
        <v/>
      </c>
      <c r="AF436">
        <f>IF(COUNTA($A436:$U436)=0,"",$Y436&amp;$Z436&amp;$AA436&amp;$AB436&amp;$AC436)</f>
        <v/>
      </c>
      <c r="AG436">
        <f>IF($N436="","",LOWER(TRIM($N436)))</f>
        <v/>
      </c>
      <c r="AH436">
        <f>IF($A436="","",COUNTIFS($A$2:$A$501,$A436,$AI$2:$AI$501,1))</f>
        <v/>
      </c>
      <c r="AI436">
        <f>IF(COUNTA($A436:$U436)=0,"",--($AF436&lt;&gt;""))</f>
        <v/>
      </c>
      <c r="AJ436">
        <f>IF(COUNTA($A436:$U436)=0,"",--($AD436&lt;&gt;""))</f>
        <v/>
      </c>
    </row>
    <row r="437" ht="20" customHeight="1">
      <c r="A437" s="80" t="n"/>
      <c r="B437" s="80" t="n"/>
      <c r="C437" s="81" t="n"/>
      <c r="D437" s="81" t="n"/>
      <c r="E437" s="80" t="n"/>
      <c r="F437" s="81" t="n"/>
      <c r="G437" s="81" t="n"/>
      <c r="H437" s="81" t="n"/>
      <c r="I437" s="80" t="n"/>
      <c r="J437" s="80" t="n"/>
      <c r="K437" s="80" t="n"/>
      <c r="L437" s="82" t="n"/>
      <c r="M437" s="80" t="n"/>
      <c r="N437" s="80" t="n"/>
      <c r="O437" s="80" t="n"/>
      <c r="P437" s="82" t="n"/>
      <c r="Q437" s="82" t="n"/>
      <c r="R437" s="80" t="n"/>
      <c r="S437" s="80" t="n"/>
      <c r="T437" s="80" t="n"/>
      <c r="U437" s="83" t="n"/>
      <c r="V437">
        <f>IF($A437="","",IF($A437=$A436,$V436,IF($V436="",0,1-$V436)))</f>
        <v/>
      </c>
      <c r="W437">
        <f>IF($B437&lt;&gt;"",$B437,$A437)</f>
        <v/>
      </c>
      <c r="X437">
        <f>IF(COUNTA($A437:$U437)=0,"",IF(OR($B437&lt;&gt;"",$O437&lt;&gt;""),"Dependent","Employee"))</f>
        <v/>
      </c>
      <c r="Y437">
        <f>IF(COUNTA($A437:$U437)=0,"",IF($A437="","Employee SSN is required; ","")&amp;IF($C437="","First Name is required; ","")&amp;IF(LEN($C437&amp;"")&gt;19,"First Name exceeds 19 characters; ","")&amp;IF(AND($C437&lt;&gt;"",SUMPRODUCT(--(ROW($1:$19)&lt;=LEN($C437&amp;"")),--ISERROR(FIND(MID($C437&amp;"",ROW($1:$19),1),"ABCDEFGHIJKLMNOPQRSTUVWXYZabcdefghijklmnopqrstuvwxyz .,")))&gt;0),"First Name contains unsupported or encoded characters; use plain A-Z letters only; ","")&amp;IF($D437="","Last Name is required; ","")&amp;IF(LEN($D437&amp;"")&gt;26,"Last Name exceeds 26 characters; ","")&amp;IF(AND($D437&lt;&gt;"",SUMPRODUCT(--(ROW($1:$26)&lt;=LEN($D437&amp;"")),--ISERROR(FIND(MID($D437&amp;"",ROW($1:$26),1),"ABCDEFGHIJKLMNOPQRSTUVWXYZabcdefghijklmnopqrstuvwxyz .,")))&gt;0),"Last Name contains unsupported or encoded characters; use plain A-Z letters only; ","")&amp;IF(LEN($E437&amp;"")&gt;1,"Middle Initial may contain only one character; ","")&amp;IF(AND($E437&lt;&gt;"",SUMPRODUCT(--(ROW($1:$1)&lt;=LEN($E437&amp;"")),--ISERROR(FIND(MID($E437&amp;"",ROW($1:$1),1),"ABCDEFGHIJKLMNOPQRSTUVWXYZabcdefghijklmnopqrstuvwxyz .,")))&gt;0),"Middle Initial must be a plain A-Z letter; ","")&amp;IF($F437="","Address is required; ","")&amp;IF(LEN($F437&amp;"")&gt;75,"Address exceeds 75 characters; ","")&amp;IF(LEN($G437&amp;"")&gt;75,"Address 2 exceeds 75 characters; ","")&amp;IF($H437="","City is required; ","")&amp;IF(LEN($H437&amp;"")&gt;30,"City exceeds 30 characters; ","")&amp;IF($K437="","Country is required; ","")&amp;IF(AND($K437&lt;&gt;"",$K437&lt;&gt;"US",$K437&lt;&gt;"CA"),"Country must be US or CA; ","")&amp;IF(AND($K437="US",OR($I437="",LEN($I437&amp;"")&lt;&gt;2)),"Use a 2-letter state code; ","")&amp;IF($J437="","ZIP or postal code is required; ","")&amp;IF(AND($K437="US",$J437&lt;&gt;"",NOT(IFERROR(OR(AND(LEN($J437&amp;"")=5,ISNUMBER(--($J437&amp;""))),AND(LEN($J437&amp;"")=9,ISNUMBER(--($J437&amp;""))),AND(LEN($J437&amp;"")=10,MID($J437&amp;"",6,1)="-",ISNUMBER(--SUBSTITUTE($J437&amp;"","-","")))),FALSE))),"US ZIP must be 5 or 9 digits, with an optional ZIP+4 hyphen; ","")&amp;IF(AND($N437&lt;&gt;"",NOT(IFERROR(AND(ISNUMBER(SEARCH("@",$N437)),ISNUMBER(SEARCH(".",$N437,SEARCH("@",$N437)+2))),FALSE))),"Email format appears invalid; ","")&amp;IF(AND($O437&lt;&gt;"",$B437=""),"Dependent SSN is required for every dependent; ","")&amp;IF(AND($B437&lt;&gt;"",$O437=""),"Dependent Relationship is required when Dependent SSN is entered; ","")&amp;IF(AND($O437&lt;&gt;"",$O437&lt;&gt;"Spouse or Common Law Spouse",$O437&lt;&gt;"Domestic Partner",$O437&lt;&gt;"Child",$O437&lt;&gt;"Other",$O437&lt;&gt;"Estate",$O437&lt;&gt;"Unknown"),"Dependent Relationship must use one of the approved options; ",""))</f>
        <v/>
      </c>
      <c r="Z437">
        <f>IF(COUNTA($A437:$U437)=0,"",IF(AND($A437&lt;&gt;"",NOT(IFERROR(AND(LEN($A437&amp;"")=9,ISNUMBER(--($A437&amp;""))),FALSE))),"Employee SSN must contain exactly 9 digits; ","")&amp;IF(AND($A437&lt;&gt;"",OR($A437="123456789",$A437="987654321",$A437="012345678",$A437=REPT(LEFT($A437&amp;"",1),9))),"Employee SSN appears to be a placeholder; ","")&amp;IF(AND($B437&lt;&gt;"",NOT(IFERROR(AND(LEN($B437&amp;"")=9,ISNUMBER(--($B437&amp;""))),FALSE))),"Dependent SSN must contain exactly 9 digits; ","")&amp;IF(AND($B437&lt;&gt;"",OR($B437="123456789",$B437="987654321",$B437="012345678",$B437=REPT(LEFT($B437&amp;"",1),9))),"Dependent SSN appears to be a placeholder; ","")&amp;IF(AND($A437&lt;&gt;"",$B437&lt;&gt;"",$A437&amp;""=$B437&amp;""),"Dependent SSN cannot match Employee SSN; ","")&amp;IF(AND($W437&lt;&gt;"",OR(COUNTIFS($W$2:$W$501,$W437,$C$2:$C$501,"&lt;&gt;"&amp;$C437)&gt;0,COUNTIFS($W$2:$W$501,$W437,$D$2:$D$501,"&lt;&gt;"&amp;$D437)&gt;0,COUNTIFS($W$2:$W$501,$W437,$L$2:$L$501,"&lt;&gt;"&amp;$L437)&gt;0)),"The same SSN is associated with a different name or birthdate; ",""))</f>
        <v/>
      </c>
      <c r="AA437">
        <f>IF(COUNTA($A437:$U437)=0,"",IF(AND($A437&lt;&gt;"",$S437&lt;&gt;"",COUNTIFS($A$2:$A$501,$A437,$S$2:$S$501,$S437,$B$2:$B$501,"",$O$2:$O$501,"")=0),"Add an employee row for this household and plan; ","")&amp;IF(AND($X437="Dependent",COUNTIFS($A$2:$A437,$A437,$S$2:$S437,$S437,$B$2:$B437,"",$O$2:$O437,"")=0),"Place the employee row before dependent rows for this plan; ","")&amp;IF(AND($X437="Dependent",COUNTIFS($A$2:$A$501,$A437,$S$2:$S$501,$S437,$B$2:$B$501,"",$O$2:$O$501,"")&gt;0,IFERROR(OR($P437&lt;&gt;LOOKUP(2,1/(($A$2:$A$501=$A437)*($S$2:$S$501=$S437)*($B$2:$B$501="")*($O$2:$O$501="")),$P$2:$P$501),$Q437&lt;&gt;LOOKUP(2,1/(($A$2:$A$501=$A437)*($S$2:$S$501=$S437)*($B$2:$B$501="")*($O$2:$O$501="")),$Q$2:$Q$501),$R437&lt;&gt;LOOKUP(2,1/(($A$2:$A$501=$A437)*($S$2:$S$501=$S437)*($B$2:$B$501="")*($O$2:$O$501="")),$R$2:$R$501),$T437&lt;&gt;LOOKUP(2,1/(($A$2:$A$501=$A437)*($S$2:$S$501=$S437)*($B$2:$B$501="")*($O$2:$O$501="")),$T$2:$T$501),$U437&lt;&gt;LOOKUP(2,1/(($A$2:$A$501=$A437)*($S$2:$S$501=$S437)*($B$2:$B$501="")*($O$2:$O$501="")),$U$2:$U$501)),FALSE)),"Dependent row does not match the employee row for eligibility, status, coverage level, or funding; ",""))</f>
        <v/>
      </c>
      <c r="AB437">
        <f>IF(COUNTA($A437:$U437)=0,"",IF($L437="","Birthdate is required; ","")&amp;IF(AND($L437&lt;&gt;"",OR(NOT(ISNUMBER($L437)),$L437&lt;=DATE(1900,1,1),$L437&gt;TODAY())),"Birthdate must be an exact valid past date; ","")&amp;IF($P437="","Eligibility Date is required; ","")&amp;IF(AND($P437&lt;&gt;"",OR(NOT(ISNUMBER($P437)),$P437&lt;=DATE(1900,1,1))),"Eligibility Date must be a valid date; ","")&amp;IF(AND($R437="Terminated",$Q437=""),"Termination Date is required when Status is Terminated; ","")&amp;IF(AND($Q437&lt;&gt;"",OR(NOT(ISNUMBER($Q437)),$Q437&lt;=DATE(1900,1,1))),"Termination Date must be a valid date; ","")&amp;IF(AND(ISNUMBER($P437),ISNUMBER($Q437),$Q437&lt;$P437),"Termination Date cannot be before Eligibility Date; ","")&amp;IF($R437="","Status is required; ","")&amp;IF(AND($R437&lt;&gt;"",$R437&lt;&gt;"Active",$R437&lt;&gt;"Terminated"),"Status must be Active or Terminated; ","")&amp;IF(AND('START HERE'!$C$8="Terminations Only",$R437&lt;&gt;"Terminated"),"Terminations Only files must contain terminated records; ",""))</f>
        <v/>
      </c>
      <c r="AC437">
        <f>IF(COUNTA($A437:$U437)=0,"",IF($S437="","Plan Name is required; ","")&amp;IF($T437="","Benefit Coverage Level is required; ","")&amp;IF(AND($U437&lt;&gt;"",OR(NOT(ISNUMBER($U437)),$U437&lt;0)),"Plan Funding Amount must be a nonnegative number; ","")&amp;IF(AND($A437&lt;&gt;"",$S437&lt;&gt;"",COUNTIFS($A$2:$A$501,$A437,$B$2:$B$501,$B437,$S$2:$S$501,$S437)&gt;1),"Duplicate participant and plan row; ",""))</f>
        <v/>
      </c>
      <c r="AD437">
        <f>IF(COUNTA($A437:$U437)=0,"",IF(AND($X437="Employee",$M437="",$N437=""),"No employee phone or email provided; ","")&amp;IF(AND($R437="Active",$Q437&lt;&gt;""),"Active record includes a Termination Date; confirm this is intentional; ","")&amp;IF(AND($B437&lt;&gt;"",$B437&amp;""&lt;&gt;$A437&amp;"",COUNTIF($A$2:$A$501,$B437)&gt;0),"Dependent SSN also appears as an Employee SSN elsewhere; confirm dual-employee coverage is intentional; ","")&amp;IF(AND($B437&lt;&gt;"",COUNTIF($B$2:$B$501,$B437)&gt;COUNTIFS($A$2:$A$501,$A437,$B$2:$B$501,$B437)),"Dependent SSN appears under more than one employee; confirm duplicate family coverage is intentional; ","")&amp;IF(AND(ROW()&gt;2,$A437&lt;&gt;"",$A437&lt;&gt;$A436,COUNTIF($A$2:$A436,$A437)&gt;0),"This household appears in more than one section of the census; keep the family together; ","")&amp;IF(OR(AND($C437&lt;&gt;"",LEN($C437&amp;"")&lt;&gt;LEN(TRIM($C437&amp;""))),AND($D437&lt;&gt;"",LEN($D437&amp;"")&lt;&gt;LEN(TRIM($D437&amp;""))),AND($E437&lt;&gt;"",LEN($E437&amp;"")&lt;&gt;LEN(TRIM($E437&amp;""))),AND($F437&lt;&gt;"",LEN($F437&amp;"")&lt;&gt;LEN(TRIM($F437&amp;""))),AND($G437&lt;&gt;"",LEN($G437&amp;"")&lt;&gt;LEN(TRIM($G437&amp;""))),AND($H437&lt;&gt;"",LEN($H437&amp;"")&lt;&gt;LEN(TRIM($H437&amp;""))),AND($I437&lt;&gt;"",LEN($I437&amp;"")&lt;&gt;LEN(TRIM($I437&amp;""))),AND($J437&lt;&gt;"",LEN($J437&amp;"")&lt;&gt;LEN(TRIM($J437&amp;""))),AND($K437&lt;&gt;"",LEN($K437&amp;"")&lt;&gt;LEN(TRIM($K437&amp;""))),AND($M437&lt;&gt;"",LEN($M437&amp;"")&lt;&gt;LEN(TRIM($M437&amp;""))),AND($N437&lt;&gt;"",LEN($N437&amp;"")&lt;&gt;LEN(TRIM($N437&amp;""))),AND($O437&lt;&gt;"",LEN($O437&amp;"")&lt;&gt;LEN(TRIM($O437&amp;""))),AND($R437&lt;&gt;"",LEN($R437&amp;"")&lt;&gt;LEN(TRIM($R437&amp;""))),AND($S437&lt;&gt;"",LEN($S437&amp;"")&lt;&gt;LEN(TRIM($S437&amp;""))),AND($T437&lt;&gt;"",LEN($T437&amp;"")&lt;&gt;LEN(TRIM($T437&amp;"")))),"Remove leading or trailing spaces from text fields; ","")&amp;IF(OR(AND(LEN($C437)&gt;1,OR(EXACT($C437,UPPER($C437)),EXACT($C437,LOWER($C437)))),AND(LEN($D437)&gt;1,OR(EXACT($D437,UPPER($D437)),EXACT($D437,LOWER($D437)))),AND(LEN($H437)&gt;1,OR(EXACT($H437,UPPER($H437)),EXACT($H437,LOWER($H437))))),"Review capitalization in First Name, Last Name, or City; ","")&amp;IF(AND($N437&lt;&gt;"",NOT(EXACT($N437,LOWER($N437)))),"Email will be standardized to lowercase in the clean output; ","")&amp;IF(AND(OR('START HERE'!$C$8="Initial Enrollment",'START HERE'!$C$8="Open Enrollment"),$R437="Terminated"),"A terminated row is included in an initial or open enrollment file; confirm this is intentional; ",""))</f>
        <v/>
      </c>
      <c r="AE437">
        <f>IF(COUNTA($A437:$U437)=0,"",IF(OR($A437="",AND($A437&lt;&gt;"",NOT(IFERROR(AND(LEN($A437&amp;"")=9,ISNUMBER(--($A437&amp;""))),FALSE))),AND($A437&lt;&gt;"",OR($A437="123456789",$A437="987654321",$A437="012345678",$A437=REPT(LEFT($A437&amp;"",1),9)))),"Employee SSN, ","")&amp;IF(OR(AND($O437&lt;&gt;"",$B437=""),AND($B437&lt;&gt;"",OR(NOT(IFERROR(AND(LEN($B437&amp;"")=9,ISNUMBER(--($B437&amp;""))),FALSE)),$B437=$A437,$B437="123456789",$B437="987654321",$B437="012345678",$B437=REPT(LEFT($B437&amp;"",1),9)))),"Dependent SSN, ","")&amp;IF(OR($C437="",LEN($C437)&gt;19,AND($C437&lt;&gt;"",SUMPRODUCT(--(ROW($1:$19)&lt;=LEN($C437&amp;"")),--ISERROR(FIND(MID($C437&amp;"",ROW($1:$19),1),"ABCDEFGHIJKLMNOPQRSTUVWXYZabcdefghijklmnopqrstuvwxyz .,")))&gt;0)),"First Name, ","")&amp;IF(OR($D437="",LEN($D437)&gt;26,AND($D437&lt;&gt;"",SUMPRODUCT(--(ROW($1:$26)&lt;=LEN($D437&amp;"")),--ISERROR(FIND(MID($D437&amp;"",ROW($1:$26),1),"ABCDEFGHIJKLMNOPQRSTUVWXYZabcdefghijklmnopqrstuvwxyz .,")))&gt;0)),"Last Name, ","")&amp;IF(OR(LEN($E437)&gt;1,AND($E437&lt;&gt;"",SUMPRODUCT(--(ROW($1:$1)&lt;=LEN($E437&amp;"")),--ISERROR(FIND(MID($E437&amp;"",ROW($1:$1),1),"ABCDEFGHIJKLMNOPQRSTUVWXYZabcdefghijklmnopqrstuvwxyz .,")))&gt;0)),"Middle Initial, ","")&amp;IF(OR($F437="",LEN($F437)&gt;75),"Address, ","")&amp;IF(OR($H437="",LEN($H437)&gt;30),"City, ","")&amp;IF(AND($K437="US",OR($I437="",LEN($I437)&lt;&gt;2)),"State, ","")&amp;IF($J437="","ZIP, ","")&amp;IF(OR($K437="",AND($K437&lt;&gt;"US",$K437&lt;&gt;"CA")),"Country, ","")&amp;IF(OR($L437="",AND($L437&lt;&gt;"",OR(NOT(ISNUMBER($L437)),$L437&lt;=DATE(1900,1,1),$L437&gt;TODAY()))),"Birthdate, ","")&amp;IF(AND($N437&lt;&gt;"",NOT(IFERROR(AND(ISNUMBER(SEARCH("@",$N437)),ISNUMBER(SEARCH(".",$N437,SEARCH("@",$N437)+2))),FALSE))),"Email, ","")&amp;IF(OR(AND($B437&lt;&gt;"",$O437=""),AND($O437&lt;&gt;"",$O437&lt;&gt;"Spouse or Common Law Spouse",$O437&lt;&gt;"Domestic Partner",$O437&lt;&gt;"Child",$O437&lt;&gt;"Other",$O437&lt;&gt;"Estate",$O437&lt;&gt;"Unknown")),"Dependent Relationship, ","")&amp;IF($AA437&lt;&gt;"","Household, ","")&amp;IF(OR($P437="",AND($P437&lt;&gt;"",OR(NOT(ISNUMBER($P437)),$P437&lt;=DATE(1900,1,1)))),"Eligibility Date, ","")&amp;IF(OR(AND($R437="Terminated",$Q437=""),AND($Q437&lt;&gt;"",OR(NOT(ISNUMBER($Q437)),$Q437&lt;=DATE(1900,1,1))),AND(ISNUMBER($P437),ISNUMBER($Q437),$Q437&lt;$P437)),"Termination Date, ","")&amp;IF(OR($R437="",AND($R437&lt;&gt;"Active",$R437&lt;&gt;"Terminated"),AND('START HERE'!$C$8="Terminations Only",$R437&lt;&gt;"Terminated")),"Status, ","")&amp;IF($S437="","Plan Name, ","")&amp;IF($T437="","Coverage Level, ","")&amp;IF(AND($U437&lt;&gt;"",OR(NOT(ISNUMBER($U437)),$U437&lt;0)),"Funding, ","")&amp;IF(AND($A437&lt;&gt;"",$S437&lt;&gt;"",COUNTIFS($A$2:$A$501,$A437,$B$2:$B$501,$B437,$S$2:$S$501,$S437)&gt;1),"Duplicate Row, ",""))</f>
        <v/>
      </c>
      <c r="AF437">
        <f>IF(COUNTA($A437:$U437)=0,"",$Y437&amp;$Z437&amp;$AA437&amp;$AB437&amp;$AC437)</f>
        <v/>
      </c>
      <c r="AG437">
        <f>IF($N437="","",LOWER(TRIM($N437)))</f>
        <v/>
      </c>
      <c r="AH437">
        <f>IF($A437="","",COUNTIFS($A$2:$A$501,$A437,$AI$2:$AI$501,1))</f>
        <v/>
      </c>
      <c r="AI437">
        <f>IF(COUNTA($A437:$U437)=0,"",--($AF437&lt;&gt;""))</f>
        <v/>
      </c>
      <c r="AJ437">
        <f>IF(COUNTA($A437:$U437)=0,"",--($AD437&lt;&gt;""))</f>
        <v/>
      </c>
    </row>
    <row r="438" ht="20" customHeight="1">
      <c r="A438" s="80" t="n"/>
      <c r="B438" s="80" t="n"/>
      <c r="C438" s="81" t="n"/>
      <c r="D438" s="81" t="n"/>
      <c r="E438" s="80" t="n"/>
      <c r="F438" s="81" t="n"/>
      <c r="G438" s="81" t="n"/>
      <c r="H438" s="81" t="n"/>
      <c r="I438" s="80" t="n"/>
      <c r="J438" s="80" t="n"/>
      <c r="K438" s="80" t="n"/>
      <c r="L438" s="82" t="n"/>
      <c r="M438" s="80" t="n"/>
      <c r="N438" s="80" t="n"/>
      <c r="O438" s="80" t="n"/>
      <c r="P438" s="82" t="n"/>
      <c r="Q438" s="82" t="n"/>
      <c r="R438" s="80" t="n"/>
      <c r="S438" s="80" t="n"/>
      <c r="T438" s="80" t="n"/>
      <c r="U438" s="83" t="n"/>
      <c r="V438">
        <f>IF($A438="","",IF($A438=$A437,$V437,IF($V437="",0,1-$V437)))</f>
        <v/>
      </c>
      <c r="W438">
        <f>IF($B438&lt;&gt;"",$B438,$A438)</f>
        <v/>
      </c>
      <c r="X438">
        <f>IF(COUNTA($A438:$U438)=0,"",IF(OR($B438&lt;&gt;"",$O438&lt;&gt;""),"Dependent","Employee"))</f>
        <v/>
      </c>
      <c r="Y438">
        <f>IF(COUNTA($A438:$U438)=0,"",IF($A438="","Employee SSN is required; ","")&amp;IF($C438="","First Name is required; ","")&amp;IF(LEN($C438&amp;"")&gt;19,"First Name exceeds 19 characters; ","")&amp;IF(AND($C438&lt;&gt;"",SUMPRODUCT(--(ROW($1:$19)&lt;=LEN($C438&amp;"")),--ISERROR(FIND(MID($C438&amp;"",ROW($1:$19),1),"ABCDEFGHIJKLMNOPQRSTUVWXYZabcdefghijklmnopqrstuvwxyz .,")))&gt;0),"First Name contains unsupported or encoded characters; use plain A-Z letters only; ","")&amp;IF($D438="","Last Name is required; ","")&amp;IF(LEN($D438&amp;"")&gt;26,"Last Name exceeds 26 characters; ","")&amp;IF(AND($D438&lt;&gt;"",SUMPRODUCT(--(ROW($1:$26)&lt;=LEN($D438&amp;"")),--ISERROR(FIND(MID($D438&amp;"",ROW($1:$26),1),"ABCDEFGHIJKLMNOPQRSTUVWXYZabcdefghijklmnopqrstuvwxyz .,")))&gt;0),"Last Name contains unsupported or encoded characters; use plain A-Z letters only; ","")&amp;IF(LEN($E438&amp;"")&gt;1,"Middle Initial may contain only one character; ","")&amp;IF(AND($E438&lt;&gt;"",SUMPRODUCT(--(ROW($1:$1)&lt;=LEN($E438&amp;"")),--ISERROR(FIND(MID($E438&amp;"",ROW($1:$1),1),"ABCDEFGHIJKLMNOPQRSTUVWXYZabcdefghijklmnopqrstuvwxyz .,")))&gt;0),"Middle Initial must be a plain A-Z letter; ","")&amp;IF($F438="","Address is required; ","")&amp;IF(LEN($F438&amp;"")&gt;75,"Address exceeds 75 characters; ","")&amp;IF(LEN($G438&amp;"")&gt;75,"Address 2 exceeds 75 characters; ","")&amp;IF($H438="","City is required; ","")&amp;IF(LEN($H438&amp;"")&gt;30,"City exceeds 30 characters; ","")&amp;IF($K438="","Country is required; ","")&amp;IF(AND($K438&lt;&gt;"",$K438&lt;&gt;"US",$K438&lt;&gt;"CA"),"Country must be US or CA; ","")&amp;IF(AND($K438="US",OR($I438="",LEN($I438&amp;"")&lt;&gt;2)),"Use a 2-letter state code; ","")&amp;IF($J438="","ZIP or postal code is required; ","")&amp;IF(AND($K438="US",$J438&lt;&gt;"",NOT(IFERROR(OR(AND(LEN($J438&amp;"")=5,ISNUMBER(--($J438&amp;""))),AND(LEN($J438&amp;"")=9,ISNUMBER(--($J438&amp;""))),AND(LEN($J438&amp;"")=10,MID($J438&amp;"",6,1)="-",ISNUMBER(--SUBSTITUTE($J438&amp;"","-","")))),FALSE))),"US ZIP must be 5 or 9 digits, with an optional ZIP+4 hyphen; ","")&amp;IF(AND($N438&lt;&gt;"",NOT(IFERROR(AND(ISNUMBER(SEARCH("@",$N438)),ISNUMBER(SEARCH(".",$N438,SEARCH("@",$N438)+2))),FALSE))),"Email format appears invalid; ","")&amp;IF(AND($O438&lt;&gt;"",$B438=""),"Dependent SSN is required for every dependent; ","")&amp;IF(AND($B438&lt;&gt;"",$O438=""),"Dependent Relationship is required when Dependent SSN is entered; ","")&amp;IF(AND($O438&lt;&gt;"",$O438&lt;&gt;"Spouse or Common Law Spouse",$O438&lt;&gt;"Domestic Partner",$O438&lt;&gt;"Child",$O438&lt;&gt;"Other",$O438&lt;&gt;"Estate",$O438&lt;&gt;"Unknown"),"Dependent Relationship must use one of the approved options; ",""))</f>
        <v/>
      </c>
      <c r="Z438">
        <f>IF(COUNTA($A438:$U438)=0,"",IF(AND($A438&lt;&gt;"",NOT(IFERROR(AND(LEN($A438&amp;"")=9,ISNUMBER(--($A438&amp;""))),FALSE))),"Employee SSN must contain exactly 9 digits; ","")&amp;IF(AND($A438&lt;&gt;"",OR($A438="123456789",$A438="987654321",$A438="012345678",$A438=REPT(LEFT($A438&amp;"",1),9))),"Employee SSN appears to be a placeholder; ","")&amp;IF(AND($B438&lt;&gt;"",NOT(IFERROR(AND(LEN($B438&amp;"")=9,ISNUMBER(--($B438&amp;""))),FALSE))),"Dependent SSN must contain exactly 9 digits; ","")&amp;IF(AND($B438&lt;&gt;"",OR($B438="123456789",$B438="987654321",$B438="012345678",$B438=REPT(LEFT($B438&amp;"",1),9))),"Dependent SSN appears to be a placeholder; ","")&amp;IF(AND($A438&lt;&gt;"",$B438&lt;&gt;"",$A438&amp;""=$B438&amp;""),"Dependent SSN cannot match Employee SSN; ","")&amp;IF(AND($W438&lt;&gt;"",OR(COUNTIFS($W$2:$W$501,$W438,$C$2:$C$501,"&lt;&gt;"&amp;$C438)&gt;0,COUNTIFS($W$2:$W$501,$W438,$D$2:$D$501,"&lt;&gt;"&amp;$D438)&gt;0,COUNTIFS($W$2:$W$501,$W438,$L$2:$L$501,"&lt;&gt;"&amp;$L438)&gt;0)),"The same SSN is associated with a different name or birthdate; ",""))</f>
        <v/>
      </c>
      <c r="AA438">
        <f>IF(COUNTA($A438:$U438)=0,"",IF(AND($A438&lt;&gt;"",$S438&lt;&gt;"",COUNTIFS($A$2:$A$501,$A438,$S$2:$S$501,$S438,$B$2:$B$501,"",$O$2:$O$501,"")=0),"Add an employee row for this household and plan; ","")&amp;IF(AND($X438="Dependent",COUNTIFS($A$2:$A438,$A438,$S$2:$S438,$S438,$B$2:$B438,"",$O$2:$O438,"")=0),"Place the employee row before dependent rows for this plan; ","")&amp;IF(AND($X438="Dependent",COUNTIFS($A$2:$A$501,$A438,$S$2:$S$501,$S438,$B$2:$B$501,"",$O$2:$O$501,"")&gt;0,IFERROR(OR($P438&lt;&gt;LOOKUP(2,1/(($A$2:$A$501=$A438)*($S$2:$S$501=$S438)*($B$2:$B$501="")*($O$2:$O$501="")),$P$2:$P$501),$Q438&lt;&gt;LOOKUP(2,1/(($A$2:$A$501=$A438)*($S$2:$S$501=$S438)*($B$2:$B$501="")*($O$2:$O$501="")),$Q$2:$Q$501),$R438&lt;&gt;LOOKUP(2,1/(($A$2:$A$501=$A438)*($S$2:$S$501=$S438)*($B$2:$B$501="")*($O$2:$O$501="")),$R$2:$R$501),$T438&lt;&gt;LOOKUP(2,1/(($A$2:$A$501=$A438)*($S$2:$S$501=$S438)*($B$2:$B$501="")*($O$2:$O$501="")),$T$2:$T$501),$U438&lt;&gt;LOOKUP(2,1/(($A$2:$A$501=$A438)*($S$2:$S$501=$S438)*($B$2:$B$501="")*($O$2:$O$501="")),$U$2:$U$501)),FALSE)),"Dependent row does not match the employee row for eligibility, status, coverage level, or funding; ",""))</f>
        <v/>
      </c>
      <c r="AB438">
        <f>IF(COUNTA($A438:$U438)=0,"",IF($L438="","Birthdate is required; ","")&amp;IF(AND($L438&lt;&gt;"",OR(NOT(ISNUMBER($L438)),$L438&lt;=DATE(1900,1,1),$L438&gt;TODAY())),"Birthdate must be an exact valid past date; ","")&amp;IF($P438="","Eligibility Date is required; ","")&amp;IF(AND($P438&lt;&gt;"",OR(NOT(ISNUMBER($P438)),$P438&lt;=DATE(1900,1,1))),"Eligibility Date must be a valid date; ","")&amp;IF(AND($R438="Terminated",$Q438=""),"Termination Date is required when Status is Terminated; ","")&amp;IF(AND($Q438&lt;&gt;"",OR(NOT(ISNUMBER($Q438)),$Q438&lt;=DATE(1900,1,1))),"Termination Date must be a valid date; ","")&amp;IF(AND(ISNUMBER($P438),ISNUMBER($Q438),$Q438&lt;$P438),"Termination Date cannot be before Eligibility Date; ","")&amp;IF($R438="","Status is required; ","")&amp;IF(AND($R438&lt;&gt;"",$R438&lt;&gt;"Active",$R438&lt;&gt;"Terminated"),"Status must be Active or Terminated; ","")&amp;IF(AND('START HERE'!$C$8="Terminations Only",$R438&lt;&gt;"Terminated"),"Terminations Only files must contain terminated records; ",""))</f>
        <v/>
      </c>
      <c r="AC438">
        <f>IF(COUNTA($A438:$U438)=0,"",IF($S438="","Plan Name is required; ","")&amp;IF($T438="","Benefit Coverage Level is required; ","")&amp;IF(AND($U438&lt;&gt;"",OR(NOT(ISNUMBER($U438)),$U438&lt;0)),"Plan Funding Amount must be a nonnegative number; ","")&amp;IF(AND($A438&lt;&gt;"",$S438&lt;&gt;"",COUNTIFS($A$2:$A$501,$A438,$B$2:$B$501,$B438,$S$2:$S$501,$S438)&gt;1),"Duplicate participant and plan row; ",""))</f>
        <v/>
      </c>
      <c r="AD438">
        <f>IF(COUNTA($A438:$U438)=0,"",IF(AND($X438="Employee",$M438="",$N438=""),"No employee phone or email provided; ","")&amp;IF(AND($R438="Active",$Q438&lt;&gt;""),"Active record includes a Termination Date; confirm this is intentional; ","")&amp;IF(AND($B438&lt;&gt;"",$B438&amp;""&lt;&gt;$A438&amp;"",COUNTIF($A$2:$A$501,$B438)&gt;0),"Dependent SSN also appears as an Employee SSN elsewhere; confirm dual-employee coverage is intentional; ","")&amp;IF(AND($B438&lt;&gt;"",COUNTIF($B$2:$B$501,$B438)&gt;COUNTIFS($A$2:$A$501,$A438,$B$2:$B$501,$B438)),"Dependent SSN appears under more than one employee; confirm duplicate family coverage is intentional; ","")&amp;IF(AND(ROW()&gt;2,$A438&lt;&gt;"",$A438&lt;&gt;$A437,COUNTIF($A$2:$A437,$A438)&gt;0),"This household appears in more than one section of the census; keep the family together; ","")&amp;IF(OR(AND($C438&lt;&gt;"",LEN($C438&amp;"")&lt;&gt;LEN(TRIM($C438&amp;""))),AND($D438&lt;&gt;"",LEN($D438&amp;"")&lt;&gt;LEN(TRIM($D438&amp;""))),AND($E438&lt;&gt;"",LEN($E438&amp;"")&lt;&gt;LEN(TRIM($E438&amp;""))),AND($F438&lt;&gt;"",LEN($F438&amp;"")&lt;&gt;LEN(TRIM($F438&amp;""))),AND($G438&lt;&gt;"",LEN($G438&amp;"")&lt;&gt;LEN(TRIM($G438&amp;""))),AND($H438&lt;&gt;"",LEN($H438&amp;"")&lt;&gt;LEN(TRIM($H438&amp;""))),AND($I438&lt;&gt;"",LEN($I438&amp;"")&lt;&gt;LEN(TRIM($I438&amp;""))),AND($J438&lt;&gt;"",LEN($J438&amp;"")&lt;&gt;LEN(TRIM($J438&amp;""))),AND($K438&lt;&gt;"",LEN($K438&amp;"")&lt;&gt;LEN(TRIM($K438&amp;""))),AND($M438&lt;&gt;"",LEN($M438&amp;"")&lt;&gt;LEN(TRIM($M438&amp;""))),AND($N438&lt;&gt;"",LEN($N438&amp;"")&lt;&gt;LEN(TRIM($N438&amp;""))),AND($O438&lt;&gt;"",LEN($O438&amp;"")&lt;&gt;LEN(TRIM($O438&amp;""))),AND($R438&lt;&gt;"",LEN($R438&amp;"")&lt;&gt;LEN(TRIM($R438&amp;""))),AND($S438&lt;&gt;"",LEN($S438&amp;"")&lt;&gt;LEN(TRIM($S438&amp;""))),AND($T438&lt;&gt;"",LEN($T438&amp;"")&lt;&gt;LEN(TRIM($T438&amp;"")))),"Remove leading or trailing spaces from text fields; ","")&amp;IF(OR(AND(LEN($C438)&gt;1,OR(EXACT($C438,UPPER($C438)),EXACT($C438,LOWER($C438)))),AND(LEN($D438)&gt;1,OR(EXACT($D438,UPPER($D438)),EXACT($D438,LOWER($D438)))),AND(LEN($H438)&gt;1,OR(EXACT($H438,UPPER($H438)),EXACT($H438,LOWER($H438))))),"Review capitalization in First Name, Last Name, or City; ","")&amp;IF(AND($N438&lt;&gt;"",NOT(EXACT($N438,LOWER($N438)))),"Email will be standardized to lowercase in the clean output; ","")&amp;IF(AND(OR('START HERE'!$C$8="Initial Enrollment",'START HERE'!$C$8="Open Enrollment"),$R438="Terminated"),"A terminated row is included in an initial or open enrollment file; confirm this is intentional; ",""))</f>
        <v/>
      </c>
      <c r="AE438">
        <f>IF(COUNTA($A438:$U438)=0,"",IF(OR($A438="",AND($A438&lt;&gt;"",NOT(IFERROR(AND(LEN($A438&amp;"")=9,ISNUMBER(--($A438&amp;""))),FALSE))),AND($A438&lt;&gt;"",OR($A438="123456789",$A438="987654321",$A438="012345678",$A438=REPT(LEFT($A438&amp;"",1),9)))),"Employee SSN, ","")&amp;IF(OR(AND($O438&lt;&gt;"",$B438=""),AND($B438&lt;&gt;"",OR(NOT(IFERROR(AND(LEN($B438&amp;"")=9,ISNUMBER(--($B438&amp;""))),FALSE)),$B438=$A438,$B438="123456789",$B438="987654321",$B438="012345678",$B438=REPT(LEFT($B438&amp;"",1),9)))),"Dependent SSN, ","")&amp;IF(OR($C438="",LEN($C438)&gt;19,AND($C438&lt;&gt;"",SUMPRODUCT(--(ROW($1:$19)&lt;=LEN($C438&amp;"")),--ISERROR(FIND(MID($C438&amp;"",ROW($1:$19),1),"ABCDEFGHIJKLMNOPQRSTUVWXYZabcdefghijklmnopqrstuvwxyz .,")))&gt;0)),"First Name, ","")&amp;IF(OR($D438="",LEN($D438)&gt;26,AND($D438&lt;&gt;"",SUMPRODUCT(--(ROW($1:$26)&lt;=LEN($D438&amp;"")),--ISERROR(FIND(MID($D438&amp;"",ROW($1:$26),1),"ABCDEFGHIJKLMNOPQRSTUVWXYZabcdefghijklmnopqrstuvwxyz .,")))&gt;0)),"Last Name, ","")&amp;IF(OR(LEN($E438)&gt;1,AND($E438&lt;&gt;"",SUMPRODUCT(--(ROW($1:$1)&lt;=LEN($E438&amp;"")),--ISERROR(FIND(MID($E438&amp;"",ROW($1:$1),1),"ABCDEFGHIJKLMNOPQRSTUVWXYZabcdefghijklmnopqrstuvwxyz .,")))&gt;0)),"Middle Initial, ","")&amp;IF(OR($F438="",LEN($F438)&gt;75),"Address, ","")&amp;IF(OR($H438="",LEN($H438)&gt;30),"City, ","")&amp;IF(AND($K438="US",OR($I438="",LEN($I438)&lt;&gt;2)),"State, ","")&amp;IF($J438="","ZIP, ","")&amp;IF(OR($K438="",AND($K438&lt;&gt;"US",$K438&lt;&gt;"CA")),"Country, ","")&amp;IF(OR($L438="",AND($L438&lt;&gt;"",OR(NOT(ISNUMBER($L438)),$L438&lt;=DATE(1900,1,1),$L438&gt;TODAY()))),"Birthdate, ","")&amp;IF(AND($N438&lt;&gt;"",NOT(IFERROR(AND(ISNUMBER(SEARCH("@",$N438)),ISNUMBER(SEARCH(".",$N438,SEARCH("@",$N438)+2))),FALSE))),"Email, ","")&amp;IF(OR(AND($B438&lt;&gt;"",$O438=""),AND($O438&lt;&gt;"",$O438&lt;&gt;"Spouse or Common Law Spouse",$O438&lt;&gt;"Domestic Partner",$O438&lt;&gt;"Child",$O438&lt;&gt;"Other",$O438&lt;&gt;"Estate",$O438&lt;&gt;"Unknown")),"Dependent Relationship, ","")&amp;IF($AA438&lt;&gt;"","Household, ","")&amp;IF(OR($P438="",AND($P438&lt;&gt;"",OR(NOT(ISNUMBER($P438)),$P438&lt;=DATE(1900,1,1)))),"Eligibility Date, ","")&amp;IF(OR(AND($R438="Terminated",$Q438=""),AND($Q438&lt;&gt;"",OR(NOT(ISNUMBER($Q438)),$Q438&lt;=DATE(1900,1,1))),AND(ISNUMBER($P438),ISNUMBER($Q438),$Q438&lt;$P438)),"Termination Date, ","")&amp;IF(OR($R438="",AND($R438&lt;&gt;"Active",$R438&lt;&gt;"Terminated"),AND('START HERE'!$C$8="Terminations Only",$R438&lt;&gt;"Terminated")),"Status, ","")&amp;IF($S438="","Plan Name, ","")&amp;IF($T438="","Coverage Level, ","")&amp;IF(AND($U438&lt;&gt;"",OR(NOT(ISNUMBER($U438)),$U438&lt;0)),"Funding, ","")&amp;IF(AND($A438&lt;&gt;"",$S438&lt;&gt;"",COUNTIFS($A$2:$A$501,$A438,$B$2:$B$501,$B438,$S$2:$S$501,$S438)&gt;1),"Duplicate Row, ",""))</f>
        <v/>
      </c>
      <c r="AF438">
        <f>IF(COUNTA($A438:$U438)=0,"",$Y438&amp;$Z438&amp;$AA438&amp;$AB438&amp;$AC438)</f>
        <v/>
      </c>
      <c r="AG438">
        <f>IF($N438="","",LOWER(TRIM($N438)))</f>
        <v/>
      </c>
      <c r="AH438">
        <f>IF($A438="","",COUNTIFS($A$2:$A$501,$A438,$AI$2:$AI$501,1))</f>
        <v/>
      </c>
      <c r="AI438">
        <f>IF(COUNTA($A438:$U438)=0,"",--($AF438&lt;&gt;""))</f>
        <v/>
      </c>
      <c r="AJ438">
        <f>IF(COUNTA($A438:$U438)=0,"",--($AD438&lt;&gt;""))</f>
        <v/>
      </c>
    </row>
    <row r="439" ht="20" customHeight="1">
      <c r="A439" s="80" t="n"/>
      <c r="B439" s="80" t="n"/>
      <c r="C439" s="81" t="n"/>
      <c r="D439" s="81" t="n"/>
      <c r="E439" s="80" t="n"/>
      <c r="F439" s="81" t="n"/>
      <c r="G439" s="81" t="n"/>
      <c r="H439" s="81" t="n"/>
      <c r="I439" s="80" t="n"/>
      <c r="J439" s="80" t="n"/>
      <c r="K439" s="80" t="n"/>
      <c r="L439" s="82" t="n"/>
      <c r="M439" s="80" t="n"/>
      <c r="N439" s="80" t="n"/>
      <c r="O439" s="80" t="n"/>
      <c r="P439" s="82" t="n"/>
      <c r="Q439" s="82" t="n"/>
      <c r="R439" s="80" t="n"/>
      <c r="S439" s="80" t="n"/>
      <c r="T439" s="80" t="n"/>
      <c r="U439" s="83" t="n"/>
      <c r="V439">
        <f>IF($A439="","",IF($A439=$A438,$V438,IF($V438="",0,1-$V438)))</f>
        <v/>
      </c>
      <c r="W439">
        <f>IF($B439&lt;&gt;"",$B439,$A439)</f>
        <v/>
      </c>
      <c r="X439">
        <f>IF(COUNTA($A439:$U439)=0,"",IF(OR($B439&lt;&gt;"",$O439&lt;&gt;""),"Dependent","Employee"))</f>
        <v/>
      </c>
      <c r="Y439">
        <f>IF(COUNTA($A439:$U439)=0,"",IF($A439="","Employee SSN is required; ","")&amp;IF($C439="","First Name is required; ","")&amp;IF(LEN($C439&amp;"")&gt;19,"First Name exceeds 19 characters; ","")&amp;IF(AND($C439&lt;&gt;"",SUMPRODUCT(--(ROW($1:$19)&lt;=LEN($C439&amp;"")),--ISERROR(FIND(MID($C439&amp;"",ROW($1:$19),1),"ABCDEFGHIJKLMNOPQRSTUVWXYZabcdefghijklmnopqrstuvwxyz .,")))&gt;0),"First Name contains unsupported or encoded characters; use plain A-Z letters only; ","")&amp;IF($D439="","Last Name is required; ","")&amp;IF(LEN($D439&amp;"")&gt;26,"Last Name exceeds 26 characters; ","")&amp;IF(AND($D439&lt;&gt;"",SUMPRODUCT(--(ROW($1:$26)&lt;=LEN($D439&amp;"")),--ISERROR(FIND(MID($D439&amp;"",ROW($1:$26),1),"ABCDEFGHIJKLMNOPQRSTUVWXYZabcdefghijklmnopqrstuvwxyz .,")))&gt;0),"Last Name contains unsupported or encoded characters; use plain A-Z letters only; ","")&amp;IF(LEN($E439&amp;"")&gt;1,"Middle Initial may contain only one character; ","")&amp;IF(AND($E439&lt;&gt;"",SUMPRODUCT(--(ROW($1:$1)&lt;=LEN($E439&amp;"")),--ISERROR(FIND(MID($E439&amp;"",ROW($1:$1),1),"ABCDEFGHIJKLMNOPQRSTUVWXYZabcdefghijklmnopqrstuvwxyz .,")))&gt;0),"Middle Initial must be a plain A-Z letter; ","")&amp;IF($F439="","Address is required; ","")&amp;IF(LEN($F439&amp;"")&gt;75,"Address exceeds 75 characters; ","")&amp;IF(LEN($G439&amp;"")&gt;75,"Address 2 exceeds 75 characters; ","")&amp;IF($H439="","City is required; ","")&amp;IF(LEN($H439&amp;"")&gt;30,"City exceeds 30 characters; ","")&amp;IF($K439="","Country is required; ","")&amp;IF(AND($K439&lt;&gt;"",$K439&lt;&gt;"US",$K439&lt;&gt;"CA"),"Country must be US or CA; ","")&amp;IF(AND($K439="US",OR($I439="",LEN($I439&amp;"")&lt;&gt;2)),"Use a 2-letter state code; ","")&amp;IF($J439="","ZIP or postal code is required; ","")&amp;IF(AND($K439="US",$J439&lt;&gt;"",NOT(IFERROR(OR(AND(LEN($J439&amp;"")=5,ISNUMBER(--($J439&amp;""))),AND(LEN($J439&amp;"")=9,ISNUMBER(--($J439&amp;""))),AND(LEN($J439&amp;"")=10,MID($J439&amp;"",6,1)="-",ISNUMBER(--SUBSTITUTE($J439&amp;"","-","")))),FALSE))),"US ZIP must be 5 or 9 digits, with an optional ZIP+4 hyphen; ","")&amp;IF(AND($N439&lt;&gt;"",NOT(IFERROR(AND(ISNUMBER(SEARCH("@",$N439)),ISNUMBER(SEARCH(".",$N439,SEARCH("@",$N439)+2))),FALSE))),"Email format appears invalid; ","")&amp;IF(AND($O439&lt;&gt;"",$B439=""),"Dependent SSN is required for every dependent; ","")&amp;IF(AND($B439&lt;&gt;"",$O439=""),"Dependent Relationship is required when Dependent SSN is entered; ","")&amp;IF(AND($O439&lt;&gt;"",$O439&lt;&gt;"Spouse or Common Law Spouse",$O439&lt;&gt;"Domestic Partner",$O439&lt;&gt;"Child",$O439&lt;&gt;"Other",$O439&lt;&gt;"Estate",$O439&lt;&gt;"Unknown"),"Dependent Relationship must use one of the approved options; ",""))</f>
        <v/>
      </c>
      <c r="Z439">
        <f>IF(COUNTA($A439:$U439)=0,"",IF(AND($A439&lt;&gt;"",NOT(IFERROR(AND(LEN($A439&amp;"")=9,ISNUMBER(--($A439&amp;""))),FALSE))),"Employee SSN must contain exactly 9 digits; ","")&amp;IF(AND($A439&lt;&gt;"",OR($A439="123456789",$A439="987654321",$A439="012345678",$A439=REPT(LEFT($A439&amp;"",1),9))),"Employee SSN appears to be a placeholder; ","")&amp;IF(AND($B439&lt;&gt;"",NOT(IFERROR(AND(LEN($B439&amp;"")=9,ISNUMBER(--($B439&amp;""))),FALSE))),"Dependent SSN must contain exactly 9 digits; ","")&amp;IF(AND($B439&lt;&gt;"",OR($B439="123456789",$B439="987654321",$B439="012345678",$B439=REPT(LEFT($B439&amp;"",1),9))),"Dependent SSN appears to be a placeholder; ","")&amp;IF(AND($A439&lt;&gt;"",$B439&lt;&gt;"",$A439&amp;""=$B439&amp;""),"Dependent SSN cannot match Employee SSN; ","")&amp;IF(AND($W439&lt;&gt;"",OR(COUNTIFS($W$2:$W$501,$W439,$C$2:$C$501,"&lt;&gt;"&amp;$C439)&gt;0,COUNTIFS($W$2:$W$501,$W439,$D$2:$D$501,"&lt;&gt;"&amp;$D439)&gt;0,COUNTIFS($W$2:$W$501,$W439,$L$2:$L$501,"&lt;&gt;"&amp;$L439)&gt;0)),"The same SSN is associated with a different name or birthdate; ",""))</f>
        <v/>
      </c>
      <c r="AA439">
        <f>IF(COUNTA($A439:$U439)=0,"",IF(AND($A439&lt;&gt;"",$S439&lt;&gt;"",COUNTIFS($A$2:$A$501,$A439,$S$2:$S$501,$S439,$B$2:$B$501,"",$O$2:$O$501,"")=0),"Add an employee row for this household and plan; ","")&amp;IF(AND($X439="Dependent",COUNTIFS($A$2:$A439,$A439,$S$2:$S439,$S439,$B$2:$B439,"",$O$2:$O439,"")=0),"Place the employee row before dependent rows for this plan; ","")&amp;IF(AND($X439="Dependent",COUNTIFS($A$2:$A$501,$A439,$S$2:$S$501,$S439,$B$2:$B$501,"",$O$2:$O$501,"")&gt;0,IFERROR(OR($P439&lt;&gt;LOOKUP(2,1/(($A$2:$A$501=$A439)*($S$2:$S$501=$S439)*($B$2:$B$501="")*($O$2:$O$501="")),$P$2:$P$501),$Q439&lt;&gt;LOOKUP(2,1/(($A$2:$A$501=$A439)*($S$2:$S$501=$S439)*($B$2:$B$501="")*($O$2:$O$501="")),$Q$2:$Q$501),$R439&lt;&gt;LOOKUP(2,1/(($A$2:$A$501=$A439)*($S$2:$S$501=$S439)*($B$2:$B$501="")*($O$2:$O$501="")),$R$2:$R$501),$T439&lt;&gt;LOOKUP(2,1/(($A$2:$A$501=$A439)*($S$2:$S$501=$S439)*($B$2:$B$501="")*($O$2:$O$501="")),$T$2:$T$501),$U439&lt;&gt;LOOKUP(2,1/(($A$2:$A$501=$A439)*($S$2:$S$501=$S439)*($B$2:$B$501="")*($O$2:$O$501="")),$U$2:$U$501)),FALSE)),"Dependent row does not match the employee row for eligibility, status, coverage level, or funding; ",""))</f>
        <v/>
      </c>
      <c r="AB439">
        <f>IF(COUNTA($A439:$U439)=0,"",IF($L439="","Birthdate is required; ","")&amp;IF(AND($L439&lt;&gt;"",OR(NOT(ISNUMBER($L439)),$L439&lt;=DATE(1900,1,1),$L439&gt;TODAY())),"Birthdate must be an exact valid past date; ","")&amp;IF($P439="","Eligibility Date is required; ","")&amp;IF(AND($P439&lt;&gt;"",OR(NOT(ISNUMBER($P439)),$P439&lt;=DATE(1900,1,1))),"Eligibility Date must be a valid date; ","")&amp;IF(AND($R439="Terminated",$Q439=""),"Termination Date is required when Status is Terminated; ","")&amp;IF(AND($Q439&lt;&gt;"",OR(NOT(ISNUMBER($Q439)),$Q439&lt;=DATE(1900,1,1))),"Termination Date must be a valid date; ","")&amp;IF(AND(ISNUMBER($P439),ISNUMBER($Q439),$Q439&lt;$P439),"Termination Date cannot be before Eligibility Date; ","")&amp;IF($R439="","Status is required; ","")&amp;IF(AND($R439&lt;&gt;"",$R439&lt;&gt;"Active",$R439&lt;&gt;"Terminated"),"Status must be Active or Terminated; ","")&amp;IF(AND('START HERE'!$C$8="Terminations Only",$R439&lt;&gt;"Terminated"),"Terminations Only files must contain terminated records; ",""))</f>
        <v/>
      </c>
      <c r="AC439">
        <f>IF(COUNTA($A439:$U439)=0,"",IF($S439="","Plan Name is required; ","")&amp;IF($T439="","Benefit Coverage Level is required; ","")&amp;IF(AND($U439&lt;&gt;"",OR(NOT(ISNUMBER($U439)),$U439&lt;0)),"Plan Funding Amount must be a nonnegative number; ","")&amp;IF(AND($A439&lt;&gt;"",$S439&lt;&gt;"",COUNTIFS($A$2:$A$501,$A439,$B$2:$B$501,$B439,$S$2:$S$501,$S439)&gt;1),"Duplicate participant and plan row; ",""))</f>
        <v/>
      </c>
      <c r="AD439">
        <f>IF(COUNTA($A439:$U439)=0,"",IF(AND($X439="Employee",$M439="",$N439=""),"No employee phone or email provided; ","")&amp;IF(AND($R439="Active",$Q439&lt;&gt;""),"Active record includes a Termination Date; confirm this is intentional; ","")&amp;IF(AND($B439&lt;&gt;"",$B439&amp;""&lt;&gt;$A439&amp;"",COUNTIF($A$2:$A$501,$B439)&gt;0),"Dependent SSN also appears as an Employee SSN elsewhere; confirm dual-employee coverage is intentional; ","")&amp;IF(AND($B439&lt;&gt;"",COUNTIF($B$2:$B$501,$B439)&gt;COUNTIFS($A$2:$A$501,$A439,$B$2:$B$501,$B439)),"Dependent SSN appears under more than one employee; confirm duplicate family coverage is intentional; ","")&amp;IF(AND(ROW()&gt;2,$A439&lt;&gt;"",$A439&lt;&gt;$A438,COUNTIF($A$2:$A438,$A439)&gt;0),"This household appears in more than one section of the census; keep the family together; ","")&amp;IF(OR(AND($C439&lt;&gt;"",LEN($C439&amp;"")&lt;&gt;LEN(TRIM($C439&amp;""))),AND($D439&lt;&gt;"",LEN($D439&amp;"")&lt;&gt;LEN(TRIM($D439&amp;""))),AND($E439&lt;&gt;"",LEN($E439&amp;"")&lt;&gt;LEN(TRIM($E439&amp;""))),AND($F439&lt;&gt;"",LEN($F439&amp;"")&lt;&gt;LEN(TRIM($F439&amp;""))),AND($G439&lt;&gt;"",LEN($G439&amp;"")&lt;&gt;LEN(TRIM($G439&amp;""))),AND($H439&lt;&gt;"",LEN($H439&amp;"")&lt;&gt;LEN(TRIM($H439&amp;""))),AND($I439&lt;&gt;"",LEN($I439&amp;"")&lt;&gt;LEN(TRIM($I439&amp;""))),AND($J439&lt;&gt;"",LEN($J439&amp;"")&lt;&gt;LEN(TRIM($J439&amp;""))),AND($K439&lt;&gt;"",LEN($K439&amp;"")&lt;&gt;LEN(TRIM($K439&amp;""))),AND($M439&lt;&gt;"",LEN($M439&amp;"")&lt;&gt;LEN(TRIM($M439&amp;""))),AND($N439&lt;&gt;"",LEN($N439&amp;"")&lt;&gt;LEN(TRIM($N439&amp;""))),AND($O439&lt;&gt;"",LEN($O439&amp;"")&lt;&gt;LEN(TRIM($O439&amp;""))),AND($R439&lt;&gt;"",LEN($R439&amp;"")&lt;&gt;LEN(TRIM($R439&amp;""))),AND($S439&lt;&gt;"",LEN($S439&amp;"")&lt;&gt;LEN(TRIM($S439&amp;""))),AND($T439&lt;&gt;"",LEN($T439&amp;"")&lt;&gt;LEN(TRIM($T439&amp;"")))),"Remove leading or trailing spaces from text fields; ","")&amp;IF(OR(AND(LEN($C439)&gt;1,OR(EXACT($C439,UPPER($C439)),EXACT($C439,LOWER($C439)))),AND(LEN($D439)&gt;1,OR(EXACT($D439,UPPER($D439)),EXACT($D439,LOWER($D439)))),AND(LEN($H439)&gt;1,OR(EXACT($H439,UPPER($H439)),EXACT($H439,LOWER($H439))))),"Review capitalization in First Name, Last Name, or City; ","")&amp;IF(AND($N439&lt;&gt;"",NOT(EXACT($N439,LOWER($N439)))),"Email will be standardized to lowercase in the clean output; ","")&amp;IF(AND(OR('START HERE'!$C$8="Initial Enrollment",'START HERE'!$C$8="Open Enrollment"),$R439="Terminated"),"A terminated row is included in an initial or open enrollment file; confirm this is intentional; ",""))</f>
        <v/>
      </c>
      <c r="AE439">
        <f>IF(COUNTA($A439:$U439)=0,"",IF(OR($A439="",AND($A439&lt;&gt;"",NOT(IFERROR(AND(LEN($A439&amp;"")=9,ISNUMBER(--($A439&amp;""))),FALSE))),AND($A439&lt;&gt;"",OR($A439="123456789",$A439="987654321",$A439="012345678",$A439=REPT(LEFT($A439&amp;"",1),9)))),"Employee SSN, ","")&amp;IF(OR(AND($O439&lt;&gt;"",$B439=""),AND($B439&lt;&gt;"",OR(NOT(IFERROR(AND(LEN($B439&amp;"")=9,ISNUMBER(--($B439&amp;""))),FALSE)),$B439=$A439,$B439="123456789",$B439="987654321",$B439="012345678",$B439=REPT(LEFT($B439&amp;"",1),9)))),"Dependent SSN, ","")&amp;IF(OR($C439="",LEN($C439)&gt;19,AND($C439&lt;&gt;"",SUMPRODUCT(--(ROW($1:$19)&lt;=LEN($C439&amp;"")),--ISERROR(FIND(MID($C439&amp;"",ROW($1:$19),1),"ABCDEFGHIJKLMNOPQRSTUVWXYZabcdefghijklmnopqrstuvwxyz .,")))&gt;0)),"First Name, ","")&amp;IF(OR($D439="",LEN($D439)&gt;26,AND($D439&lt;&gt;"",SUMPRODUCT(--(ROW($1:$26)&lt;=LEN($D439&amp;"")),--ISERROR(FIND(MID($D439&amp;"",ROW($1:$26),1),"ABCDEFGHIJKLMNOPQRSTUVWXYZabcdefghijklmnopqrstuvwxyz .,")))&gt;0)),"Last Name, ","")&amp;IF(OR(LEN($E439)&gt;1,AND($E439&lt;&gt;"",SUMPRODUCT(--(ROW($1:$1)&lt;=LEN($E439&amp;"")),--ISERROR(FIND(MID($E439&amp;"",ROW($1:$1),1),"ABCDEFGHIJKLMNOPQRSTUVWXYZabcdefghijklmnopqrstuvwxyz .,")))&gt;0)),"Middle Initial, ","")&amp;IF(OR($F439="",LEN($F439)&gt;75),"Address, ","")&amp;IF(OR($H439="",LEN($H439)&gt;30),"City, ","")&amp;IF(AND($K439="US",OR($I439="",LEN($I439)&lt;&gt;2)),"State, ","")&amp;IF($J439="","ZIP, ","")&amp;IF(OR($K439="",AND($K439&lt;&gt;"US",$K439&lt;&gt;"CA")),"Country, ","")&amp;IF(OR($L439="",AND($L439&lt;&gt;"",OR(NOT(ISNUMBER($L439)),$L439&lt;=DATE(1900,1,1),$L439&gt;TODAY()))),"Birthdate, ","")&amp;IF(AND($N439&lt;&gt;"",NOT(IFERROR(AND(ISNUMBER(SEARCH("@",$N439)),ISNUMBER(SEARCH(".",$N439,SEARCH("@",$N439)+2))),FALSE))),"Email, ","")&amp;IF(OR(AND($B439&lt;&gt;"",$O439=""),AND($O439&lt;&gt;"",$O439&lt;&gt;"Spouse or Common Law Spouse",$O439&lt;&gt;"Domestic Partner",$O439&lt;&gt;"Child",$O439&lt;&gt;"Other",$O439&lt;&gt;"Estate",$O439&lt;&gt;"Unknown")),"Dependent Relationship, ","")&amp;IF($AA439&lt;&gt;"","Household, ","")&amp;IF(OR($P439="",AND($P439&lt;&gt;"",OR(NOT(ISNUMBER($P439)),$P439&lt;=DATE(1900,1,1)))),"Eligibility Date, ","")&amp;IF(OR(AND($R439="Terminated",$Q439=""),AND($Q439&lt;&gt;"",OR(NOT(ISNUMBER($Q439)),$Q439&lt;=DATE(1900,1,1))),AND(ISNUMBER($P439),ISNUMBER($Q439),$Q439&lt;$P439)),"Termination Date, ","")&amp;IF(OR($R439="",AND($R439&lt;&gt;"Active",$R439&lt;&gt;"Terminated"),AND('START HERE'!$C$8="Terminations Only",$R439&lt;&gt;"Terminated")),"Status, ","")&amp;IF($S439="","Plan Name, ","")&amp;IF($T439="","Coverage Level, ","")&amp;IF(AND($U439&lt;&gt;"",OR(NOT(ISNUMBER($U439)),$U439&lt;0)),"Funding, ","")&amp;IF(AND($A439&lt;&gt;"",$S439&lt;&gt;"",COUNTIFS($A$2:$A$501,$A439,$B$2:$B$501,$B439,$S$2:$S$501,$S439)&gt;1),"Duplicate Row, ",""))</f>
        <v/>
      </c>
      <c r="AF439">
        <f>IF(COUNTA($A439:$U439)=0,"",$Y439&amp;$Z439&amp;$AA439&amp;$AB439&amp;$AC439)</f>
        <v/>
      </c>
      <c r="AG439">
        <f>IF($N439="","",LOWER(TRIM($N439)))</f>
        <v/>
      </c>
      <c r="AH439">
        <f>IF($A439="","",COUNTIFS($A$2:$A$501,$A439,$AI$2:$AI$501,1))</f>
        <v/>
      </c>
      <c r="AI439">
        <f>IF(COUNTA($A439:$U439)=0,"",--($AF439&lt;&gt;""))</f>
        <v/>
      </c>
      <c r="AJ439">
        <f>IF(COUNTA($A439:$U439)=0,"",--($AD439&lt;&gt;""))</f>
        <v/>
      </c>
    </row>
    <row r="440" ht="20" customHeight="1">
      <c r="A440" s="80" t="n"/>
      <c r="B440" s="80" t="n"/>
      <c r="C440" s="81" t="n"/>
      <c r="D440" s="81" t="n"/>
      <c r="E440" s="80" t="n"/>
      <c r="F440" s="81" t="n"/>
      <c r="G440" s="81" t="n"/>
      <c r="H440" s="81" t="n"/>
      <c r="I440" s="80" t="n"/>
      <c r="J440" s="80" t="n"/>
      <c r="K440" s="80" t="n"/>
      <c r="L440" s="82" t="n"/>
      <c r="M440" s="80" t="n"/>
      <c r="N440" s="80" t="n"/>
      <c r="O440" s="80" t="n"/>
      <c r="P440" s="82" t="n"/>
      <c r="Q440" s="82" t="n"/>
      <c r="R440" s="80" t="n"/>
      <c r="S440" s="80" t="n"/>
      <c r="T440" s="80" t="n"/>
      <c r="U440" s="83" t="n"/>
      <c r="V440">
        <f>IF($A440="","",IF($A440=$A439,$V439,IF($V439="",0,1-$V439)))</f>
        <v/>
      </c>
      <c r="W440">
        <f>IF($B440&lt;&gt;"",$B440,$A440)</f>
        <v/>
      </c>
      <c r="X440">
        <f>IF(COUNTA($A440:$U440)=0,"",IF(OR($B440&lt;&gt;"",$O440&lt;&gt;""),"Dependent","Employee"))</f>
        <v/>
      </c>
      <c r="Y440">
        <f>IF(COUNTA($A440:$U440)=0,"",IF($A440="","Employee SSN is required; ","")&amp;IF($C440="","First Name is required; ","")&amp;IF(LEN($C440&amp;"")&gt;19,"First Name exceeds 19 characters; ","")&amp;IF(AND($C440&lt;&gt;"",SUMPRODUCT(--(ROW($1:$19)&lt;=LEN($C440&amp;"")),--ISERROR(FIND(MID($C440&amp;"",ROW($1:$19),1),"ABCDEFGHIJKLMNOPQRSTUVWXYZabcdefghijklmnopqrstuvwxyz .,")))&gt;0),"First Name contains unsupported or encoded characters; use plain A-Z letters only; ","")&amp;IF($D440="","Last Name is required; ","")&amp;IF(LEN($D440&amp;"")&gt;26,"Last Name exceeds 26 characters; ","")&amp;IF(AND($D440&lt;&gt;"",SUMPRODUCT(--(ROW($1:$26)&lt;=LEN($D440&amp;"")),--ISERROR(FIND(MID($D440&amp;"",ROW($1:$26),1),"ABCDEFGHIJKLMNOPQRSTUVWXYZabcdefghijklmnopqrstuvwxyz .,")))&gt;0),"Last Name contains unsupported or encoded characters; use plain A-Z letters only; ","")&amp;IF(LEN($E440&amp;"")&gt;1,"Middle Initial may contain only one character; ","")&amp;IF(AND($E440&lt;&gt;"",SUMPRODUCT(--(ROW($1:$1)&lt;=LEN($E440&amp;"")),--ISERROR(FIND(MID($E440&amp;"",ROW($1:$1),1),"ABCDEFGHIJKLMNOPQRSTUVWXYZabcdefghijklmnopqrstuvwxyz .,")))&gt;0),"Middle Initial must be a plain A-Z letter; ","")&amp;IF($F440="","Address is required; ","")&amp;IF(LEN($F440&amp;"")&gt;75,"Address exceeds 75 characters; ","")&amp;IF(LEN($G440&amp;"")&gt;75,"Address 2 exceeds 75 characters; ","")&amp;IF($H440="","City is required; ","")&amp;IF(LEN($H440&amp;"")&gt;30,"City exceeds 30 characters; ","")&amp;IF($K440="","Country is required; ","")&amp;IF(AND($K440&lt;&gt;"",$K440&lt;&gt;"US",$K440&lt;&gt;"CA"),"Country must be US or CA; ","")&amp;IF(AND($K440="US",OR($I440="",LEN($I440&amp;"")&lt;&gt;2)),"Use a 2-letter state code; ","")&amp;IF($J440="","ZIP or postal code is required; ","")&amp;IF(AND($K440="US",$J440&lt;&gt;"",NOT(IFERROR(OR(AND(LEN($J440&amp;"")=5,ISNUMBER(--($J440&amp;""))),AND(LEN($J440&amp;"")=9,ISNUMBER(--($J440&amp;""))),AND(LEN($J440&amp;"")=10,MID($J440&amp;"",6,1)="-",ISNUMBER(--SUBSTITUTE($J440&amp;"","-","")))),FALSE))),"US ZIP must be 5 or 9 digits, with an optional ZIP+4 hyphen; ","")&amp;IF(AND($N440&lt;&gt;"",NOT(IFERROR(AND(ISNUMBER(SEARCH("@",$N440)),ISNUMBER(SEARCH(".",$N440,SEARCH("@",$N440)+2))),FALSE))),"Email format appears invalid; ","")&amp;IF(AND($O440&lt;&gt;"",$B440=""),"Dependent SSN is required for every dependent; ","")&amp;IF(AND($B440&lt;&gt;"",$O440=""),"Dependent Relationship is required when Dependent SSN is entered; ","")&amp;IF(AND($O440&lt;&gt;"",$O440&lt;&gt;"Spouse or Common Law Spouse",$O440&lt;&gt;"Domestic Partner",$O440&lt;&gt;"Child",$O440&lt;&gt;"Other",$O440&lt;&gt;"Estate",$O440&lt;&gt;"Unknown"),"Dependent Relationship must use one of the approved options; ",""))</f>
        <v/>
      </c>
      <c r="Z440">
        <f>IF(COUNTA($A440:$U440)=0,"",IF(AND($A440&lt;&gt;"",NOT(IFERROR(AND(LEN($A440&amp;"")=9,ISNUMBER(--($A440&amp;""))),FALSE))),"Employee SSN must contain exactly 9 digits; ","")&amp;IF(AND($A440&lt;&gt;"",OR($A440="123456789",$A440="987654321",$A440="012345678",$A440=REPT(LEFT($A440&amp;"",1),9))),"Employee SSN appears to be a placeholder; ","")&amp;IF(AND($B440&lt;&gt;"",NOT(IFERROR(AND(LEN($B440&amp;"")=9,ISNUMBER(--($B440&amp;""))),FALSE))),"Dependent SSN must contain exactly 9 digits; ","")&amp;IF(AND($B440&lt;&gt;"",OR($B440="123456789",$B440="987654321",$B440="012345678",$B440=REPT(LEFT($B440&amp;"",1),9))),"Dependent SSN appears to be a placeholder; ","")&amp;IF(AND($A440&lt;&gt;"",$B440&lt;&gt;"",$A440&amp;""=$B440&amp;""),"Dependent SSN cannot match Employee SSN; ","")&amp;IF(AND($W440&lt;&gt;"",OR(COUNTIFS($W$2:$W$501,$W440,$C$2:$C$501,"&lt;&gt;"&amp;$C440)&gt;0,COUNTIFS($W$2:$W$501,$W440,$D$2:$D$501,"&lt;&gt;"&amp;$D440)&gt;0,COUNTIFS($W$2:$W$501,$W440,$L$2:$L$501,"&lt;&gt;"&amp;$L440)&gt;0)),"The same SSN is associated with a different name or birthdate; ",""))</f>
        <v/>
      </c>
      <c r="AA440">
        <f>IF(COUNTA($A440:$U440)=0,"",IF(AND($A440&lt;&gt;"",$S440&lt;&gt;"",COUNTIFS($A$2:$A$501,$A440,$S$2:$S$501,$S440,$B$2:$B$501,"",$O$2:$O$501,"")=0),"Add an employee row for this household and plan; ","")&amp;IF(AND($X440="Dependent",COUNTIFS($A$2:$A440,$A440,$S$2:$S440,$S440,$B$2:$B440,"",$O$2:$O440,"")=0),"Place the employee row before dependent rows for this plan; ","")&amp;IF(AND($X440="Dependent",COUNTIFS($A$2:$A$501,$A440,$S$2:$S$501,$S440,$B$2:$B$501,"",$O$2:$O$501,"")&gt;0,IFERROR(OR($P440&lt;&gt;LOOKUP(2,1/(($A$2:$A$501=$A440)*($S$2:$S$501=$S440)*($B$2:$B$501="")*($O$2:$O$501="")),$P$2:$P$501),$Q440&lt;&gt;LOOKUP(2,1/(($A$2:$A$501=$A440)*($S$2:$S$501=$S440)*($B$2:$B$501="")*($O$2:$O$501="")),$Q$2:$Q$501),$R440&lt;&gt;LOOKUP(2,1/(($A$2:$A$501=$A440)*($S$2:$S$501=$S440)*($B$2:$B$501="")*($O$2:$O$501="")),$R$2:$R$501),$T440&lt;&gt;LOOKUP(2,1/(($A$2:$A$501=$A440)*($S$2:$S$501=$S440)*($B$2:$B$501="")*($O$2:$O$501="")),$T$2:$T$501),$U440&lt;&gt;LOOKUP(2,1/(($A$2:$A$501=$A440)*($S$2:$S$501=$S440)*($B$2:$B$501="")*($O$2:$O$501="")),$U$2:$U$501)),FALSE)),"Dependent row does not match the employee row for eligibility, status, coverage level, or funding; ",""))</f>
        <v/>
      </c>
      <c r="AB440">
        <f>IF(COUNTA($A440:$U440)=0,"",IF($L440="","Birthdate is required; ","")&amp;IF(AND($L440&lt;&gt;"",OR(NOT(ISNUMBER($L440)),$L440&lt;=DATE(1900,1,1),$L440&gt;TODAY())),"Birthdate must be an exact valid past date; ","")&amp;IF($P440="","Eligibility Date is required; ","")&amp;IF(AND($P440&lt;&gt;"",OR(NOT(ISNUMBER($P440)),$P440&lt;=DATE(1900,1,1))),"Eligibility Date must be a valid date; ","")&amp;IF(AND($R440="Terminated",$Q440=""),"Termination Date is required when Status is Terminated; ","")&amp;IF(AND($Q440&lt;&gt;"",OR(NOT(ISNUMBER($Q440)),$Q440&lt;=DATE(1900,1,1))),"Termination Date must be a valid date; ","")&amp;IF(AND(ISNUMBER($P440),ISNUMBER($Q440),$Q440&lt;$P440),"Termination Date cannot be before Eligibility Date; ","")&amp;IF($R440="","Status is required; ","")&amp;IF(AND($R440&lt;&gt;"",$R440&lt;&gt;"Active",$R440&lt;&gt;"Terminated"),"Status must be Active or Terminated; ","")&amp;IF(AND('START HERE'!$C$8="Terminations Only",$R440&lt;&gt;"Terminated"),"Terminations Only files must contain terminated records; ",""))</f>
        <v/>
      </c>
      <c r="AC440">
        <f>IF(COUNTA($A440:$U440)=0,"",IF($S440="","Plan Name is required; ","")&amp;IF($T440="","Benefit Coverage Level is required; ","")&amp;IF(AND($U440&lt;&gt;"",OR(NOT(ISNUMBER($U440)),$U440&lt;0)),"Plan Funding Amount must be a nonnegative number; ","")&amp;IF(AND($A440&lt;&gt;"",$S440&lt;&gt;"",COUNTIFS($A$2:$A$501,$A440,$B$2:$B$501,$B440,$S$2:$S$501,$S440)&gt;1),"Duplicate participant and plan row; ",""))</f>
        <v/>
      </c>
      <c r="AD440">
        <f>IF(COUNTA($A440:$U440)=0,"",IF(AND($X440="Employee",$M440="",$N440=""),"No employee phone or email provided; ","")&amp;IF(AND($R440="Active",$Q440&lt;&gt;""),"Active record includes a Termination Date; confirm this is intentional; ","")&amp;IF(AND($B440&lt;&gt;"",$B440&amp;""&lt;&gt;$A440&amp;"",COUNTIF($A$2:$A$501,$B440)&gt;0),"Dependent SSN also appears as an Employee SSN elsewhere; confirm dual-employee coverage is intentional; ","")&amp;IF(AND($B440&lt;&gt;"",COUNTIF($B$2:$B$501,$B440)&gt;COUNTIFS($A$2:$A$501,$A440,$B$2:$B$501,$B440)),"Dependent SSN appears under more than one employee; confirm duplicate family coverage is intentional; ","")&amp;IF(AND(ROW()&gt;2,$A440&lt;&gt;"",$A440&lt;&gt;$A439,COUNTIF($A$2:$A439,$A440)&gt;0),"This household appears in more than one section of the census; keep the family together; ","")&amp;IF(OR(AND($C440&lt;&gt;"",LEN($C440&amp;"")&lt;&gt;LEN(TRIM($C440&amp;""))),AND($D440&lt;&gt;"",LEN($D440&amp;"")&lt;&gt;LEN(TRIM($D440&amp;""))),AND($E440&lt;&gt;"",LEN($E440&amp;"")&lt;&gt;LEN(TRIM($E440&amp;""))),AND($F440&lt;&gt;"",LEN($F440&amp;"")&lt;&gt;LEN(TRIM($F440&amp;""))),AND($G440&lt;&gt;"",LEN($G440&amp;"")&lt;&gt;LEN(TRIM($G440&amp;""))),AND($H440&lt;&gt;"",LEN($H440&amp;"")&lt;&gt;LEN(TRIM($H440&amp;""))),AND($I440&lt;&gt;"",LEN($I440&amp;"")&lt;&gt;LEN(TRIM($I440&amp;""))),AND($J440&lt;&gt;"",LEN($J440&amp;"")&lt;&gt;LEN(TRIM($J440&amp;""))),AND($K440&lt;&gt;"",LEN($K440&amp;"")&lt;&gt;LEN(TRIM($K440&amp;""))),AND($M440&lt;&gt;"",LEN($M440&amp;"")&lt;&gt;LEN(TRIM($M440&amp;""))),AND($N440&lt;&gt;"",LEN($N440&amp;"")&lt;&gt;LEN(TRIM($N440&amp;""))),AND($O440&lt;&gt;"",LEN($O440&amp;"")&lt;&gt;LEN(TRIM($O440&amp;""))),AND($R440&lt;&gt;"",LEN($R440&amp;"")&lt;&gt;LEN(TRIM($R440&amp;""))),AND($S440&lt;&gt;"",LEN($S440&amp;"")&lt;&gt;LEN(TRIM($S440&amp;""))),AND($T440&lt;&gt;"",LEN($T440&amp;"")&lt;&gt;LEN(TRIM($T440&amp;"")))),"Remove leading or trailing spaces from text fields; ","")&amp;IF(OR(AND(LEN($C440)&gt;1,OR(EXACT($C440,UPPER($C440)),EXACT($C440,LOWER($C440)))),AND(LEN($D440)&gt;1,OR(EXACT($D440,UPPER($D440)),EXACT($D440,LOWER($D440)))),AND(LEN($H440)&gt;1,OR(EXACT($H440,UPPER($H440)),EXACT($H440,LOWER($H440))))),"Review capitalization in First Name, Last Name, or City; ","")&amp;IF(AND($N440&lt;&gt;"",NOT(EXACT($N440,LOWER($N440)))),"Email will be standardized to lowercase in the clean output; ","")&amp;IF(AND(OR('START HERE'!$C$8="Initial Enrollment",'START HERE'!$C$8="Open Enrollment"),$R440="Terminated"),"A terminated row is included in an initial or open enrollment file; confirm this is intentional; ",""))</f>
        <v/>
      </c>
      <c r="AE440">
        <f>IF(COUNTA($A440:$U440)=0,"",IF(OR($A440="",AND($A440&lt;&gt;"",NOT(IFERROR(AND(LEN($A440&amp;"")=9,ISNUMBER(--($A440&amp;""))),FALSE))),AND($A440&lt;&gt;"",OR($A440="123456789",$A440="987654321",$A440="012345678",$A440=REPT(LEFT($A440&amp;"",1),9)))),"Employee SSN, ","")&amp;IF(OR(AND($O440&lt;&gt;"",$B440=""),AND($B440&lt;&gt;"",OR(NOT(IFERROR(AND(LEN($B440&amp;"")=9,ISNUMBER(--($B440&amp;""))),FALSE)),$B440=$A440,$B440="123456789",$B440="987654321",$B440="012345678",$B440=REPT(LEFT($B440&amp;"",1),9)))),"Dependent SSN, ","")&amp;IF(OR($C440="",LEN($C440)&gt;19,AND($C440&lt;&gt;"",SUMPRODUCT(--(ROW($1:$19)&lt;=LEN($C440&amp;"")),--ISERROR(FIND(MID($C440&amp;"",ROW($1:$19),1),"ABCDEFGHIJKLMNOPQRSTUVWXYZabcdefghijklmnopqrstuvwxyz .,")))&gt;0)),"First Name, ","")&amp;IF(OR($D440="",LEN($D440)&gt;26,AND($D440&lt;&gt;"",SUMPRODUCT(--(ROW($1:$26)&lt;=LEN($D440&amp;"")),--ISERROR(FIND(MID($D440&amp;"",ROW($1:$26),1),"ABCDEFGHIJKLMNOPQRSTUVWXYZabcdefghijklmnopqrstuvwxyz .,")))&gt;0)),"Last Name, ","")&amp;IF(OR(LEN($E440)&gt;1,AND($E440&lt;&gt;"",SUMPRODUCT(--(ROW($1:$1)&lt;=LEN($E440&amp;"")),--ISERROR(FIND(MID($E440&amp;"",ROW($1:$1),1),"ABCDEFGHIJKLMNOPQRSTUVWXYZabcdefghijklmnopqrstuvwxyz .,")))&gt;0)),"Middle Initial, ","")&amp;IF(OR($F440="",LEN($F440)&gt;75),"Address, ","")&amp;IF(OR($H440="",LEN($H440)&gt;30),"City, ","")&amp;IF(AND($K440="US",OR($I440="",LEN($I440)&lt;&gt;2)),"State, ","")&amp;IF($J440="","ZIP, ","")&amp;IF(OR($K440="",AND($K440&lt;&gt;"US",$K440&lt;&gt;"CA")),"Country, ","")&amp;IF(OR($L440="",AND($L440&lt;&gt;"",OR(NOT(ISNUMBER($L440)),$L440&lt;=DATE(1900,1,1),$L440&gt;TODAY()))),"Birthdate, ","")&amp;IF(AND($N440&lt;&gt;"",NOT(IFERROR(AND(ISNUMBER(SEARCH("@",$N440)),ISNUMBER(SEARCH(".",$N440,SEARCH("@",$N440)+2))),FALSE))),"Email, ","")&amp;IF(OR(AND($B440&lt;&gt;"",$O440=""),AND($O440&lt;&gt;"",$O440&lt;&gt;"Spouse or Common Law Spouse",$O440&lt;&gt;"Domestic Partner",$O440&lt;&gt;"Child",$O440&lt;&gt;"Other",$O440&lt;&gt;"Estate",$O440&lt;&gt;"Unknown")),"Dependent Relationship, ","")&amp;IF($AA440&lt;&gt;"","Household, ","")&amp;IF(OR($P440="",AND($P440&lt;&gt;"",OR(NOT(ISNUMBER($P440)),$P440&lt;=DATE(1900,1,1)))),"Eligibility Date, ","")&amp;IF(OR(AND($R440="Terminated",$Q440=""),AND($Q440&lt;&gt;"",OR(NOT(ISNUMBER($Q440)),$Q440&lt;=DATE(1900,1,1))),AND(ISNUMBER($P440),ISNUMBER($Q440),$Q440&lt;$P440)),"Termination Date, ","")&amp;IF(OR($R440="",AND($R440&lt;&gt;"Active",$R440&lt;&gt;"Terminated"),AND('START HERE'!$C$8="Terminations Only",$R440&lt;&gt;"Terminated")),"Status, ","")&amp;IF($S440="","Plan Name, ","")&amp;IF($T440="","Coverage Level, ","")&amp;IF(AND($U440&lt;&gt;"",OR(NOT(ISNUMBER($U440)),$U440&lt;0)),"Funding, ","")&amp;IF(AND($A440&lt;&gt;"",$S440&lt;&gt;"",COUNTIFS($A$2:$A$501,$A440,$B$2:$B$501,$B440,$S$2:$S$501,$S440)&gt;1),"Duplicate Row, ",""))</f>
        <v/>
      </c>
      <c r="AF440">
        <f>IF(COUNTA($A440:$U440)=0,"",$Y440&amp;$Z440&amp;$AA440&amp;$AB440&amp;$AC440)</f>
        <v/>
      </c>
      <c r="AG440">
        <f>IF($N440="","",LOWER(TRIM($N440)))</f>
        <v/>
      </c>
      <c r="AH440">
        <f>IF($A440="","",COUNTIFS($A$2:$A$501,$A440,$AI$2:$AI$501,1))</f>
        <v/>
      </c>
      <c r="AI440">
        <f>IF(COUNTA($A440:$U440)=0,"",--($AF440&lt;&gt;""))</f>
        <v/>
      </c>
      <c r="AJ440">
        <f>IF(COUNTA($A440:$U440)=0,"",--($AD440&lt;&gt;""))</f>
        <v/>
      </c>
    </row>
    <row r="441" ht="20" customHeight="1">
      <c r="A441" s="80" t="n"/>
      <c r="B441" s="80" t="n"/>
      <c r="C441" s="81" t="n"/>
      <c r="D441" s="81" t="n"/>
      <c r="E441" s="80" t="n"/>
      <c r="F441" s="81" t="n"/>
      <c r="G441" s="81" t="n"/>
      <c r="H441" s="81" t="n"/>
      <c r="I441" s="80" t="n"/>
      <c r="J441" s="80" t="n"/>
      <c r="K441" s="80" t="n"/>
      <c r="L441" s="82" t="n"/>
      <c r="M441" s="80" t="n"/>
      <c r="N441" s="80" t="n"/>
      <c r="O441" s="80" t="n"/>
      <c r="P441" s="82" t="n"/>
      <c r="Q441" s="82" t="n"/>
      <c r="R441" s="80" t="n"/>
      <c r="S441" s="80" t="n"/>
      <c r="T441" s="80" t="n"/>
      <c r="U441" s="83" t="n"/>
      <c r="V441">
        <f>IF($A441="","",IF($A441=$A440,$V440,IF($V440="",0,1-$V440)))</f>
        <v/>
      </c>
      <c r="W441">
        <f>IF($B441&lt;&gt;"",$B441,$A441)</f>
        <v/>
      </c>
      <c r="X441">
        <f>IF(COUNTA($A441:$U441)=0,"",IF(OR($B441&lt;&gt;"",$O441&lt;&gt;""),"Dependent","Employee"))</f>
        <v/>
      </c>
      <c r="Y441">
        <f>IF(COUNTA($A441:$U441)=0,"",IF($A441="","Employee SSN is required; ","")&amp;IF($C441="","First Name is required; ","")&amp;IF(LEN($C441&amp;"")&gt;19,"First Name exceeds 19 characters; ","")&amp;IF(AND($C441&lt;&gt;"",SUMPRODUCT(--(ROW($1:$19)&lt;=LEN($C441&amp;"")),--ISERROR(FIND(MID($C441&amp;"",ROW($1:$19),1),"ABCDEFGHIJKLMNOPQRSTUVWXYZabcdefghijklmnopqrstuvwxyz .,")))&gt;0),"First Name contains unsupported or encoded characters; use plain A-Z letters only; ","")&amp;IF($D441="","Last Name is required; ","")&amp;IF(LEN($D441&amp;"")&gt;26,"Last Name exceeds 26 characters; ","")&amp;IF(AND($D441&lt;&gt;"",SUMPRODUCT(--(ROW($1:$26)&lt;=LEN($D441&amp;"")),--ISERROR(FIND(MID($D441&amp;"",ROW($1:$26),1),"ABCDEFGHIJKLMNOPQRSTUVWXYZabcdefghijklmnopqrstuvwxyz .,")))&gt;0),"Last Name contains unsupported or encoded characters; use plain A-Z letters only; ","")&amp;IF(LEN($E441&amp;"")&gt;1,"Middle Initial may contain only one character; ","")&amp;IF(AND($E441&lt;&gt;"",SUMPRODUCT(--(ROW($1:$1)&lt;=LEN($E441&amp;"")),--ISERROR(FIND(MID($E441&amp;"",ROW($1:$1),1),"ABCDEFGHIJKLMNOPQRSTUVWXYZabcdefghijklmnopqrstuvwxyz .,")))&gt;0),"Middle Initial must be a plain A-Z letter; ","")&amp;IF($F441="","Address is required; ","")&amp;IF(LEN($F441&amp;"")&gt;75,"Address exceeds 75 characters; ","")&amp;IF(LEN($G441&amp;"")&gt;75,"Address 2 exceeds 75 characters; ","")&amp;IF($H441="","City is required; ","")&amp;IF(LEN($H441&amp;"")&gt;30,"City exceeds 30 characters; ","")&amp;IF($K441="","Country is required; ","")&amp;IF(AND($K441&lt;&gt;"",$K441&lt;&gt;"US",$K441&lt;&gt;"CA"),"Country must be US or CA; ","")&amp;IF(AND($K441="US",OR($I441="",LEN($I441&amp;"")&lt;&gt;2)),"Use a 2-letter state code; ","")&amp;IF($J441="","ZIP or postal code is required; ","")&amp;IF(AND($K441="US",$J441&lt;&gt;"",NOT(IFERROR(OR(AND(LEN($J441&amp;"")=5,ISNUMBER(--($J441&amp;""))),AND(LEN($J441&amp;"")=9,ISNUMBER(--($J441&amp;""))),AND(LEN($J441&amp;"")=10,MID($J441&amp;"",6,1)="-",ISNUMBER(--SUBSTITUTE($J441&amp;"","-","")))),FALSE))),"US ZIP must be 5 or 9 digits, with an optional ZIP+4 hyphen; ","")&amp;IF(AND($N441&lt;&gt;"",NOT(IFERROR(AND(ISNUMBER(SEARCH("@",$N441)),ISNUMBER(SEARCH(".",$N441,SEARCH("@",$N441)+2))),FALSE))),"Email format appears invalid; ","")&amp;IF(AND($O441&lt;&gt;"",$B441=""),"Dependent SSN is required for every dependent; ","")&amp;IF(AND($B441&lt;&gt;"",$O441=""),"Dependent Relationship is required when Dependent SSN is entered; ","")&amp;IF(AND($O441&lt;&gt;"",$O441&lt;&gt;"Spouse or Common Law Spouse",$O441&lt;&gt;"Domestic Partner",$O441&lt;&gt;"Child",$O441&lt;&gt;"Other",$O441&lt;&gt;"Estate",$O441&lt;&gt;"Unknown"),"Dependent Relationship must use one of the approved options; ",""))</f>
        <v/>
      </c>
      <c r="Z441">
        <f>IF(COUNTA($A441:$U441)=0,"",IF(AND($A441&lt;&gt;"",NOT(IFERROR(AND(LEN($A441&amp;"")=9,ISNUMBER(--($A441&amp;""))),FALSE))),"Employee SSN must contain exactly 9 digits; ","")&amp;IF(AND($A441&lt;&gt;"",OR($A441="123456789",$A441="987654321",$A441="012345678",$A441=REPT(LEFT($A441&amp;"",1),9))),"Employee SSN appears to be a placeholder; ","")&amp;IF(AND($B441&lt;&gt;"",NOT(IFERROR(AND(LEN($B441&amp;"")=9,ISNUMBER(--($B441&amp;""))),FALSE))),"Dependent SSN must contain exactly 9 digits; ","")&amp;IF(AND($B441&lt;&gt;"",OR($B441="123456789",$B441="987654321",$B441="012345678",$B441=REPT(LEFT($B441&amp;"",1),9))),"Dependent SSN appears to be a placeholder; ","")&amp;IF(AND($A441&lt;&gt;"",$B441&lt;&gt;"",$A441&amp;""=$B441&amp;""),"Dependent SSN cannot match Employee SSN; ","")&amp;IF(AND($W441&lt;&gt;"",OR(COUNTIFS($W$2:$W$501,$W441,$C$2:$C$501,"&lt;&gt;"&amp;$C441)&gt;0,COUNTIFS($W$2:$W$501,$W441,$D$2:$D$501,"&lt;&gt;"&amp;$D441)&gt;0,COUNTIFS($W$2:$W$501,$W441,$L$2:$L$501,"&lt;&gt;"&amp;$L441)&gt;0)),"The same SSN is associated with a different name or birthdate; ",""))</f>
        <v/>
      </c>
      <c r="AA441">
        <f>IF(COUNTA($A441:$U441)=0,"",IF(AND($A441&lt;&gt;"",$S441&lt;&gt;"",COUNTIFS($A$2:$A$501,$A441,$S$2:$S$501,$S441,$B$2:$B$501,"",$O$2:$O$501,"")=0),"Add an employee row for this household and plan; ","")&amp;IF(AND($X441="Dependent",COUNTIFS($A$2:$A441,$A441,$S$2:$S441,$S441,$B$2:$B441,"",$O$2:$O441,"")=0),"Place the employee row before dependent rows for this plan; ","")&amp;IF(AND($X441="Dependent",COUNTIFS($A$2:$A$501,$A441,$S$2:$S$501,$S441,$B$2:$B$501,"",$O$2:$O$501,"")&gt;0,IFERROR(OR($P441&lt;&gt;LOOKUP(2,1/(($A$2:$A$501=$A441)*($S$2:$S$501=$S441)*($B$2:$B$501="")*($O$2:$O$501="")),$P$2:$P$501),$Q441&lt;&gt;LOOKUP(2,1/(($A$2:$A$501=$A441)*($S$2:$S$501=$S441)*($B$2:$B$501="")*($O$2:$O$501="")),$Q$2:$Q$501),$R441&lt;&gt;LOOKUP(2,1/(($A$2:$A$501=$A441)*($S$2:$S$501=$S441)*($B$2:$B$501="")*($O$2:$O$501="")),$R$2:$R$501),$T441&lt;&gt;LOOKUP(2,1/(($A$2:$A$501=$A441)*($S$2:$S$501=$S441)*($B$2:$B$501="")*($O$2:$O$501="")),$T$2:$T$501),$U441&lt;&gt;LOOKUP(2,1/(($A$2:$A$501=$A441)*($S$2:$S$501=$S441)*($B$2:$B$501="")*($O$2:$O$501="")),$U$2:$U$501)),FALSE)),"Dependent row does not match the employee row for eligibility, status, coverage level, or funding; ",""))</f>
        <v/>
      </c>
      <c r="AB441">
        <f>IF(COUNTA($A441:$U441)=0,"",IF($L441="","Birthdate is required; ","")&amp;IF(AND($L441&lt;&gt;"",OR(NOT(ISNUMBER($L441)),$L441&lt;=DATE(1900,1,1),$L441&gt;TODAY())),"Birthdate must be an exact valid past date; ","")&amp;IF($P441="","Eligibility Date is required; ","")&amp;IF(AND($P441&lt;&gt;"",OR(NOT(ISNUMBER($P441)),$P441&lt;=DATE(1900,1,1))),"Eligibility Date must be a valid date; ","")&amp;IF(AND($R441="Terminated",$Q441=""),"Termination Date is required when Status is Terminated; ","")&amp;IF(AND($Q441&lt;&gt;"",OR(NOT(ISNUMBER($Q441)),$Q441&lt;=DATE(1900,1,1))),"Termination Date must be a valid date; ","")&amp;IF(AND(ISNUMBER($P441),ISNUMBER($Q441),$Q441&lt;$P441),"Termination Date cannot be before Eligibility Date; ","")&amp;IF($R441="","Status is required; ","")&amp;IF(AND($R441&lt;&gt;"",$R441&lt;&gt;"Active",$R441&lt;&gt;"Terminated"),"Status must be Active or Terminated; ","")&amp;IF(AND('START HERE'!$C$8="Terminations Only",$R441&lt;&gt;"Terminated"),"Terminations Only files must contain terminated records; ",""))</f>
        <v/>
      </c>
      <c r="AC441">
        <f>IF(COUNTA($A441:$U441)=0,"",IF($S441="","Plan Name is required; ","")&amp;IF($T441="","Benefit Coverage Level is required; ","")&amp;IF(AND($U441&lt;&gt;"",OR(NOT(ISNUMBER($U441)),$U441&lt;0)),"Plan Funding Amount must be a nonnegative number; ","")&amp;IF(AND($A441&lt;&gt;"",$S441&lt;&gt;"",COUNTIFS($A$2:$A$501,$A441,$B$2:$B$501,$B441,$S$2:$S$501,$S441)&gt;1),"Duplicate participant and plan row; ",""))</f>
        <v/>
      </c>
      <c r="AD441">
        <f>IF(COUNTA($A441:$U441)=0,"",IF(AND($X441="Employee",$M441="",$N441=""),"No employee phone or email provided; ","")&amp;IF(AND($R441="Active",$Q441&lt;&gt;""),"Active record includes a Termination Date; confirm this is intentional; ","")&amp;IF(AND($B441&lt;&gt;"",$B441&amp;""&lt;&gt;$A441&amp;"",COUNTIF($A$2:$A$501,$B441)&gt;0),"Dependent SSN also appears as an Employee SSN elsewhere; confirm dual-employee coverage is intentional; ","")&amp;IF(AND($B441&lt;&gt;"",COUNTIF($B$2:$B$501,$B441)&gt;COUNTIFS($A$2:$A$501,$A441,$B$2:$B$501,$B441)),"Dependent SSN appears under more than one employee; confirm duplicate family coverage is intentional; ","")&amp;IF(AND(ROW()&gt;2,$A441&lt;&gt;"",$A441&lt;&gt;$A440,COUNTIF($A$2:$A440,$A441)&gt;0),"This household appears in more than one section of the census; keep the family together; ","")&amp;IF(OR(AND($C441&lt;&gt;"",LEN($C441&amp;"")&lt;&gt;LEN(TRIM($C441&amp;""))),AND($D441&lt;&gt;"",LEN($D441&amp;"")&lt;&gt;LEN(TRIM($D441&amp;""))),AND($E441&lt;&gt;"",LEN($E441&amp;"")&lt;&gt;LEN(TRIM($E441&amp;""))),AND($F441&lt;&gt;"",LEN($F441&amp;"")&lt;&gt;LEN(TRIM($F441&amp;""))),AND($G441&lt;&gt;"",LEN($G441&amp;"")&lt;&gt;LEN(TRIM($G441&amp;""))),AND($H441&lt;&gt;"",LEN($H441&amp;"")&lt;&gt;LEN(TRIM($H441&amp;""))),AND($I441&lt;&gt;"",LEN($I441&amp;"")&lt;&gt;LEN(TRIM($I441&amp;""))),AND($J441&lt;&gt;"",LEN($J441&amp;"")&lt;&gt;LEN(TRIM($J441&amp;""))),AND($K441&lt;&gt;"",LEN($K441&amp;"")&lt;&gt;LEN(TRIM($K441&amp;""))),AND($M441&lt;&gt;"",LEN($M441&amp;"")&lt;&gt;LEN(TRIM($M441&amp;""))),AND($N441&lt;&gt;"",LEN($N441&amp;"")&lt;&gt;LEN(TRIM($N441&amp;""))),AND($O441&lt;&gt;"",LEN($O441&amp;"")&lt;&gt;LEN(TRIM($O441&amp;""))),AND($R441&lt;&gt;"",LEN($R441&amp;"")&lt;&gt;LEN(TRIM($R441&amp;""))),AND($S441&lt;&gt;"",LEN($S441&amp;"")&lt;&gt;LEN(TRIM($S441&amp;""))),AND($T441&lt;&gt;"",LEN($T441&amp;"")&lt;&gt;LEN(TRIM($T441&amp;"")))),"Remove leading or trailing spaces from text fields; ","")&amp;IF(OR(AND(LEN($C441)&gt;1,OR(EXACT($C441,UPPER($C441)),EXACT($C441,LOWER($C441)))),AND(LEN($D441)&gt;1,OR(EXACT($D441,UPPER($D441)),EXACT($D441,LOWER($D441)))),AND(LEN($H441)&gt;1,OR(EXACT($H441,UPPER($H441)),EXACT($H441,LOWER($H441))))),"Review capitalization in First Name, Last Name, or City; ","")&amp;IF(AND($N441&lt;&gt;"",NOT(EXACT($N441,LOWER($N441)))),"Email will be standardized to lowercase in the clean output; ","")&amp;IF(AND(OR('START HERE'!$C$8="Initial Enrollment",'START HERE'!$C$8="Open Enrollment"),$R441="Terminated"),"A terminated row is included in an initial or open enrollment file; confirm this is intentional; ",""))</f>
        <v/>
      </c>
      <c r="AE441">
        <f>IF(COUNTA($A441:$U441)=0,"",IF(OR($A441="",AND($A441&lt;&gt;"",NOT(IFERROR(AND(LEN($A441&amp;"")=9,ISNUMBER(--($A441&amp;""))),FALSE))),AND($A441&lt;&gt;"",OR($A441="123456789",$A441="987654321",$A441="012345678",$A441=REPT(LEFT($A441&amp;"",1),9)))),"Employee SSN, ","")&amp;IF(OR(AND($O441&lt;&gt;"",$B441=""),AND($B441&lt;&gt;"",OR(NOT(IFERROR(AND(LEN($B441&amp;"")=9,ISNUMBER(--($B441&amp;""))),FALSE)),$B441=$A441,$B441="123456789",$B441="987654321",$B441="012345678",$B441=REPT(LEFT($B441&amp;"",1),9)))),"Dependent SSN, ","")&amp;IF(OR($C441="",LEN($C441)&gt;19,AND($C441&lt;&gt;"",SUMPRODUCT(--(ROW($1:$19)&lt;=LEN($C441&amp;"")),--ISERROR(FIND(MID($C441&amp;"",ROW($1:$19),1),"ABCDEFGHIJKLMNOPQRSTUVWXYZabcdefghijklmnopqrstuvwxyz .,")))&gt;0)),"First Name, ","")&amp;IF(OR($D441="",LEN($D441)&gt;26,AND($D441&lt;&gt;"",SUMPRODUCT(--(ROW($1:$26)&lt;=LEN($D441&amp;"")),--ISERROR(FIND(MID($D441&amp;"",ROW($1:$26),1),"ABCDEFGHIJKLMNOPQRSTUVWXYZabcdefghijklmnopqrstuvwxyz .,")))&gt;0)),"Last Name, ","")&amp;IF(OR(LEN($E441)&gt;1,AND($E441&lt;&gt;"",SUMPRODUCT(--(ROW($1:$1)&lt;=LEN($E441&amp;"")),--ISERROR(FIND(MID($E441&amp;"",ROW($1:$1),1),"ABCDEFGHIJKLMNOPQRSTUVWXYZabcdefghijklmnopqrstuvwxyz .,")))&gt;0)),"Middle Initial, ","")&amp;IF(OR($F441="",LEN($F441)&gt;75),"Address, ","")&amp;IF(OR($H441="",LEN($H441)&gt;30),"City, ","")&amp;IF(AND($K441="US",OR($I441="",LEN($I441)&lt;&gt;2)),"State, ","")&amp;IF($J441="","ZIP, ","")&amp;IF(OR($K441="",AND($K441&lt;&gt;"US",$K441&lt;&gt;"CA")),"Country, ","")&amp;IF(OR($L441="",AND($L441&lt;&gt;"",OR(NOT(ISNUMBER($L441)),$L441&lt;=DATE(1900,1,1),$L441&gt;TODAY()))),"Birthdate, ","")&amp;IF(AND($N441&lt;&gt;"",NOT(IFERROR(AND(ISNUMBER(SEARCH("@",$N441)),ISNUMBER(SEARCH(".",$N441,SEARCH("@",$N441)+2))),FALSE))),"Email, ","")&amp;IF(OR(AND($B441&lt;&gt;"",$O441=""),AND($O441&lt;&gt;"",$O441&lt;&gt;"Spouse or Common Law Spouse",$O441&lt;&gt;"Domestic Partner",$O441&lt;&gt;"Child",$O441&lt;&gt;"Other",$O441&lt;&gt;"Estate",$O441&lt;&gt;"Unknown")),"Dependent Relationship, ","")&amp;IF($AA441&lt;&gt;"","Household, ","")&amp;IF(OR($P441="",AND($P441&lt;&gt;"",OR(NOT(ISNUMBER($P441)),$P441&lt;=DATE(1900,1,1)))),"Eligibility Date, ","")&amp;IF(OR(AND($R441="Terminated",$Q441=""),AND($Q441&lt;&gt;"",OR(NOT(ISNUMBER($Q441)),$Q441&lt;=DATE(1900,1,1))),AND(ISNUMBER($P441),ISNUMBER($Q441),$Q441&lt;$P441)),"Termination Date, ","")&amp;IF(OR($R441="",AND($R441&lt;&gt;"Active",$R441&lt;&gt;"Terminated"),AND('START HERE'!$C$8="Terminations Only",$R441&lt;&gt;"Terminated")),"Status, ","")&amp;IF($S441="","Plan Name, ","")&amp;IF($T441="","Coverage Level, ","")&amp;IF(AND($U441&lt;&gt;"",OR(NOT(ISNUMBER($U441)),$U441&lt;0)),"Funding, ","")&amp;IF(AND($A441&lt;&gt;"",$S441&lt;&gt;"",COUNTIFS($A$2:$A$501,$A441,$B$2:$B$501,$B441,$S$2:$S$501,$S441)&gt;1),"Duplicate Row, ",""))</f>
        <v/>
      </c>
      <c r="AF441">
        <f>IF(COUNTA($A441:$U441)=0,"",$Y441&amp;$Z441&amp;$AA441&amp;$AB441&amp;$AC441)</f>
        <v/>
      </c>
      <c r="AG441">
        <f>IF($N441="","",LOWER(TRIM($N441)))</f>
        <v/>
      </c>
      <c r="AH441">
        <f>IF($A441="","",COUNTIFS($A$2:$A$501,$A441,$AI$2:$AI$501,1))</f>
        <v/>
      </c>
      <c r="AI441">
        <f>IF(COUNTA($A441:$U441)=0,"",--($AF441&lt;&gt;""))</f>
        <v/>
      </c>
      <c r="AJ441">
        <f>IF(COUNTA($A441:$U441)=0,"",--($AD441&lt;&gt;""))</f>
        <v/>
      </c>
    </row>
    <row r="442" ht="20" customHeight="1">
      <c r="A442" s="80" t="n"/>
      <c r="B442" s="80" t="n"/>
      <c r="C442" s="81" t="n"/>
      <c r="D442" s="81" t="n"/>
      <c r="E442" s="80" t="n"/>
      <c r="F442" s="81" t="n"/>
      <c r="G442" s="81" t="n"/>
      <c r="H442" s="81" t="n"/>
      <c r="I442" s="80" t="n"/>
      <c r="J442" s="80" t="n"/>
      <c r="K442" s="80" t="n"/>
      <c r="L442" s="82" t="n"/>
      <c r="M442" s="80" t="n"/>
      <c r="N442" s="80" t="n"/>
      <c r="O442" s="80" t="n"/>
      <c r="P442" s="82" t="n"/>
      <c r="Q442" s="82" t="n"/>
      <c r="R442" s="80" t="n"/>
      <c r="S442" s="80" t="n"/>
      <c r="T442" s="80" t="n"/>
      <c r="U442" s="83" t="n"/>
      <c r="V442">
        <f>IF($A442="","",IF($A442=$A441,$V441,IF($V441="",0,1-$V441)))</f>
        <v/>
      </c>
      <c r="W442">
        <f>IF($B442&lt;&gt;"",$B442,$A442)</f>
        <v/>
      </c>
      <c r="X442">
        <f>IF(COUNTA($A442:$U442)=0,"",IF(OR($B442&lt;&gt;"",$O442&lt;&gt;""),"Dependent","Employee"))</f>
        <v/>
      </c>
      <c r="Y442">
        <f>IF(COUNTA($A442:$U442)=0,"",IF($A442="","Employee SSN is required; ","")&amp;IF($C442="","First Name is required; ","")&amp;IF(LEN($C442&amp;"")&gt;19,"First Name exceeds 19 characters; ","")&amp;IF(AND($C442&lt;&gt;"",SUMPRODUCT(--(ROW($1:$19)&lt;=LEN($C442&amp;"")),--ISERROR(FIND(MID($C442&amp;"",ROW($1:$19),1),"ABCDEFGHIJKLMNOPQRSTUVWXYZabcdefghijklmnopqrstuvwxyz .,")))&gt;0),"First Name contains unsupported or encoded characters; use plain A-Z letters only; ","")&amp;IF($D442="","Last Name is required; ","")&amp;IF(LEN($D442&amp;"")&gt;26,"Last Name exceeds 26 characters; ","")&amp;IF(AND($D442&lt;&gt;"",SUMPRODUCT(--(ROW($1:$26)&lt;=LEN($D442&amp;"")),--ISERROR(FIND(MID($D442&amp;"",ROW($1:$26),1),"ABCDEFGHIJKLMNOPQRSTUVWXYZabcdefghijklmnopqrstuvwxyz .,")))&gt;0),"Last Name contains unsupported or encoded characters; use plain A-Z letters only; ","")&amp;IF(LEN($E442&amp;"")&gt;1,"Middle Initial may contain only one character; ","")&amp;IF(AND($E442&lt;&gt;"",SUMPRODUCT(--(ROW($1:$1)&lt;=LEN($E442&amp;"")),--ISERROR(FIND(MID($E442&amp;"",ROW($1:$1),1),"ABCDEFGHIJKLMNOPQRSTUVWXYZabcdefghijklmnopqrstuvwxyz .,")))&gt;0),"Middle Initial must be a plain A-Z letter; ","")&amp;IF($F442="","Address is required; ","")&amp;IF(LEN($F442&amp;"")&gt;75,"Address exceeds 75 characters; ","")&amp;IF(LEN($G442&amp;"")&gt;75,"Address 2 exceeds 75 characters; ","")&amp;IF($H442="","City is required; ","")&amp;IF(LEN($H442&amp;"")&gt;30,"City exceeds 30 characters; ","")&amp;IF($K442="","Country is required; ","")&amp;IF(AND($K442&lt;&gt;"",$K442&lt;&gt;"US",$K442&lt;&gt;"CA"),"Country must be US or CA; ","")&amp;IF(AND($K442="US",OR($I442="",LEN($I442&amp;"")&lt;&gt;2)),"Use a 2-letter state code; ","")&amp;IF($J442="","ZIP or postal code is required; ","")&amp;IF(AND($K442="US",$J442&lt;&gt;"",NOT(IFERROR(OR(AND(LEN($J442&amp;"")=5,ISNUMBER(--($J442&amp;""))),AND(LEN($J442&amp;"")=9,ISNUMBER(--($J442&amp;""))),AND(LEN($J442&amp;"")=10,MID($J442&amp;"",6,1)="-",ISNUMBER(--SUBSTITUTE($J442&amp;"","-","")))),FALSE))),"US ZIP must be 5 or 9 digits, with an optional ZIP+4 hyphen; ","")&amp;IF(AND($N442&lt;&gt;"",NOT(IFERROR(AND(ISNUMBER(SEARCH("@",$N442)),ISNUMBER(SEARCH(".",$N442,SEARCH("@",$N442)+2))),FALSE))),"Email format appears invalid; ","")&amp;IF(AND($O442&lt;&gt;"",$B442=""),"Dependent SSN is required for every dependent; ","")&amp;IF(AND($B442&lt;&gt;"",$O442=""),"Dependent Relationship is required when Dependent SSN is entered; ","")&amp;IF(AND($O442&lt;&gt;"",$O442&lt;&gt;"Spouse or Common Law Spouse",$O442&lt;&gt;"Domestic Partner",$O442&lt;&gt;"Child",$O442&lt;&gt;"Other",$O442&lt;&gt;"Estate",$O442&lt;&gt;"Unknown"),"Dependent Relationship must use one of the approved options; ",""))</f>
        <v/>
      </c>
      <c r="Z442">
        <f>IF(COUNTA($A442:$U442)=0,"",IF(AND($A442&lt;&gt;"",NOT(IFERROR(AND(LEN($A442&amp;"")=9,ISNUMBER(--($A442&amp;""))),FALSE))),"Employee SSN must contain exactly 9 digits; ","")&amp;IF(AND($A442&lt;&gt;"",OR($A442="123456789",$A442="987654321",$A442="012345678",$A442=REPT(LEFT($A442&amp;"",1),9))),"Employee SSN appears to be a placeholder; ","")&amp;IF(AND($B442&lt;&gt;"",NOT(IFERROR(AND(LEN($B442&amp;"")=9,ISNUMBER(--($B442&amp;""))),FALSE))),"Dependent SSN must contain exactly 9 digits; ","")&amp;IF(AND($B442&lt;&gt;"",OR($B442="123456789",$B442="987654321",$B442="012345678",$B442=REPT(LEFT($B442&amp;"",1),9))),"Dependent SSN appears to be a placeholder; ","")&amp;IF(AND($A442&lt;&gt;"",$B442&lt;&gt;"",$A442&amp;""=$B442&amp;""),"Dependent SSN cannot match Employee SSN; ","")&amp;IF(AND($W442&lt;&gt;"",OR(COUNTIFS($W$2:$W$501,$W442,$C$2:$C$501,"&lt;&gt;"&amp;$C442)&gt;0,COUNTIFS($W$2:$W$501,$W442,$D$2:$D$501,"&lt;&gt;"&amp;$D442)&gt;0,COUNTIFS($W$2:$W$501,$W442,$L$2:$L$501,"&lt;&gt;"&amp;$L442)&gt;0)),"The same SSN is associated with a different name or birthdate; ",""))</f>
        <v/>
      </c>
      <c r="AA442">
        <f>IF(COUNTA($A442:$U442)=0,"",IF(AND($A442&lt;&gt;"",$S442&lt;&gt;"",COUNTIFS($A$2:$A$501,$A442,$S$2:$S$501,$S442,$B$2:$B$501,"",$O$2:$O$501,"")=0),"Add an employee row for this household and plan; ","")&amp;IF(AND($X442="Dependent",COUNTIFS($A$2:$A442,$A442,$S$2:$S442,$S442,$B$2:$B442,"",$O$2:$O442,"")=0),"Place the employee row before dependent rows for this plan; ","")&amp;IF(AND($X442="Dependent",COUNTIFS($A$2:$A$501,$A442,$S$2:$S$501,$S442,$B$2:$B$501,"",$O$2:$O$501,"")&gt;0,IFERROR(OR($P442&lt;&gt;LOOKUP(2,1/(($A$2:$A$501=$A442)*($S$2:$S$501=$S442)*($B$2:$B$501="")*($O$2:$O$501="")),$P$2:$P$501),$Q442&lt;&gt;LOOKUP(2,1/(($A$2:$A$501=$A442)*($S$2:$S$501=$S442)*($B$2:$B$501="")*($O$2:$O$501="")),$Q$2:$Q$501),$R442&lt;&gt;LOOKUP(2,1/(($A$2:$A$501=$A442)*($S$2:$S$501=$S442)*($B$2:$B$501="")*($O$2:$O$501="")),$R$2:$R$501),$T442&lt;&gt;LOOKUP(2,1/(($A$2:$A$501=$A442)*($S$2:$S$501=$S442)*($B$2:$B$501="")*($O$2:$O$501="")),$T$2:$T$501),$U442&lt;&gt;LOOKUP(2,1/(($A$2:$A$501=$A442)*($S$2:$S$501=$S442)*($B$2:$B$501="")*($O$2:$O$501="")),$U$2:$U$501)),FALSE)),"Dependent row does not match the employee row for eligibility, status, coverage level, or funding; ",""))</f>
        <v/>
      </c>
      <c r="AB442">
        <f>IF(COUNTA($A442:$U442)=0,"",IF($L442="","Birthdate is required; ","")&amp;IF(AND($L442&lt;&gt;"",OR(NOT(ISNUMBER($L442)),$L442&lt;=DATE(1900,1,1),$L442&gt;TODAY())),"Birthdate must be an exact valid past date; ","")&amp;IF($P442="","Eligibility Date is required; ","")&amp;IF(AND($P442&lt;&gt;"",OR(NOT(ISNUMBER($P442)),$P442&lt;=DATE(1900,1,1))),"Eligibility Date must be a valid date; ","")&amp;IF(AND($R442="Terminated",$Q442=""),"Termination Date is required when Status is Terminated; ","")&amp;IF(AND($Q442&lt;&gt;"",OR(NOT(ISNUMBER($Q442)),$Q442&lt;=DATE(1900,1,1))),"Termination Date must be a valid date; ","")&amp;IF(AND(ISNUMBER($P442),ISNUMBER($Q442),$Q442&lt;$P442),"Termination Date cannot be before Eligibility Date; ","")&amp;IF($R442="","Status is required; ","")&amp;IF(AND($R442&lt;&gt;"",$R442&lt;&gt;"Active",$R442&lt;&gt;"Terminated"),"Status must be Active or Terminated; ","")&amp;IF(AND('START HERE'!$C$8="Terminations Only",$R442&lt;&gt;"Terminated"),"Terminations Only files must contain terminated records; ",""))</f>
        <v/>
      </c>
      <c r="AC442">
        <f>IF(COUNTA($A442:$U442)=0,"",IF($S442="","Plan Name is required; ","")&amp;IF($T442="","Benefit Coverage Level is required; ","")&amp;IF(AND($U442&lt;&gt;"",OR(NOT(ISNUMBER($U442)),$U442&lt;0)),"Plan Funding Amount must be a nonnegative number; ","")&amp;IF(AND($A442&lt;&gt;"",$S442&lt;&gt;"",COUNTIFS($A$2:$A$501,$A442,$B$2:$B$501,$B442,$S$2:$S$501,$S442)&gt;1),"Duplicate participant and plan row; ",""))</f>
        <v/>
      </c>
      <c r="AD442">
        <f>IF(COUNTA($A442:$U442)=0,"",IF(AND($X442="Employee",$M442="",$N442=""),"No employee phone or email provided; ","")&amp;IF(AND($R442="Active",$Q442&lt;&gt;""),"Active record includes a Termination Date; confirm this is intentional; ","")&amp;IF(AND($B442&lt;&gt;"",$B442&amp;""&lt;&gt;$A442&amp;"",COUNTIF($A$2:$A$501,$B442)&gt;0),"Dependent SSN also appears as an Employee SSN elsewhere; confirm dual-employee coverage is intentional; ","")&amp;IF(AND($B442&lt;&gt;"",COUNTIF($B$2:$B$501,$B442)&gt;COUNTIFS($A$2:$A$501,$A442,$B$2:$B$501,$B442)),"Dependent SSN appears under more than one employee; confirm duplicate family coverage is intentional; ","")&amp;IF(AND(ROW()&gt;2,$A442&lt;&gt;"",$A442&lt;&gt;$A441,COUNTIF($A$2:$A441,$A442)&gt;0),"This household appears in more than one section of the census; keep the family together; ","")&amp;IF(OR(AND($C442&lt;&gt;"",LEN($C442&amp;"")&lt;&gt;LEN(TRIM($C442&amp;""))),AND($D442&lt;&gt;"",LEN($D442&amp;"")&lt;&gt;LEN(TRIM($D442&amp;""))),AND($E442&lt;&gt;"",LEN($E442&amp;"")&lt;&gt;LEN(TRIM($E442&amp;""))),AND($F442&lt;&gt;"",LEN($F442&amp;"")&lt;&gt;LEN(TRIM($F442&amp;""))),AND($G442&lt;&gt;"",LEN($G442&amp;"")&lt;&gt;LEN(TRIM($G442&amp;""))),AND($H442&lt;&gt;"",LEN($H442&amp;"")&lt;&gt;LEN(TRIM($H442&amp;""))),AND($I442&lt;&gt;"",LEN($I442&amp;"")&lt;&gt;LEN(TRIM($I442&amp;""))),AND($J442&lt;&gt;"",LEN($J442&amp;"")&lt;&gt;LEN(TRIM($J442&amp;""))),AND($K442&lt;&gt;"",LEN($K442&amp;"")&lt;&gt;LEN(TRIM($K442&amp;""))),AND($M442&lt;&gt;"",LEN($M442&amp;"")&lt;&gt;LEN(TRIM($M442&amp;""))),AND($N442&lt;&gt;"",LEN($N442&amp;"")&lt;&gt;LEN(TRIM($N442&amp;""))),AND($O442&lt;&gt;"",LEN($O442&amp;"")&lt;&gt;LEN(TRIM($O442&amp;""))),AND($R442&lt;&gt;"",LEN($R442&amp;"")&lt;&gt;LEN(TRIM($R442&amp;""))),AND($S442&lt;&gt;"",LEN($S442&amp;"")&lt;&gt;LEN(TRIM($S442&amp;""))),AND($T442&lt;&gt;"",LEN($T442&amp;"")&lt;&gt;LEN(TRIM($T442&amp;"")))),"Remove leading or trailing spaces from text fields; ","")&amp;IF(OR(AND(LEN($C442)&gt;1,OR(EXACT($C442,UPPER($C442)),EXACT($C442,LOWER($C442)))),AND(LEN($D442)&gt;1,OR(EXACT($D442,UPPER($D442)),EXACT($D442,LOWER($D442)))),AND(LEN($H442)&gt;1,OR(EXACT($H442,UPPER($H442)),EXACT($H442,LOWER($H442))))),"Review capitalization in First Name, Last Name, or City; ","")&amp;IF(AND($N442&lt;&gt;"",NOT(EXACT($N442,LOWER($N442)))),"Email will be standardized to lowercase in the clean output; ","")&amp;IF(AND(OR('START HERE'!$C$8="Initial Enrollment",'START HERE'!$C$8="Open Enrollment"),$R442="Terminated"),"A terminated row is included in an initial or open enrollment file; confirm this is intentional; ",""))</f>
        <v/>
      </c>
      <c r="AE442">
        <f>IF(COUNTA($A442:$U442)=0,"",IF(OR($A442="",AND($A442&lt;&gt;"",NOT(IFERROR(AND(LEN($A442&amp;"")=9,ISNUMBER(--($A442&amp;""))),FALSE))),AND($A442&lt;&gt;"",OR($A442="123456789",$A442="987654321",$A442="012345678",$A442=REPT(LEFT($A442&amp;"",1),9)))),"Employee SSN, ","")&amp;IF(OR(AND($O442&lt;&gt;"",$B442=""),AND($B442&lt;&gt;"",OR(NOT(IFERROR(AND(LEN($B442&amp;"")=9,ISNUMBER(--($B442&amp;""))),FALSE)),$B442=$A442,$B442="123456789",$B442="987654321",$B442="012345678",$B442=REPT(LEFT($B442&amp;"",1),9)))),"Dependent SSN, ","")&amp;IF(OR($C442="",LEN($C442)&gt;19,AND($C442&lt;&gt;"",SUMPRODUCT(--(ROW($1:$19)&lt;=LEN($C442&amp;"")),--ISERROR(FIND(MID($C442&amp;"",ROW($1:$19),1),"ABCDEFGHIJKLMNOPQRSTUVWXYZabcdefghijklmnopqrstuvwxyz .,")))&gt;0)),"First Name, ","")&amp;IF(OR($D442="",LEN($D442)&gt;26,AND($D442&lt;&gt;"",SUMPRODUCT(--(ROW($1:$26)&lt;=LEN($D442&amp;"")),--ISERROR(FIND(MID($D442&amp;"",ROW($1:$26),1),"ABCDEFGHIJKLMNOPQRSTUVWXYZabcdefghijklmnopqrstuvwxyz .,")))&gt;0)),"Last Name, ","")&amp;IF(OR(LEN($E442)&gt;1,AND($E442&lt;&gt;"",SUMPRODUCT(--(ROW($1:$1)&lt;=LEN($E442&amp;"")),--ISERROR(FIND(MID($E442&amp;"",ROW($1:$1),1),"ABCDEFGHIJKLMNOPQRSTUVWXYZabcdefghijklmnopqrstuvwxyz .,")))&gt;0)),"Middle Initial, ","")&amp;IF(OR($F442="",LEN($F442)&gt;75),"Address, ","")&amp;IF(OR($H442="",LEN($H442)&gt;30),"City, ","")&amp;IF(AND($K442="US",OR($I442="",LEN($I442)&lt;&gt;2)),"State, ","")&amp;IF($J442="","ZIP, ","")&amp;IF(OR($K442="",AND($K442&lt;&gt;"US",$K442&lt;&gt;"CA")),"Country, ","")&amp;IF(OR($L442="",AND($L442&lt;&gt;"",OR(NOT(ISNUMBER($L442)),$L442&lt;=DATE(1900,1,1),$L442&gt;TODAY()))),"Birthdate, ","")&amp;IF(AND($N442&lt;&gt;"",NOT(IFERROR(AND(ISNUMBER(SEARCH("@",$N442)),ISNUMBER(SEARCH(".",$N442,SEARCH("@",$N442)+2))),FALSE))),"Email, ","")&amp;IF(OR(AND($B442&lt;&gt;"",$O442=""),AND($O442&lt;&gt;"",$O442&lt;&gt;"Spouse or Common Law Spouse",$O442&lt;&gt;"Domestic Partner",$O442&lt;&gt;"Child",$O442&lt;&gt;"Other",$O442&lt;&gt;"Estate",$O442&lt;&gt;"Unknown")),"Dependent Relationship, ","")&amp;IF($AA442&lt;&gt;"","Household, ","")&amp;IF(OR($P442="",AND($P442&lt;&gt;"",OR(NOT(ISNUMBER($P442)),$P442&lt;=DATE(1900,1,1)))),"Eligibility Date, ","")&amp;IF(OR(AND($R442="Terminated",$Q442=""),AND($Q442&lt;&gt;"",OR(NOT(ISNUMBER($Q442)),$Q442&lt;=DATE(1900,1,1))),AND(ISNUMBER($P442),ISNUMBER($Q442),$Q442&lt;$P442)),"Termination Date, ","")&amp;IF(OR($R442="",AND($R442&lt;&gt;"Active",$R442&lt;&gt;"Terminated"),AND('START HERE'!$C$8="Terminations Only",$R442&lt;&gt;"Terminated")),"Status, ","")&amp;IF($S442="","Plan Name, ","")&amp;IF($T442="","Coverage Level, ","")&amp;IF(AND($U442&lt;&gt;"",OR(NOT(ISNUMBER($U442)),$U442&lt;0)),"Funding, ","")&amp;IF(AND($A442&lt;&gt;"",$S442&lt;&gt;"",COUNTIFS($A$2:$A$501,$A442,$B$2:$B$501,$B442,$S$2:$S$501,$S442)&gt;1),"Duplicate Row, ",""))</f>
        <v/>
      </c>
      <c r="AF442">
        <f>IF(COUNTA($A442:$U442)=0,"",$Y442&amp;$Z442&amp;$AA442&amp;$AB442&amp;$AC442)</f>
        <v/>
      </c>
      <c r="AG442">
        <f>IF($N442="","",LOWER(TRIM($N442)))</f>
        <v/>
      </c>
      <c r="AH442">
        <f>IF($A442="","",COUNTIFS($A$2:$A$501,$A442,$AI$2:$AI$501,1))</f>
        <v/>
      </c>
      <c r="AI442">
        <f>IF(COUNTA($A442:$U442)=0,"",--($AF442&lt;&gt;""))</f>
        <v/>
      </c>
      <c r="AJ442">
        <f>IF(COUNTA($A442:$U442)=0,"",--($AD442&lt;&gt;""))</f>
        <v/>
      </c>
    </row>
    <row r="443" ht="20" customHeight="1">
      <c r="A443" s="80" t="n"/>
      <c r="B443" s="80" t="n"/>
      <c r="C443" s="81" t="n"/>
      <c r="D443" s="81" t="n"/>
      <c r="E443" s="80" t="n"/>
      <c r="F443" s="81" t="n"/>
      <c r="G443" s="81" t="n"/>
      <c r="H443" s="81" t="n"/>
      <c r="I443" s="80" t="n"/>
      <c r="J443" s="80" t="n"/>
      <c r="K443" s="80" t="n"/>
      <c r="L443" s="82" t="n"/>
      <c r="M443" s="80" t="n"/>
      <c r="N443" s="80" t="n"/>
      <c r="O443" s="80" t="n"/>
      <c r="P443" s="82" t="n"/>
      <c r="Q443" s="82" t="n"/>
      <c r="R443" s="80" t="n"/>
      <c r="S443" s="80" t="n"/>
      <c r="T443" s="80" t="n"/>
      <c r="U443" s="83" t="n"/>
      <c r="V443">
        <f>IF($A443="","",IF($A443=$A442,$V442,IF($V442="",0,1-$V442)))</f>
        <v/>
      </c>
      <c r="W443">
        <f>IF($B443&lt;&gt;"",$B443,$A443)</f>
        <v/>
      </c>
      <c r="X443">
        <f>IF(COUNTA($A443:$U443)=0,"",IF(OR($B443&lt;&gt;"",$O443&lt;&gt;""),"Dependent","Employee"))</f>
        <v/>
      </c>
      <c r="Y443">
        <f>IF(COUNTA($A443:$U443)=0,"",IF($A443="","Employee SSN is required; ","")&amp;IF($C443="","First Name is required; ","")&amp;IF(LEN($C443&amp;"")&gt;19,"First Name exceeds 19 characters; ","")&amp;IF(AND($C443&lt;&gt;"",SUMPRODUCT(--(ROW($1:$19)&lt;=LEN($C443&amp;"")),--ISERROR(FIND(MID($C443&amp;"",ROW($1:$19),1),"ABCDEFGHIJKLMNOPQRSTUVWXYZabcdefghijklmnopqrstuvwxyz .,")))&gt;0),"First Name contains unsupported or encoded characters; use plain A-Z letters only; ","")&amp;IF($D443="","Last Name is required; ","")&amp;IF(LEN($D443&amp;"")&gt;26,"Last Name exceeds 26 characters; ","")&amp;IF(AND($D443&lt;&gt;"",SUMPRODUCT(--(ROW($1:$26)&lt;=LEN($D443&amp;"")),--ISERROR(FIND(MID($D443&amp;"",ROW($1:$26),1),"ABCDEFGHIJKLMNOPQRSTUVWXYZabcdefghijklmnopqrstuvwxyz .,")))&gt;0),"Last Name contains unsupported or encoded characters; use plain A-Z letters only; ","")&amp;IF(LEN($E443&amp;"")&gt;1,"Middle Initial may contain only one character; ","")&amp;IF(AND($E443&lt;&gt;"",SUMPRODUCT(--(ROW($1:$1)&lt;=LEN($E443&amp;"")),--ISERROR(FIND(MID($E443&amp;"",ROW($1:$1),1),"ABCDEFGHIJKLMNOPQRSTUVWXYZabcdefghijklmnopqrstuvwxyz .,")))&gt;0),"Middle Initial must be a plain A-Z letter; ","")&amp;IF($F443="","Address is required; ","")&amp;IF(LEN($F443&amp;"")&gt;75,"Address exceeds 75 characters; ","")&amp;IF(LEN($G443&amp;"")&gt;75,"Address 2 exceeds 75 characters; ","")&amp;IF($H443="","City is required; ","")&amp;IF(LEN($H443&amp;"")&gt;30,"City exceeds 30 characters; ","")&amp;IF($K443="","Country is required; ","")&amp;IF(AND($K443&lt;&gt;"",$K443&lt;&gt;"US",$K443&lt;&gt;"CA"),"Country must be US or CA; ","")&amp;IF(AND($K443="US",OR($I443="",LEN($I443&amp;"")&lt;&gt;2)),"Use a 2-letter state code; ","")&amp;IF($J443="","ZIP or postal code is required; ","")&amp;IF(AND($K443="US",$J443&lt;&gt;"",NOT(IFERROR(OR(AND(LEN($J443&amp;"")=5,ISNUMBER(--($J443&amp;""))),AND(LEN($J443&amp;"")=9,ISNUMBER(--($J443&amp;""))),AND(LEN($J443&amp;"")=10,MID($J443&amp;"",6,1)="-",ISNUMBER(--SUBSTITUTE($J443&amp;"","-","")))),FALSE))),"US ZIP must be 5 or 9 digits, with an optional ZIP+4 hyphen; ","")&amp;IF(AND($N443&lt;&gt;"",NOT(IFERROR(AND(ISNUMBER(SEARCH("@",$N443)),ISNUMBER(SEARCH(".",$N443,SEARCH("@",$N443)+2))),FALSE))),"Email format appears invalid; ","")&amp;IF(AND($O443&lt;&gt;"",$B443=""),"Dependent SSN is required for every dependent; ","")&amp;IF(AND($B443&lt;&gt;"",$O443=""),"Dependent Relationship is required when Dependent SSN is entered; ","")&amp;IF(AND($O443&lt;&gt;"",$O443&lt;&gt;"Spouse or Common Law Spouse",$O443&lt;&gt;"Domestic Partner",$O443&lt;&gt;"Child",$O443&lt;&gt;"Other",$O443&lt;&gt;"Estate",$O443&lt;&gt;"Unknown"),"Dependent Relationship must use one of the approved options; ",""))</f>
        <v/>
      </c>
      <c r="Z443">
        <f>IF(COUNTA($A443:$U443)=0,"",IF(AND($A443&lt;&gt;"",NOT(IFERROR(AND(LEN($A443&amp;"")=9,ISNUMBER(--($A443&amp;""))),FALSE))),"Employee SSN must contain exactly 9 digits; ","")&amp;IF(AND($A443&lt;&gt;"",OR($A443="123456789",$A443="987654321",$A443="012345678",$A443=REPT(LEFT($A443&amp;"",1),9))),"Employee SSN appears to be a placeholder; ","")&amp;IF(AND($B443&lt;&gt;"",NOT(IFERROR(AND(LEN($B443&amp;"")=9,ISNUMBER(--($B443&amp;""))),FALSE))),"Dependent SSN must contain exactly 9 digits; ","")&amp;IF(AND($B443&lt;&gt;"",OR($B443="123456789",$B443="987654321",$B443="012345678",$B443=REPT(LEFT($B443&amp;"",1),9))),"Dependent SSN appears to be a placeholder; ","")&amp;IF(AND($A443&lt;&gt;"",$B443&lt;&gt;"",$A443&amp;""=$B443&amp;""),"Dependent SSN cannot match Employee SSN; ","")&amp;IF(AND($W443&lt;&gt;"",OR(COUNTIFS($W$2:$W$501,$W443,$C$2:$C$501,"&lt;&gt;"&amp;$C443)&gt;0,COUNTIFS($W$2:$W$501,$W443,$D$2:$D$501,"&lt;&gt;"&amp;$D443)&gt;0,COUNTIFS($W$2:$W$501,$W443,$L$2:$L$501,"&lt;&gt;"&amp;$L443)&gt;0)),"The same SSN is associated with a different name or birthdate; ",""))</f>
        <v/>
      </c>
      <c r="AA443">
        <f>IF(COUNTA($A443:$U443)=0,"",IF(AND($A443&lt;&gt;"",$S443&lt;&gt;"",COUNTIFS($A$2:$A$501,$A443,$S$2:$S$501,$S443,$B$2:$B$501,"",$O$2:$O$501,"")=0),"Add an employee row for this household and plan; ","")&amp;IF(AND($X443="Dependent",COUNTIFS($A$2:$A443,$A443,$S$2:$S443,$S443,$B$2:$B443,"",$O$2:$O443,"")=0),"Place the employee row before dependent rows for this plan; ","")&amp;IF(AND($X443="Dependent",COUNTIFS($A$2:$A$501,$A443,$S$2:$S$501,$S443,$B$2:$B$501,"",$O$2:$O$501,"")&gt;0,IFERROR(OR($P443&lt;&gt;LOOKUP(2,1/(($A$2:$A$501=$A443)*($S$2:$S$501=$S443)*($B$2:$B$501="")*($O$2:$O$501="")),$P$2:$P$501),$Q443&lt;&gt;LOOKUP(2,1/(($A$2:$A$501=$A443)*($S$2:$S$501=$S443)*($B$2:$B$501="")*($O$2:$O$501="")),$Q$2:$Q$501),$R443&lt;&gt;LOOKUP(2,1/(($A$2:$A$501=$A443)*($S$2:$S$501=$S443)*($B$2:$B$501="")*($O$2:$O$501="")),$R$2:$R$501),$T443&lt;&gt;LOOKUP(2,1/(($A$2:$A$501=$A443)*($S$2:$S$501=$S443)*($B$2:$B$501="")*($O$2:$O$501="")),$T$2:$T$501),$U443&lt;&gt;LOOKUP(2,1/(($A$2:$A$501=$A443)*($S$2:$S$501=$S443)*($B$2:$B$501="")*($O$2:$O$501="")),$U$2:$U$501)),FALSE)),"Dependent row does not match the employee row for eligibility, status, coverage level, or funding; ",""))</f>
        <v/>
      </c>
      <c r="AB443">
        <f>IF(COUNTA($A443:$U443)=0,"",IF($L443="","Birthdate is required; ","")&amp;IF(AND($L443&lt;&gt;"",OR(NOT(ISNUMBER($L443)),$L443&lt;=DATE(1900,1,1),$L443&gt;TODAY())),"Birthdate must be an exact valid past date; ","")&amp;IF($P443="","Eligibility Date is required; ","")&amp;IF(AND($P443&lt;&gt;"",OR(NOT(ISNUMBER($P443)),$P443&lt;=DATE(1900,1,1))),"Eligibility Date must be a valid date; ","")&amp;IF(AND($R443="Terminated",$Q443=""),"Termination Date is required when Status is Terminated; ","")&amp;IF(AND($Q443&lt;&gt;"",OR(NOT(ISNUMBER($Q443)),$Q443&lt;=DATE(1900,1,1))),"Termination Date must be a valid date; ","")&amp;IF(AND(ISNUMBER($P443),ISNUMBER($Q443),$Q443&lt;$P443),"Termination Date cannot be before Eligibility Date; ","")&amp;IF($R443="","Status is required; ","")&amp;IF(AND($R443&lt;&gt;"",$R443&lt;&gt;"Active",$R443&lt;&gt;"Terminated"),"Status must be Active or Terminated; ","")&amp;IF(AND('START HERE'!$C$8="Terminations Only",$R443&lt;&gt;"Terminated"),"Terminations Only files must contain terminated records; ",""))</f>
        <v/>
      </c>
      <c r="AC443">
        <f>IF(COUNTA($A443:$U443)=0,"",IF($S443="","Plan Name is required; ","")&amp;IF($T443="","Benefit Coverage Level is required; ","")&amp;IF(AND($U443&lt;&gt;"",OR(NOT(ISNUMBER($U443)),$U443&lt;0)),"Plan Funding Amount must be a nonnegative number; ","")&amp;IF(AND($A443&lt;&gt;"",$S443&lt;&gt;"",COUNTIFS($A$2:$A$501,$A443,$B$2:$B$501,$B443,$S$2:$S$501,$S443)&gt;1),"Duplicate participant and plan row; ",""))</f>
        <v/>
      </c>
      <c r="AD443">
        <f>IF(COUNTA($A443:$U443)=0,"",IF(AND($X443="Employee",$M443="",$N443=""),"No employee phone or email provided; ","")&amp;IF(AND($R443="Active",$Q443&lt;&gt;""),"Active record includes a Termination Date; confirm this is intentional; ","")&amp;IF(AND($B443&lt;&gt;"",$B443&amp;""&lt;&gt;$A443&amp;"",COUNTIF($A$2:$A$501,$B443)&gt;0),"Dependent SSN also appears as an Employee SSN elsewhere; confirm dual-employee coverage is intentional; ","")&amp;IF(AND($B443&lt;&gt;"",COUNTIF($B$2:$B$501,$B443)&gt;COUNTIFS($A$2:$A$501,$A443,$B$2:$B$501,$B443)),"Dependent SSN appears under more than one employee; confirm duplicate family coverage is intentional; ","")&amp;IF(AND(ROW()&gt;2,$A443&lt;&gt;"",$A443&lt;&gt;$A442,COUNTIF($A$2:$A442,$A443)&gt;0),"This household appears in more than one section of the census; keep the family together; ","")&amp;IF(OR(AND($C443&lt;&gt;"",LEN($C443&amp;"")&lt;&gt;LEN(TRIM($C443&amp;""))),AND($D443&lt;&gt;"",LEN($D443&amp;"")&lt;&gt;LEN(TRIM($D443&amp;""))),AND($E443&lt;&gt;"",LEN($E443&amp;"")&lt;&gt;LEN(TRIM($E443&amp;""))),AND($F443&lt;&gt;"",LEN($F443&amp;"")&lt;&gt;LEN(TRIM($F443&amp;""))),AND($G443&lt;&gt;"",LEN($G443&amp;"")&lt;&gt;LEN(TRIM($G443&amp;""))),AND($H443&lt;&gt;"",LEN($H443&amp;"")&lt;&gt;LEN(TRIM($H443&amp;""))),AND($I443&lt;&gt;"",LEN($I443&amp;"")&lt;&gt;LEN(TRIM($I443&amp;""))),AND($J443&lt;&gt;"",LEN($J443&amp;"")&lt;&gt;LEN(TRIM($J443&amp;""))),AND($K443&lt;&gt;"",LEN($K443&amp;"")&lt;&gt;LEN(TRIM($K443&amp;""))),AND($M443&lt;&gt;"",LEN($M443&amp;"")&lt;&gt;LEN(TRIM($M443&amp;""))),AND($N443&lt;&gt;"",LEN($N443&amp;"")&lt;&gt;LEN(TRIM($N443&amp;""))),AND($O443&lt;&gt;"",LEN($O443&amp;"")&lt;&gt;LEN(TRIM($O443&amp;""))),AND($R443&lt;&gt;"",LEN($R443&amp;"")&lt;&gt;LEN(TRIM($R443&amp;""))),AND($S443&lt;&gt;"",LEN($S443&amp;"")&lt;&gt;LEN(TRIM($S443&amp;""))),AND($T443&lt;&gt;"",LEN($T443&amp;"")&lt;&gt;LEN(TRIM($T443&amp;"")))),"Remove leading or trailing spaces from text fields; ","")&amp;IF(OR(AND(LEN($C443)&gt;1,OR(EXACT($C443,UPPER($C443)),EXACT($C443,LOWER($C443)))),AND(LEN($D443)&gt;1,OR(EXACT($D443,UPPER($D443)),EXACT($D443,LOWER($D443)))),AND(LEN($H443)&gt;1,OR(EXACT($H443,UPPER($H443)),EXACT($H443,LOWER($H443))))),"Review capitalization in First Name, Last Name, or City; ","")&amp;IF(AND($N443&lt;&gt;"",NOT(EXACT($N443,LOWER($N443)))),"Email will be standardized to lowercase in the clean output; ","")&amp;IF(AND(OR('START HERE'!$C$8="Initial Enrollment",'START HERE'!$C$8="Open Enrollment"),$R443="Terminated"),"A terminated row is included in an initial or open enrollment file; confirm this is intentional; ",""))</f>
        <v/>
      </c>
      <c r="AE443">
        <f>IF(COUNTA($A443:$U443)=0,"",IF(OR($A443="",AND($A443&lt;&gt;"",NOT(IFERROR(AND(LEN($A443&amp;"")=9,ISNUMBER(--($A443&amp;""))),FALSE))),AND($A443&lt;&gt;"",OR($A443="123456789",$A443="987654321",$A443="012345678",$A443=REPT(LEFT($A443&amp;"",1),9)))),"Employee SSN, ","")&amp;IF(OR(AND($O443&lt;&gt;"",$B443=""),AND($B443&lt;&gt;"",OR(NOT(IFERROR(AND(LEN($B443&amp;"")=9,ISNUMBER(--($B443&amp;""))),FALSE)),$B443=$A443,$B443="123456789",$B443="987654321",$B443="012345678",$B443=REPT(LEFT($B443&amp;"",1),9)))),"Dependent SSN, ","")&amp;IF(OR($C443="",LEN($C443)&gt;19,AND($C443&lt;&gt;"",SUMPRODUCT(--(ROW($1:$19)&lt;=LEN($C443&amp;"")),--ISERROR(FIND(MID($C443&amp;"",ROW($1:$19),1),"ABCDEFGHIJKLMNOPQRSTUVWXYZabcdefghijklmnopqrstuvwxyz .,")))&gt;0)),"First Name, ","")&amp;IF(OR($D443="",LEN($D443)&gt;26,AND($D443&lt;&gt;"",SUMPRODUCT(--(ROW($1:$26)&lt;=LEN($D443&amp;"")),--ISERROR(FIND(MID($D443&amp;"",ROW($1:$26),1),"ABCDEFGHIJKLMNOPQRSTUVWXYZabcdefghijklmnopqrstuvwxyz .,")))&gt;0)),"Last Name, ","")&amp;IF(OR(LEN($E443)&gt;1,AND($E443&lt;&gt;"",SUMPRODUCT(--(ROW($1:$1)&lt;=LEN($E443&amp;"")),--ISERROR(FIND(MID($E443&amp;"",ROW($1:$1),1),"ABCDEFGHIJKLMNOPQRSTUVWXYZabcdefghijklmnopqrstuvwxyz .,")))&gt;0)),"Middle Initial, ","")&amp;IF(OR($F443="",LEN($F443)&gt;75),"Address, ","")&amp;IF(OR($H443="",LEN($H443)&gt;30),"City, ","")&amp;IF(AND($K443="US",OR($I443="",LEN($I443)&lt;&gt;2)),"State, ","")&amp;IF($J443="","ZIP, ","")&amp;IF(OR($K443="",AND($K443&lt;&gt;"US",$K443&lt;&gt;"CA")),"Country, ","")&amp;IF(OR($L443="",AND($L443&lt;&gt;"",OR(NOT(ISNUMBER($L443)),$L443&lt;=DATE(1900,1,1),$L443&gt;TODAY()))),"Birthdate, ","")&amp;IF(AND($N443&lt;&gt;"",NOT(IFERROR(AND(ISNUMBER(SEARCH("@",$N443)),ISNUMBER(SEARCH(".",$N443,SEARCH("@",$N443)+2))),FALSE))),"Email, ","")&amp;IF(OR(AND($B443&lt;&gt;"",$O443=""),AND($O443&lt;&gt;"",$O443&lt;&gt;"Spouse or Common Law Spouse",$O443&lt;&gt;"Domestic Partner",$O443&lt;&gt;"Child",$O443&lt;&gt;"Other",$O443&lt;&gt;"Estate",$O443&lt;&gt;"Unknown")),"Dependent Relationship, ","")&amp;IF($AA443&lt;&gt;"","Household, ","")&amp;IF(OR($P443="",AND($P443&lt;&gt;"",OR(NOT(ISNUMBER($P443)),$P443&lt;=DATE(1900,1,1)))),"Eligibility Date, ","")&amp;IF(OR(AND($R443="Terminated",$Q443=""),AND($Q443&lt;&gt;"",OR(NOT(ISNUMBER($Q443)),$Q443&lt;=DATE(1900,1,1))),AND(ISNUMBER($P443),ISNUMBER($Q443),$Q443&lt;$P443)),"Termination Date, ","")&amp;IF(OR($R443="",AND($R443&lt;&gt;"Active",$R443&lt;&gt;"Terminated"),AND('START HERE'!$C$8="Terminations Only",$R443&lt;&gt;"Terminated")),"Status, ","")&amp;IF($S443="","Plan Name, ","")&amp;IF($T443="","Coverage Level, ","")&amp;IF(AND($U443&lt;&gt;"",OR(NOT(ISNUMBER($U443)),$U443&lt;0)),"Funding, ","")&amp;IF(AND($A443&lt;&gt;"",$S443&lt;&gt;"",COUNTIFS($A$2:$A$501,$A443,$B$2:$B$501,$B443,$S$2:$S$501,$S443)&gt;1),"Duplicate Row, ",""))</f>
        <v/>
      </c>
      <c r="AF443">
        <f>IF(COUNTA($A443:$U443)=0,"",$Y443&amp;$Z443&amp;$AA443&amp;$AB443&amp;$AC443)</f>
        <v/>
      </c>
      <c r="AG443">
        <f>IF($N443="","",LOWER(TRIM($N443)))</f>
        <v/>
      </c>
      <c r="AH443">
        <f>IF($A443="","",COUNTIFS($A$2:$A$501,$A443,$AI$2:$AI$501,1))</f>
        <v/>
      </c>
      <c r="AI443">
        <f>IF(COUNTA($A443:$U443)=0,"",--($AF443&lt;&gt;""))</f>
        <v/>
      </c>
      <c r="AJ443">
        <f>IF(COUNTA($A443:$U443)=0,"",--($AD443&lt;&gt;""))</f>
        <v/>
      </c>
    </row>
    <row r="444" ht="20" customHeight="1">
      <c r="A444" s="80" t="n"/>
      <c r="B444" s="80" t="n"/>
      <c r="C444" s="81" t="n"/>
      <c r="D444" s="81" t="n"/>
      <c r="E444" s="80" t="n"/>
      <c r="F444" s="81" t="n"/>
      <c r="G444" s="81" t="n"/>
      <c r="H444" s="81" t="n"/>
      <c r="I444" s="80" t="n"/>
      <c r="J444" s="80" t="n"/>
      <c r="K444" s="80" t="n"/>
      <c r="L444" s="82" t="n"/>
      <c r="M444" s="80" t="n"/>
      <c r="N444" s="80" t="n"/>
      <c r="O444" s="80" t="n"/>
      <c r="P444" s="82" t="n"/>
      <c r="Q444" s="82" t="n"/>
      <c r="R444" s="80" t="n"/>
      <c r="S444" s="80" t="n"/>
      <c r="T444" s="80" t="n"/>
      <c r="U444" s="83" t="n"/>
      <c r="V444">
        <f>IF($A444="","",IF($A444=$A443,$V443,IF($V443="",0,1-$V443)))</f>
        <v/>
      </c>
      <c r="W444">
        <f>IF($B444&lt;&gt;"",$B444,$A444)</f>
        <v/>
      </c>
      <c r="X444">
        <f>IF(COUNTA($A444:$U444)=0,"",IF(OR($B444&lt;&gt;"",$O444&lt;&gt;""),"Dependent","Employee"))</f>
        <v/>
      </c>
      <c r="Y444">
        <f>IF(COUNTA($A444:$U444)=0,"",IF($A444="","Employee SSN is required; ","")&amp;IF($C444="","First Name is required; ","")&amp;IF(LEN($C444&amp;"")&gt;19,"First Name exceeds 19 characters; ","")&amp;IF(AND($C444&lt;&gt;"",SUMPRODUCT(--(ROW($1:$19)&lt;=LEN($C444&amp;"")),--ISERROR(FIND(MID($C444&amp;"",ROW($1:$19),1),"ABCDEFGHIJKLMNOPQRSTUVWXYZabcdefghijklmnopqrstuvwxyz .,")))&gt;0),"First Name contains unsupported or encoded characters; use plain A-Z letters only; ","")&amp;IF($D444="","Last Name is required; ","")&amp;IF(LEN($D444&amp;"")&gt;26,"Last Name exceeds 26 characters; ","")&amp;IF(AND($D444&lt;&gt;"",SUMPRODUCT(--(ROW($1:$26)&lt;=LEN($D444&amp;"")),--ISERROR(FIND(MID($D444&amp;"",ROW($1:$26),1),"ABCDEFGHIJKLMNOPQRSTUVWXYZabcdefghijklmnopqrstuvwxyz .,")))&gt;0),"Last Name contains unsupported or encoded characters; use plain A-Z letters only; ","")&amp;IF(LEN($E444&amp;"")&gt;1,"Middle Initial may contain only one character; ","")&amp;IF(AND($E444&lt;&gt;"",SUMPRODUCT(--(ROW($1:$1)&lt;=LEN($E444&amp;"")),--ISERROR(FIND(MID($E444&amp;"",ROW($1:$1),1),"ABCDEFGHIJKLMNOPQRSTUVWXYZabcdefghijklmnopqrstuvwxyz .,")))&gt;0),"Middle Initial must be a plain A-Z letter; ","")&amp;IF($F444="","Address is required; ","")&amp;IF(LEN($F444&amp;"")&gt;75,"Address exceeds 75 characters; ","")&amp;IF(LEN($G444&amp;"")&gt;75,"Address 2 exceeds 75 characters; ","")&amp;IF($H444="","City is required; ","")&amp;IF(LEN($H444&amp;"")&gt;30,"City exceeds 30 characters; ","")&amp;IF($K444="","Country is required; ","")&amp;IF(AND($K444&lt;&gt;"",$K444&lt;&gt;"US",$K444&lt;&gt;"CA"),"Country must be US or CA; ","")&amp;IF(AND($K444="US",OR($I444="",LEN($I444&amp;"")&lt;&gt;2)),"Use a 2-letter state code; ","")&amp;IF($J444="","ZIP or postal code is required; ","")&amp;IF(AND($K444="US",$J444&lt;&gt;"",NOT(IFERROR(OR(AND(LEN($J444&amp;"")=5,ISNUMBER(--($J444&amp;""))),AND(LEN($J444&amp;"")=9,ISNUMBER(--($J444&amp;""))),AND(LEN($J444&amp;"")=10,MID($J444&amp;"",6,1)="-",ISNUMBER(--SUBSTITUTE($J444&amp;"","-","")))),FALSE))),"US ZIP must be 5 or 9 digits, with an optional ZIP+4 hyphen; ","")&amp;IF(AND($N444&lt;&gt;"",NOT(IFERROR(AND(ISNUMBER(SEARCH("@",$N444)),ISNUMBER(SEARCH(".",$N444,SEARCH("@",$N444)+2))),FALSE))),"Email format appears invalid; ","")&amp;IF(AND($O444&lt;&gt;"",$B444=""),"Dependent SSN is required for every dependent; ","")&amp;IF(AND($B444&lt;&gt;"",$O444=""),"Dependent Relationship is required when Dependent SSN is entered; ","")&amp;IF(AND($O444&lt;&gt;"",$O444&lt;&gt;"Spouse or Common Law Spouse",$O444&lt;&gt;"Domestic Partner",$O444&lt;&gt;"Child",$O444&lt;&gt;"Other",$O444&lt;&gt;"Estate",$O444&lt;&gt;"Unknown"),"Dependent Relationship must use one of the approved options; ",""))</f>
        <v/>
      </c>
      <c r="Z444">
        <f>IF(COUNTA($A444:$U444)=0,"",IF(AND($A444&lt;&gt;"",NOT(IFERROR(AND(LEN($A444&amp;"")=9,ISNUMBER(--($A444&amp;""))),FALSE))),"Employee SSN must contain exactly 9 digits; ","")&amp;IF(AND($A444&lt;&gt;"",OR($A444="123456789",$A444="987654321",$A444="012345678",$A444=REPT(LEFT($A444&amp;"",1),9))),"Employee SSN appears to be a placeholder; ","")&amp;IF(AND($B444&lt;&gt;"",NOT(IFERROR(AND(LEN($B444&amp;"")=9,ISNUMBER(--($B444&amp;""))),FALSE))),"Dependent SSN must contain exactly 9 digits; ","")&amp;IF(AND($B444&lt;&gt;"",OR($B444="123456789",$B444="987654321",$B444="012345678",$B444=REPT(LEFT($B444&amp;"",1),9))),"Dependent SSN appears to be a placeholder; ","")&amp;IF(AND($A444&lt;&gt;"",$B444&lt;&gt;"",$A444&amp;""=$B444&amp;""),"Dependent SSN cannot match Employee SSN; ","")&amp;IF(AND($W444&lt;&gt;"",OR(COUNTIFS($W$2:$W$501,$W444,$C$2:$C$501,"&lt;&gt;"&amp;$C444)&gt;0,COUNTIFS($W$2:$W$501,$W444,$D$2:$D$501,"&lt;&gt;"&amp;$D444)&gt;0,COUNTIFS($W$2:$W$501,$W444,$L$2:$L$501,"&lt;&gt;"&amp;$L444)&gt;0)),"The same SSN is associated with a different name or birthdate; ",""))</f>
        <v/>
      </c>
      <c r="AA444">
        <f>IF(COUNTA($A444:$U444)=0,"",IF(AND($A444&lt;&gt;"",$S444&lt;&gt;"",COUNTIFS($A$2:$A$501,$A444,$S$2:$S$501,$S444,$B$2:$B$501,"",$O$2:$O$501,"")=0),"Add an employee row for this household and plan; ","")&amp;IF(AND($X444="Dependent",COUNTIFS($A$2:$A444,$A444,$S$2:$S444,$S444,$B$2:$B444,"",$O$2:$O444,"")=0),"Place the employee row before dependent rows for this plan; ","")&amp;IF(AND($X444="Dependent",COUNTIFS($A$2:$A$501,$A444,$S$2:$S$501,$S444,$B$2:$B$501,"",$O$2:$O$501,"")&gt;0,IFERROR(OR($P444&lt;&gt;LOOKUP(2,1/(($A$2:$A$501=$A444)*($S$2:$S$501=$S444)*($B$2:$B$501="")*($O$2:$O$501="")),$P$2:$P$501),$Q444&lt;&gt;LOOKUP(2,1/(($A$2:$A$501=$A444)*($S$2:$S$501=$S444)*($B$2:$B$501="")*($O$2:$O$501="")),$Q$2:$Q$501),$R444&lt;&gt;LOOKUP(2,1/(($A$2:$A$501=$A444)*($S$2:$S$501=$S444)*($B$2:$B$501="")*($O$2:$O$501="")),$R$2:$R$501),$T444&lt;&gt;LOOKUP(2,1/(($A$2:$A$501=$A444)*($S$2:$S$501=$S444)*($B$2:$B$501="")*($O$2:$O$501="")),$T$2:$T$501),$U444&lt;&gt;LOOKUP(2,1/(($A$2:$A$501=$A444)*($S$2:$S$501=$S444)*($B$2:$B$501="")*($O$2:$O$501="")),$U$2:$U$501)),FALSE)),"Dependent row does not match the employee row for eligibility, status, coverage level, or funding; ",""))</f>
        <v/>
      </c>
      <c r="AB444">
        <f>IF(COUNTA($A444:$U444)=0,"",IF($L444="","Birthdate is required; ","")&amp;IF(AND($L444&lt;&gt;"",OR(NOT(ISNUMBER($L444)),$L444&lt;=DATE(1900,1,1),$L444&gt;TODAY())),"Birthdate must be an exact valid past date; ","")&amp;IF($P444="","Eligibility Date is required; ","")&amp;IF(AND($P444&lt;&gt;"",OR(NOT(ISNUMBER($P444)),$P444&lt;=DATE(1900,1,1))),"Eligibility Date must be a valid date; ","")&amp;IF(AND($R444="Terminated",$Q444=""),"Termination Date is required when Status is Terminated; ","")&amp;IF(AND($Q444&lt;&gt;"",OR(NOT(ISNUMBER($Q444)),$Q444&lt;=DATE(1900,1,1))),"Termination Date must be a valid date; ","")&amp;IF(AND(ISNUMBER($P444),ISNUMBER($Q444),$Q444&lt;$P444),"Termination Date cannot be before Eligibility Date; ","")&amp;IF($R444="","Status is required; ","")&amp;IF(AND($R444&lt;&gt;"",$R444&lt;&gt;"Active",$R444&lt;&gt;"Terminated"),"Status must be Active or Terminated; ","")&amp;IF(AND('START HERE'!$C$8="Terminations Only",$R444&lt;&gt;"Terminated"),"Terminations Only files must contain terminated records; ",""))</f>
        <v/>
      </c>
      <c r="AC444">
        <f>IF(COUNTA($A444:$U444)=0,"",IF($S444="","Plan Name is required; ","")&amp;IF($T444="","Benefit Coverage Level is required; ","")&amp;IF(AND($U444&lt;&gt;"",OR(NOT(ISNUMBER($U444)),$U444&lt;0)),"Plan Funding Amount must be a nonnegative number; ","")&amp;IF(AND($A444&lt;&gt;"",$S444&lt;&gt;"",COUNTIFS($A$2:$A$501,$A444,$B$2:$B$501,$B444,$S$2:$S$501,$S444)&gt;1),"Duplicate participant and plan row; ",""))</f>
        <v/>
      </c>
      <c r="AD444">
        <f>IF(COUNTA($A444:$U444)=0,"",IF(AND($X444="Employee",$M444="",$N444=""),"No employee phone or email provided; ","")&amp;IF(AND($R444="Active",$Q444&lt;&gt;""),"Active record includes a Termination Date; confirm this is intentional; ","")&amp;IF(AND($B444&lt;&gt;"",$B444&amp;""&lt;&gt;$A444&amp;"",COUNTIF($A$2:$A$501,$B444)&gt;0),"Dependent SSN also appears as an Employee SSN elsewhere; confirm dual-employee coverage is intentional; ","")&amp;IF(AND($B444&lt;&gt;"",COUNTIF($B$2:$B$501,$B444)&gt;COUNTIFS($A$2:$A$501,$A444,$B$2:$B$501,$B444)),"Dependent SSN appears under more than one employee; confirm duplicate family coverage is intentional; ","")&amp;IF(AND(ROW()&gt;2,$A444&lt;&gt;"",$A444&lt;&gt;$A443,COUNTIF($A$2:$A443,$A444)&gt;0),"This household appears in more than one section of the census; keep the family together; ","")&amp;IF(OR(AND($C444&lt;&gt;"",LEN($C444&amp;"")&lt;&gt;LEN(TRIM($C444&amp;""))),AND($D444&lt;&gt;"",LEN($D444&amp;"")&lt;&gt;LEN(TRIM($D444&amp;""))),AND($E444&lt;&gt;"",LEN($E444&amp;"")&lt;&gt;LEN(TRIM($E444&amp;""))),AND($F444&lt;&gt;"",LEN($F444&amp;"")&lt;&gt;LEN(TRIM($F444&amp;""))),AND($G444&lt;&gt;"",LEN($G444&amp;"")&lt;&gt;LEN(TRIM($G444&amp;""))),AND($H444&lt;&gt;"",LEN($H444&amp;"")&lt;&gt;LEN(TRIM($H444&amp;""))),AND($I444&lt;&gt;"",LEN($I444&amp;"")&lt;&gt;LEN(TRIM($I444&amp;""))),AND($J444&lt;&gt;"",LEN($J444&amp;"")&lt;&gt;LEN(TRIM($J444&amp;""))),AND($K444&lt;&gt;"",LEN($K444&amp;"")&lt;&gt;LEN(TRIM($K444&amp;""))),AND($M444&lt;&gt;"",LEN($M444&amp;"")&lt;&gt;LEN(TRIM($M444&amp;""))),AND($N444&lt;&gt;"",LEN($N444&amp;"")&lt;&gt;LEN(TRIM($N444&amp;""))),AND($O444&lt;&gt;"",LEN($O444&amp;"")&lt;&gt;LEN(TRIM($O444&amp;""))),AND($R444&lt;&gt;"",LEN($R444&amp;"")&lt;&gt;LEN(TRIM($R444&amp;""))),AND($S444&lt;&gt;"",LEN($S444&amp;"")&lt;&gt;LEN(TRIM($S444&amp;""))),AND($T444&lt;&gt;"",LEN($T444&amp;"")&lt;&gt;LEN(TRIM($T444&amp;"")))),"Remove leading or trailing spaces from text fields; ","")&amp;IF(OR(AND(LEN($C444)&gt;1,OR(EXACT($C444,UPPER($C444)),EXACT($C444,LOWER($C444)))),AND(LEN($D444)&gt;1,OR(EXACT($D444,UPPER($D444)),EXACT($D444,LOWER($D444)))),AND(LEN($H444)&gt;1,OR(EXACT($H444,UPPER($H444)),EXACT($H444,LOWER($H444))))),"Review capitalization in First Name, Last Name, or City; ","")&amp;IF(AND($N444&lt;&gt;"",NOT(EXACT($N444,LOWER($N444)))),"Email will be standardized to lowercase in the clean output; ","")&amp;IF(AND(OR('START HERE'!$C$8="Initial Enrollment",'START HERE'!$C$8="Open Enrollment"),$R444="Terminated"),"A terminated row is included in an initial or open enrollment file; confirm this is intentional; ",""))</f>
        <v/>
      </c>
      <c r="AE444">
        <f>IF(COUNTA($A444:$U444)=0,"",IF(OR($A444="",AND($A444&lt;&gt;"",NOT(IFERROR(AND(LEN($A444&amp;"")=9,ISNUMBER(--($A444&amp;""))),FALSE))),AND($A444&lt;&gt;"",OR($A444="123456789",$A444="987654321",$A444="012345678",$A444=REPT(LEFT($A444&amp;"",1),9)))),"Employee SSN, ","")&amp;IF(OR(AND($O444&lt;&gt;"",$B444=""),AND($B444&lt;&gt;"",OR(NOT(IFERROR(AND(LEN($B444&amp;"")=9,ISNUMBER(--($B444&amp;""))),FALSE)),$B444=$A444,$B444="123456789",$B444="987654321",$B444="012345678",$B444=REPT(LEFT($B444&amp;"",1),9)))),"Dependent SSN, ","")&amp;IF(OR($C444="",LEN($C444)&gt;19,AND($C444&lt;&gt;"",SUMPRODUCT(--(ROW($1:$19)&lt;=LEN($C444&amp;"")),--ISERROR(FIND(MID($C444&amp;"",ROW($1:$19),1),"ABCDEFGHIJKLMNOPQRSTUVWXYZabcdefghijklmnopqrstuvwxyz .,")))&gt;0)),"First Name, ","")&amp;IF(OR($D444="",LEN($D444)&gt;26,AND($D444&lt;&gt;"",SUMPRODUCT(--(ROW($1:$26)&lt;=LEN($D444&amp;"")),--ISERROR(FIND(MID($D444&amp;"",ROW($1:$26),1),"ABCDEFGHIJKLMNOPQRSTUVWXYZabcdefghijklmnopqrstuvwxyz .,")))&gt;0)),"Last Name, ","")&amp;IF(OR(LEN($E444)&gt;1,AND($E444&lt;&gt;"",SUMPRODUCT(--(ROW($1:$1)&lt;=LEN($E444&amp;"")),--ISERROR(FIND(MID($E444&amp;"",ROW($1:$1),1),"ABCDEFGHIJKLMNOPQRSTUVWXYZabcdefghijklmnopqrstuvwxyz .,")))&gt;0)),"Middle Initial, ","")&amp;IF(OR($F444="",LEN($F444)&gt;75),"Address, ","")&amp;IF(OR($H444="",LEN($H444)&gt;30),"City, ","")&amp;IF(AND($K444="US",OR($I444="",LEN($I444)&lt;&gt;2)),"State, ","")&amp;IF($J444="","ZIP, ","")&amp;IF(OR($K444="",AND($K444&lt;&gt;"US",$K444&lt;&gt;"CA")),"Country, ","")&amp;IF(OR($L444="",AND($L444&lt;&gt;"",OR(NOT(ISNUMBER($L444)),$L444&lt;=DATE(1900,1,1),$L444&gt;TODAY()))),"Birthdate, ","")&amp;IF(AND($N444&lt;&gt;"",NOT(IFERROR(AND(ISNUMBER(SEARCH("@",$N444)),ISNUMBER(SEARCH(".",$N444,SEARCH("@",$N444)+2))),FALSE))),"Email, ","")&amp;IF(OR(AND($B444&lt;&gt;"",$O444=""),AND($O444&lt;&gt;"",$O444&lt;&gt;"Spouse or Common Law Spouse",$O444&lt;&gt;"Domestic Partner",$O444&lt;&gt;"Child",$O444&lt;&gt;"Other",$O444&lt;&gt;"Estate",$O444&lt;&gt;"Unknown")),"Dependent Relationship, ","")&amp;IF($AA444&lt;&gt;"","Household, ","")&amp;IF(OR($P444="",AND($P444&lt;&gt;"",OR(NOT(ISNUMBER($P444)),$P444&lt;=DATE(1900,1,1)))),"Eligibility Date, ","")&amp;IF(OR(AND($R444="Terminated",$Q444=""),AND($Q444&lt;&gt;"",OR(NOT(ISNUMBER($Q444)),$Q444&lt;=DATE(1900,1,1))),AND(ISNUMBER($P444),ISNUMBER($Q444),$Q444&lt;$P444)),"Termination Date, ","")&amp;IF(OR($R444="",AND($R444&lt;&gt;"Active",$R444&lt;&gt;"Terminated"),AND('START HERE'!$C$8="Terminations Only",$R444&lt;&gt;"Terminated")),"Status, ","")&amp;IF($S444="","Plan Name, ","")&amp;IF($T444="","Coverage Level, ","")&amp;IF(AND($U444&lt;&gt;"",OR(NOT(ISNUMBER($U444)),$U444&lt;0)),"Funding, ","")&amp;IF(AND($A444&lt;&gt;"",$S444&lt;&gt;"",COUNTIFS($A$2:$A$501,$A444,$B$2:$B$501,$B444,$S$2:$S$501,$S444)&gt;1),"Duplicate Row, ",""))</f>
        <v/>
      </c>
      <c r="AF444">
        <f>IF(COUNTA($A444:$U444)=0,"",$Y444&amp;$Z444&amp;$AA444&amp;$AB444&amp;$AC444)</f>
        <v/>
      </c>
      <c r="AG444">
        <f>IF($N444="","",LOWER(TRIM($N444)))</f>
        <v/>
      </c>
      <c r="AH444">
        <f>IF($A444="","",COUNTIFS($A$2:$A$501,$A444,$AI$2:$AI$501,1))</f>
        <v/>
      </c>
      <c r="AI444">
        <f>IF(COUNTA($A444:$U444)=0,"",--($AF444&lt;&gt;""))</f>
        <v/>
      </c>
      <c r="AJ444">
        <f>IF(COUNTA($A444:$U444)=0,"",--($AD444&lt;&gt;""))</f>
        <v/>
      </c>
    </row>
    <row r="445" ht="20" customHeight="1">
      <c r="A445" s="80" t="n"/>
      <c r="B445" s="80" t="n"/>
      <c r="C445" s="81" t="n"/>
      <c r="D445" s="81" t="n"/>
      <c r="E445" s="80" t="n"/>
      <c r="F445" s="81" t="n"/>
      <c r="G445" s="81" t="n"/>
      <c r="H445" s="81" t="n"/>
      <c r="I445" s="80" t="n"/>
      <c r="J445" s="80" t="n"/>
      <c r="K445" s="80" t="n"/>
      <c r="L445" s="82" t="n"/>
      <c r="M445" s="80" t="n"/>
      <c r="N445" s="80" t="n"/>
      <c r="O445" s="80" t="n"/>
      <c r="P445" s="82" t="n"/>
      <c r="Q445" s="82" t="n"/>
      <c r="R445" s="80" t="n"/>
      <c r="S445" s="80" t="n"/>
      <c r="T445" s="80" t="n"/>
      <c r="U445" s="83" t="n"/>
      <c r="V445">
        <f>IF($A445="","",IF($A445=$A444,$V444,IF($V444="",0,1-$V444)))</f>
        <v/>
      </c>
      <c r="W445">
        <f>IF($B445&lt;&gt;"",$B445,$A445)</f>
        <v/>
      </c>
      <c r="X445">
        <f>IF(COUNTA($A445:$U445)=0,"",IF(OR($B445&lt;&gt;"",$O445&lt;&gt;""),"Dependent","Employee"))</f>
        <v/>
      </c>
      <c r="Y445">
        <f>IF(COUNTA($A445:$U445)=0,"",IF($A445="","Employee SSN is required; ","")&amp;IF($C445="","First Name is required; ","")&amp;IF(LEN($C445&amp;"")&gt;19,"First Name exceeds 19 characters; ","")&amp;IF(AND($C445&lt;&gt;"",SUMPRODUCT(--(ROW($1:$19)&lt;=LEN($C445&amp;"")),--ISERROR(FIND(MID($C445&amp;"",ROW($1:$19),1),"ABCDEFGHIJKLMNOPQRSTUVWXYZabcdefghijklmnopqrstuvwxyz .,")))&gt;0),"First Name contains unsupported or encoded characters; use plain A-Z letters only; ","")&amp;IF($D445="","Last Name is required; ","")&amp;IF(LEN($D445&amp;"")&gt;26,"Last Name exceeds 26 characters; ","")&amp;IF(AND($D445&lt;&gt;"",SUMPRODUCT(--(ROW($1:$26)&lt;=LEN($D445&amp;"")),--ISERROR(FIND(MID($D445&amp;"",ROW($1:$26),1),"ABCDEFGHIJKLMNOPQRSTUVWXYZabcdefghijklmnopqrstuvwxyz .,")))&gt;0),"Last Name contains unsupported or encoded characters; use plain A-Z letters only; ","")&amp;IF(LEN($E445&amp;"")&gt;1,"Middle Initial may contain only one character; ","")&amp;IF(AND($E445&lt;&gt;"",SUMPRODUCT(--(ROW($1:$1)&lt;=LEN($E445&amp;"")),--ISERROR(FIND(MID($E445&amp;"",ROW($1:$1),1),"ABCDEFGHIJKLMNOPQRSTUVWXYZabcdefghijklmnopqrstuvwxyz .,")))&gt;0),"Middle Initial must be a plain A-Z letter; ","")&amp;IF($F445="","Address is required; ","")&amp;IF(LEN($F445&amp;"")&gt;75,"Address exceeds 75 characters; ","")&amp;IF(LEN($G445&amp;"")&gt;75,"Address 2 exceeds 75 characters; ","")&amp;IF($H445="","City is required; ","")&amp;IF(LEN($H445&amp;"")&gt;30,"City exceeds 30 characters; ","")&amp;IF($K445="","Country is required; ","")&amp;IF(AND($K445&lt;&gt;"",$K445&lt;&gt;"US",$K445&lt;&gt;"CA"),"Country must be US or CA; ","")&amp;IF(AND($K445="US",OR($I445="",LEN($I445&amp;"")&lt;&gt;2)),"Use a 2-letter state code; ","")&amp;IF($J445="","ZIP or postal code is required; ","")&amp;IF(AND($K445="US",$J445&lt;&gt;"",NOT(IFERROR(OR(AND(LEN($J445&amp;"")=5,ISNUMBER(--($J445&amp;""))),AND(LEN($J445&amp;"")=9,ISNUMBER(--($J445&amp;""))),AND(LEN($J445&amp;"")=10,MID($J445&amp;"",6,1)="-",ISNUMBER(--SUBSTITUTE($J445&amp;"","-","")))),FALSE))),"US ZIP must be 5 or 9 digits, with an optional ZIP+4 hyphen; ","")&amp;IF(AND($N445&lt;&gt;"",NOT(IFERROR(AND(ISNUMBER(SEARCH("@",$N445)),ISNUMBER(SEARCH(".",$N445,SEARCH("@",$N445)+2))),FALSE))),"Email format appears invalid; ","")&amp;IF(AND($O445&lt;&gt;"",$B445=""),"Dependent SSN is required for every dependent; ","")&amp;IF(AND($B445&lt;&gt;"",$O445=""),"Dependent Relationship is required when Dependent SSN is entered; ","")&amp;IF(AND($O445&lt;&gt;"",$O445&lt;&gt;"Spouse or Common Law Spouse",$O445&lt;&gt;"Domestic Partner",$O445&lt;&gt;"Child",$O445&lt;&gt;"Other",$O445&lt;&gt;"Estate",$O445&lt;&gt;"Unknown"),"Dependent Relationship must use one of the approved options; ",""))</f>
        <v/>
      </c>
      <c r="Z445">
        <f>IF(COUNTA($A445:$U445)=0,"",IF(AND($A445&lt;&gt;"",NOT(IFERROR(AND(LEN($A445&amp;"")=9,ISNUMBER(--($A445&amp;""))),FALSE))),"Employee SSN must contain exactly 9 digits; ","")&amp;IF(AND($A445&lt;&gt;"",OR($A445="123456789",$A445="987654321",$A445="012345678",$A445=REPT(LEFT($A445&amp;"",1),9))),"Employee SSN appears to be a placeholder; ","")&amp;IF(AND($B445&lt;&gt;"",NOT(IFERROR(AND(LEN($B445&amp;"")=9,ISNUMBER(--($B445&amp;""))),FALSE))),"Dependent SSN must contain exactly 9 digits; ","")&amp;IF(AND($B445&lt;&gt;"",OR($B445="123456789",$B445="987654321",$B445="012345678",$B445=REPT(LEFT($B445&amp;"",1),9))),"Dependent SSN appears to be a placeholder; ","")&amp;IF(AND($A445&lt;&gt;"",$B445&lt;&gt;"",$A445&amp;""=$B445&amp;""),"Dependent SSN cannot match Employee SSN; ","")&amp;IF(AND($W445&lt;&gt;"",OR(COUNTIFS($W$2:$W$501,$W445,$C$2:$C$501,"&lt;&gt;"&amp;$C445)&gt;0,COUNTIFS($W$2:$W$501,$W445,$D$2:$D$501,"&lt;&gt;"&amp;$D445)&gt;0,COUNTIFS($W$2:$W$501,$W445,$L$2:$L$501,"&lt;&gt;"&amp;$L445)&gt;0)),"The same SSN is associated with a different name or birthdate; ",""))</f>
        <v/>
      </c>
      <c r="AA445">
        <f>IF(COUNTA($A445:$U445)=0,"",IF(AND($A445&lt;&gt;"",$S445&lt;&gt;"",COUNTIFS($A$2:$A$501,$A445,$S$2:$S$501,$S445,$B$2:$B$501,"",$O$2:$O$501,"")=0),"Add an employee row for this household and plan; ","")&amp;IF(AND($X445="Dependent",COUNTIFS($A$2:$A445,$A445,$S$2:$S445,$S445,$B$2:$B445,"",$O$2:$O445,"")=0),"Place the employee row before dependent rows for this plan; ","")&amp;IF(AND($X445="Dependent",COUNTIFS($A$2:$A$501,$A445,$S$2:$S$501,$S445,$B$2:$B$501,"",$O$2:$O$501,"")&gt;0,IFERROR(OR($P445&lt;&gt;LOOKUP(2,1/(($A$2:$A$501=$A445)*($S$2:$S$501=$S445)*($B$2:$B$501="")*($O$2:$O$501="")),$P$2:$P$501),$Q445&lt;&gt;LOOKUP(2,1/(($A$2:$A$501=$A445)*($S$2:$S$501=$S445)*($B$2:$B$501="")*($O$2:$O$501="")),$Q$2:$Q$501),$R445&lt;&gt;LOOKUP(2,1/(($A$2:$A$501=$A445)*($S$2:$S$501=$S445)*($B$2:$B$501="")*($O$2:$O$501="")),$R$2:$R$501),$T445&lt;&gt;LOOKUP(2,1/(($A$2:$A$501=$A445)*($S$2:$S$501=$S445)*($B$2:$B$501="")*($O$2:$O$501="")),$T$2:$T$501),$U445&lt;&gt;LOOKUP(2,1/(($A$2:$A$501=$A445)*($S$2:$S$501=$S445)*($B$2:$B$501="")*($O$2:$O$501="")),$U$2:$U$501)),FALSE)),"Dependent row does not match the employee row for eligibility, status, coverage level, or funding; ",""))</f>
        <v/>
      </c>
      <c r="AB445">
        <f>IF(COUNTA($A445:$U445)=0,"",IF($L445="","Birthdate is required; ","")&amp;IF(AND($L445&lt;&gt;"",OR(NOT(ISNUMBER($L445)),$L445&lt;=DATE(1900,1,1),$L445&gt;TODAY())),"Birthdate must be an exact valid past date; ","")&amp;IF($P445="","Eligibility Date is required; ","")&amp;IF(AND($P445&lt;&gt;"",OR(NOT(ISNUMBER($P445)),$P445&lt;=DATE(1900,1,1))),"Eligibility Date must be a valid date; ","")&amp;IF(AND($R445="Terminated",$Q445=""),"Termination Date is required when Status is Terminated; ","")&amp;IF(AND($Q445&lt;&gt;"",OR(NOT(ISNUMBER($Q445)),$Q445&lt;=DATE(1900,1,1))),"Termination Date must be a valid date; ","")&amp;IF(AND(ISNUMBER($P445),ISNUMBER($Q445),$Q445&lt;$P445),"Termination Date cannot be before Eligibility Date; ","")&amp;IF($R445="","Status is required; ","")&amp;IF(AND($R445&lt;&gt;"",$R445&lt;&gt;"Active",$R445&lt;&gt;"Terminated"),"Status must be Active or Terminated; ","")&amp;IF(AND('START HERE'!$C$8="Terminations Only",$R445&lt;&gt;"Terminated"),"Terminations Only files must contain terminated records; ",""))</f>
        <v/>
      </c>
      <c r="AC445">
        <f>IF(COUNTA($A445:$U445)=0,"",IF($S445="","Plan Name is required; ","")&amp;IF($T445="","Benefit Coverage Level is required; ","")&amp;IF(AND($U445&lt;&gt;"",OR(NOT(ISNUMBER($U445)),$U445&lt;0)),"Plan Funding Amount must be a nonnegative number; ","")&amp;IF(AND($A445&lt;&gt;"",$S445&lt;&gt;"",COUNTIFS($A$2:$A$501,$A445,$B$2:$B$501,$B445,$S$2:$S$501,$S445)&gt;1),"Duplicate participant and plan row; ",""))</f>
        <v/>
      </c>
      <c r="AD445">
        <f>IF(COUNTA($A445:$U445)=0,"",IF(AND($X445="Employee",$M445="",$N445=""),"No employee phone or email provided; ","")&amp;IF(AND($R445="Active",$Q445&lt;&gt;""),"Active record includes a Termination Date; confirm this is intentional; ","")&amp;IF(AND($B445&lt;&gt;"",$B445&amp;""&lt;&gt;$A445&amp;"",COUNTIF($A$2:$A$501,$B445)&gt;0),"Dependent SSN also appears as an Employee SSN elsewhere; confirm dual-employee coverage is intentional; ","")&amp;IF(AND($B445&lt;&gt;"",COUNTIF($B$2:$B$501,$B445)&gt;COUNTIFS($A$2:$A$501,$A445,$B$2:$B$501,$B445)),"Dependent SSN appears under more than one employee; confirm duplicate family coverage is intentional; ","")&amp;IF(AND(ROW()&gt;2,$A445&lt;&gt;"",$A445&lt;&gt;$A444,COUNTIF($A$2:$A444,$A445)&gt;0),"This household appears in more than one section of the census; keep the family together; ","")&amp;IF(OR(AND($C445&lt;&gt;"",LEN($C445&amp;"")&lt;&gt;LEN(TRIM($C445&amp;""))),AND($D445&lt;&gt;"",LEN($D445&amp;"")&lt;&gt;LEN(TRIM($D445&amp;""))),AND($E445&lt;&gt;"",LEN($E445&amp;"")&lt;&gt;LEN(TRIM($E445&amp;""))),AND($F445&lt;&gt;"",LEN($F445&amp;"")&lt;&gt;LEN(TRIM($F445&amp;""))),AND($G445&lt;&gt;"",LEN($G445&amp;"")&lt;&gt;LEN(TRIM($G445&amp;""))),AND($H445&lt;&gt;"",LEN($H445&amp;"")&lt;&gt;LEN(TRIM($H445&amp;""))),AND($I445&lt;&gt;"",LEN($I445&amp;"")&lt;&gt;LEN(TRIM($I445&amp;""))),AND($J445&lt;&gt;"",LEN($J445&amp;"")&lt;&gt;LEN(TRIM($J445&amp;""))),AND($K445&lt;&gt;"",LEN($K445&amp;"")&lt;&gt;LEN(TRIM($K445&amp;""))),AND($M445&lt;&gt;"",LEN($M445&amp;"")&lt;&gt;LEN(TRIM($M445&amp;""))),AND($N445&lt;&gt;"",LEN($N445&amp;"")&lt;&gt;LEN(TRIM($N445&amp;""))),AND($O445&lt;&gt;"",LEN($O445&amp;"")&lt;&gt;LEN(TRIM($O445&amp;""))),AND($R445&lt;&gt;"",LEN($R445&amp;"")&lt;&gt;LEN(TRIM($R445&amp;""))),AND($S445&lt;&gt;"",LEN($S445&amp;"")&lt;&gt;LEN(TRIM($S445&amp;""))),AND($T445&lt;&gt;"",LEN($T445&amp;"")&lt;&gt;LEN(TRIM($T445&amp;"")))),"Remove leading or trailing spaces from text fields; ","")&amp;IF(OR(AND(LEN($C445)&gt;1,OR(EXACT($C445,UPPER($C445)),EXACT($C445,LOWER($C445)))),AND(LEN($D445)&gt;1,OR(EXACT($D445,UPPER($D445)),EXACT($D445,LOWER($D445)))),AND(LEN($H445)&gt;1,OR(EXACT($H445,UPPER($H445)),EXACT($H445,LOWER($H445))))),"Review capitalization in First Name, Last Name, or City; ","")&amp;IF(AND($N445&lt;&gt;"",NOT(EXACT($N445,LOWER($N445)))),"Email will be standardized to lowercase in the clean output; ","")&amp;IF(AND(OR('START HERE'!$C$8="Initial Enrollment",'START HERE'!$C$8="Open Enrollment"),$R445="Terminated"),"A terminated row is included in an initial or open enrollment file; confirm this is intentional; ",""))</f>
        <v/>
      </c>
      <c r="AE445">
        <f>IF(COUNTA($A445:$U445)=0,"",IF(OR($A445="",AND($A445&lt;&gt;"",NOT(IFERROR(AND(LEN($A445&amp;"")=9,ISNUMBER(--($A445&amp;""))),FALSE))),AND($A445&lt;&gt;"",OR($A445="123456789",$A445="987654321",$A445="012345678",$A445=REPT(LEFT($A445&amp;"",1),9)))),"Employee SSN, ","")&amp;IF(OR(AND($O445&lt;&gt;"",$B445=""),AND($B445&lt;&gt;"",OR(NOT(IFERROR(AND(LEN($B445&amp;"")=9,ISNUMBER(--($B445&amp;""))),FALSE)),$B445=$A445,$B445="123456789",$B445="987654321",$B445="012345678",$B445=REPT(LEFT($B445&amp;"",1),9)))),"Dependent SSN, ","")&amp;IF(OR($C445="",LEN($C445)&gt;19,AND($C445&lt;&gt;"",SUMPRODUCT(--(ROW($1:$19)&lt;=LEN($C445&amp;"")),--ISERROR(FIND(MID($C445&amp;"",ROW($1:$19),1),"ABCDEFGHIJKLMNOPQRSTUVWXYZabcdefghijklmnopqrstuvwxyz .,")))&gt;0)),"First Name, ","")&amp;IF(OR($D445="",LEN($D445)&gt;26,AND($D445&lt;&gt;"",SUMPRODUCT(--(ROW($1:$26)&lt;=LEN($D445&amp;"")),--ISERROR(FIND(MID($D445&amp;"",ROW($1:$26),1),"ABCDEFGHIJKLMNOPQRSTUVWXYZabcdefghijklmnopqrstuvwxyz .,")))&gt;0)),"Last Name, ","")&amp;IF(OR(LEN($E445)&gt;1,AND($E445&lt;&gt;"",SUMPRODUCT(--(ROW($1:$1)&lt;=LEN($E445&amp;"")),--ISERROR(FIND(MID($E445&amp;"",ROW($1:$1),1),"ABCDEFGHIJKLMNOPQRSTUVWXYZabcdefghijklmnopqrstuvwxyz .,")))&gt;0)),"Middle Initial, ","")&amp;IF(OR($F445="",LEN($F445)&gt;75),"Address, ","")&amp;IF(OR($H445="",LEN($H445)&gt;30),"City, ","")&amp;IF(AND($K445="US",OR($I445="",LEN($I445)&lt;&gt;2)),"State, ","")&amp;IF($J445="","ZIP, ","")&amp;IF(OR($K445="",AND($K445&lt;&gt;"US",$K445&lt;&gt;"CA")),"Country, ","")&amp;IF(OR($L445="",AND($L445&lt;&gt;"",OR(NOT(ISNUMBER($L445)),$L445&lt;=DATE(1900,1,1),$L445&gt;TODAY()))),"Birthdate, ","")&amp;IF(AND($N445&lt;&gt;"",NOT(IFERROR(AND(ISNUMBER(SEARCH("@",$N445)),ISNUMBER(SEARCH(".",$N445,SEARCH("@",$N445)+2))),FALSE))),"Email, ","")&amp;IF(OR(AND($B445&lt;&gt;"",$O445=""),AND($O445&lt;&gt;"",$O445&lt;&gt;"Spouse or Common Law Spouse",$O445&lt;&gt;"Domestic Partner",$O445&lt;&gt;"Child",$O445&lt;&gt;"Other",$O445&lt;&gt;"Estate",$O445&lt;&gt;"Unknown")),"Dependent Relationship, ","")&amp;IF($AA445&lt;&gt;"","Household, ","")&amp;IF(OR($P445="",AND($P445&lt;&gt;"",OR(NOT(ISNUMBER($P445)),$P445&lt;=DATE(1900,1,1)))),"Eligibility Date, ","")&amp;IF(OR(AND($R445="Terminated",$Q445=""),AND($Q445&lt;&gt;"",OR(NOT(ISNUMBER($Q445)),$Q445&lt;=DATE(1900,1,1))),AND(ISNUMBER($P445),ISNUMBER($Q445),$Q445&lt;$P445)),"Termination Date, ","")&amp;IF(OR($R445="",AND($R445&lt;&gt;"Active",$R445&lt;&gt;"Terminated"),AND('START HERE'!$C$8="Terminations Only",$R445&lt;&gt;"Terminated")),"Status, ","")&amp;IF($S445="","Plan Name, ","")&amp;IF($T445="","Coverage Level, ","")&amp;IF(AND($U445&lt;&gt;"",OR(NOT(ISNUMBER($U445)),$U445&lt;0)),"Funding, ","")&amp;IF(AND($A445&lt;&gt;"",$S445&lt;&gt;"",COUNTIFS($A$2:$A$501,$A445,$B$2:$B$501,$B445,$S$2:$S$501,$S445)&gt;1),"Duplicate Row, ",""))</f>
        <v/>
      </c>
      <c r="AF445">
        <f>IF(COUNTA($A445:$U445)=0,"",$Y445&amp;$Z445&amp;$AA445&amp;$AB445&amp;$AC445)</f>
        <v/>
      </c>
      <c r="AG445">
        <f>IF($N445="","",LOWER(TRIM($N445)))</f>
        <v/>
      </c>
      <c r="AH445">
        <f>IF($A445="","",COUNTIFS($A$2:$A$501,$A445,$AI$2:$AI$501,1))</f>
        <v/>
      </c>
      <c r="AI445">
        <f>IF(COUNTA($A445:$U445)=0,"",--($AF445&lt;&gt;""))</f>
        <v/>
      </c>
      <c r="AJ445">
        <f>IF(COUNTA($A445:$U445)=0,"",--($AD445&lt;&gt;""))</f>
        <v/>
      </c>
    </row>
    <row r="446" ht="20" customHeight="1">
      <c r="A446" s="80" t="n"/>
      <c r="B446" s="80" t="n"/>
      <c r="C446" s="81" t="n"/>
      <c r="D446" s="81" t="n"/>
      <c r="E446" s="80" t="n"/>
      <c r="F446" s="81" t="n"/>
      <c r="G446" s="81" t="n"/>
      <c r="H446" s="81" t="n"/>
      <c r="I446" s="80" t="n"/>
      <c r="J446" s="80" t="n"/>
      <c r="K446" s="80" t="n"/>
      <c r="L446" s="82" t="n"/>
      <c r="M446" s="80" t="n"/>
      <c r="N446" s="80" t="n"/>
      <c r="O446" s="80" t="n"/>
      <c r="P446" s="82" t="n"/>
      <c r="Q446" s="82" t="n"/>
      <c r="R446" s="80" t="n"/>
      <c r="S446" s="80" t="n"/>
      <c r="T446" s="80" t="n"/>
      <c r="U446" s="83" t="n"/>
      <c r="V446">
        <f>IF($A446="","",IF($A446=$A445,$V445,IF($V445="",0,1-$V445)))</f>
        <v/>
      </c>
      <c r="W446">
        <f>IF($B446&lt;&gt;"",$B446,$A446)</f>
        <v/>
      </c>
      <c r="X446">
        <f>IF(COUNTA($A446:$U446)=0,"",IF(OR($B446&lt;&gt;"",$O446&lt;&gt;""),"Dependent","Employee"))</f>
        <v/>
      </c>
      <c r="Y446">
        <f>IF(COUNTA($A446:$U446)=0,"",IF($A446="","Employee SSN is required; ","")&amp;IF($C446="","First Name is required; ","")&amp;IF(LEN($C446&amp;"")&gt;19,"First Name exceeds 19 characters; ","")&amp;IF(AND($C446&lt;&gt;"",SUMPRODUCT(--(ROW($1:$19)&lt;=LEN($C446&amp;"")),--ISERROR(FIND(MID($C446&amp;"",ROW($1:$19),1),"ABCDEFGHIJKLMNOPQRSTUVWXYZabcdefghijklmnopqrstuvwxyz .,")))&gt;0),"First Name contains unsupported or encoded characters; use plain A-Z letters only; ","")&amp;IF($D446="","Last Name is required; ","")&amp;IF(LEN($D446&amp;"")&gt;26,"Last Name exceeds 26 characters; ","")&amp;IF(AND($D446&lt;&gt;"",SUMPRODUCT(--(ROW($1:$26)&lt;=LEN($D446&amp;"")),--ISERROR(FIND(MID($D446&amp;"",ROW($1:$26),1),"ABCDEFGHIJKLMNOPQRSTUVWXYZabcdefghijklmnopqrstuvwxyz .,")))&gt;0),"Last Name contains unsupported or encoded characters; use plain A-Z letters only; ","")&amp;IF(LEN($E446&amp;"")&gt;1,"Middle Initial may contain only one character; ","")&amp;IF(AND($E446&lt;&gt;"",SUMPRODUCT(--(ROW($1:$1)&lt;=LEN($E446&amp;"")),--ISERROR(FIND(MID($E446&amp;"",ROW($1:$1),1),"ABCDEFGHIJKLMNOPQRSTUVWXYZabcdefghijklmnopqrstuvwxyz .,")))&gt;0),"Middle Initial must be a plain A-Z letter; ","")&amp;IF($F446="","Address is required; ","")&amp;IF(LEN($F446&amp;"")&gt;75,"Address exceeds 75 characters; ","")&amp;IF(LEN($G446&amp;"")&gt;75,"Address 2 exceeds 75 characters; ","")&amp;IF($H446="","City is required; ","")&amp;IF(LEN($H446&amp;"")&gt;30,"City exceeds 30 characters; ","")&amp;IF($K446="","Country is required; ","")&amp;IF(AND($K446&lt;&gt;"",$K446&lt;&gt;"US",$K446&lt;&gt;"CA"),"Country must be US or CA; ","")&amp;IF(AND($K446="US",OR($I446="",LEN($I446&amp;"")&lt;&gt;2)),"Use a 2-letter state code; ","")&amp;IF($J446="","ZIP or postal code is required; ","")&amp;IF(AND($K446="US",$J446&lt;&gt;"",NOT(IFERROR(OR(AND(LEN($J446&amp;"")=5,ISNUMBER(--($J446&amp;""))),AND(LEN($J446&amp;"")=9,ISNUMBER(--($J446&amp;""))),AND(LEN($J446&amp;"")=10,MID($J446&amp;"",6,1)="-",ISNUMBER(--SUBSTITUTE($J446&amp;"","-","")))),FALSE))),"US ZIP must be 5 or 9 digits, with an optional ZIP+4 hyphen; ","")&amp;IF(AND($N446&lt;&gt;"",NOT(IFERROR(AND(ISNUMBER(SEARCH("@",$N446)),ISNUMBER(SEARCH(".",$N446,SEARCH("@",$N446)+2))),FALSE))),"Email format appears invalid; ","")&amp;IF(AND($O446&lt;&gt;"",$B446=""),"Dependent SSN is required for every dependent; ","")&amp;IF(AND($B446&lt;&gt;"",$O446=""),"Dependent Relationship is required when Dependent SSN is entered; ","")&amp;IF(AND($O446&lt;&gt;"",$O446&lt;&gt;"Spouse or Common Law Spouse",$O446&lt;&gt;"Domestic Partner",$O446&lt;&gt;"Child",$O446&lt;&gt;"Other",$O446&lt;&gt;"Estate",$O446&lt;&gt;"Unknown"),"Dependent Relationship must use one of the approved options; ",""))</f>
        <v/>
      </c>
      <c r="Z446">
        <f>IF(COUNTA($A446:$U446)=0,"",IF(AND($A446&lt;&gt;"",NOT(IFERROR(AND(LEN($A446&amp;"")=9,ISNUMBER(--($A446&amp;""))),FALSE))),"Employee SSN must contain exactly 9 digits; ","")&amp;IF(AND($A446&lt;&gt;"",OR($A446="123456789",$A446="987654321",$A446="012345678",$A446=REPT(LEFT($A446&amp;"",1),9))),"Employee SSN appears to be a placeholder; ","")&amp;IF(AND($B446&lt;&gt;"",NOT(IFERROR(AND(LEN($B446&amp;"")=9,ISNUMBER(--($B446&amp;""))),FALSE))),"Dependent SSN must contain exactly 9 digits; ","")&amp;IF(AND($B446&lt;&gt;"",OR($B446="123456789",$B446="987654321",$B446="012345678",$B446=REPT(LEFT($B446&amp;"",1),9))),"Dependent SSN appears to be a placeholder; ","")&amp;IF(AND($A446&lt;&gt;"",$B446&lt;&gt;"",$A446&amp;""=$B446&amp;""),"Dependent SSN cannot match Employee SSN; ","")&amp;IF(AND($W446&lt;&gt;"",OR(COUNTIFS($W$2:$W$501,$W446,$C$2:$C$501,"&lt;&gt;"&amp;$C446)&gt;0,COUNTIFS($W$2:$W$501,$W446,$D$2:$D$501,"&lt;&gt;"&amp;$D446)&gt;0,COUNTIFS($W$2:$W$501,$W446,$L$2:$L$501,"&lt;&gt;"&amp;$L446)&gt;0)),"The same SSN is associated with a different name or birthdate; ",""))</f>
        <v/>
      </c>
      <c r="AA446">
        <f>IF(COUNTA($A446:$U446)=0,"",IF(AND($A446&lt;&gt;"",$S446&lt;&gt;"",COUNTIFS($A$2:$A$501,$A446,$S$2:$S$501,$S446,$B$2:$B$501,"",$O$2:$O$501,"")=0),"Add an employee row for this household and plan; ","")&amp;IF(AND($X446="Dependent",COUNTIFS($A$2:$A446,$A446,$S$2:$S446,$S446,$B$2:$B446,"",$O$2:$O446,"")=0),"Place the employee row before dependent rows for this plan; ","")&amp;IF(AND($X446="Dependent",COUNTIFS($A$2:$A$501,$A446,$S$2:$S$501,$S446,$B$2:$B$501,"",$O$2:$O$501,"")&gt;0,IFERROR(OR($P446&lt;&gt;LOOKUP(2,1/(($A$2:$A$501=$A446)*($S$2:$S$501=$S446)*($B$2:$B$501="")*($O$2:$O$501="")),$P$2:$P$501),$Q446&lt;&gt;LOOKUP(2,1/(($A$2:$A$501=$A446)*($S$2:$S$501=$S446)*($B$2:$B$501="")*($O$2:$O$501="")),$Q$2:$Q$501),$R446&lt;&gt;LOOKUP(2,1/(($A$2:$A$501=$A446)*($S$2:$S$501=$S446)*($B$2:$B$501="")*($O$2:$O$501="")),$R$2:$R$501),$T446&lt;&gt;LOOKUP(2,1/(($A$2:$A$501=$A446)*($S$2:$S$501=$S446)*($B$2:$B$501="")*($O$2:$O$501="")),$T$2:$T$501),$U446&lt;&gt;LOOKUP(2,1/(($A$2:$A$501=$A446)*($S$2:$S$501=$S446)*($B$2:$B$501="")*($O$2:$O$501="")),$U$2:$U$501)),FALSE)),"Dependent row does not match the employee row for eligibility, status, coverage level, or funding; ",""))</f>
        <v/>
      </c>
      <c r="AB446">
        <f>IF(COUNTA($A446:$U446)=0,"",IF($L446="","Birthdate is required; ","")&amp;IF(AND($L446&lt;&gt;"",OR(NOT(ISNUMBER($L446)),$L446&lt;=DATE(1900,1,1),$L446&gt;TODAY())),"Birthdate must be an exact valid past date; ","")&amp;IF($P446="","Eligibility Date is required; ","")&amp;IF(AND($P446&lt;&gt;"",OR(NOT(ISNUMBER($P446)),$P446&lt;=DATE(1900,1,1))),"Eligibility Date must be a valid date; ","")&amp;IF(AND($R446="Terminated",$Q446=""),"Termination Date is required when Status is Terminated; ","")&amp;IF(AND($Q446&lt;&gt;"",OR(NOT(ISNUMBER($Q446)),$Q446&lt;=DATE(1900,1,1))),"Termination Date must be a valid date; ","")&amp;IF(AND(ISNUMBER($P446),ISNUMBER($Q446),$Q446&lt;$P446),"Termination Date cannot be before Eligibility Date; ","")&amp;IF($R446="","Status is required; ","")&amp;IF(AND($R446&lt;&gt;"",$R446&lt;&gt;"Active",$R446&lt;&gt;"Terminated"),"Status must be Active or Terminated; ","")&amp;IF(AND('START HERE'!$C$8="Terminations Only",$R446&lt;&gt;"Terminated"),"Terminations Only files must contain terminated records; ",""))</f>
        <v/>
      </c>
      <c r="AC446">
        <f>IF(COUNTA($A446:$U446)=0,"",IF($S446="","Plan Name is required; ","")&amp;IF($T446="","Benefit Coverage Level is required; ","")&amp;IF(AND($U446&lt;&gt;"",OR(NOT(ISNUMBER($U446)),$U446&lt;0)),"Plan Funding Amount must be a nonnegative number; ","")&amp;IF(AND($A446&lt;&gt;"",$S446&lt;&gt;"",COUNTIFS($A$2:$A$501,$A446,$B$2:$B$501,$B446,$S$2:$S$501,$S446)&gt;1),"Duplicate participant and plan row; ",""))</f>
        <v/>
      </c>
      <c r="AD446">
        <f>IF(COUNTA($A446:$U446)=0,"",IF(AND($X446="Employee",$M446="",$N446=""),"No employee phone or email provided; ","")&amp;IF(AND($R446="Active",$Q446&lt;&gt;""),"Active record includes a Termination Date; confirm this is intentional; ","")&amp;IF(AND($B446&lt;&gt;"",$B446&amp;""&lt;&gt;$A446&amp;"",COUNTIF($A$2:$A$501,$B446)&gt;0),"Dependent SSN also appears as an Employee SSN elsewhere; confirm dual-employee coverage is intentional; ","")&amp;IF(AND($B446&lt;&gt;"",COUNTIF($B$2:$B$501,$B446)&gt;COUNTIFS($A$2:$A$501,$A446,$B$2:$B$501,$B446)),"Dependent SSN appears under more than one employee; confirm duplicate family coverage is intentional; ","")&amp;IF(AND(ROW()&gt;2,$A446&lt;&gt;"",$A446&lt;&gt;$A445,COUNTIF($A$2:$A445,$A446)&gt;0),"This household appears in more than one section of the census; keep the family together; ","")&amp;IF(OR(AND($C446&lt;&gt;"",LEN($C446&amp;"")&lt;&gt;LEN(TRIM($C446&amp;""))),AND($D446&lt;&gt;"",LEN($D446&amp;"")&lt;&gt;LEN(TRIM($D446&amp;""))),AND($E446&lt;&gt;"",LEN($E446&amp;"")&lt;&gt;LEN(TRIM($E446&amp;""))),AND($F446&lt;&gt;"",LEN($F446&amp;"")&lt;&gt;LEN(TRIM($F446&amp;""))),AND($G446&lt;&gt;"",LEN($G446&amp;"")&lt;&gt;LEN(TRIM($G446&amp;""))),AND($H446&lt;&gt;"",LEN($H446&amp;"")&lt;&gt;LEN(TRIM($H446&amp;""))),AND($I446&lt;&gt;"",LEN($I446&amp;"")&lt;&gt;LEN(TRIM($I446&amp;""))),AND($J446&lt;&gt;"",LEN($J446&amp;"")&lt;&gt;LEN(TRIM($J446&amp;""))),AND($K446&lt;&gt;"",LEN($K446&amp;"")&lt;&gt;LEN(TRIM($K446&amp;""))),AND($M446&lt;&gt;"",LEN($M446&amp;"")&lt;&gt;LEN(TRIM($M446&amp;""))),AND($N446&lt;&gt;"",LEN($N446&amp;"")&lt;&gt;LEN(TRIM($N446&amp;""))),AND($O446&lt;&gt;"",LEN($O446&amp;"")&lt;&gt;LEN(TRIM($O446&amp;""))),AND($R446&lt;&gt;"",LEN($R446&amp;"")&lt;&gt;LEN(TRIM($R446&amp;""))),AND($S446&lt;&gt;"",LEN($S446&amp;"")&lt;&gt;LEN(TRIM($S446&amp;""))),AND($T446&lt;&gt;"",LEN($T446&amp;"")&lt;&gt;LEN(TRIM($T446&amp;"")))),"Remove leading or trailing spaces from text fields; ","")&amp;IF(OR(AND(LEN($C446)&gt;1,OR(EXACT($C446,UPPER($C446)),EXACT($C446,LOWER($C446)))),AND(LEN($D446)&gt;1,OR(EXACT($D446,UPPER($D446)),EXACT($D446,LOWER($D446)))),AND(LEN($H446)&gt;1,OR(EXACT($H446,UPPER($H446)),EXACT($H446,LOWER($H446))))),"Review capitalization in First Name, Last Name, or City; ","")&amp;IF(AND($N446&lt;&gt;"",NOT(EXACT($N446,LOWER($N446)))),"Email will be standardized to lowercase in the clean output; ","")&amp;IF(AND(OR('START HERE'!$C$8="Initial Enrollment",'START HERE'!$C$8="Open Enrollment"),$R446="Terminated"),"A terminated row is included in an initial or open enrollment file; confirm this is intentional; ",""))</f>
        <v/>
      </c>
      <c r="AE446">
        <f>IF(COUNTA($A446:$U446)=0,"",IF(OR($A446="",AND($A446&lt;&gt;"",NOT(IFERROR(AND(LEN($A446&amp;"")=9,ISNUMBER(--($A446&amp;""))),FALSE))),AND($A446&lt;&gt;"",OR($A446="123456789",$A446="987654321",$A446="012345678",$A446=REPT(LEFT($A446&amp;"",1),9)))),"Employee SSN, ","")&amp;IF(OR(AND($O446&lt;&gt;"",$B446=""),AND($B446&lt;&gt;"",OR(NOT(IFERROR(AND(LEN($B446&amp;"")=9,ISNUMBER(--($B446&amp;""))),FALSE)),$B446=$A446,$B446="123456789",$B446="987654321",$B446="012345678",$B446=REPT(LEFT($B446&amp;"",1),9)))),"Dependent SSN, ","")&amp;IF(OR($C446="",LEN($C446)&gt;19,AND($C446&lt;&gt;"",SUMPRODUCT(--(ROW($1:$19)&lt;=LEN($C446&amp;"")),--ISERROR(FIND(MID($C446&amp;"",ROW($1:$19),1),"ABCDEFGHIJKLMNOPQRSTUVWXYZabcdefghijklmnopqrstuvwxyz .,")))&gt;0)),"First Name, ","")&amp;IF(OR($D446="",LEN($D446)&gt;26,AND($D446&lt;&gt;"",SUMPRODUCT(--(ROW($1:$26)&lt;=LEN($D446&amp;"")),--ISERROR(FIND(MID($D446&amp;"",ROW($1:$26),1),"ABCDEFGHIJKLMNOPQRSTUVWXYZabcdefghijklmnopqrstuvwxyz .,")))&gt;0)),"Last Name, ","")&amp;IF(OR(LEN($E446)&gt;1,AND($E446&lt;&gt;"",SUMPRODUCT(--(ROW($1:$1)&lt;=LEN($E446&amp;"")),--ISERROR(FIND(MID($E446&amp;"",ROW($1:$1),1),"ABCDEFGHIJKLMNOPQRSTUVWXYZabcdefghijklmnopqrstuvwxyz .,")))&gt;0)),"Middle Initial, ","")&amp;IF(OR($F446="",LEN($F446)&gt;75),"Address, ","")&amp;IF(OR($H446="",LEN($H446)&gt;30),"City, ","")&amp;IF(AND($K446="US",OR($I446="",LEN($I446)&lt;&gt;2)),"State, ","")&amp;IF($J446="","ZIP, ","")&amp;IF(OR($K446="",AND($K446&lt;&gt;"US",$K446&lt;&gt;"CA")),"Country, ","")&amp;IF(OR($L446="",AND($L446&lt;&gt;"",OR(NOT(ISNUMBER($L446)),$L446&lt;=DATE(1900,1,1),$L446&gt;TODAY()))),"Birthdate, ","")&amp;IF(AND($N446&lt;&gt;"",NOT(IFERROR(AND(ISNUMBER(SEARCH("@",$N446)),ISNUMBER(SEARCH(".",$N446,SEARCH("@",$N446)+2))),FALSE))),"Email, ","")&amp;IF(OR(AND($B446&lt;&gt;"",$O446=""),AND($O446&lt;&gt;"",$O446&lt;&gt;"Spouse or Common Law Spouse",$O446&lt;&gt;"Domestic Partner",$O446&lt;&gt;"Child",$O446&lt;&gt;"Other",$O446&lt;&gt;"Estate",$O446&lt;&gt;"Unknown")),"Dependent Relationship, ","")&amp;IF($AA446&lt;&gt;"","Household, ","")&amp;IF(OR($P446="",AND($P446&lt;&gt;"",OR(NOT(ISNUMBER($P446)),$P446&lt;=DATE(1900,1,1)))),"Eligibility Date, ","")&amp;IF(OR(AND($R446="Terminated",$Q446=""),AND($Q446&lt;&gt;"",OR(NOT(ISNUMBER($Q446)),$Q446&lt;=DATE(1900,1,1))),AND(ISNUMBER($P446),ISNUMBER($Q446),$Q446&lt;$P446)),"Termination Date, ","")&amp;IF(OR($R446="",AND($R446&lt;&gt;"Active",$R446&lt;&gt;"Terminated"),AND('START HERE'!$C$8="Terminations Only",$R446&lt;&gt;"Terminated")),"Status, ","")&amp;IF($S446="","Plan Name, ","")&amp;IF($T446="","Coverage Level, ","")&amp;IF(AND($U446&lt;&gt;"",OR(NOT(ISNUMBER($U446)),$U446&lt;0)),"Funding, ","")&amp;IF(AND($A446&lt;&gt;"",$S446&lt;&gt;"",COUNTIFS($A$2:$A$501,$A446,$B$2:$B$501,$B446,$S$2:$S$501,$S446)&gt;1),"Duplicate Row, ",""))</f>
        <v/>
      </c>
      <c r="AF446">
        <f>IF(COUNTA($A446:$U446)=0,"",$Y446&amp;$Z446&amp;$AA446&amp;$AB446&amp;$AC446)</f>
        <v/>
      </c>
      <c r="AG446">
        <f>IF($N446="","",LOWER(TRIM($N446)))</f>
        <v/>
      </c>
      <c r="AH446">
        <f>IF($A446="","",COUNTIFS($A$2:$A$501,$A446,$AI$2:$AI$501,1))</f>
        <v/>
      </c>
      <c r="AI446">
        <f>IF(COUNTA($A446:$U446)=0,"",--($AF446&lt;&gt;""))</f>
        <v/>
      </c>
      <c r="AJ446">
        <f>IF(COUNTA($A446:$U446)=0,"",--($AD446&lt;&gt;""))</f>
        <v/>
      </c>
    </row>
    <row r="447" ht="20" customHeight="1">
      <c r="A447" s="80" t="n"/>
      <c r="B447" s="80" t="n"/>
      <c r="C447" s="81" t="n"/>
      <c r="D447" s="81" t="n"/>
      <c r="E447" s="80" t="n"/>
      <c r="F447" s="81" t="n"/>
      <c r="G447" s="81" t="n"/>
      <c r="H447" s="81" t="n"/>
      <c r="I447" s="80" t="n"/>
      <c r="J447" s="80" t="n"/>
      <c r="K447" s="80" t="n"/>
      <c r="L447" s="82" t="n"/>
      <c r="M447" s="80" t="n"/>
      <c r="N447" s="80" t="n"/>
      <c r="O447" s="80" t="n"/>
      <c r="P447" s="82" t="n"/>
      <c r="Q447" s="82" t="n"/>
      <c r="R447" s="80" t="n"/>
      <c r="S447" s="80" t="n"/>
      <c r="T447" s="80" t="n"/>
      <c r="U447" s="83" t="n"/>
      <c r="V447">
        <f>IF($A447="","",IF($A447=$A446,$V446,IF($V446="",0,1-$V446)))</f>
        <v/>
      </c>
      <c r="W447">
        <f>IF($B447&lt;&gt;"",$B447,$A447)</f>
        <v/>
      </c>
      <c r="X447">
        <f>IF(COUNTA($A447:$U447)=0,"",IF(OR($B447&lt;&gt;"",$O447&lt;&gt;""),"Dependent","Employee"))</f>
        <v/>
      </c>
      <c r="Y447">
        <f>IF(COUNTA($A447:$U447)=0,"",IF($A447="","Employee SSN is required; ","")&amp;IF($C447="","First Name is required; ","")&amp;IF(LEN($C447&amp;"")&gt;19,"First Name exceeds 19 characters; ","")&amp;IF(AND($C447&lt;&gt;"",SUMPRODUCT(--(ROW($1:$19)&lt;=LEN($C447&amp;"")),--ISERROR(FIND(MID($C447&amp;"",ROW($1:$19),1),"ABCDEFGHIJKLMNOPQRSTUVWXYZabcdefghijklmnopqrstuvwxyz .,")))&gt;0),"First Name contains unsupported or encoded characters; use plain A-Z letters only; ","")&amp;IF($D447="","Last Name is required; ","")&amp;IF(LEN($D447&amp;"")&gt;26,"Last Name exceeds 26 characters; ","")&amp;IF(AND($D447&lt;&gt;"",SUMPRODUCT(--(ROW($1:$26)&lt;=LEN($D447&amp;"")),--ISERROR(FIND(MID($D447&amp;"",ROW($1:$26),1),"ABCDEFGHIJKLMNOPQRSTUVWXYZabcdefghijklmnopqrstuvwxyz .,")))&gt;0),"Last Name contains unsupported or encoded characters; use plain A-Z letters only; ","")&amp;IF(LEN($E447&amp;"")&gt;1,"Middle Initial may contain only one character; ","")&amp;IF(AND($E447&lt;&gt;"",SUMPRODUCT(--(ROW($1:$1)&lt;=LEN($E447&amp;"")),--ISERROR(FIND(MID($E447&amp;"",ROW($1:$1),1),"ABCDEFGHIJKLMNOPQRSTUVWXYZabcdefghijklmnopqrstuvwxyz .,")))&gt;0),"Middle Initial must be a plain A-Z letter; ","")&amp;IF($F447="","Address is required; ","")&amp;IF(LEN($F447&amp;"")&gt;75,"Address exceeds 75 characters; ","")&amp;IF(LEN($G447&amp;"")&gt;75,"Address 2 exceeds 75 characters; ","")&amp;IF($H447="","City is required; ","")&amp;IF(LEN($H447&amp;"")&gt;30,"City exceeds 30 characters; ","")&amp;IF($K447="","Country is required; ","")&amp;IF(AND($K447&lt;&gt;"",$K447&lt;&gt;"US",$K447&lt;&gt;"CA"),"Country must be US or CA; ","")&amp;IF(AND($K447="US",OR($I447="",LEN($I447&amp;"")&lt;&gt;2)),"Use a 2-letter state code; ","")&amp;IF($J447="","ZIP or postal code is required; ","")&amp;IF(AND($K447="US",$J447&lt;&gt;"",NOT(IFERROR(OR(AND(LEN($J447&amp;"")=5,ISNUMBER(--($J447&amp;""))),AND(LEN($J447&amp;"")=9,ISNUMBER(--($J447&amp;""))),AND(LEN($J447&amp;"")=10,MID($J447&amp;"",6,1)="-",ISNUMBER(--SUBSTITUTE($J447&amp;"","-","")))),FALSE))),"US ZIP must be 5 or 9 digits, with an optional ZIP+4 hyphen; ","")&amp;IF(AND($N447&lt;&gt;"",NOT(IFERROR(AND(ISNUMBER(SEARCH("@",$N447)),ISNUMBER(SEARCH(".",$N447,SEARCH("@",$N447)+2))),FALSE))),"Email format appears invalid; ","")&amp;IF(AND($O447&lt;&gt;"",$B447=""),"Dependent SSN is required for every dependent; ","")&amp;IF(AND($B447&lt;&gt;"",$O447=""),"Dependent Relationship is required when Dependent SSN is entered; ","")&amp;IF(AND($O447&lt;&gt;"",$O447&lt;&gt;"Spouse or Common Law Spouse",$O447&lt;&gt;"Domestic Partner",$O447&lt;&gt;"Child",$O447&lt;&gt;"Other",$O447&lt;&gt;"Estate",$O447&lt;&gt;"Unknown"),"Dependent Relationship must use one of the approved options; ",""))</f>
        <v/>
      </c>
      <c r="Z447">
        <f>IF(COUNTA($A447:$U447)=0,"",IF(AND($A447&lt;&gt;"",NOT(IFERROR(AND(LEN($A447&amp;"")=9,ISNUMBER(--($A447&amp;""))),FALSE))),"Employee SSN must contain exactly 9 digits; ","")&amp;IF(AND($A447&lt;&gt;"",OR($A447="123456789",$A447="987654321",$A447="012345678",$A447=REPT(LEFT($A447&amp;"",1),9))),"Employee SSN appears to be a placeholder; ","")&amp;IF(AND($B447&lt;&gt;"",NOT(IFERROR(AND(LEN($B447&amp;"")=9,ISNUMBER(--($B447&amp;""))),FALSE))),"Dependent SSN must contain exactly 9 digits; ","")&amp;IF(AND($B447&lt;&gt;"",OR($B447="123456789",$B447="987654321",$B447="012345678",$B447=REPT(LEFT($B447&amp;"",1),9))),"Dependent SSN appears to be a placeholder; ","")&amp;IF(AND($A447&lt;&gt;"",$B447&lt;&gt;"",$A447&amp;""=$B447&amp;""),"Dependent SSN cannot match Employee SSN; ","")&amp;IF(AND($W447&lt;&gt;"",OR(COUNTIFS($W$2:$W$501,$W447,$C$2:$C$501,"&lt;&gt;"&amp;$C447)&gt;0,COUNTIFS($W$2:$W$501,$W447,$D$2:$D$501,"&lt;&gt;"&amp;$D447)&gt;0,COUNTIFS($W$2:$W$501,$W447,$L$2:$L$501,"&lt;&gt;"&amp;$L447)&gt;0)),"The same SSN is associated with a different name or birthdate; ",""))</f>
        <v/>
      </c>
      <c r="AA447">
        <f>IF(COUNTA($A447:$U447)=0,"",IF(AND($A447&lt;&gt;"",$S447&lt;&gt;"",COUNTIFS($A$2:$A$501,$A447,$S$2:$S$501,$S447,$B$2:$B$501,"",$O$2:$O$501,"")=0),"Add an employee row for this household and plan; ","")&amp;IF(AND($X447="Dependent",COUNTIFS($A$2:$A447,$A447,$S$2:$S447,$S447,$B$2:$B447,"",$O$2:$O447,"")=0),"Place the employee row before dependent rows for this plan; ","")&amp;IF(AND($X447="Dependent",COUNTIFS($A$2:$A$501,$A447,$S$2:$S$501,$S447,$B$2:$B$501,"",$O$2:$O$501,"")&gt;0,IFERROR(OR($P447&lt;&gt;LOOKUP(2,1/(($A$2:$A$501=$A447)*($S$2:$S$501=$S447)*($B$2:$B$501="")*($O$2:$O$501="")),$P$2:$P$501),$Q447&lt;&gt;LOOKUP(2,1/(($A$2:$A$501=$A447)*($S$2:$S$501=$S447)*($B$2:$B$501="")*($O$2:$O$501="")),$Q$2:$Q$501),$R447&lt;&gt;LOOKUP(2,1/(($A$2:$A$501=$A447)*($S$2:$S$501=$S447)*($B$2:$B$501="")*($O$2:$O$501="")),$R$2:$R$501),$T447&lt;&gt;LOOKUP(2,1/(($A$2:$A$501=$A447)*($S$2:$S$501=$S447)*($B$2:$B$501="")*($O$2:$O$501="")),$T$2:$T$501),$U447&lt;&gt;LOOKUP(2,1/(($A$2:$A$501=$A447)*($S$2:$S$501=$S447)*($B$2:$B$501="")*($O$2:$O$501="")),$U$2:$U$501)),FALSE)),"Dependent row does not match the employee row for eligibility, status, coverage level, or funding; ",""))</f>
        <v/>
      </c>
      <c r="AB447">
        <f>IF(COUNTA($A447:$U447)=0,"",IF($L447="","Birthdate is required; ","")&amp;IF(AND($L447&lt;&gt;"",OR(NOT(ISNUMBER($L447)),$L447&lt;=DATE(1900,1,1),$L447&gt;TODAY())),"Birthdate must be an exact valid past date; ","")&amp;IF($P447="","Eligibility Date is required; ","")&amp;IF(AND($P447&lt;&gt;"",OR(NOT(ISNUMBER($P447)),$P447&lt;=DATE(1900,1,1))),"Eligibility Date must be a valid date; ","")&amp;IF(AND($R447="Terminated",$Q447=""),"Termination Date is required when Status is Terminated; ","")&amp;IF(AND($Q447&lt;&gt;"",OR(NOT(ISNUMBER($Q447)),$Q447&lt;=DATE(1900,1,1))),"Termination Date must be a valid date; ","")&amp;IF(AND(ISNUMBER($P447),ISNUMBER($Q447),$Q447&lt;$P447),"Termination Date cannot be before Eligibility Date; ","")&amp;IF($R447="","Status is required; ","")&amp;IF(AND($R447&lt;&gt;"",$R447&lt;&gt;"Active",$R447&lt;&gt;"Terminated"),"Status must be Active or Terminated; ","")&amp;IF(AND('START HERE'!$C$8="Terminations Only",$R447&lt;&gt;"Terminated"),"Terminations Only files must contain terminated records; ",""))</f>
        <v/>
      </c>
      <c r="AC447">
        <f>IF(COUNTA($A447:$U447)=0,"",IF($S447="","Plan Name is required; ","")&amp;IF($T447="","Benefit Coverage Level is required; ","")&amp;IF(AND($U447&lt;&gt;"",OR(NOT(ISNUMBER($U447)),$U447&lt;0)),"Plan Funding Amount must be a nonnegative number; ","")&amp;IF(AND($A447&lt;&gt;"",$S447&lt;&gt;"",COUNTIFS($A$2:$A$501,$A447,$B$2:$B$501,$B447,$S$2:$S$501,$S447)&gt;1),"Duplicate participant and plan row; ",""))</f>
        <v/>
      </c>
      <c r="AD447">
        <f>IF(COUNTA($A447:$U447)=0,"",IF(AND($X447="Employee",$M447="",$N447=""),"No employee phone or email provided; ","")&amp;IF(AND($R447="Active",$Q447&lt;&gt;""),"Active record includes a Termination Date; confirm this is intentional; ","")&amp;IF(AND($B447&lt;&gt;"",$B447&amp;""&lt;&gt;$A447&amp;"",COUNTIF($A$2:$A$501,$B447)&gt;0),"Dependent SSN also appears as an Employee SSN elsewhere; confirm dual-employee coverage is intentional; ","")&amp;IF(AND($B447&lt;&gt;"",COUNTIF($B$2:$B$501,$B447)&gt;COUNTIFS($A$2:$A$501,$A447,$B$2:$B$501,$B447)),"Dependent SSN appears under more than one employee; confirm duplicate family coverage is intentional; ","")&amp;IF(AND(ROW()&gt;2,$A447&lt;&gt;"",$A447&lt;&gt;$A446,COUNTIF($A$2:$A446,$A447)&gt;0),"This household appears in more than one section of the census; keep the family together; ","")&amp;IF(OR(AND($C447&lt;&gt;"",LEN($C447&amp;"")&lt;&gt;LEN(TRIM($C447&amp;""))),AND($D447&lt;&gt;"",LEN($D447&amp;"")&lt;&gt;LEN(TRIM($D447&amp;""))),AND($E447&lt;&gt;"",LEN($E447&amp;"")&lt;&gt;LEN(TRIM($E447&amp;""))),AND($F447&lt;&gt;"",LEN($F447&amp;"")&lt;&gt;LEN(TRIM($F447&amp;""))),AND($G447&lt;&gt;"",LEN($G447&amp;"")&lt;&gt;LEN(TRIM($G447&amp;""))),AND($H447&lt;&gt;"",LEN($H447&amp;"")&lt;&gt;LEN(TRIM($H447&amp;""))),AND($I447&lt;&gt;"",LEN($I447&amp;"")&lt;&gt;LEN(TRIM($I447&amp;""))),AND($J447&lt;&gt;"",LEN($J447&amp;"")&lt;&gt;LEN(TRIM($J447&amp;""))),AND($K447&lt;&gt;"",LEN($K447&amp;"")&lt;&gt;LEN(TRIM($K447&amp;""))),AND($M447&lt;&gt;"",LEN($M447&amp;"")&lt;&gt;LEN(TRIM($M447&amp;""))),AND($N447&lt;&gt;"",LEN($N447&amp;"")&lt;&gt;LEN(TRIM($N447&amp;""))),AND($O447&lt;&gt;"",LEN($O447&amp;"")&lt;&gt;LEN(TRIM($O447&amp;""))),AND($R447&lt;&gt;"",LEN($R447&amp;"")&lt;&gt;LEN(TRIM($R447&amp;""))),AND($S447&lt;&gt;"",LEN($S447&amp;"")&lt;&gt;LEN(TRIM($S447&amp;""))),AND($T447&lt;&gt;"",LEN($T447&amp;"")&lt;&gt;LEN(TRIM($T447&amp;"")))),"Remove leading or trailing spaces from text fields; ","")&amp;IF(OR(AND(LEN($C447)&gt;1,OR(EXACT($C447,UPPER($C447)),EXACT($C447,LOWER($C447)))),AND(LEN($D447)&gt;1,OR(EXACT($D447,UPPER($D447)),EXACT($D447,LOWER($D447)))),AND(LEN($H447)&gt;1,OR(EXACT($H447,UPPER($H447)),EXACT($H447,LOWER($H447))))),"Review capitalization in First Name, Last Name, or City; ","")&amp;IF(AND($N447&lt;&gt;"",NOT(EXACT($N447,LOWER($N447)))),"Email will be standardized to lowercase in the clean output; ","")&amp;IF(AND(OR('START HERE'!$C$8="Initial Enrollment",'START HERE'!$C$8="Open Enrollment"),$R447="Terminated"),"A terminated row is included in an initial or open enrollment file; confirm this is intentional; ",""))</f>
        <v/>
      </c>
      <c r="AE447">
        <f>IF(COUNTA($A447:$U447)=0,"",IF(OR($A447="",AND($A447&lt;&gt;"",NOT(IFERROR(AND(LEN($A447&amp;"")=9,ISNUMBER(--($A447&amp;""))),FALSE))),AND($A447&lt;&gt;"",OR($A447="123456789",$A447="987654321",$A447="012345678",$A447=REPT(LEFT($A447&amp;"",1),9)))),"Employee SSN, ","")&amp;IF(OR(AND($O447&lt;&gt;"",$B447=""),AND($B447&lt;&gt;"",OR(NOT(IFERROR(AND(LEN($B447&amp;"")=9,ISNUMBER(--($B447&amp;""))),FALSE)),$B447=$A447,$B447="123456789",$B447="987654321",$B447="012345678",$B447=REPT(LEFT($B447&amp;"",1),9)))),"Dependent SSN, ","")&amp;IF(OR($C447="",LEN($C447)&gt;19,AND($C447&lt;&gt;"",SUMPRODUCT(--(ROW($1:$19)&lt;=LEN($C447&amp;"")),--ISERROR(FIND(MID($C447&amp;"",ROW($1:$19),1),"ABCDEFGHIJKLMNOPQRSTUVWXYZabcdefghijklmnopqrstuvwxyz .,")))&gt;0)),"First Name, ","")&amp;IF(OR($D447="",LEN($D447)&gt;26,AND($D447&lt;&gt;"",SUMPRODUCT(--(ROW($1:$26)&lt;=LEN($D447&amp;"")),--ISERROR(FIND(MID($D447&amp;"",ROW($1:$26),1),"ABCDEFGHIJKLMNOPQRSTUVWXYZabcdefghijklmnopqrstuvwxyz .,")))&gt;0)),"Last Name, ","")&amp;IF(OR(LEN($E447)&gt;1,AND($E447&lt;&gt;"",SUMPRODUCT(--(ROW($1:$1)&lt;=LEN($E447&amp;"")),--ISERROR(FIND(MID($E447&amp;"",ROW($1:$1),1),"ABCDEFGHIJKLMNOPQRSTUVWXYZabcdefghijklmnopqrstuvwxyz .,")))&gt;0)),"Middle Initial, ","")&amp;IF(OR($F447="",LEN($F447)&gt;75),"Address, ","")&amp;IF(OR($H447="",LEN($H447)&gt;30),"City, ","")&amp;IF(AND($K447="US",OR($I447="",LEN($I447)&lt;&gt;2)),"State, ","")&amp;IF($J447="","ZIP, ","")&amp;IF(OR($K447="",AND($K447&lt;&gt;"US",$K447&lt;&gt;"CA")),"Country, ","")&amp;IF(OR($L447="",AND($L447&lt;&gt;"",OR(NOT(ISNUMBER($L447)),$L447&lt;=DATE(1900,1,1),$L447&gt;TODAY()))),"Birthdate, ","")&amp;IF(AND($N447&lt;&gt;"",NOT(IFERROR(AND(ISNUMBER(SEARCH("@",$N447)),ISNUMBER(SEARCH(".",$N447,SEARCH("@",$N447)+2))),FALSE))),"Email, ","")&amp;IF(OR(AND($B447&lt;&gt;"",$O447=""),AND($O447&lt;&gt;"",$O447&lt;&gt;"Spouse or Common Law Spouse",$O447&lt;&gt;"Domestic Partner",$O447&lt;&gt;"Child",$O447&lt;&gt;"Other",$O447&lt;&gt;"Estate",$O447&lt;&gt;"Unknown")),"Dependent Relationship, ","")&amp;IF($AA447&lt;&gt;"","Household, ","")&amp;IF(OR($P447="",AND($P447&lt;&gt;"",OR(NOT(ISNUMBER($P447)),$P447&lt;=DATE(1900,1,1)))),"Eligibility Date, ","")&amp;IF(OR(AND($R447="Terminated",$Q447=""),AND($Q447&lt;&gt;"",OR(NOT(ISNUMBER($Q447)),$Q447&lt;=DATE(1900,1,1))),AND(ISNUMBER($P447),ISNUMBER($Q447),$Q447&lt;$P447)),"Termination Date, ","")&amp;IF(OR($R447="",AND($R447&lt;&gt;"Active",$R447&lt;&gt;"Terminated"),AND('START HERE'!$C$8="Terminations Only",$R447&lt;&gt;"Terminated")),"Status, ","")&amp;IF($S447="","Plan Name, ","")&amp;IF($T447="","Coverage Level, ","")&amp;IF(AND($U447&lt;&gt;"",OR(NOT(ISNUMBER($U447)),$U447&lt;0)),"Funding, ","")&amp;IF(AND($A447&lt;&gt;"",$S447&lt;&gt;"",COUNTIFS($A$2:$A$501,$A447,$B$2:$B$501,$B447,$S$2:$S$501,$S447)&gt;1),"Duplicate Row, ",""))</f>
        <v/>
      </c>
      <c r="AF447">
        <f>IF(COUNTA($A447:$U447)=0,"",$Y447&amp;$Z447&amp;$AA447&amp;$AB447&amp;$AC447)</f>
        <v/>
      </c>
      <c r="AG447">
        <f>IF($N447="","",LOWER(TRIM($N447)))</f>
        <v/>
      </c>
      <c r="AH447">
        <f>IF($A447="","",COUNTIFS($A$2:$A$501,$A447,$AI$2:$AI$501,1))</f>
        <v/>
      </c>
      <c r="AI447">
        <f>IF(COUNTA($A447:$U447)=0,"",--($AF447&lt;&gt;""))</f>
        <v/>
      </c>
      <c r="AJ447">
        <f>IF(COUNTA($A447:$U447)=0,"",--($AD447&lt;&gt;""))</f>
        <v/>
      </c>
    </row>
    <row r="448" ht="20" customHeight="1">
      <c r="A448" s="80" t="n"/>
      <c r="B448" s="80" t="n"/>
      <c r="C448" s="81" t="n"/>
      <c r="D448" s="81" t="n"/>
      <c r="E448" s="80" t="n"/>
      <c r="F448" s="81" t="n"/>
      <c r="G448" s="81" t="n"/>
      <c r="H448" s="81" t="n"/>
      <c r="I448" s="80" t="n"/>
      <c r="J448" s="80" t="n"/>
      <c r="K448" s="80" t="n"/>
      <c r="L448" s="82" t="n"/>
      <c r="M448" s="80" t="n"/>
      <c r="N448" s="80" t="n"/>
      <c r="O448" s="80" t="n"/>
      <c r="P448" s="82" t="n"/>
      <c r="Q448" s="82" t="n"/>
      <c r="R448" s="80" t="n"/>
      <c r="S448" s="80" t="n"/>
      <c r="T448" s="80" t="n"/>
      <c r="U448" s="83" t="n"/>
      <c r="V448">
        <f>IF($A448="","",IF($A448=$A447,$V447,IF($V447="",0,1-$V447)))</f>
        <v/>
      </c>
      <c r="W448">
        <f>IF($B448&lt;&gt;"",$B448,$A448)</f>
        <v/>
      </c>
      <c r="X448">
        <f>IF(COUNTA($A448:$U448)=0,"",IF(OR($B448&lt;&gt;"",$O448&lt;&gt;""),"Dependent","Employee"))</f>
        <v/>
      </c>
      <c r="Y448">
        <f>IF(COUNTA($A448:$U448)=0,"",IF($A448="","Employee SSN is required; ","")&amp;IF($C448="","First Name is required; ","")&amp;IF(LEN($C448&amp;"")&gt;19,"First Name exceeds 19 characters; ","")&amp;IF(AND($C448&lt;&gt;"",SUMPRODUCT(--(ROW($1:$19)&lt;=LEN($C448&amp;"")),--ISERROR(FIND(MID($C448&amp;"",ROW($1:$19),1),"ABCDEFGHIJKLMNOPQRSTUVWXYZabcdefghijklmnopqrstuvwxyz .,")))&gt;0),"First Name contains unsupported or encoded characters; use plain A-Z letters only; ","")&amp;IF($D448="","Last Name is required; ","")&amp;IF(LEN($D448&amp;"")&gt;26,"Last Name exceeds 26 characters; ","")&amp;IF(AND($D448&lt;&gt;"",SUMPRODUCT(--(ROW($1:$26)&lt;=LEN($D448&amp;"")),--ISERROR(FIND(MID($D448&amp;"",ROW($1:$26),1),"ABCDEFGHIJKLMNOPQRSTUVWXYZabcdefghijklmnopqrstuvwxyz .,")))&gt;0),"Last Name contains unsupported or encoded characters; use plain A-Z letters only; ","")&amp;IF(LEN($E448&amp;"")&gt;1,"Middle Initial may contain only one character; ","")&amp;IF(AND($E448&lt;&gt;"",SUMPRODUCT(--(ROW($1:$1)&lt;=LEN($E448&amp;"")),--ISERROR(FIND(MID($E448&amp;"",ROW($1:$1),1),"ABCDEFGHIJKLMNOPQRSTUVWXYZabcdefghijklmnopqrstuvwxyz .,")))&gt;0),"Middle Initial must be a plain A-Z letter; ","")&amp;IF($F448="","Address is required; ","")&amp;IF(LEN($F448&amp;"")&gt;75,"Address exceeds 75 characters; ","")&amp;IF(LEN($G448&amp;"")&gt;75,"Address 2 exceeds 75 characters; ","")&amp;IF($H448="","City is required; ","")&amp;IF(LEN($H448&amp;"")&gt;30,"City exceeds 30 characters; ","")&amp;IF($K448="","Country is required; ","")&amp;IF(AND($K448&lt;&gt;"",$K448&lt;&gt;"US",$K448&lt;&gt;"CA"),"Country must be US or CA; ","")&amp;IF(AND($K448="US",OR($I448="",LEN($I448&amp;"")&lt;&gt;2)),"Use a 2-letter state code; ","")&amp;IF($J448="","ZIP or postal code is required; ","")&amp;IF(AND($K448="US",$J448&lt;&gt;"",NOT(IFERROR(OR(AND(LEN($J448&amp;"")=5,ISNUMBER(--($J448&amp;""))),AND(LEN($J448&amp;"")=9,ISNUMBER(--($J448&amp;""))),AND(LEN($J448&amp;"")=10,MID($J448&amp;"",6,1)="-",ISNUMBER(--SUBSTITUTE($J448&amp;"","-","")))),FALSE))),"US ZIP must be 5 or 9 digits, with an optional ZIP+4 hyphen; ","")&amp;IF(AND($N448&lt;&gt;"",NOT(IFERROR(AND(ISNUMBER(SEARCH("@",$N448)),ISNUMBER(SEARCH(".",$N448,SEARCH("@",$N448)+2))),FALSE))),"Email format appears invalid; ","")&amp;IF(AND($O448&lt;&gt;"",$B448=""),"Dependent SSN is required for every dependent; ","")&amp;IF(AND($B448&lt;&gt;"",$O448=""),"Dependent Relationship is required when Dependent SSN is entered; ","")&amp;IF(AND($O448&lt;&gt;"",$O448&lt;&gt;"Spouse or Common Law Spouse",$O448&lt;&gt;"Domestic Partner",$O448&lt;&gt;"Child",$O448&lt;&gt;"Other",$O448&lt;&gt;"Estate",$O448&lt;&gt;"Unknown"),"Dependent Relationship must use one of the approved options; ",""))</f>
        <v/>
      </c>
      <c r="Z448">
        <f>IF(COUNTA($A448:$U448)=0,"",IF(AND($A448&lt;&gt;"",NOT(IFERROR(AND(LEN($A448&amp;"")=9,ISNUMBER(--($A448&amp;""))),FALSE))),"Employee SSN must contain exactly 9 digits; ","")&amp;IF(AND($A448&lt;&gt;"",OR($A448="123456789",$A448="987654321",$A448="012345678",$A448=REPT(LEFT($A448&amp;"",1),9))),"Employee SSN appears to be a placeholder; ","")&amp;IF(AND($B448&lt;&gt;"",NOT(IFERROR(AND(LEN($B448&amp;"")=9,ISNUMBER(--($B448&amp;""))),FALSE))),"Dependent SSN must contain exactly 9 digits; ","")&amp;IF(AND($B448&lt;&gt;"",OR($B448="123456789",$B448="987654321",$B448="012345678",$B448=REPT(LEFT($B448&amp;"",1),9))),"Dependent SSN appears to be a placeholder; ","")&amp;IF(AND($A448&lt;&gt;"",$B448&lt;&gt;"",$A448&amp;""=$B448&amp;""),"Dependent SSN cannot match Employee SSN; ","")&amp;IF(AND($W448&lt;&gt;"",OR(COUNTIFS($W$2:$W$501,$W448,$C$2:$C$501,"&lt;&gt;"&amp;$C448)&gt;0,COUNTIFS($W$2:$W$501,$W448,$D$2:$D$501,"&lt;&gt;"&amp;$D448)&gt;0,COUNTIFS($W$2:$W$501,$W448,$L$2:$L$501,"&lt;&gt;"&amp;$L448)&gt;0)),"The same SSN is associated with a different name or birthdate; ",""))</f>
        <v/>
      </c>
      <c r="AA448">
        <f>IF(COUNTA($A448:$U448)=0,"",IF(AND($A448&lt;&gt;"",$S448&lt;&gt;"",COUNTIFS($A$2:$A$501,$A448,$S$2:$S$501,$S448,$B$2:$B$501,"",$O$2:$O$501,"")=0),"Add an employee row for this household and plan; ","")&amp;IF(AND($X448="Dependent",COUNTIFS($A$2:$A448,$A448,$S$2:$S448,$S448,$B$2:$B448,"",$O$2:$O448,"")=0),"Place the employee row before dependent rows for this plan; ","")&amp;IF(AND($X448="Dependent",COUNTIFS($A$2:$A$501,$A448,$S$2:$S$501,$S448,$B$2:$B$501,"",$O$2:$O$501,"")&gt;0,IFERROR(OR($P448&lt;&gt;LOOKUP(2,1/(($A$2:$A$501=$A448)*($S$2:$S$501=$S448)*($B$2:$B$501="")*($O$2:$O$501="")),$P$2:$P$501),$Q448&lt;&gt;LOOKUP(2,1/(($A$2:$A$501=$A448)*($S$2:$S$501=$S448)*($B$2:$B$501="")*($O$2:$O$501="")),$Q$2:$Q$501),$R448&lt;&gt;LOOKUP(2,1/(($A$2:$A$501=$A448)*($S$2:$S$501=$S448)*($B$2:$B$501="")*($O$2:$O$501="")),$R$2:$R$501),$T448&lt;&gt;LOOKUP(2,1/(($A$2:$A$501=$A448)*($S$2:$S$501=$S448)*($B$2:$B$501="")*($O$2:$O$501="")),$T$2:$T$501),$U448&lt;&gt;LOOKUP(2,1/(($A$2:$A$501=$A448)*($S$2:$S$501=$S448)*($B$2:$B$501="")*($O$2:$O$501="")),$U$2:$U$501)),FALSE)),"Dependent row does not match the employee row for eligibility, status, coverage level, or funding; ",""))</f>
        <v/>
      </c>
      <c r="AB448">
        <f>IF(COUNTA($A448:$U448)=0,"",IF($L448="","Birthdate is required; ","")&amp;IF(AND($L448&lt;&gt;"",OR(NOT(ISNUMBER($L448)),$L448&lt;=DATE(1900,1,1),$L448&gt;TODAY())),"Birthdate must be an exact valid past date; ","")&amp;IF($P448="","Eligibility Date is required; ","")&amp;IF(AND($P448&lt;&gt;"",OR(NOT(ISNUMBER($P448)),$P448&lt;=DATE(1900,1,1))),"Eligibility Date must be a valid date; ","")&amp;IF(AND($R448="Terminated",$Q448=""),"Termination Date is required when Status is Terminated; ","")&amp;IF(AND($Q448&lt;&gt;"",OR(NOT(ISNUMBER($Q448)),$Q448&lt;=DATE(1900,1,1))),"Termination Date must be a valid date; ","")&amp;IF(AND(ISNUMBER($P448),ISNUMBER($Q448),$Q448&lt;$P448),"Termination Date cannot be before Eligibility Date; ","")&amp;IF($R448="","Status is required; ","")&amp;IF(AND($R448&lt;&gt;"",$R448&lt;&gt;"Active",$R448&lt;&gt;"Terminated"),"Status must be Active or Terminated; ","")&amp;IF(AND('START HERE'!$C$8="Terminations Only",$R448&lt;&gt;"Terminated"),"Terminations Only files must contain terminated records; ",""))</f>
        <v/>
      </c>
      <c r="AC448">
        <f>IF(COUNTA($A448:$U448)=0,"",IF($S448="","Plan Name is required; ","")&amp;IF($T448="","Benefit Coverage Level is required; ","")&amp;IF(AND($U448&lt;&gt;"",OR(NOT(ISNUMBER($U448)),$U448&lt;0)),"Plan Funding Amount must be a nonnegative number; ","")&amp;IF(AND($A448&lt;&gt;"",$S448&lt;&gt;"",COUNTIFS($A$2:$A$501,$A448,$B$2:$B$501,$B448,$S$2:$S$501,$S448)&gt;1),"Duplicate participant and plan row; ",""))</f>
        <v/>
      </c>
      <c r="AD448">
        <f>IF(COUNTA($A448:$U448)=0,"",IF(AND($X448="Employee",$M448="",$N448=""),"No employee phone or email provided; ","")&amp;IF(AND($R448="Active",$Q448&lt;&gt;""),"Active record includes a Termination Date; confirm this is intentional; ","")&amp;IF(AND($B448&lt;&gt;"",$B448&amp;""&lt;&gt;$A448&amp;"",COUNTIF($A$2:$A$501,$B448)&gt;0),"Dependent SSN also appears as an Employee SSN elsewhere; confirm dual-employee coverage is intentional; ","")&amp;IF(AND($B448&lt;&gt;"",COUNTIF($B$2:$B$501,$B448)&gt;COUNTIFS($A$2:$A$501,$A448,$B$2:$B$501,$B448)),"Dependent SSN appears under more than one employee; confirm duplicate family coverage is intentional; ","")&amp;IF(AND(ROW()&gt;2,$A448&lt;&gt;"",$A448&lt;&gt;$A447,COUNTIF($A$2:$A447,$A448)&gt;0),"This household appears in more than one section of the census; keep the family together; ","")&amp;IF(OR(AND($C448&lt;&gt;"",LEN($C448&amp;"")&lt;&gt;LEN(TRIM($C448&amp;""))),AND($D448&lt;&gt;"",LEN($D448&amp;"")&lt;&gt;LEN(TRIM($D448&amp;""))),AND($E448&lt;&gt;"",LEN($E448&amp;"")&lt;&gt;LEN(TRIM($E448&amp;""))),AND($F448&lt;&gt;"",LEN($F448&amp;"")&lt;&gt;LEN(TRIM($F448&amp;""))),AND($G448&lt;&gt;"",LEN($G448&amp;"")&lt;&gt;LEN(TRIM($G448&amp;""))),AND($H448&lt;&gt;"",LEN($H448&amp;"")&lt;&gt;LEN(TRIM($H448&amp;""))),AND($I448&lt;&gt;"",LEN($I448&amp;"")&lt;&gt;LEN(TRIM($I448&amp;""))),AND($J448&lt;&gt;"",LEN($J448&amp;"")&lt;&gt;LEN(TRIM($J448&amp;""))),AND($K448&lt;&gt;"",LEN($K448&amp;"")&lt;&gt;LEN(TRIM($K448&amp;""))),AND($M448&lt;&gt;"",LEN($M448&amp;"")&lt;&gt;LEN(TRIM($M448&amp;""))),AND($N448&lt;&gt;"",LEN($N448&amp;"")&lt;&gt;LEN(TRIM($N448&amp;""))),AND($O448&lt;&gt;"",LEN($O448&amp;"")&lt;&gt;LEN(TRIM($O448&amp;""))),AND($R448&lt;&gt;"",LEN($R448&amp;"")&lt;&gt;LEN(TRIM($R448&amp;""))),AND($S448&lt;&gt;"",LEN($S448&amp;"")&lt;&gt;LEN(TRIM($S448&amp;""))),AND($T448&lt;&gt;"",LEN($T448&amp;"")&lt;&gt;LEN(TRIM($T448&amp;"")))),"Remove leading or trailing spaces from text fields; ","")&amp;IF(OR(AND(LEN($C448)&gt;1,OR(EXACT($C448,UPPER($C448)),EXACT($C448,LOWER($C448)))),AND(LEN($D448)&gt;1,OR(EXACT($D448,UPPER($D448)),EXACT($D448,LOWER($D448)))),AND(LEN($H448)&gt;1,OR(EXACT($H448,UPPER($H448)),EXACT($H448,LOWER($H448))))),"Review capitalization in First Name, Last Name, or City; ","")&amp;IF(AND($N448&lt;&gt;"",NOT(EXACT($N448,LOWER($N448)))),"Email will be standardized to lowercase in the clean output; ","")&amp;IF(AND(OR('START HERE'!$C$8="Initial Enrollment",'START HERE'!$C$8="Open Enrollment"),$R448="Terminated"),"A terminated row is included in an initial or open enrollment file; confirm this is intentional; ",""))</f>
        <v/>
      </c>
      <c r="AE448">
        <f>IF(COUNTA($A448:$U448)=0,"",IF(OR($A448="",AND($A448&lt;&gt;"",NOT(IFERROR(AND(LEN($A448&amp;"")=9,ISNUMBER(--($A448&amp;""))),FALSE))),AND($A448&lt;&gt;"",OR($A448="123456789",$A448="987654321",$A448="012345678",$A448=REPT(LEFT($A448&amp;"",1),9)))),"Employee SSN, ","")&amp;IF(OR(AND($O448&lt;&gt;"",$B448=""),AND($B448&lt;&gt;"",OR(NOT(IFERROR(AND(LEN($B448&amp;"")=9,ISNUMBER(--($B448&amp;""))),FALSE)),$B448=$A448,$B448="123456789",$B448="987654321",$B448="012345678",$B448=REPT(LEFT($B448&amp;"",1),9)))),"Dependent SSN, ","")&amp;IF(OR($C448="",LEN($C448)&gt;19,AND($C448&lt;&gt;"",SUMPRODUCT(--(ROW($1:$19)&lt;=LEN($C448&amp;"")),--ISERROR(FIND(MID($C448&amp;"",ROW($1:$19),1),"ABCDEFGHIJKLMNOPQRSTUVWXYZabcdefghijklmnopqrstuvwxyz .,")))&gt;0)),"First Name, ","")&amp;IF(OR($D448="",LEN($D448)&gt;26,AND($D448&lt;&gt;"",SUMPRODUCT(--(ROW($1:$26)&lt;=LEN($D448&amp;"")),--ISERROR(FIND(MID($D448&amp;"",ROW($1:$26),1),"ABCDEFGHIJKLMNOPQRSTUVWXYZabcdefghijklmnopqrstuvwxyz .,")))&gt;0)),"Last Name, ","")&amp;IF(OR(LEN($E448)&gt;1,AND($E448&lt;&gt;"",SUMPRODUCT(--(ROW($1:$1)&lt;=LEN($E448&amp;"")),--ISERROR(FIND(MID($E448&amp;"",ROW($1:$1),1),"ABCDEFGHIJKLMNOPQRSTUVWXYZabcdefghijklmnopqrstuvwxyz .,")))&gt;0)),"Middle Initial, ","")&amp;IF(OR($F448="",LEN($F448)&gt;75),"Address, ","")&amp;IF(OR($H448="",LEN($H448)&gt;30),"City, ","")&amp;IF(AND($K448="US",OR($I448="",LEN($I448)&lt;&gt;2)),"State, ","")&amp;IF($J448="","ZIP, ","")&amp;IF(OR($K448="",AND($K448&lt;&gt;"US",$K448&lt;&gt;"CA")),"Country, ","")&amp;IF(OR($L448="",AND($L448&lt;&gt;"",OR(NOT(ISNUMBER($L448)),$L448&lt;=DATE(1900,1,1),$L448&gt;TODAY()))),"Birthdate, ","")&amp;IF(AND($N448&lt;&gt;"",NOT(IFERROR(AND(ISNUMBER(SEARCH("@",$N448)),ISNUMBER(SEARCH(".",$N448,SEARCH("@",$N448)+2))),FALSE))),"Email, ","")&amp;IF(OR(AND($B448&lt;&gt;"",$O448=""),AND($O448&lt;&gt;"",$O448&lt;&gt;"Spouse or Common Law Spouse",$O448&lt;&gt;"Domestic Partner",$O448&lt;&gt;"Child",$O448&lt;&gt;"Other",$O448&lt;&gt;"Estate",$O448&lt;&gt;"Unknown")),"Dependent Relationship, ","")&amp;IF($AA448&lt;&gt;"","Household, ","")&amp;IF(OR($P448="",AND($P448&lt;&gt;"",OR(NOT(ISNUMBER($P448)),$P448&lt;=DATE(1900,1,1)))),"Eligibility Date, ","")&amp;IF(OR(AND($R448="Terminated",$Q448=""),AND($Q448&lt;&gt;"",OR(NOT(ISNUMBER($Q448)),$Q448&lt;=DATE(1900,1,1))),AND(ISNUMBER($P448),ISNUMBER($Q448),$Q448&lt;$P448)),"Termination Date, ","")&amp;IF(OR($R448="",AND($R448&lt;&gt;"Active",$R448&lt;&gt;"Terminated"),AND('START HERE'!$C$8="Terminations Only",$R448&lt;&gt;"Terminated")),"Status, ","")&amp;IF($S448="","Plan Name, ","")&amp;IF($T448="","Coverage Level, ","")&amp;IF(AND($U448&lt;&gt;"",OR(NOT(ISNUMBER($U448)),$U448&lt;0)),"Funding, ","")&amp;IF(AND($A448&lt;&gt;"",$S448&lt;&gt;"",COUNTIFS($A$2:$A$501,$A448,$B$2:$B$501,$B448,$S$2:$S$501,$S448)&gt;1),"Duplicate Row, ",""))</f>
        <v/>
      </c>
      <c r="AF448">
        <f>IF(COUNTA($A448:$U448)=0,"",$Y448&amp;$Z448&amp;$AA448&amp;$AB448&amp;$AC448)</f>
        <v/>
      </c>
      <c r="AG448">
        <f>IF($N448="","",LOWER(TRIM($N448)))</f>
        <v/>
      </c>
      <c r="AH448">
        <f>IF($A448="","",COUNTIFS($A$2:$A$501,$A448,$AI$2:$AI$501,1))</f>
        <v/>
      </c>
      <c r="AI448">
        <f>IF(COUNTA($A448:$U448)=0,"",--($AF448&lt;&gt;""))</f>
        <v/>
      </c>
      <c r="AJ448">
        <f>IF(COUNTA($A448:$U448)=0,"",--($AD448&lt;&gt;""))</f>
        <v/>
      </c>
    </row>
    <row r="449" ht="20" customHeight="1">
      <c r="A449" s="80" t="n"/>
      <c r="B449" s="80" t="n"/>
      <c r="C449" s="81" t="n"/>
      <c r="D449" s="81" t="n"/>
      <c r="E449" s="80" t="n"/>
      <c r="F449" s="81" t="n"/>
      <c r="G449" s="81" t="n"/>
      <c r="H449" s="81" t="n"/>
      <c r="I449" s="80" t="n"/>
      <c r="J449" s="80" t="n"/>
      <c r="K449" s="80" t="n"/>
      <c r="L449" s="82" t="n"/>
      <c r="M449" s="80" t="n"/>
      <c r="N449" s="80" t="n"/>
      <c r="O449" s="80" t="n"/>
      <c r="P449" s="82" t="n"/>
      <c r="Q449" s="82" t="n"/>
      <c r="R449" s="80" t="n"/>
      <c r="S449" s="80" t="n"/>
      <c r="T449" s="80" t="n"/>
      <c r="U449" s="83" t="n"/>
      <c r="V449">
        <f>IF($A449="","",IF($A449=$A448,$V448,IF($V448="",0,1-$V448)))</f>
        <v/>
      </c>
      <c r="W449">
        <f>IF($B449&lt;&gt;"",$B449,$A449)</f>
        <v/>
      </c>
      <c r="X449">
        <f>IF(COUNTA($A449:$U449)=0,"",IF(OR($B449&lt;&gt;"",$O449&lt;&gt;""),"Dependent","Employee"))</f>
        <v/>
      </c>
      <c r="Y449">
        <f>IF(COUNTA($A449:$U449)=0,"",IF($A449="","Employee SSN is required; ","")&amp;IF($C449="","First Name is required; ","")&amp;IF(LEN($C449&amp;"")&gt;19,"First Name exceeds 19 characters; ","")&amp;IF(AND($C449&lt;&gt;"",SUMPRODUCT(--(ROW($1:$19)&lt;=LEN($C449&amp;"")),--ISERROR(FIND(MID($C449&amp;"",ROW($1:$19),1),"ABCDEFGHIJKLMNOPQRSTUVWXYZabcdefghijklmnopqrstuvwxyz .,")))&gt;0),"First Name contains unsupported or encoded characters; use plain A-Z letters only; ","")&amp;IF($D449="","Last Name is required; ","")&amp;IF(LEN($D449&amp;"")&gt;26,"Last Name exceeds 26 characters; ","")&amp;IF(AND($D449&lt;&gt;"",SUMPRODUCT(--(ROW($1:$26)&lt;=LEN($D449&amp;"")),--ISERROR(FIND(MID($D449&amp;"",ROW($1:$26),1),"ABCDEFGHIJKLMNOPQRSTUVWXYZabcdefghijklmnopqrstuvwxyz .,")))&gt;0),"Last Name contains unsupported or encoded characters; use plain A-Z letters only; ","")&amp;IF(LEN($E449&amp;"")&gt;1,"Middle Initial may contain only one character; ","")&amp;IF(AND($E449&lt;&gt;"",SUMPRODUCT(--(ROW($1:$1)&lt;=LEN($E449&amp;"")),--ISERROR(FIND(MID($E449&amp;"",ROW($1:$1),1),"ABCDEFGHIJKLMNOPQRSTUVWXYZabcdefghijklmnopqrstuvwxyz .,")))&gt;0),"Middle Initial must be a plain A-Z letter; ","")&amp;IF($F449="","Address is required; ","")&amp;IF(LEN($F449&amp;"")&gt;75,"Address exceeds 75 characters; ","")&amp;IF(LEN($G449&amp;"")&gt;75,"Address 2 exceeds 75 characters; ","")&amp;IF($H449="","City is required; ","")&amp;IF(LEN($H449&amp;"")&gt;30,"City exceeds 30 characters; ","")&amp;IF($K449="","Country is required; ","")&amp;IF(AND($K449&lt;&gt;"",$K449&lt;&gt;"US",$K449&lt;&gt;"CA"),"Country must be US or CA; ","")&amp;IF(AND($K449="US",OR($I449="",LEN($I449&amp;"")&lt;&gt;2)),"Use a 2-letter state code; ","")&amp;IF($J449="","ZIP or postal code is required; ","")&amp;IF(AND($K449="US",$J449&lt;&gt;"",NOT(IFERROR(OR(AND(LEN($J449&amp;"")=5,ISNUMBER(--($J449&amp;""))),AND(LEN($J449&amp;"")=9,ISNUMBER(--($J449&amp;""))),AND(LEN($J449&amp;"")=10,MID($J449&amp;"",6,1)="-",ISNUMBER(--SUBSTITUTE($J449&amp;"","-","")))),FALSE))),"US ZIP must be 5 or 9 digits, with an optional ZIP+4 hyphen; ","")&amp;IF(AND($N449&lt;&gt;"",NOT(IFERROR(AND(ISNUMBER(SEARCH("@",$N449)),ISNUMBER(SEARCH(".",$N449,SEARCH("@",$N449)+2))),FALSE))),"Email format appears invalid; ","")&amp;IF(AND($O449&lt;&gt;"",$B449=""),"Dependent SSN is required for every dependent; ","")&amp;IF(AND($B449&lt;&gt;"",$O449=""),"Dependent Relationship is required when Dependent SSN is entered; ","")&amp;IF(AND($O449&lt;&gt;"",$O449&lt;&gt;"Spouse or Common Law Spouse",$O449&lt;&gt;"Domestic Partner",$O449&lt;&gt;"Child",$O449&lt;&gt;"Other",$O449&lt;&gt;"Estate",$O449&lt;&gt;"Unknown"),"Dependent Relationship must use one of the approved options; ",""))</f>
        <v/>
      </c>
      <c r="Z449">
        <f>IF(COUNTA($A449:$U449)=0,"",IF(AND($A449&lt;&gt;"",NOT(IFERROR(AND(LEN($A449&amp;"")=9,ISNUMBER(--($A449&amp;""))),FALSE))),"Employee SSN must contain exactly 9 digits; ","")&amp;IF(AND($A449&lt;&gt;"",OR($A449="123456789",$A449="987654321",$A449="012345678",$A449=REPT(LEFT($A449&amp;"",1),9))),"Employee SSN appears to be a placeholder; ","")&amp;IF(AND($B449&lt;&gt;"",NOT(IFERROR(AND(LEN($B449&amp;"")=9,ISNUMBER(--($B449&amp;""))),FALSE))),"Dependent SSN must contain exactly 9 digits; ","")&amp;IF(AND($B449&lt;&gt;"",OR($B449="123456789",$B449="987654321",$B449="012345678",$B449=REPT(LEFT($B449&amp;"",1),9))),"Dependent SSN appears to be a placeholder; ","")&amp;IF(AND($A449&lt;&gt;"",$B449&lt;&gt;"",$A449&amp;""=$B449&amp;""),"Dependent SSN cannot match Employee SSN; ","")&amp;IF(AND($W449&lt;&gt;"",OR(COUNTIFS($W$2:$W$501,$W449,$C$2:$C$501,"&lt;&gt;"&amp;$C449)&gt;0,COUNTIFS($W$2:$W$501,$W449,$D$2:$D$501,"&lt;&gt;"&amp;$D449)&gt;0,COUNTIFS($W$2:$W$501,$W449,$L$2:$L$501,"&lt;&gt;"&amp;$L449)&gt;0)),"The same SSN is associated with a different name or birthdate; ",""))</f>
        <v/>
      </c>
      <c r="AA449">
        <f>IF(COUNTA($A449:$U449)=0,"",IF(AND($A449&lt;&gt;"",$S449&lt;&gt;"",COUNTIFS($A$2:$A$501,$A449,$S$2:$S$501,$S449,$B$2:$B$501,"",$O$2:$O$501,"")=0),"Add an employee row for this household and plan; ","")&amp;IF(AND($X449="Dependent",COUNTIFS($A$2:$A449,$A449,$S$2:$S449,$S449,$B$2:$B449,"",$O$2:$O449,"")=0),"Place the employee row before dependent rows for this plan; ","")&amp;IF(AND($X449="Dependent",COUNTIFS($A$2:$A$501,$A449,$S$2:$S$501,$S449,$B$2:$B$501,"",$O$2:$O$501,"")&gt;0,IFERROR(OR($P449&lt;&gt;LOOKUP(2,1/(($A$2:$A$501=$A449)*($S$2:$S$501=$S449)*($B$2:$B$501="")*($O$2:$O$501="")),$P$2:$P$501),$Q449&lt;&gt;LOOKUP(2,1/(($A$2:$A$501=$A449)*($S$2:$S$501=$S449)*($B$2:$B$501="")*($O$2:$O$501="")),$Q$2:$Q$501),$R449&lt;&gt;LOOKUP(2,1/(($A$2:$A$501=$A449)*($S$2:$S$501=$S449)*($B$2:$B$501="")*($O$2:$O$501="")),$R$2:$R$501),$T449&lt;&gt;LOOKUP(2,1/(($A$2:$A$501=$A449)*($S$2:$S$501=$S449)*($B$2:$B$501="")*($O$2:$O$501="")),$T$2:$T$501),$U449&lt;&gt;LOOKUP(2,1/(($A$2:$A$501=$A449)*($S$2:$S$501=$S449)*($B$2:$B$501="")*($O$2:$O$501="")),$U$2:$U$501)),FALSE)),"Dependent row does not match the employee row for eligibility, status, coverage level, or funding; ",""))</f>
        <v/>
      </c>
      <c r="AB449">
        <f>IF(COUNTA($A449:$U449)=0,"",IF($L449="","Birthdate is required; ","")&amp;IF(AND($L449&lt;&gt;"",OR(NOT(ISNUMBER($L449)),$L449&lt;=DATE(1900,1,1),$L449&gt;TODAY())),"Birthdate must be an exact valid past date; ","")&amp;IF($P449="","Eligibility Date is required; ","")&amp;IF(AND($P449&lt;&gt;"",OR(NOT(ISNUMBER($P449)),$P449&lt;=DATE(1900,1,1))),"Eligibility Date must be a valid date; ","")&amp;IF(AND($R449="Terminated",$Q449=""),"Termination Date is required when Status is Terminated; ","")&amp;IF(AND($Q449&lt;&gt;"",OR(NOT(ISNUMBER($Q449)),$Q449&lt;=DATE(1900,1,1))),"Termination Date must be a valid date; ","")&amp;IF(AND(ISNUMBER($P449),ISNUMBER($Q449),$Q449&lt;$P449),"Termination Date cannot be before Eligibility Date; ","")&amp;IF($R449="","Status is required; ","")&amp;IF(AND($R449&lt;&gt;"",$R449&lt;&gt;"Active",$R449&lt;&gt;"Terminated"),"Status must be Active or Terminated; ","")&amp;IF(AND('START HERE'!$C$8="Terminations Only",$R449&lt;&gt;"Terminated"),"Terminations Only files must contain terminated records; ",""))</f>
        <v/>
      </c>
      <c r="AC449">
        <f>IF(COUNTA($A449:$U449)=0,"",IF($S449="","Plan Name is required; ","")&amp;IF($T449="","Benefit Coverage Level is required; ","")&amp;IF(AND($U449&lt;&gt;"",OR(NOT(ISNUMBER($U449)),$U449&lt;0)),"Plan Funding Amount must be a nonnegative number; ","")&amp;IF(AND($A449&lt;&gt;"",$S449&lt;&gt;"",COUNTIFS($A$2:$A$501,$A449,$B$2:$B$501,$B449,$S$2:$S$501,$S449)&gt;1),"Duplicate participant and plan row; ",""))</f>
        <v/>
      </c>
      <c r="AD449">
        <f>IF(COUNTA($A449:$U449)=0,"",IF(AND($X449="Employee",$M449="",$N449=""),"No employee phone or email provided; ","")&amp;IF(AND($R449="Active",$Q449&lt;&gt;""),"Active record includes a Termination Date; confirm this is intentional; ","")&amp;IF(AND($B449&lt;&gt;"",$B449&amp;""&lt;&gt;$A449&amp;"",COUNTIF($A$2:$A$501,$B449)&gt;0),"Dependent SSN also appears as an Employee SSN elsewhere; confirm dual-employee coverage is intentional; ","")&amp;IF(AND($B449&lt;&gt;"",COUNTIF($B$2:$B$501,$B449)&gt;COUNTIFS($A$2:$A$501,$A449,$B$2:$B$501,$B449)),"Dependent SSN appears under more than one employee; confirm duplicate family coverage is intentional; ","")&amp;IF(AND(ROW()&gt;2,$A449&lt;&gt;"",$A449&lt;&gt;$A448,COUNTIF($A$2:$A448,$A449)&gt;0),"This household appears in more than one section of the census; keep the family together; ","")&amp;IF(OR(AND($C449&lt;&gt;"",LEN($C449&amp;"")&lt;&gt;LEN(TRIM($C449&amp;""))),AND($D449&lt;&gt;"",LEN($D449&amp;"")&lt;&gt;LEN(TRIM($D449&amp;""))),AND($E449&lt;&gt;"",LEN($E449&amp;"")&lt;&gt;LEN(TRIM($E449&amp;""))),AND($F449&lt;&gt;"",LEN($F449&amp;"")&lt;&gt;LEN(TRIM($F449&amp;""))),AND($G449&lt;&gt;"",LEN($G449&amp;"")&lt;&gt;LEN(TRIM($G449&amp;""))),AND($H449&lt;&gt;"",LEN($H449&amp;"")&lt;&gt;LEN(TRIM($H449&amp;""))),AND($I449&lt;&gt;"",LEN($I449&amp;"")&lt;&gt;LEN(TRIM($I449&amp;""))),AND($J449&lt;&gt;"",LEN($J449&amp;"")&lt;&gt;LEN(TRIM($J449&amp;""))),AND($K449&lt;&gt;"",LEN($K449&amp;"")&lt;&gt;LEN(TRIM($K449&amp;""))),AND($M449&lt;&gt;"",LEN($M449&amp;"")&lt;&gt;LEN(TRIM($M449&amp;""))),AND($N449&lt;&gt;"",LEN($N449&amp;"")&lt;&gt;LEN(TRIM($N449&amp;""))),AND($O449&lt;&gt;"",LEN($O449&amp;"")&lt;&gt;LEN(TRIM($O449&amp;""))),AND($R449&lt;&gt;"",LEN($R449&amp;"")&lt;&gt;LEN(TRIM($R449&amp;""))),AND($S449&lt;&gt;"",LEN($S449&amp;"")&lt;&gt;LEN(TRIM($S449&amp;""))),AND($T449&lt;&gt;"",LEN($T449&amp;"")&lt;&gt;LEN(TRIM($T449&amp;"")))),"Remove leading or trailing spaces from text fields; ","")&amp;IF(OR(AND(LEN($C449)&gt;1,OR(EXACT($C449,UPPER($C449)),EXACT($C449,LOWER($C449)))),AND(LEN($D449)&gt;1,OR(EXACT($D449,UPPER($D449)),EXACT($D449,LOWER($D449)))),AND(LEN($H449)&gt;1,OR(EXACT($H449,UPPER($H449)),EXACT($H449,LOWER($H449))))),"Review capitalization in First Name, Last Name, or City; ","")&amp;IF(AND($N449&lt;&gt;"",NOT(EXACT($N449,LOWER($N449)))),"Email will be standardized to lowercase in the clean output; ","")&amp;IF(AND(OR('START HERE'!$C$8="Initial Enrollment",'START HERE'!$C$8="Open Enrollment"),$R449="Terminated"),"A terminated row is included in an initial or open enrollment file; confirm this is intentional; ",""))</f>
        <v/>
      </c>
      <c r="AE449">
        <f>IF(COUNTA($A449:$U449)=0,"",IF(OR($A449="",AND($A449&lt;&gt;"",NOT(IFERROR(AND(LEN($A449&amp;"")=9,ISNUMBER(--($A449&amp;""))),FALSE))),AND($A449&lt;&gt;"",OR($A449="123456789",$A449="987654321",$A449="012345678",$A449=REPT(LEFT($A449&amp;"",1),9)))),"Employee SSN, ","")&amp;IF(OR(AND($O449&lt;&gt;"",$B449=""),AND($B449&lt;&gt;"",OR(NOT(IFERROR(AND(LEN($B449&amp;"")=9,ISNUMBER(--($B449&amp;""))),FALSE)),$B449=$A449,$B449="123456789",$B449="987654321",$B449="012345678",$B449=REPT(LEFT($B449&amp;"",1),9)))),"Dependent SSN, ","")&amp;IF(OR($C449="",LEN($C449)&gt;19,AND($C449&lt;&gt;"",SUMPRODUCT(--(ROW($1:$19)&lt;=LEN($C449&amp;"")),--ISERROR(FIND(MID($C449&amp;"",ROW($1:$19),1),"ABCDEFGHIJKLMNOPQRSTUVWXYZabcdefghijklmnopqrstuvwxyz .,")))&gt;0)),"First Name, ","")&amp;IF(OR($D449="",LEN($D449)&gt;26,AND($D449&lt;&gt;"",SUMPRODUCT(--(ROW($1:$26)&lt;=LEN($D449&amp;"")),--ISERROR(FIND(MID($D449&amp;"",ROW($1:$26),1),"ABCDEFGHIJKLMNOPQRSTUVWXYZabcdefghijklmnopqrstuvwxyz .,")))&gt;0)),"Last Name, ","")&amp;IF(OR(LEN($E449)&gt;1,AND($E449&lt;&gt;"",SUMPRODUCT(--(ROW($1:$1)&lt;=LEN($E449&amp;"")),--ISERROR(FIND(MID($E449&amp;"",ROW($1:$1),1),"ABCDEFGHIJKLMNOPQRSTUVWXYZabcdefghijklmnopqrstuvwxyz .,")))&gt;0)),"Middle Initial, ","")&amp;IF(OR($F449="",LEN($F449)&gt;75),"Address, ","")&amp;IF(OR($H449="",LEN($H449)&gt;30),"City, ","")&amp;IF(AND($K449="US",OR($I449="",LEN($I449)&lt;&gt;2)),"State, ","")&amp;IF($J449="","ZIP, ","")&amp;IF(OR($K449="",AND($K449&lt;&gt;"US",$K449&lt;&gt;"CA")),"Country, ","")&amp;IF(OR($L449="",AND($L449&lt;&gt;"",OR(NOT(ISNUMBER($L449)),$L449&lt;=DATE(1900,1,1),$L449&gt;TODAY()))),"Birthdate, ","")&amp;IF(AND($N449&lt;&gt;"",NOT(IFERROR(AND(ISNUMBER(SEARCH("@",$N449)),ISNUMBER(SEARCH(".",$N449,SEARCH("@",$N449)+2))),FALSE))),"Email, ","")&amp;IF(OR(AND($B449&lt;&gt;"",$O449=""),AND($O449&lt;&gt;"",$O449&lt;&gt;"Spouse or Common Law Spouse",$O449&lt;&gt;"Domestic Partner",$O449&lt;&gt;"Child",$O449&lt;&gt;"Other",$O449&lt;&gt;"Estate",$O449&lt;&gt;"Unknown")),"Dependent Relationship, ","")&amp;IF($AA449&lt;&gt;"","Household, ","")&amp;IF(OR($P449="",AND($P449&lt;&gt;"",OR(NOT(ISNUMBER($P449)),$P449&lt;=DATE(1900,1,1)))),"Eligibility Date, ","")&amp;IF(OR(AND($R449="Terminated",$Q449=""),AND($Q449&lt;&gt;"",OR(NOT(ISNUMBER($Q449)),$Q449&lt;=DATE(1900,1,1))),AND(ISNUMBER($P449),ISNUMBER($Q449),$Q449&lt;$P449)),"Termination Date, ","")&amp;IF(OR($R449="",AND($R449&lt;&gt;"Active",$R449&lt;&gt;"Terminated"),AND('START HERE'!$C$8="Terminations Only",$R449&lt;&gt;"Terminated")),"Status, ","")&amp;IF($S449="","Plan Name, ","")&amp;IF($T449="","Coverage Level, ","")&amp;IF(AND($U449&lt;&gt;"",OR(NOT(ISNUMBER($U449)),$U449&lt;0)),"Funding, ","")&amp;IF(AND($A449&lt;&gt;"",$S449&lt;&gt;"",COUNTIFS($A$2:$A$501,$A449,$B$2:$B$501,$B449,$S$2:$S$501,$S449)&gt;1),"Duplicate Row, ",""))</f>
        <v/>
      </c>
      <c r="AF449">
        <f>IF(COUNTA($A449:$U449)=0,"",$Y449&amp;$Z449&amp;$AA449&amp;$AB449&amp;$AC449)</f>
        <v/>
      </c>
      <c r="AG449">
        <f>IF($N449="","",LOWER(TRIM($N449)))</f>
        <v/>
      </c>
      <c r="AH449">
        <f>IF($A449="","",COUNTIFS($A$2:$A$501,$A449,$AI$2:$AI$501,1))</f>
        <v/>
      </c>
      <c r="AI449">
        <f>IF(COUNTA($A449:$U449)=0,"",--($AF449&lt;&gt;""))</f>
        <v/>
      </c>
      <c r="AJ449">
        <f>IF(COUNTA($A449:$U449)=0,"",--($AD449&lt;&gt;""))</f>
        <v/>
      </c>
    </row>
    <row r="450" ht="20" customHeight="1">
      <c r="A450" s="80" t="n"/>
      <c r="B450" s="80" t="n"/>
      <c r="C450" s="81" t="n"/>
      <c r="D450" s="81" t="n"/>
      <c r="E450" s="80" t="n"/>
      <c r="F450" s="81" t="n"/>
      <c r="G450" s="81" t="n"/>
      <c r="H450" s="81" t="n"/>
      <c r="I450" s="80" t="n"/>
      <c r="J450" s="80" t="n"/>
      <c r="K450" s="80" t="n"/>
      <c r="L450" s="82" t="n"/>
      <c r="M450" s="80" t="n"/>
      <c r="N450" s="80" t="n"/>
      <c r="O450" s="80" t="n"/>
      <c r="P450" s="82" t="n"/>
      <c r="Q450" s="82" t="n"/>
      <c r="R450" s="80" t="n"/>
      <c r="S450" s="80" t="n"/>
      <c r="T450" s="80" t="n"/>
      <c r="U450" s="83" t="n"/>
      <c r="V450">
        <f>IF($A450="","",IF($A450=$A449,$V449,IF($V449="",0,1-$V449)))</f>
        <v/>
      </c>
      <c r="W450">
        <f>IF($B450&lt;&gt;"",$B450,$A450)</f>
        <v/>
      </c>
      <c r="X450">
        <f>IF(COUNTA($A450:$U450)=0,"",IF(OR($B450&lt;&gt;"",$O450&lt;&gt;""),"Dependent","Employee"))</f>
        <v/>
      </c>
      <c r="Y450">
        <f>IF(COUNTA($A450:$U450)=0,"",IF($A450="","Employee SSN is required; ","")&amp;IF($C450="","First Name is required; ","")&amp;IF(LEN($C450&amp;"")&gt;19,"First Name exceeds 19 characters; ","")&amp;IF(AND($C450&lt;&gt;"",SUMPRODUCT(--(ROW($1:$19)&lt;=LEN($C450&amp;"")),--ISERROR(FIND(MID($C450&amp;"",ROW($1:$19),1),"ABCDEFGHIJKLMNOPQRSTUVWXYZabcdefghijklmnopqrstuvwxyz .,")))&gt;0),"First Name contains unsupported or encoded characters; use plain A-Z letters only; ","")&amp;IF($D450="","Last Name is required; ","")&amp;IF(LEN($D450&amp;"")&gt;26,"Last Name exceeds 26 characters; ","")&amp;IF(AND($D450&lt;&gt;"",SUMPRODUCT(--(ROW($1:$26)&lt;=LEN($D450&amp;"")),--ISERROR(FIND(MID($D450&amp;"",ROW($1:$26),1),"ABCDEFGHIJKLMNOPQRSTUVWXYZabcdefghijklmnopqrstuvwxyz .,")))&gt;0),"Last Name contains unsupported or encoded characters; use plain A-Z letters only; ","")&amp;IF(LEN($E450&amp;"")&gt;1,"Middle Initial may contain only one character; ","")&amp;IF(AND($E450&lt;&gt;"",SUMPRODUCT(--(ROW($1:$1)&lt;=LEN($E450&amp;"")),--ISERROR(FIND(MID($E450&amp;"",ROW($1:$1),1),"ABCDEFGHIJKLMNOPQRSTUVWXYZabcdefghijklmnopqrstuvwxyz .,")))&gt;0),"Middle Initial must be a plain A-Z letter; ","")&amp;IF($F450="","Address is required; ","")&amp;IF(LEN($F450&amp;"")&gt;75,"Address exceeds 75 characters; ","")&amp;IF(LEN($G450&amp;"")&gt;75,"Address 2 exceeds 75 characters; ","")&amp;IF($H450="","City is required; ","")&amp;IF(LEN($H450&amp;"")&gt;30,"City exceeds 30 characters; ","")&amp;IF($K450="","Country is required; ","")&amp;IF(AND($K450&lt;&gt;"",$K450&lt;&gt;"US",$K450&lt;&gt;"CA"),"Country must be US or CA; ","")&amp;IF(AND($K450="US",OR($I450="",LEN($I450&amp;"")&lt;&gt;2)),"Use a 2-letter state code; ","")&amp;IF($J450="","ZIP or postal code is required; ","")&amp;IF(AND($K450="US",$J450&lt;&gt;"",NOT(IFERROR(OR(AND(LEN($J450&amp;"")=5,ISNUMBER(--($J450&amp;""))),AND(LEN($J450&amp;"")=9,ISNUMBER(--($J450&amp;""))),AND(LEN($J450&amp;"")=10,MID($J450&amp;"",6,1)="-",ISNUMBER(--SUBSTITUTE($J450&amp;"","-","")))),FALSE))),"US ZIP must be 5 or 9 digits, with an optional ZIP+4 hyphen; ","")&amp;IF(AND($N450&lt;&gt;"",NOT(IFERROR(AND(ISNUMBER(SEARCH("@",$N450)),ISNUMBER(SEARCH(".",$N450,SEARCH("@",$N450)+2))),FALSE))),"Email format appears invalid; ","")&amp;IF(AND($O450&lt;&gt;"",$B450=""),"Dependent SSN is required for every dependent; ","")&amp;IF(AND($B450&lt;&gt;"",$O450=""),"Dependent Relationship is required when Dependent SSN is entered; ","")&amp;IF(AND($O450&lt;&gt;"",$O450&lt;&gt;"Spouse or Common Law Spouse",$O450&lt;&gt;"Domestic Partner",$O450&lt;&gt;"Child",$O450&lt;&gt;"Other",$O450&lt;&gt;"Estate",$O450&lt;&gt;"Unknown"),"Dependent Relationship must use one of the approved options; ",""))</f>
        <v/>
      </c>
      <c r="Z450">
        <f>IF(COUNTA($A450:$U450)=0,"",IF(AND($A450&lt;&gt;"",NOT(IFERROR(AND(LEN($A450&amp;"")=9,ISNUMBER(--($A450&amp;""))),FALSE))),"Employee SSN must contain exactly 9 digits; ","")&amp;IF(AND($A450&lt;&gt;"",OR($A450="123456789",$A450="987654321",$A450="012345678",$A450=REPT(LEFT($A450&amp;"",1),9))),"Employee SSN appears to be a placeholder; ","")&amp;IF(AND($B450&lt;&gt;"",NOT(IFERROR(AND(LEN($B450&amp;"")=9,ISNUMBER(--($B450&amp;""))),FALSE))),"Dependent SSN must contain exactly 9 digits; ","")&amp;IF(AND($B450&lt;&gt;"",OR($B450="123456789",$B450="987654321",$B450="012345678",$B450=REPT(LEFT($B450&amp;"",1),9))),"Dependent SSN appears to be a placeholder; ","")&amp;IF(AND($A450&lt;&gt;"",$B450&lt;&gt;"",$A450&amp;""=$B450&amp;""),"Dependent SSN cannot match Employee SSN; ","")&amp;IF(AND($W450&lt;&gt;"",OR(COUNTIFS($W$2:$W$501,$W450,$C$2:$C$501,"&lt;&gt;"&amp;$C450)&gt;0,COUNTIFS($W$2:$W$501,$W450,$D$2:$D$501,"&lt;&gt;"&amp;$D450)&gt;0,COUNTIFS($W$2:$W$501,$W450,$L$2:$L$501,"&lt;&gt;"&amp;$L450)&gt;0)),"The same SSN is associated with a different name or birthdate; ",""))</f>
        <v/>
      </c>
      <c r="AA450">
        <f>IF(COUNTA($A450:$U450)=0,"",IF(AND($A450&lt;&gt;"",$S450&lt;&gt;"",COUNTIFS($A$2:$A$501,$A450,$S$2:$S$501,$S450,$B$2:$B$501,"",$O$2:$O$501,"")=0),"Add an employee row for this household and plan; ","")&amp;IF(AND($X450="Dependent",COUNTIFS($A$2:$A450,$A450,$S$2:$S450,$S450,$B$2:$B450,"",$O$2:$O450,"")=0),"Place the employee row before dependent rows for this plan; ","")&amp;IF(AND($X450="Dependent",COUNTIFS($A$2:$A$501,$A450,$S$2:$S$501,$S450,$B$2:$B$501,"",$O$2:$O$501,"")&gt;0,IFERROR(OR($P450&lt;&gt;LOOKUP(2,1/(($A$2:$A$501=$A450)*($S$2:$S$501=$S450)*($B$2:$B$501="")*($O$2:$O$501="")),$P$2:$P$501),$Q450&lt;&gt;LOOKUP(2,1/(($A$2:$A$501=$A450)*($S$2:$S$501=$S450)*($B$2:$B$501="")*($O$2:$O$501="")),$Q$2:$Q$501),$R450&lt;&gt;LOOKUP(2,1/(($A$2:$A$501=$A450)*($S$2:$S$501=$S450)*($B$2:$B$501="")*($O$2:$O$501="")),$R$2:$R$501),$T450&lt;&gt;LOOKUP(2,1/(($A$2:$A$501=$A450)*($S$2:$S$501=$S450)*($B$2:$B$501="")*($O$2:$O$501="")),$T$2:$T$501),$U450&lt;&gt;LOOKUP(2,1/(($A$2:$A$501=$A450)*($S$2:$S$501=$S450)*($B$2:$B$501="")*($O$2:$O$501="")),$U$2:$U$501)),FALSE)),"Dependent row does not match the employee row for eligibility, status, coverage level, or funding; ",""))</f>
        <v/>
      </c>
      <c r="AB450">
        <f>IF(COUNTA($A450:$U450)=0,"",IF($L450="","Birthdate is required; ","")&amp;IF(AND($L450&lt;&gt;"",OR(NOT(ISNUMBER($L450)),$L450&lt;=DATE(1900,1,1),$L450&gt;TODAY())),"Birthdate must be an exact valid past date; ","")&amp;IF($P450="","Eligibility Date is required; ","")&amp;IF(AND($P450&lt;&gt;"",OR(NOT(ISNUMBER($P450)),$P450&lt;=DATE(1900,1,1))),"Eligibility Date must be a valid date; ","")&amp;IF(AND($R450="Terminated",$Q450=""),"Termination Date is required when Status is Terminated; ","")&amp;IF(AND($Q450&lt;&gt;"",OR(NOT(ISNUMBER($Q450)),$Q450&lt;=DATE(1900,1,1))),"Termination Date must be a valid date; ","")&amp;IF(AND(ISNUMBER($P450),ISNUMBER($Q450),$Q450&lt;$P450),"Termination Date cannot be before Eligibility Date; ","")&amp;IF($R450="","Status is required; ","")&amp;IF(AND($R450&lt;&gt;"",$R450&lt;&gt;"Active",$R450&lt;&gt;"Terminated"),"Status must be Active or Terminated; ","")&amp;IF(AND('START HERE'!$C$8="Terminations Only",$R450&lt;&gt;"Terminated"),"Terminations Only files must contain terminated records; ",""))</f>
        <v/>
      </c>
      <c r="AC450">
        <f>IF(COUNTA($A450:$U450)=0,"",IF($S450="","Plan Name is required; ","")&amp;IF($T450="","Benefit Coverage Level is required; ","")&amp;IF(AND($U450&lt;&gt;"",OR(NOT(ISNUMBER($U450)),$U450&lt;0)),"Plan Funding Amount must be a nonnegative number; ","")&amp;IF(AND($A450&lt;&gt;"",$S450&lt;&gt;"",COUNTIFS($A$2:$A$501,$A450,$B$2:$B$501,$B450,$S$2:$S$501,$S450)&gt;1),"Duplicate participant and plan row; ",""))</f>
        <v/>
      </c>
      <c r="AD450">
        <f>IF(COUNTA($A450:$U450)=0,"",IF(AND($X450="Employee",$M450="",$N450=""),"No employee phone or email provided; ","")&amp;IF(AND($R450="Active",$Q450&lt;&gt;""),"Active record includes a Termination Date; confirm this is intentional; ","")&amp;IF(AND($B450&lt;&gt;"",$B450&amp;""&lt;&gt;$A450&amp;"",COUNTIF($A$2:$A$501,$B450)&gt;0),"Dependent SSN also appears as an Employee SSN elsewhere; confirm dual-employee coverage is intentional; ","")&amp;IF(AND($B450&lt;&gt;"",COUNTIF($B$2:$B$501,$B450)&gt;COUNTIFS($A$2:$A$501,$A450,$B$2:$B$501,$B450)),"Dependent SSN appears under more than one employee; confirm duplicate family coverage is intentional; ","")&amp;IF(AND(ROW()&gt;2,$A450&lt;&gt;"",$A450&lt;&gt;$A449,COUNTIF($A$2:$A449,$A450)&gt;0),"This household appears in more than one section of the census; keep the family together; ","")&amp;IF(OR(AND($C450&lt;&gt;"",LEN($C450&amp;"")&lt;&gt;LEN(TRIM($C450&amp;""))),AND($D450&lt;&gt;"",LEN($D450&amp;"")&lt;&gt;LEN(TRIM($D450&amp;""))),AND($E450&lt;&gt;"",LEN($E450&amp;"")&lt;&gt;LEN(TRIM($E450&amp;""))),AND($F450&lt;&gt;"",LEN($F450&amp;"")&lt;&gt;LEN(TRIM($F450&amp;""))),AND($G450&lt;&gt;"",LEN($G450&amp;"")&lt;&gt;LEN(TRIM($G450&amp;""))),AND($H450&lt;&gt;"",LEN($H450&amp;"")&lt;&gt;LEN(TRIM($H450&amp;""))),AND($I450&lt;&gt;"",LEN($I450&amp;"")&lt;&gt;LEN(TRIM($I450&amp;""))),AND($J450&lt;&gt;"",LEN($J450&amp;"")&lt;&gt;LEN(TRIM($J450&amp;""))),AND($K450&lt;&gt;"",LEN($K450&amp;"")&lt;&gt;LEN(TRIM($K450&amp;""))),AND($M450&lt;&gt;"",LEN($M450&amp;"")&lt;&gt;LEN(TRIM($M450&amp;""))),AND($N450&lt;&gt;"",LEN($N450&amp;"")&lt;&gt;LEN(TRIM($N450&amp;""))),AND($O450&lt;&gt;"",LEN($O450&amp;"")&lt;&gt;LEN(TRIM($O450&amp;""))),AND($R450&lt;&gt;"",LEN($R450&amp;"")&lt;&gt;LEN(TRIM($R450&amp;""))),AND($S450&lt;&gt;"",LEN($S450&amp;"")&lt;&gt;LEN(TRIM($S450&amp;""))),AND($T450&lt;&gt;"",LEN($T450&amp;"")&lt;&gt;LEN(TRIM($T450&amp;"")))),"Remove leading or trailing spaces from text fields; ","")&amp;IF(OR(AND(LEN($C450)&gt;1,OR(EXACT($C450,UPPER($C450)),EXACT($C450,LOWER($C450)))),AND(LEN($D450)&gt;1,OR(EXACT($D450,UPPER($D450)),EXACT($D450,LOWER($D450)))),AND(LEN($H450)&gt;1,OR(EXACT($H450,UPPER($H450)),EXACT($H450,LOWER($H450))))),"Review capitalization in First Name, Last Name, or City; ","")&amp;IF(AND($N450&lt;&gt;"",NOT(EXACT($N450,LOWER($N450)))),"Email will be standardized to lowercase in the clean output; ","")&amp;IF(AND(OR('START HERE'!$C$8="Initial Enrollment",'START HERE'!$C$8="Open Enrollment"),$R450="Terminated"),"A terminated row is included in an initial or open enrollment file; confirm this is intentional; ",""))</f>
        <v/>
      </c>
      <c r="AE450">
        <f>IF(COUNTA($A450:$U450)=0,"",IF(OR($A450="",AND($A450&lt;&gt;"",NOT(IFERROR(AND(LEN($A450&amp;"")=9,ISNUMBER(--($A450&amp;""))),FALSE))),AND($A450&lt;&gt;"",OR($A450="123456789",$A450="987654321",$A450="012345678",$A450=REPT(LEFT($A450&amp;"",1),9)))),"Employee SSN, ","")&amp;IF(OR(AND($O450&lt;&gt;"",$B450=""),AND($B450&lt;&gt;"",OR(NOT(IFERROR(AND(LEN($B450&amp;"")=9,ISNUMBER(--($B450&amp;""))),FALSE)),$B450=$A450,$B450="123456789",$B450="987654321",$B450="012345678",$B450=REPT(LEFT($B450&amp;"",1),9)))),"Dependent SSN, ","")&amp;IF(OR($C450="",LEN($C450)&gt;19,AND($C450&lt;&gt;"",SUMPRODUCT(--(ROW($1:$19)&lt;=LEN($C450&amp;"")),--ISERROR(FIND(MID($C450&amp;"",ROW($1:$19),1),"ABCDEFGHIJKLMNOPQRSTUVWXYZabcdefghijklmnopqrstuvwxyz .,")))&gt;0)),"First Name, ","")&amp;IF(OR($D450="",LEN($D450)&gt;26,AND($D450&lt;&gt;"",SUMPRODUCT(--(ROW($1:$26)&lt;=LEN($D450&amp;"")),--ISERROR(FIND(MID($D450&amp;"",ROW($1:$26),1),"ABCDEFGHIJKLMNOPQRSTUVWXYZabcdefghijklmnopqrstuvwxyz .,")))&gt;0)),"Last Name, ","")&amp;IF(OR(LEN($E450)&gt;1,AND($E450&lt;&gt;"",SUMPRODUCT(--(ROW($1:$1)&lt;=LEN($E450&amp;"")),--ISERROR(FIND(MID($E450&amp;"",ROW($1:$1),1),"ABCDEFGHIJKLMNOPQRSTUVWXYZabcdefghijklmnopqrstuvwxyz .,")))&gt;0)),"Middle Initial, ","")&amp;IF(OR($F450="",LEN($F450)&gt;75),"Address, ","")&amp;IF(OR($H450="",LEN($H450)&gt;30),"City, ","")&amp;IF(AND($K450="US",OR($I450="",LEN($I450)&lt;&gt;2)),"State, ","")&amp;IF($J450="","ZIP, ","")&amp;IF(OR($K450="",AND($K450&lt;&gt;"US",$K450&lt;&gt;"CA")),"Country, ","")&amp;IF(OR($L450="",AND($L450&lt;&gt;"",OR(NOT(ISNUMBER($L450)),$L450&lt;=DATE(1900,1,1),$L450&gt;TODAY()))),"Birthdate, ","")&amp;IF(AND($N450&lt;&gt;"",NOT(IFERROR(AND(ISNUMBER(SEARCH("@",$N450)),ISNUMBER(SEARCH(".",$N450,SEARCH("@",$N450)+2))),FALSE))),"Email, ","")&amp;IF(OR(AND($B450&lt;&gt;"",$O450=""),AND($O450&lt;&gt;"",$O450&lt;&gt;"Spouse or Common Law Spouse",$O450&lt;&gt;"Domestic Partner",$O450&lt;&gt;"Child",$O450&lt;&gt;"Other",$O450&lt;&gt;"Estate",$O450&lt;&gt;"Unknown")),"Dependent Relationship, ","")&amp;IF($AA450&lt;&gt;"","Household, ","")&amp;IF(OR($P450="",AND($P450&lt;&gt;"",OR(NOT(ISNUMBER($P450)),$P450&lt;=DATE(1900,1,1)))),"Eligibility Date, ","")&amp;IF(OR(AND($R450="Terminated",$Q450=""),AND($Q450&lt;&gt;"",OR(NOT(ISNUMBER($Q450)),$Q450&lt;=DATE(1900,1,1))),AND(ISNUMBER($P450),ISNUMBER($Q450),$Q450&lt;$P450)),"Termination Date, ","")&amp;IF(OR($R450="",AND($R450&lt;&gt;"Active",$R450&lt;&gt;"Terminated"),AND('START HERE'!$C$8="Terminations Only",$R450&lt;&gt;"Terminated")),"Status, ","")&amp;IF($S450="","Plan Name, ","")&amp;IF($T450="","Coverage Level, ","")&amp;IF(AND($U450&lt;&gt;"",OR(NOT(ISNUMBER($U450)),$U450&lt;0)),"Funding, ","")&amp;IF(AND($A450&lt;&gt;"",$S450&lt;&gt;"",COUNTIFS($A$2:$A$501,$A450,$B$2:$B$501,$B450,$S$2:$S$501,$S450)&gt;1),"Duplicate Row, ",""))</f>
        <v/>
      </c>
      <c r="AF450">
        <f>IF(COUNTA($A450:$U450)=0,"",$Y450&amp;$Z450&amp;$AA450&amp;$AB450&amp;$AC450)</f>
        <v/>
      </c>
      <c r="AG450">
        <f>IF($N450="","",LOWER(TRIM($N450)))</f>
        <v/>
      </c>
      <c r="AH450">
        <f>IF($A450="","",COUNTIFS($A$2:$A$501,$A450,$AI$2:$AI$501,1))</f>
        <v/>
      </c>
      <c r="AI450">
        <f>IF(COUNTA($A450:$U450)=0,"",--($AF450&lt;&gt;""))</f>
        <v/>
      </c>
      <c r="AJ450">
        <f>IF(COUNTA($A450:$U450)=0,"",--($AD450&lt;&gt;""))</f>
        <v/>
      </c>
    </row>
    <row r="451" ht="20" customHeight="1">
      <c r="A451" s="80" t="n"/>
      <c r="B451" s="80" t="n"/>
      <c r="C451" s="81" t="n"/>
      <c r="D451" s="81" t="n"/>
      <c r="E451" s="80" t="n"/>
      <c r="F451" s="81" t="n"/>
      <c r="G451" s="81" t="n"/>
      <c r="H451" s="81" t="n"/>
      <c r="I451" s="80" t="n"/>
      <c r="J451" s="80" t="n"/>
      <c r="K451" s="80" t="n"/>
      <c r="L451" s="82" t="n"/>
      <c r="M451" s="80" t="n"/>
      <c r="N451" s="80" t="n"/>
      <c r="O451" s="80" t="n"/>
      <c r="P451" s="82" t="n"/>
      <c r="Q451" s="82" t="n"/>
      <c r="R451" s="80" t="n"/>
      <c r="S451" s="80" t="n"/>
      <c r="T451" s="80" t="n"/>
      <c r="U451" s="83" t="n"/>
      <c r="V451">
        <f>IF($A451="","",IF($A451=$A450,$V450,IF($V450="",0,1-$V450)))</f>
        <v/>
      </c>
      <c r="W451">
        <f>IF($B451&lt;&gt;"",$B451,$A451)</f>
        <v/>
      </c>
      <c r="X451">
        <f>IF(COUNTA($A451:$U451)=0,"",IF(OR($B451&lt;&gt;"",$O451&lt;&gt;""),"Dependent","Employee"))</f>
        <v/>
      </c>
      <c r="Y451">
        <f>IF(COUNTA($A451:$U451)=0,"",IF($A451="","Employee SSN is required; ","")&amp;IF($C451="","First Name is required; ","")&amp;IF(LEN($C451&amp;"")&gt;19,"First Name exceeds 19 characters; ","")&amp;IF(AND($C451&lt;&gt;"",SUMPRODUCT(--(ROW($1:$19)&lt;=LEN($C451&amp;"")),--ISERROR(FIND(MID($C451&amp;"",ROW($1:$19),1),"ABCDEFGHIJKLMNOPQRSTUVWXYZabcdefghijklmnopqrstuvwxyz .,")))&gt;0),"First Name contains unsupported or encoded characters; use plain A-Z letters only; ","")&amp;IF($D451="","Last Name is required; ","")&amp;IF(LEN($D451&amp;"")&gt;26,"Last Name exceeds 26 characters; ","")&amp;IF(AND($D451&lt;&gt;"",SUMPRODUCT(--(ROW($1:$26)&lt;=LEN($D451&amp;"")),--ISERROR(FIND(MID($D451&amp;"",ROW($1:$26),1),"ABCDEFGHIJKLMNOPQRSTUVWXYZabcdefghijklmnopqrstuvwxyz .,")))&gt;0),"Last Name contains unsupported or encoded characters; use plain A-Z letters only; ","")&amp;IF(LEN($E451&amp;"")&gt;1,"Middle Initial may contain only one character; ","")&amp;IF(AND($E451&lt;&gt;"",SUMPRODUCT(--(ROW($1:$1)&lt;=LEN($E451&amp;"")),--ISERROR(FIND(MID($E451&amp;"",ROW($1:$1),1),"ABCDEFGHIJKLMNOPQRSTUVWXYZabcdefghijklmnopqrstuvwxyz .,")))&gt;0),"Middle Initial must be a plain A-Z letter; ","")&amp;IF($F451="","Address is required; ","")&amp;IF(LEN($F451&amp;"")&gt;75,"Address exceeds 75 characters; ","")&amp;IF(LEN($G451&amp;"")&gt;75,"Address 2 exceeds 75 characters; ","")&amp;IF($H451="","City is required; ","")&amp;IF(LEN($H451&amp;"")&gt;30,"City exceeds 30 characters; ","")&amp;IF($K451="","Country is required; ","")&amp;IF(AND($K451&lt;&gt;"",$K451&lt;&gt;"US",$K451&lt;&gt;"CA"),"Country must be US or CA; ","")&amp;IF(AND($K451="US",OR($I451="",LEN($I451&amp;"")&lt;&gt;2)),"Use a 2-letter state code; ","")&amp;IF($J451="","ZIP or postal code is required; ","")&amp;IF(AND($K451="US",$J451&lt;&gt;"",NOT(IFERROR(OR(AND(LEN($J451&amp;"")=5,ISNUMBER(--($J451&amp;""))),AND(LEN($J451&amp;"")=9,ISNUMBER(--($J451&amp;""))),AND(LEN($J451&amp;"")=10,MID($J451&amp;"",6,1)="-",ISNUMBER(--SUBSTITUTE($J451&amp;"","-","")))),FALSE))),"US ZIP must be 5 or 9 digits, with an optional ZIP+4 hyphen; ","")&amp;IF(AND($N451&lt;&gt;"",NOT(IFERROR(AND(ISNUMBER(SEARCH("@",$N451)),ISNUMBER(SEARCH(".",$N451,SEARCH("@",$N451)+2))),FALSE))),"Email format appears invalid; ","")&amp;IF(AND($O451&lt;&gt;"",$B451=""),"Dependent SSN is required for every dependent; ","")&amp;IF(AND($B451&lt;&gt;"",$O451=""),"Dependent Relationship is required when Dependent SSN is entered; ","")&amp;IF(AND($O451&lt;&gt;"",$O451&lt;&gt;"Spouse or Common Law Spouse",$O451&lt;&gt;"Domestic Partner",$O451&lt;&gt;"Child",$O451&lt;&gt;"Other",$O451&lt;&gt;"Estate",$O451&lt;&gt;"Unknown"),"Dependent Relationship must use one of the approved options; ",""))</f>
        <v/>
      </c>
      <c r="Z451">
        <f>IF(COUNTA($A451:$U451)=0,"",IF(AND($A451&lt;&gt;"",NOT(IFERROR(AND(LEN($A451&amp;"")=9,ISNUMBER(--($A451&amp;""))),FALSE))),"Employee SSN must contain exactly 9 digits; ","")&amp;IF(AND($A451&lt;&gt;"",OR($A451="123456789",$A451="987654321",$A451="012345678",$A451=REPT(LEFT($A451&amp;"",1),9))),"Employee SSN appears to be a placeholder; ","")&amp;IF(AND($B451&lt;&gt;"",NOT(IFERROR(AND(LEN($B451&amp;"")=9,ISNUMBER(--($B451&amp;""))),FALSE))),"Dependent SSN must contain exactly 9 digits; ","")&amp;IF(AND($B451&lt;&gt;"",OR($B451="123456789",$B451="987654321",$B451="012345678",$B451=REPT(LEFT($B451&amp;"",1),9))),"Dependent SSN appears to be a placeholder; ","")&amp;IF(AND($A451&lt;&gt;"",$B451&lt;&gt;"",$A451&amp;""=$B451&amp;""),"Dependent SSN cannot match Employee SSN; ","")&amp;IF(AND($W451&lt;&gt;"",OR(COUNTIFS($W$2:$W$501,$W451,$C$2:$C$501,"&lt;&gt;"&amp;$C451)&gt;0,COUNTIFS($W$2:$W$501,$W451,$D$2:$D$501,"&lt;&gt;"&amp;$D451)&gt;0,COUNTIFS($W$2:$W$501,$W451,$L$2:$L$501,"&lt;&gt;"&amp;$L451)&gt;0)),"The same SSN is associated with a different name or birthdate; ",""))</f>
        <v/>
      </c>
      <c r="AA451">
        <f>IF(COUNTA($A451:$U451)=0,"",IF(AND($A451&lt;&gt;"",$S451&lt;&gt;"",COUNTIFS($A$2:$A$501,$A451,$S$2:$S$501,$S451,$B$2:$B$501,"",$O$2:$O$501,"")=0),"Add an employee row for this household and plan; ","")&amp;IF(AND($X451="Dependent",COUNTIFS($A$2:$A451,$A451,$S$2:$S451,$S451,$B$2:$B451,"",$O$2:$O451,"")=0),"Place the employee row before dependent rows for this plan; ","")&amp;IF(AND($X451="Dependent",COUNTIFS($A$2:$A$501,$A451,$S$2:$S$501,$S451,$B$2:$B$501,"",$O$2:$O$501,"")&gt;0,IFERROR(OR($P451&lt;&gt;LOOKUP(2,1/(($A$2:$A$501=$A451)*($S$2:$S$501=$S451)*($B$2:$B$501="")*($O$2:$O$501="")),$P$2:$P$501),$Q451&lt;&gt;LOOKUP(2,1/(($A$2:$A$501=$A451)*($S$2:$S$501=$S451)*($B$2:$B$501="")*($O$2:$O$501="")),$Q$2:$Q$501),$R451&lt;&gt;LOOKUP(2,1/(($A$2:$A$501=$A451)*($S$2:$S$501=$S451)*($B$2:$B$501="")*($O$2:$O$501="")),$R$2:$R$501),$T451&lt;&gt;LOOKUP(2,1/(($A$2:$A$501=$A451)*($S$2:$S$501=$S451)*($B$2:$B$501="")*($O$2:$O$501="")),$T$2:$T$501),$U451&lt;&gt;LOOKUP(2,1/(($A$2:$A$501=$A451)*($S$2:$S$501=$S451)*($B$2:$B$501="")*($O$2:$O$501="")),$U$2:$U$501)),FALSE)),"Dependent row does not match the employee row for eligibility, status, coverage level, or funding; ",""))</f>
        <v/>
      </c>
      <c r="AB451">
        <f>IF(COUNTA($A451:$U451)=0,"",IF($L451="","Birthdate is required; ","")&amp;IF(AND($L451&lt;&gt;"",OR(NOT(ISNUMBER($L451)),$L451&lt;=DATE(1900,1,1),$L451&gt;TODAY())),"Birthdate must be an exact valid past date; ","")&amp;IF($P451="","Eligibility Date is required; ","")&amp;IF(AND($P451&lt;&gt;"",OR(NOT(ISNUMBER($P451)),$P451&lt;=DATE(1900,1,1))),"Eligibility Date must be a valid date; ","")&amp;IF(AND($R451="Terminated",$Q451=""),"Termination Date is required when Status is Terminated; ","")&amp;IF(AND($Q451&lt;&gt;"",OR(NOT(ISNUMBER($Q451)),$Q451&lt;=DATE(1900,1,1))),"Termination Date must be a valid date; ","")&amp;IF(AND(ISNUMBER($P451),ISNUMBER($Q451),$Q451&lt;$P451),"Termination Date cannot be before Eligibility Date; ","")&amp;IF($R451="","Status is required; ","")&amp;IF(AND($R451&lt;&gt;"",$R451&lt;&gt;"Active",$R451&lt;&gt;"Terminated"),"Status must be Active or Terminated; ","")&amp;IF(AND('START HERE'!$C$8="Terminations Only",$R451&lt;&gt;"Terminated"),"Terminations Only files must contain terminated records; ",""))</f>
        <v/>
      </c>
      <c r="AC451">
        <f>IF(COUNTA($A451:$U451)=0,"",IF($S451="","Plan Name is required; ","")&amp;IF($T451="","Benefit Coverage Level is required; ","")&amp;IF(AND($U451&lt;&gt;"",OR(NOT(ISNUMBER($U451)),$U451&lt;0)),"Plan Funding Amount must be a nonnegative number; ","")&amp;IF(AND($A451&lt;&gt;"",$S451&lt;&gt;"",COUNTIFS($A$2:$A$501,$A451,$B$2:$B$501,$B451,$S$2:$S$501,$S451)&gt;1),"Duplicate participant and plan row; ",""))</f>
        <v/>
      </c>
      <c r="AD451">
        <f>IF(COUNTA($A451:$U451)=0,"",IF(AND($X451="Employee",$M451="",$N451=""),"No employee phone or email provided; ","")&amp;IF(AND($R451="Active",$Q451&lt;&gt;""),"Active record includes a Termination Date; confirm this is intentional; ","")&amp;IF(AND($B451&lt;&gt;"",$B451&amp;""&lt;&gt;$A451&amp;"",COUNTIF($A$2:$A$501,$B451)&gt;0),"Dependent SSN also appears as an Employee SSN elsewhere; confirm dual-employee coverage is intentional; ","")&amp;IF(AND($B451&lt;&gt;"",COUNTIF($B$2:$B$501,$B451)&gt;COUNTIFS($A$2:$A$501,$A451,$B$2:$B$501,$B451)),"Dependent SSN appears under more than one employee; confirm duplicate family coverage is intentional; ","")&amp;IF(AND(ROW()&gt;2,$A451&lt;&gt;"",$A451&lt;&gt;$A450,COUNTIF($A$2:$A450,$A451)&gt;0),"This household appears in more than one section of the census; keep the family together; ","")&amp;IF(OR(AND($C451&lt;&gt;"",LEN($C451&amp;"")&lt;&gt;LEN(TRIM($C451&amp;""))),AND($D451&lt;&gt;"",LEN($D451&amp;"")&lt;&gt;LEN(TRIM($D451&amp;""))),AND($E451&lt;&gt;"",LEN($E451&amp;"")&lt;&gt;LEN(TRIM($E451&amp;""))),AND($F451&lt;&gt;"",LEN($F451&amp;"")&lt;&gt;LEN(TRIM($F451&amp;""))),AND($G451&lt;&gt;"",LEN($G451&amp;"")&lt;&gt;LEN(TRIM($G451&amp;""))),AND($H451&lt;&gt;"",LEN($H451&amp;"")&lt;&gt;LEN(TRIM($H451&amp;""))),AND($I451&lt;&gt;"",LEN($I451&amp;"")&lt;&gt;LEN(TRIM($I451&amp;""))),AND($J451&lt;&gt;"",LEN($J451&amp;"")&lt;&gt;LEN(TRIM($J451&amp;""))),AND($K451&lt;&gt;"",LEN($K451&amp;"")&lt;&gt;LEN(TRIM($K451&amp;""))),AND($M451&lt;&gt;"",LEN($M451&amp;"")&lt;&gt;LEN(TRIM($M451&amp;""))),AND($N451&lt;&gt;"",LEN($N451&amp;"")&lt;&gt;LEN(TRIM($N451&amp;""))),AND($O451&lt;&gt;"",LEN($O451&amp;"")&lt;&gt;LEN(TRIM($O451&amp;""))),AND($R451&lt;&gt;"",LEN($R451&amp;"")&lt;&gt;LEN(TRIM($R451&amp;""))),AND($S451&lt;&gt;"",LEN($S451&amp;"")&lt;&gt;LEN(TRIM($S451&amp;""))),AND($T451&lt;&gt;"",LEN($T451&amp;"")&lt;&gt;LEN(TRIM($T451&amp;"")))),"Remove leading or trailing spaces from text fields; ","")&amp;IF(OR(AND(LEN($C451)&gt;1,OR(EXACT($C451,UPPER($C451)),EXACT($C451,LOWER($C451)))),AND(LEN($D451)&gt;1,OR(EXACT($D451,UPPER($D451)),EXACT($D451,LOWER($D451)))),AND(LEN($H451)&gt;1,OR(EXACT($H451,UPPER($H451)),EXACT($H451,LOWER($H451))))),"Review capitalization in First Name, Last Name, or City; ","")&amp;IF(AND($N451&lt;&gt;"",NOT(EXACT($N451,LOWER($N451)))),"Email will be standardized to lowercase in the clean output; ","")&amp;IF(AND(OR('START HERE'!$C$8="Initial Enrollment",'START HERE'!$C$8="Open Enrollment"),$R451="Terminated"),"A terminated row is included in an initial or open enrollment file; confirm this is intentional; ",""))</f>
        <v/>
      </c>
      <c r="AE451">
        <f>IF(COUNTA($A451:$U451)=0,"",IF(OR($A451="",AND($A451&lt;&gt;"",NOT(IFERROR(AND(LEN($A451&amp;"")=9,ISNUMBER(--($A451&amp;""))),FALSE))),AND($A451&lt;&gt;"",OR($A451="123456789",$A451="987654321",$A451="012345678",$A451=REPT(LEFT($A451&amp;"",1),9)))),"Employee SSN, ","")&amp;IF(OR(AND($O451&lt;&gt;"",$B451=""),AND($B451&lt;&gt;"",OR(NOT(IFERROR(AND(LEN($B451&amp;"")=9,ISNUMBER(--($B451&amp;""))),FALSE)),$B451=$A451,$B451="123456789",$B451="987654321",$B451="012345678",$B451=REPT(LEFT($B451&amp;"",1),9)))),"Dependent SSN, ","")&amp;IF(OR($C451="",LEN($C451)&gt;19,AND($C451&lt;&gt;"",SUMPRODUCT(--(ROW($1:$19)&lt;=LEN($C451&amp;"")),--ISERROR(FIND(MID($C451&amp;"",ROW($1:$19),1),"ABCDEFGHIJKLMNOPQRSTUVWXYZabcdefghijklmnopqrstuvwxyz .,")))&gt;0)),"First Name, ","")&amp;IF(OR($D451="",LEN($D451)&gt;26,AND($D451&lt;&gt;"",SUMPRODUCT(--(ROW($1:$26)&lt;=LEN($D451&amp;"")),--ISERROR(FIND(MID($D451&amp;"",ROW($1:$26),1),"ABCDEFGHIJKLMNOPQRSTUVWXYZabcdefghijklmnopqrstuvwxyz .,")))&gt;0)),"Last Name, ","")&amp;IF(OR(LEN($E451)&gt;1,AND($E451&lt;&gt;"",SUMPRODUCT(--(ROW($1:$1)&lt;=LEN($E451&amp;"")),--ISERROR(FIND(MID($E451&amp;"",ROW($1:$1),1),"ABCDEFGHIJKLMNOPQRSTUVWXYZabcdefghijklmnopqrstuvwxyz .,")))&gt;0)),"Middle Initial, ","")&amp;IF(OR($F451="",LEN($F451)&gt;75),"Address, ","")&amp;IF(OR($H451="",LEN($H451)&gt;30),"City, ","")&amp;IF(AND($K451="US",OR($I451="",LEN($I451)&lt;&gt;2)),"State, ","")&amp;IF($J451="","ZIP, ","")&amp;IF(OR($K451="",AND($K451&lt;&gt;"US",$K451&lt;&gt;"CA")),"Country, ","")&amp;IF(OR($L451="",AND($L451&lt;&gt;"",OR(NOT(ISNUMBER($L451)),$L451&lt;=DATE(1900,1,1),$L451&gt;TODAY()))),"Birthdate, ","")&amp;IF(AND($N451&lt;&gt;"",NOT(IFERROR(AND(ISNUMBER(SEARCH("@",$N451)),ISNUMBER(SEARCH(".",$N451,SEARCH("@",$N451)+2))),FALSE))),"Email, ","")&amp;IF(OR(AND($B451&lt;&gt;"",$O451=""),AND($O451&lt;&gt;"",$O451&lt;&gt;"Spouse or Common Law Spouse",$O451&lt;&gt;"Domestic Partner",$O451&lt;&gt;"Child",$O451&lt;&gt;"Other",$O451&lt;&gt;"Estate",$O451&lt;&gt;"Unknown")),"Dependent Relationship, ","")&amp;IF($AA451&lt;&gt;"","Household, ","")&amp;IF(OR($P451="",AND($P451&lt;&gt;"",OR(NOT(ISNUMBER($P451)),$P451&lt;=DATE(1900,1,1)))),"Eligibility Date, ","")&amp;IF(OR(AND($R451="Terminated",$Q451=""),AND($Q451&lt;&gt;"",OR(NOT(ISNUMBER($Q451)),$Q451&lt;=DATE(1900,1,1))),AND(ISNUMBER($P451),ISNUMBER($Q451),$Q451&lt;$P451)),"Termination Date, ","")&amp;IF(OR($R451="",AND($R451&lt;&gt;"Active",$R451&lt;&gt;"Terminated"),AND('START HERE'!$C$8="Terminations Only",$R451&lt;&gt;"Terminated")),"Status, ","")&amp;IF($S451="","Plan Name, ","")&amp;IF($T451="","Coverage Level, ","")&amp;IF(AND($U451&lt;&gt;"",OR(NOT(ISNUMBER($U451)),$U451&lt;0)),"Funding, ","")&amp;IF(AND($A451&lt;&gt;"",$S451&lt;&gt;"",COUNTIFS($A$2:$A$501,$A451,$B$2:$B$501,$B451,$S$2:$S$501,$S451)&gt;1),"Duplicate Row, ",""))</f>
        <v/>
      </c>
      <c r="AF451">
        <f>IF(COUNTA($A451:$U451)=0,"",$Y451&amp;$Z451&amp;$AA451&amp;$AB451&amp;$AC451)</f>
        <v/>
      </c>
      <c r="AG451">
        <f>IF($N451="","",LOWER(TRIM($N451)))</f>
        <v/>
      </c>
      <c r="AH451">
        <f>IF($A451="","",COUNTIFS($A$2:$A$501,$A451,$AI$2:$AI$501,1))</f>
        <v/>
      </c>
      <c r="AI451">
        <f>IF(COUNTA($A451:$U451)=0,"",--($AF451&lt;&gt;""))</f>
        <v/>
      </c>
      <c r="AJ451">
        <f>IF(COUNTA($A451:$U451)=0,"",--($AD451&lt;&gt;""))</f>
        <v/>
      </c>
    </row>
    <row r="452" ht="20" customHeight="1">
      <c r="A452" s="80" t="n"/>
      <c r="B452" s="80" t="n"/>
      <c r="C452" s="81" t="n"/>
      <c r="D452" s="81" t="n"/>
      <c r="E452" s="80" t="n"/>
      <c r="F452" s="81" t="n"/>
      <c r="G452" s="81" t="n"/>
      <c r="H452" s="81" t="n"/>
      <c r="I452" s="80" t="n"/>
      <c r="J452" s="80" t="n"/>
      <c r="K452" s="80" t="n"/>
      <c r="L452" s="82" t="n"/>
      <c r="M452" s="80" t="n"/>
      <c r="N452" s="80" t="n"/>
      <c r="O452" s="80" t="n"/>
      <c r="P452" s="82" t="n"/>
      <c r="Q452" s="82" t="n"/>
      <c r="R452" s="80" t="n"/>
      <c r="S452" s="80" t="n"/>
      <c r="T452" s="80" t="n"/>
      <c r="U452" s="83" t="n"/>
      <c r="V452">
        <f>IF($A452="","",IF($A452=$A451,$V451,IF($V451="",0,1-$V451)))</f>
        <v/>
      </c>
      <c r="W452">
        <f>IF($B452&lt;&gt;"",$B452,$A452)</f>
        <v/>
      </c>
      <c r="X452">
        <f>IF(COUNTA($A452:$U452)=0,"",IF(OR($B452&lt;&gt;"",$O452&lt;&gt;""),"Dependent","Employee"))</f>
        <v/>
      </c>
      <c r="Y452">
        <f>IF(COUNTA($A452:$U452)=0,"",IF($A452="","Employee SSN is required; ","")&amp;IF($C452="","First Name is required; ","")&amp;IF(LEN($C452&amp;"")&gt;19,"First Name exceeds 19 characters; ","")&amp;IF(AND($C452&lt;&gt;"",SUMPRODUCT(--(ROW($1:$19)&lt;=LEN($C452&amp;"")),--ISERROR(FIND(MID($C452&amp;"",ROW($1:$19),1),"ABCDEFGHIJKLMNOPQRSTUVWXYZabcdefghijklmnopqrstuvwxyz .,")))&gt;0),"First Name contains unsupported or encoded characters; use plain A-Z letters only; ","")&amp;IF($D452="","Last Name is required; ","")&amp;IF(LEN($D452&amp;"")&gt;26,"Last Name exceeds 26 characters; ","")&amp;IF(AND($D452&lt;&gt;"",SUMPRODUCT(--(ROW($1:$26)&lt;=LEN($D452&amp;"")),--ISERROR(FIND(MID($D452&amp;"",ROW($1:$26),1),"ABCDEFGHIJKLMNOPQRSTUVWXYZabcdefghijklmnopqrstuvwxyz .,")))&gt;0),"Last Name contains unsupported or encoded characters; use plain A-Z letters only; ","")&amp;IF(LEN($E452&amp;"")&gt;1,"Middle Initial may contain only one character; ","")&amp;IF(AND($E452&lt;&gt;"",SUMPRODUCT(--(ROW($1:$1)&lt;=LEN($E452&amp;"")),--ISERROR(FIND(MID($E452&amp;"",ROW($1:$1),1),"ABCDEFGHIJKLMNOPQRSTUVWXYZabcdefghijklmnopqrstuvwxyz .,")))&gt;0),"Middle Initial must be a plain A-Z letter; ","")&amp;IF($F452="","Address is required; ","")&amp;IF(LEN($F452&amp;"")&gt;75,"Address exceeds 75 characters; ","")&amp;IF(LEN($G452&amp;"")&gt;75,"Address 2 exceeds 75 characters; ","")&amp;IF($H452="","City is required; ","")&amp;IF(LEN($H452&amp;"")&gt;30,"City exceeds 30 characters; ","")&amp;IF($K452="","Country is required; ","")&amp;IF(AND($K452&lt;&gt;"",$K452&lt;&gt;"US",$K452&lt;&gt;"CA"),"Country must be US or CA; ","")&amp;IF(AND($K452="US",OR($I452="",LEN($I452&amp;"")&lt;&gt;2)),"Use a 2-letter state code; ","")&amp;IF($J452="","ZIP or postal code is required; ","")&amp;IF(AND($K452="US",$J452&lt;&gt;"",NOT(IFERROR(OR(AND(LEN($J452&amp;"")=5,ISNUMBER(--($J452&amp;""))),AND(LEN($J452&amp;"")=9,ISNUMBER(--($J452&amp;""))),AND(LEN($J452&amp;"")=10,MID($J452&amp;"",6,1)="-",ISNUMBER(--SUBSTITUTE($J452&amp;"","-","")))),FALSE))),"US ZIP must be 5 or 9 digits, with an optional ZIP+4 hyphen; ","")&amp;IF(AND($N452&lt;&gt;"",NOT(IFERROR(AND(ISNUMBER(SEARCH("@",$N452)),ISNUMBER(SEARCH(".",$N452,SEARCH("@",$N452)+2))),FALSE))),"Email format appears invalid; ","")&amp;IF(AND($O452&lt;&gt;"",$B452=""),"Dependent SSN is required for every dependent; ","")&amp;IF(AND($B452&lt;&gt;"",$O452=""),"Dependent Relationship is required when Dependent SSN is entered; ","")&amp;IF(AND($O452&lt;&gt;"",$O452&lt;&gt;"Spouse or Common Law Spouse",$O452&lt;&gt;"Domestic Partner",$O452&lt;&gt;"Child",$O452&lt;&gt;"Other",$O452&lt;&gt;"Estate",$O452&lt;&gt;"Unknown"),"Dependent Relationship must use one of the approved options; ",""))</f>
        <v/>
      </c>
      <c r="Z452">
        <f>IF(COUNTA($A452:$U452)=0,"",IF(AND($A452&lt;&gt;"",NOT(IFERROR(AND(LEN($A452&amp;"")=9,ISNUMBER(--($A452&amp;""))),FALSE))),"Employee SSN must contain exactly 9 digits; ","")&amp;IF(AND($A452&lt;&gt;"",OR($A452="123456789",$A452="987654321",$A452="012345678",$A452=REPT(LEFT($A452&amp;"",1),9))),"Employee SSN appears to be a placeholder; ","")&amp;IF(AND($B452&lt;&gt;"",NOT(IFERROR(AND(LEN($B452&amp;"")=9,ISNUMBER(--($B452&amp;""))),FALSE))),"Dependent SSN must contain exactly 9 digits; ","")&amp;IF(AND($B452&lt;&gt;"",OR($B452="123456789",$B452="987654321",$B452="012345678",$B452=REPT(LEFT($B452&amp;"",1),9))),"Dependent SSN appears to be a placeholder; ","")&amp;IF(AND($A452&lt;&gt;"",$B452&lt;&gt;"",$A452&amp;""=$B452&amp;""),"Dependent SSN cannot match Employee SSN; ","")&amp;IF(AND($W452&lt;&gt;"",OR(COUNTIFS($W$2:$W$501,$W452,$C$2:$C$501,"&lt;&gt;"&amp;$C452)&gt;0,COUNTIFS($W$2:$W$501,$W452,$D$2:$D$501,"&lt;&gt;"&amp;$D452)&gt;0,COUNTIFS($W$2:$W$501,$W452,$L$2:$L$501,"&lt;&gt;"&amp;$L452)&gt;0)),"The same SSN is associated with a different name or birthdate; ",""))</f>
        <v/>
      </c>
      <c r="AA452">
        <f>IF(COUNTA($A452:$U452)=0,"",IF(AND($A452&lt;&gt;"",$S452&lt;&gt;"",COUNTIFS($A$2:$A$501,$A452,$S$2:$S$501,$S452,$B$2:$B$501,"",$O$2:$O$501,"")=0),"Add an employee row for this household and plan; ","")&amp;IF(AND($X452="Dependent",COUNTIFS($A$2:$A452,$A452,$S$2:$S452,$S452,$B$2:$B452,"",$O$2:$O452,"")=0),"Place the employee row before dependent rows for this plan; ","")&amp;IF(AND($X452="Dependent",COUNTIFS($A$2:$A$501,$A452,$S$2:$S$501,$S452,$B$2:$B$501,"",$O$2:$O$501,"")&gt;0,IFERROR(OR($P452&lt;&gt;LOOKUP(2,1/(($A$2:$A$501=$A452)*($S$2:$S$501=$S452)*($B$2:$B$501="")*($O$2:$O$501="")),$P$2:$P$501),$Q452&lt;&gt;LOOKUP(2,1/(($A$2:$A$501=$A452)*($S$2:$S$501=$S452)*($B$2:$B$501="")*($O$2:$O$501="")),$Q$2:$Q$501),$R452&lt;&gt;LOOKUP(2,1/(($A$2:$A$501=$A452)*($S$2:$S$501=$S452)*($B$2:$B$501="")*($O$2:$O$501="")),$R$2:$R$501),$T452&lt;&gt;LOOKUP(2,1/(($A$2:$A$501=$A452)*($S$2:$S$501=$S452)*($B$2:$B$501="")*($O$2:$O$501="")),$T$2:$T$501),$U452&lt;&gt;LOOKUP(2,1/(($A$2:$A$501=$A452)*($S$2:$S$501=$S452)*($B$2:$B$501="")*($O$2:$O$501="")),$U$2:$U$501)),FALSE)),"Dependent row does not match the employee row for eligibility, status, coverage level, or funding; ",""))</f>
        <v/>
      </c>
      <c r="AB452">
        <f>IF(COUNTA($A452:$U452)=0,"",IF($L452="","Birthdate is required; ","")&amp;IF(AND($L452&lt;&gt;"",OR(NOT(ISNUMBER($L452)),$L452&lt;=DATE(1900,1,1),$L452&gt;TODAY())),"Birthdate must be an exact valid past date; ","")&amp;IF($P452="","Eligibility Date is required; ","")&amp;IF(AND($P452&lt;&gt;"",OR(NOT(ISNUMBER($P452)),$P452&lt;=DATE(1900,1,1))),"Eligibility Date must be a valid date; ","")&amp;IF(AND($R452="Terminated",$Q452=""),"Termination Date is required when Status is Terminated; ","")&amp;IF(AND($Q452&lt;&gt;"",OR(NOT(ISNUMBER($Q452)),$Q452&lt;=DATE(1900,1,1))),"Termination Date must be a valid date; ","")&amp;IF(AND(ISNUMBER($P452),ISNUMBER($Q452),$Q452&lt;$P452),"Termination Date cannot be before Eligibility Date; ","")&amp;IF($R452="","Status is required; ","")&amp;IF(AND($R452&lt;&gt;"",$R452&lt;&gt;"Active",$R452&lt;&gt;"Terminated"),"Status must be Active or Terminated; ","")&amp;IF(AND('START HERE'!$C$8="Terminations Only",$R452&lt;&gt;"Terminated"),"Terminations Only files must contain terminated records; ",""))</f>
        <v/>
      </c>
      <c r="AC452">
        <f>IF(COUNTA($A452:$U452)=0,"",IF($S452="","Plan Name is required; ","")&amp;IF($T452="","Benefit Coverage Level is required; ","")&amp;IF(AND($U452&lt;&gt;"",OR(NOT(ISNUMBER($U452)),$U452&lt;0)),"Plan Funding Amount must be a nonnegative number; ","")&amp;IF(AND($A452&lt;&gt;"",$S452&lt;&gt;"",COUNTIFS($A$2:$A$501,$A452,$B$2:$B$501,$B452,$S$2:$S$501,$S452)&gt;1),"Duplicate participant and plan row; ",""))</f>
        <v/>
      </c>
      <c r="AD452">
        <f>IF(COUNTA($A452:$U452)=0,"",IF(AND($X452="Employee",$M452="",$N452=""),"No employee phone or email provided; ","")&amp;IF(AND($R452="Active",$Q452&lt;&gt;""),"Active record includes a Termination Date; confirm this is intentional; ","")&amp;IF(AND($B452&lt;&gt;"",$B452&amp;""&lt;&gt;$A452&amp;"",COUNTIF($A$2:$A$501,$B452)&gt;0),"Dependent SSN also appears as an Employee SSN elsewhere; confirm dual-employee coverage is intentional; ","")&amp;IF(AND($B452&lt;&gt;"",COUNTIF($B$2:$B$501,$B452)&gt;COUNTIFS($A$2:$A$501,$A452,$B$2:$B$501,$B452)),"Dependent SSN appears under more than one employee; confirm duplicate family coverage is intentional; ","")&amp;IF(AND(ROW()&gt;2,$A452&lt;&gt;"",$A452&lt;&gt;$A451,COUNTIF($A$2:$A451,$A452)&gt;0),"This household appears in more than one section of the census; keep the family together; ","")&amp;IF(OR(AND($C452&lt;&gt;"",LEN($C452&amp;"")&lt;&gt;LEN(TRIM($C452&amp;""))),AND($D452&lt;&gt;"",LEN($D452&amp;"")&lt;&gt;LEN(TRIM($D452&amp;""))),AND($E452&lt;&gt;"",LEN($E452&amp;"")&lt;&gt;LEN(TRIM($E452&amp;""))),AND($F452&lt;&gt;"",LEN($F452&amp;"")&lt;&gt;LEN(TRIM($F452&amp;""))),AND($G452&lt;&gt;"",LEN($G452&amp;"")&lt;&gt;LEN(TRIM($G452&amp;""))),AND($H452&lt;&gt;"",LEN($H452&amp;"")&lt;&gt;LEN(TRIM($H452&amp;""))),AND($I452&lt;&gt;"",LEN($I452&amp;"")&lt;&gt;LEN(TRIM($I452&amp;""))),AND($J452&lt;&gt;"",LEN($J452&amp;"")&lt;&gt;LEN(TRIM($J452&amp;""))),AND($K452&lt;&gt;"",LEN($K452&amp;"")&lt;&gt;LEN(TRIM($K452&amp;""))),AND($M452&lt;&gt;"",LEN($M452&amp;"")&lt;&gt;LEN(TRIM($M452&amp;""))),AND($N452&lt;&gt;"",LEN($N452&amp;"")&lt;&gt;LEN(TRIM($N452&amp;""))),AND($O452&lt;&gt;"",LEN($O452&amp;"")&lt;&gt;LEN(TRIM($O452&amp;""))),AND($R452&lt;&gt;"",LEN($R452&amp;"")&lt;&gt;LEN(TRIM($R452&amp;""))),AND($S452&lt;&gt;"",LEN($S452&amp;"")&lt;&gt;LEN(TRIM($S452&amp;""))),AND($T452&lt;&gt;"",LEN($T452&amp;"")&lt;&gt;LEN(TRIM($T452&amp;"")))),"Remove leading or trailing spaces from text fields; ","")&amp;IF(OR(AND(LEN($C452)&gt;1,OR(EXACT($C452,UPPER($C452)),EXACT($C452,LOWER($C452)))),AND(LEN($D452)&gt;1,OR(EXACT($D452,UPPER($D452)),EXACT($D452,LOWER($D452)))),AND(LEN($H452)&gt;1,OR(EXACT($H452,UPPER($H452)),EXACT($H452,LOWER($H452))))),"Review capitalization in First Name, Last Name, or City; ","")&amp;IF(AND($N452&lt;&gt;"",NOT(EXACT($N452,LOWER($N452)))),"Email will be standardized to lowercase in the clean output; ","")&amp;IF(AND(OR('START HERE'!$C$8="Initial Enrollment",'START HERE'!$C$8="Open Enrollment"),$R452="Terminated"),"A terminated row is included in an initial or open enrollment file; confirm this is intentional; ",""))</f>
        <v/>
      </c>
      <c r="AE452">
        <f>IF(COUNTA($A452:$U452)=0,"",IF(OR($A452="",AND($A452&lt;&gt;"",NOT(IFERROR(AND(LEN($A452&amp;"")=9,ISNUMBER(--($A452&amp;""))),FALSE))),AND($A452&lt;&gt;"",OR($A452="123456789",$A452="987654321",$A452="012345678",$A452=REPT(LEFT($A452&amp;"",1),9)))),"Employee SSN, ","")&amp;IF(OR(AND($O452&lt;&gt;"",$B452=""),AND($B452&lt;&gt;"",OR(NOT(IFERROR(AND(LEN($B452&amp;"")=9,ISNUMBER(--($B452&amp;""))),FALSE)),$B452=$A452,$B452="123456789",$B452="987654321",$B452="012345678",$B452=REPT(LEFT($B452&amp;"",1),9)))),"Dependent SSN, ","")&amp;IF(OR($C452="",LEN($C452)&gt;19,AND($C452&lt;&gt;"",SUMPRODUCT(--(ROW($1:$19)&lt;=LEN($C452&amp;"")),--ISERROR(FIND(MID($C452&amp;"",ROW($1:$19),1),"ABCDEFGHIJKLMNOPQRSTUVWXYZabcdefghijklmnopqrstuvwxyz .,")))&gt;0)),"First Name, ","")&amp;IF(OR($D452="",LEN($D452)&gt;26,AND($D452&lt;&gt;"",SUMPRODUCT(--(ROW($1:$26)&lt;=LEN($D452&amp;"")),--ISERROR(FIND(MID($D452&amp;"",ROW($1:$26),1),"ABCDEFGHIJKLMNOPQRSTUVWXYZabcdefghijklmnopqrstuvwxyz .,")))&gt;0)),"Last Name, ","")&amp;IF(OR(LEN($E452)&gt;1,AND($E452&lt;&gt;"",SUMPRODUCT(--(ROW($1:$1)&lt;=LEN($E452&amp;"")),--ISERROR(FIND(MID($E452&amp;"",ROW($1:$1),1),"ABCDEFGHIJKLMNOPQRSTUVWXYZabcdefghijklmnopqrstuvwxyz .,")))&gt;0)),"Middle Initial, ","")&amp;IF(OR($F452="",LEN($F452)&gt;75),"Address, ","")&amp;IF(OR($H452="",LEN($H452)&gt;30),"City, ","")&amp;IF(AND($K452="US",OR($I452="",LEN($I452)&lt;&gt;2)),"State, ","")&amp;IF($J452="","ZIP, ","")&amp;IF(OR($K452="",AND($K452&lt;&gt;"US",$K452&lt;&gt;"CA")),"Country, ","")&amp;IF(OR($L452="",AND($L452&lt;&gt;"",OR(NOT(ISNUMBER($L452)),$L452&lt;=DATE(1900,1,1),$L452&gt;TODAY()))),"Birthdate, ","")&amp;IF(AND($N452&lt;&gt;"",NOT(IFERROR(AND(ISNUMBER(SEARCH("@",$N452)),ISNUMBER(SEARCH(".",$N452,SEARCH("@",$N452)+2))),FALSE))),"Email, ","")&amp;IF(OR(AND($B452&lt;&gt;"",$O452=""),AND($O452&lt;&gt;"",$O452&lt;&gt;"Spouse or Common Law Spouse",$O452&lt;&gt;"Domestic Partner",$O452&lt;&gt;"Child",$O452&lt;&gt;"Other",$O452&lt;&gt;"Estate",$O452&lt;&gt;"Unknown")),"Dependent Relationship, ","")&amp;IF($AA452&lt;&gt;"","Household, ","")&amp;IF(OR($P452="",AND($P452&lt;&gt;"",OR(NOT(ISNUMBER($P452)),$P452&lt;=DATE(1900,1,1)))),"Eligibility Date, ","")&amp;IF(OR(AND($R452="Terminated",$Q452=""),AND($Q452&lt;&gt;"",OR(NOT(ISNUMBER($Q452)),$Q452&lt;=DATE(1900,1,1))),AND(ISNUMBER($P452),ISNUMBER($Q452),$Q452&lt;$P452)),"Termination Date, ","")&amp;IF(OR($R452="",AND($R452&lt;&gt;"Active",$R452&lt;&gt;"Terminated"),AND('START HERE'!$C$8="Terminations Only",$R452&lt;&gt;"Terminated")),"Status, ","")&amp;IF($S452="","Plan Name, ","")&amp;IF($T452="","Coverage Level, ","")&amp;IF(AND($U452&lt;&gt;"",OR(NOT(ISNUMBER($U452)),$U452&lt;0)),"Funding, ","")&amp;IF(AND($A452&lt;&gt;"",$S452&lt;&gt;"",COUNTIFS($A$2:$A$501,$A452,$B$2:$B$501,$B452,$S$2:$S$501,$S452)&gt;1),"Duplicate Row, ",""))</f>
        <v/>
      </c>
      <c r="AF452">
        <f>IF(COUNTA($A452:$U452)=0,"",$Y452&amp;$Z452&amp;$AA452&amp;$AB452&amp;$AC452)</f>
        <v/>
      </c>
      <c r="AG452">
        <f>IF($N452="","",LOWER(TRIM($N452)))</f>
        <v/>
      </c>
      <c r="AH452">
        <f>IF($A452="","",COUNTIFS($A$2:$A$501,$A452,$AI$2:$AI$501,1))</f>
        <v/>
      </c>
      <c r="AI452">
        <f>IF(COUNTA($A452:$U452)=0,"",--($AF452&lt;&gt;""))</f>
        <v/>
      </c>
      <c r="AJ452">
        <f>IF(COUNTA($A452:$U452)=0,"",--($AD452&lt;&gt;""))</f>
        <v/>
      </c>
    </row>
    <row r="453" ht="20" customHeight="1">
      <c r="A453" s="80" t="n"/>
      <c r="B453" s="80" t="n"/>
      <c r="C453" s="81" t="n"/>
      <c r="D453" s="81" t="n"/>
      <c r="E453" s="80" t="n"/>
      <c r="F453" s="81" t="n"/>
      <c r="G453" s="81" t="n"/>
      <c r="H453" s="81" t="n"/>
      <c r="I453" s="80" t="n"/>
      <c r="J453" s="80" t="n"/>
      <c r="K453" s="80" t="n"/>
      <c r="L453" s="82" t="n"/>
      <c r="M453" s="80" t="n"/>
      <c r="N453" s="80" t="n"/>
      <c r="O453" s="80" t="n"/>
      <c r="P453" s="82" t="n"/>
      <c r="Q453" s="82" t="n"/>
      <c r="R453" s="80" t="n"/>
      <c r="S453" s="80" t="n"/>
      <c r="T453" s="80" t="n"/>
      <c r="U453" s="83" t="n"/>
      <c r="V453">
        <f>IF($A453="","",IF($A453=$A452,$V452,IF($V452="",0,1-$V452)))</f>
        <v/>
      </c>
      <c r="W453">
        <f>IF($B453&lt;&gt;"",$B453,$A453)</f>
        <v/>
      </c>
      <c r="X453">
        <f>IF(COUNTA($A453:$U453)=0,"",IF(OR($B453&lt;&gt;"",$O453&lt;&gt;""),"Dependent","Employee"))</f>
        <v/>
      </c>
      <c r="Y453">
        <f>IF(COUNTA($A453:$U453)=0,"",IF($A453="","Employee SSN is required; ","")&amp;IF($C453="","First Name is required; ","")&amp;IF(LEN($C453&amp;"")&gt;19,"First Name exceeds 19 characters; ","")&amp;IF(AND($C453&lt;&gt;"",SUMPRODUCT(--(ROW($1:$19)&lt;=LEN($C453&amp;"")),--ISERROR(FIND(MID($C453&amp;"",ROW($1:$19),1),"ABCDEFGHIJKLMNOPQRSTUVWXYZabcdefghijklmnopqrstuvwxyz .,")))&gt;0),"First Name contains unsupported or encoded characters; use plain A-Z letters only; ","")&amp;IF($D453="","Last Name is required; ","")&amp;IF(LEN($D453&amp;"")&gt;26,"Last Name exceeds 26 characters; ","")&amp;IF(AND($D453&lt;&gt;"",SUMPRODUCT(--(ROW($1:$26)&lt;=LEN($D453&amp;"")),--ISERROR(FIND(MID($D453&amp;"",ROW($1:$26),1),"ABCDEFGHIJKLMNOPQRSTUVWXYZabcdefghijklmnopqrstuvwxyz .,")))&gt;0),"Last Name contains unsupported or encoded characters; use plain A-Z letters only; ","")&amp;IF(LEN($E453&amp;"")&gt;1,"Middle Initial may contain only one character; ","")&amp;IF(AND($E453&lt;&gt;"",SUMPRODUCT(--(ROW($1:$1)&lt;=LEN($E453&amp;"")),--ISERROR(FIND(MID($E453&amp;"",ROW($1:$1),1),"ABCDEFGHIJKLMNOPQRSTUVWXYZabcdefghijklmnopqrstuvwxyz .,")))&gt;0),"Middle Initial must be a plain A-Z letter; ","")&amp;IF($F453="","Address is required; ","")&amp;IF(LEN($F453&amp;"")&gt;75,"Address exceeds 75 characters; ","")&amp;IF(LEN($G453&amp;"")&gt;75,"Address 2 exceeds 75 characters; ","")&amp;IF($H453="","City is required; ","")&amp;IF(LEN($H453&amp;"")&gt;30,"City exceeds 30 characters; ","")&amp;IF($K453="","Country is required; ","")&amp;IF(AND($K453&lt;&gt;"",$K453&lt;&gt;"US",$K453&lt;&gt;"CA"),"Country must be US or CA; ","")&amp;IF(AND($K453="US",OR($I453="",LEN($I453&amp;"")&lt;&gt;2)),"Use a 2-letter state code; ","")&amp;IF($J453="","ZIP or postal code is required; ","")&amp;IF(AND($K453="US",$J453&lt;&gt;"",NOT(IFERROR(OR(AND(LEN($J453&amp;"")=5,ISNUMBER(--($J453&amp;""))),AND(LEN($J453&amp;"")=9,ISNUMBER(--($J453&amp;""))),AND(LEN($J453&amp;"")=10,MID($J453&amp;"",6,1)="-",ISNUMBER(--SUBSTITUTE($J453&amp;"","-","")))),FALSE))),"US ZIP must be 5 or 9 digits, with an optional ZIP+4 hyphen; ","")&amp;IF(AND($N453&lt;&gt;"",NOT(IFERROR(AND(ISNUMBER(SEARCH("@",$N453)),ISNUMBER(SEARCH(".",$N453,SEARCH("@",$N453)+2))),FALSE))),"Email format appears invalid; ","")&amp;IF(AND($O453&lt;&gt;"",$B453=""),"Dependent SSN is required for every dependent; ","")&amp;IF(AND($B453&lt;&gt;"",$O453=""),"Dependent Relationship is required when Dependent SSN is entered; ","")&amp;IF(AND($O453&lt;&gt;"",$O453&lt;&gt;"Spouse or Common Law Spouse",$O453&lt;&gt;"Domestic Partner",$O453&lt;&gt;"Child",$O453&lt;&gt;"Other",$O453&lt;&gt;"Estate",$O453&lt;&gt;"Unknown"),"Dependent Relationship must use one of the approved options; ",""))</f>
        <v/>
      </c>
      <c r="Z453">
        <f>IF(COUNTA($A453:$U453)=0,"",IF(AND($A453&lt;&gt;"",NOT(IFERROR(AND(LEN($A453&amp;"")=9,ISNUMBER(--($A453&amp;""))),FALSE))),"Employee SSN must contain exactly 9 digits; ","")&amp;IF(AND($A453&lt;&gt;"",OR($A453="123456789",$A453="987654321",$A453="012345678",$A453=REPT(LEFT($A453&amp;"",1),9))),"Employee SSN appears to be a placeholder; ","")&amp;IF(AND($B453&lt;&gt;"",NOT(IFERROR(AND(LEN($B453&amp;"")=9,ISNUMBER(--($B453&amp;""))),FALSE))),"Dependent SSN must contain exactly 9 digits; ","")&amp;IF(AND($B453&lt;&gt;"",OR($B453="123456789",$B453="987654321",$B453="012345678",$B453=REPT(LEFT($B453&amp;"",1),9))),"Dependent SSN appears to be a placeholder; ","")&amp;IF(AND($A453&lt;&gt;"",$B453&lt;&gt;"",$A453&amp;""=$B453&amp;""),"Dependent SSN cannot match Employee SSN; ","")&amp;IF(AND($W453&lt;&gt;"",OR(COUNTIFS($W$2:$W$501,$W453,$C$2:$C$501,"&lt;&gt;"&amp;$C453)&gt;0,COUNTIFS($W$2:$W$501,$W453,$D$2:$D$501,"&lt;&gt;"&amp;$D453)&gt;0,COUNTIFS($W$2:$W$501,$W453,$L$2:$L$501,"&lt;&gt;"&amp;$L453)&gt;0)),"The same SSN is associated with a different name or birthdate; ",""))</f>
        <v/>
      </c>
      <c r="AA453">
        <f>IF(COUNTA($A453:$U453)=0,"",IF(AND($A453&lt;&gt;"",$S453&lt;&gt;"",COUNTIFS($A$2:$A$501,$A453,$S$2:$S$501,$S453,$B$2:$B$501,"",$O$2:$O$501,"")=0),"Add an employee row for this household and plan; ","")&amp;IF(AND($X453="Dependent",COUNTIFS($A$2:$A453,$A453,$S$2:$S453,$S453,$B$2:$B453,"",$O$2:$O453,"")=0),"Place the employee row before dependent rows for this plan; ","")&amp;IF(AND($X453="Dependent",COUNTIFS($A$2:$A$501,$A453,$S$2:$S$501,$S453,$B$2:$B$501,"",$O$2:$O$501,"")&gt;0,IFERROR(OR($P453&lt;&gt;LOOKUP(2,1/(($A$2:$A$501=$A453)*($S$2:$S$501=$S453)*($B$2:$B$501="")*($O$2:$O$501="")),$P$2:$P$501),$Q453&lt;&gt;LOOKUP(2,1/(($A$2:$A$501=$A453)*($S$2:$S$501=$S453)*($B$2:$B$501="")*($O$2:$O$501="")),$Q$2:$Q$501),$R453&lt;&gt;LOOKUP(2,1/(($A$2:$A$501=$A453)*($S$2:$S$501=$S453)*($B$2:$B$501="")*($O$2:$O$501="")),$R$2:$R$501),$T453&lt;&gt;LOOKUP(2,1/(($A$2:$A$501=$A453)*($S$2:$S$501=$S453)*($B$2:$B$501="")*($O$2:$O$501="")),$T$2:$T$501),$U453&lt;&gt;LOOKUP(2,1/(($A$2:$A$501=$A453)*($S$2:$S$501=$S453)*($B$2:$B$501="")*($O$2:$O$501="")),$U$2:$U$501)),FALSE)),"Dependent row does not match the employee row for eligibility, status, coverage level, or funding; ",""))</f>
        <v/>
      </c>
      <c r="AB453">
        <f>IF(COUNTA($A453:$U453)=0,"",IF($L453="","Birthdate is required; ","")&amp;IF(AND($L453&lt;&gt;"",OR(NOT(ISNUMBER($L453)),$L453&lt;=DATE(1900,1,1),$L453&gt;TODAY())),"Birthdate must be an exact valid past date; ","")&amp;IF($P453="","Eligibility Date is required; ","")&amp;IF(AND($P453&lt;&gt;"",OR(NOT(ISNUMBER($P453)),$P453&lt;=DATE(1900,1,1))),"Eligibility Date must be a valid date; ","")&amp;IF(AND($R453="Terminated",$Q453=""),"Termination Date is required when Status is Terminated; ","")&amp;IF(AND($Q453&lt;&gt;"",OR(NOT(ISNUMBER($Q453)),$Q453&lt;=DATE(1900,1,1))),"Termination Date must be a valid date; ","")&amp;IF(AND(ISNUMBER($P453),ISNUMBER($Q453),$Q453&lt;$P453),"Termination Date cannot be before Eligibility Date; ","")&amp;IF($R453="","Status is required; ","")&amp;IF(AND($R453&lt;&gt;"",$R453&lt;&gt;"Active",$R453&lt;&gt;"Terminated"),"Status must be Active or Terminated; ","")&amp;IF(AND('START HERE'!$C$8="Terminations Only",$R453&lt;&gt;"Terminated"),"Terminations Only files must contain terminated records; ",""))</f>
        <v/>
      </c>
      <c r="AC453">
        <f>IF(COUNTA($A453:$U453)=0,"",IF($S453="","Plan Name is required; ","")&amp;IF($T453="","Benefit Coverage Level is required; ","")&amp;IF(AND($U453&lt;&gt;"",OR(NOT(ISNUMBER($U453)),$U453&lt;0)),"Plan Funding Amount must be a nonnegative number; ","")&amp;IF(AND($A453&lt;&gt;"",$S453&lt;&gt;"",COUNTIFS($A$2:$A$501,$A453,$B$2:$B$501,$B453,$S$2:$S$501,$S453)&gt;1),"Duplicate participant and plan row; ",""))</f>
        <v/>
      </c>
      <c r="AD453">
        <f>IF(COUNTA($A453:$U453)=0,"",IF(AND($X453="Employee",$M453="",$N453=""),"No employee phone or email provided; ","")&amp;IF(AND($R453="Active",$Q453&lt;&gt;""),"Active record includes a Termination Date; confirm this is intentional; ","")&amp;IF(AND($B453&lt;&gt;"",$B453&amp;""&lt;&gt;$A453&amp;"",COUNTIF($A$2:$A$501,$B453)&gt;0),"Dependent SSN also appears as an Employee SSN elsewhere; confirm dual-employee coverage is intentional; ","")&amp;IF(AND($B453&lt;&gt;"",COUNTIF($B$2:$B$501,$B453)&gt;COUNTIFS($A$2:$A$501,$A453,$B$2:$B$501,$B453)),"Dependent SSN appears under more than one employee; confirm duplicate family coverage is intentional; ","")&amp;IF(AND(ROW()&gt;2,$A453&lt;&gt;"",$A453&lt;&gt;$A452,COUNTIF($A$2:$A452,$A453)&gt;0),"This household appears in more than one section of the census; keep the family together; ","")&amp;IF(OR(AND($C453&lt;&gt;"",LEN($C453&amp;"")&lt;&gt;LEN(TRIM($C453&amp;""))),AND($D453&lt;&gt;"",LEN($D453&amp;"")&lt;&gt;LEN(TRIM($D453&amp;""))),AND($E453&lt;&gt;"",LEN($E453&amp;"")&lt;&gt;LEN(TRIM($E453&amp;""))),AND($F453&lt;&gt;"",LEN($F453&amp;"")&lt;&gt;LEN(TRIM($F453&amp;""))),AND($G453&lt;&gt;"",LEN($G453&amp;"")&lt;&gt;LEN(TRIM($G453&amp;""))),AND($H453&lt;&gt;"",LEN($H453&amp;"")&lt;&gt;LEN(TRIM($H453&amp;""))),AND($I453&lt;&gt;"",LEN($I453&amp;"")&lt;&gt;LEN(TRIM($I453&amp;""))),AND($J453&lt;&gt;"",LEN($J453&amp;"")&lt;&gt;LEN(TRIM($J453&amp;""))),AND($K453&lt;&gt;"",LEN($K453&amp;"")&lt;&gt;LEN(TRIM($K453&amp;""))),AND($M453&lt;&gt;"",LEN($M453&amp;"")&lt;&gt;LEN(TRIM($M453&amp;""))),AND($N453&lt;&gt;"",LEN($N453&amp;"")&lt;&gt;LEN(TRIM($N453&amp;""))),AND($O453&lt;&gt;"",LEN($O453&amp;"")&lt;&gt;LEN(TRIM($O453&amp;""))),AND($R453&lt;&gt;"",LEN($R453&amp;"")&lt;&gt;LEN(TRIM($R453&amp;""))),AND($S453&lt;&gt;"",LEN($S453&amp;"")&lt;&gt;LEN(TRIM($S453&amp;""))),AND($T453&lt;&gt;"",LEN($T453&amp;"")&lt;&gt;LEN(TRIM($T453&amp;"")))),"Remove leading or trailing spaces from text fields; ","")&amp;IF(OR(AND(LEN($C453)&gt;1,OR(EXACT($C453,UPPER($C453)),EXACT($C453,LOWER($C453)))),AND(LEN($D453)&gt;1,OR(EXACT($D453,UPPER($D453)),EXACT($D453,LOWER($D453)))),AND(LEN($H453)&gt;1,OR(EXACT($H453,UPPER($H453)),EXACT($H453,LOWER($H453))))),"Review capitalization in First Name, Last Name, or City; ","")&amp;IF(AND($N453&lt;&gt;"",NOT(EXACT($N453,LOWER($N453)))),"Email will be standardized to lowercase in the clean output; ","")&amp;IF(AND(OR('START HERE'!$C$8="Initial Enrollment",'START HERE'!$C$8="Open Enrollment"),$R453="Terminated"),"A terminated row is included in an initial or open enrollment file; confirm this is intentional; ",""))</f>
        <v/>
      </c>
      <c r="AE453">
        <f>IF(COUNTA($A453:$U453)=0,"",IF(OR($A453="",AND($A453&lt;&gt;"",NOT(IFERROR(AND(LEN($A453&amp;"")=9,ISNUMBER(--($A453&amp;""))),FALSE))),AND($A453&lt;&gt;"",OR($A453="123456789",$A453="987654321",$A453="012345678",$A453=REPT(LEFT($A453&amp;"",1),9)))),"Employee SSN, ","")&amp;IF(OR(AND($O453&lt;&gt;"",$B453=""),AND($B453&lt;&gt;"",OR(NOT(IFERROR(AND(LEN($B453&amp;"")=9,ISNUMBER(--($B453&amp;""))),FALSE)),$B453=$A453,$B453="123456789",$B453="987654321",$B453="012345678",$B453=REPT(LEFT($B453&amp;"",1),9)))),"Dependent SSN, ","")&amp;IF(OR($C453="",LEN($C453)&gt;19,AND($C453&lt;&gt;"",SUMPRODUCT(--(ROW($1:$19)&lt;=LEN($C453&amp;"")),--ISERROR(FIND(MID($C453&amp;"",ROW($1:$19),1),"ABCDEFGHIJKLMNOPQRSTUVWXYZabcdefghijklmnopqrstuvwxyz .,")))&gt;0)),"First Name, ","")&amp;IF(OR($D453="",LEN($D453)&gt;26,AND($D453&lt;&gt;"",SUMPRODUCT(--(ROW($1:$26)&lt;=LEN($D453&amp;"")),--ISERROR(FIND(MID($D453&amp;"",ROW($1:$26),1),"ABCDEFGHIJKLMNOPQRSTUVWXYZabcdefghijklmnopqrstuvwxyz .,")))&gt;0)),"Last Name, ","")&amp;IF(OR(LEN($E453)&gt;1,AND($E453&lt;&gt;"",SUMPRODUCT(--(ROW($1:$1)&lt;=LEN($E453&amp;"")),--ISERROR(FIND(MID($E453&amp;"",ROW($1:$1),1),"ABCDEFGHIJKLMNOPQRSTUVWXYZabcdefghijklmnopqrstuvwxyz .,")))&gt;0)),"Middle Initial, ","")&amp;IF(OR($F453="",LEN($F453)&gt;75),"Address, ","")&amp;IF(OR($H453="",LEN($H453)&gt;30),"City, ","")&amp;IF(AND($K453="US",OR($I453="",LEN($I453)&lt;&gt;2)),"State, ","")&amp;IF($J453="","ZIP, ","")&amp;IF(OR($K453="",AND($K453&lt;&gt;"US",$K453&lt;&gt;"CA")),"Country, ","")&amp;IF(OR($L453="",AND($L453&lt;&gt;"",OR(NOT(ISNUMBER($L453)),$L453&lt;=DATE(1900,1,1),$L453&gt;TODAY()))),"Birthdate, ","")&amp;IF(AND($N453&lt;&gt;"",NOT(IFERROR(AND(ISNUMBER(SEARCH("@",$N453)),ISNUMBER(SEARCH(".",$N453,SEARCH("@",$N453)+2))),FALSE))),"Email, ","")&amp;IF(OR(AND($B453&lt;&gt;"",$O453=""),AND($O453&lt;&gt;"",$O453&lt;&gt;"Spouse or Common Law Spouse",$O453&lt;&gt;"Domestic Partner",$O453&lt;&gt;"Child",$O453&lt;&gt;"Other",$O453&lt;&gt;"Estate",$O453&lt;&gt;"Unknown")),"Dependent Relationship, ","")&amp;IF($AA453&lt;&gt;"","Household, ","")&amp;IF(OR($P453="",AND($P453&lt;&gt;"",OR(NOT(ISNUMBER($P453)),$P453&lt;=DATE(1900,1,1)))),"Eligibility Date, ","")&amp;IF(OR(AND($R453="Terminated",$Q453=""),AND($Q453&lt;&gt;"",OR(NOT(ISNUMBER($Q453)),$Q453&lt;=DATE(1900,1,1))),AND(ISNUMBER($P453),ISNUMBER($Q453),$Q453&lt;$P453)),"Termination Date, ","")&amp;IF(OR($R453="",AND($R453&lt;&gt;"Active",$R453&lt;&gt;"Terminated"),AND('START HERE'!$C$8="Terminations Only",$R453&lt;&gt;"Terminated")),"Status, ","")&amp;IF($S453="","Plan Name, ","")&amp;IF($T453="","Coverage Level, ","")&amp;IF(AND($U453&lt;&gt;"",OR(NOT(ISNUMBER($U453)),$U453&lt;0)),"Funding, ","")&amp;IF(AND($A453&lt;&gt;"",$S453&lt;&gt;"",COUNTIFS($A$2:$A$501,$A453,$B$2:$B$501,$B453,$S$2:$S$501,$S453)&gt;1),"Duplicate Row, ",""))</f>
        <v/>
      </c>
      <c r="AF453">
        <f>IF(COUNTA($A453:$U453)=0,"",$Y453&amp;$Z453&amp;$AA453&amp;$AB453&amp;$AC453)</f>
        <v/>
      </c>
      <c r="AG453">
        <f>IF($N453="","",LOWER(TRIM($N453)))</f>
        <v/>
      </c>
      <c r="AH453">
        <f>IF($A453="","",COUNTIFS($A$2:$A$501,$A453,$AI$2:$AI$501,1))</f>
        <v/>
      </c>
      <c r="AI453">
        <f>IF(COUNTA($A453:$U453)=0,"",--($AF453&lt;&gt;""))</f>
        <v/>
      </c>
      <c r="AJ453">
        <f>IF(COUNTA($A453:$U453)=0,"",--($AD453&lt;&gt;""))</f>
        <v/>
      </c>
    </row>
    <row r="454" ht="20" customHeight="1">
      <c r="A454" s="80" t="n"/>
      <c r="B454" s="80" t="n"/>
      <c r="C454" s="81" t="n"/>
      <c r="D454" s="81" t="n"/>
      <c r="E454" s="80" t="n"/>
      <c r="F454" s="81" t="n"/>
      <c r="G454" s="81" t="n"/>
      <c r="H454" s="81" t="n"/>
      <c r="I454" s="80" t="n"/>
      <c r="J454" s="80" t="n"/>
      <c r="K454" s="80" t="n"/>
      <c r="L454" s="82" t="n"/>
      <c r="M454" s="80" t="n"/>
      <c r="N454" s="80" t="n"/>
      <c r="O454" s="80" t="n"/>
      <c r="P454" s="82" t="n"/>
      <c r="Q454" s="82" t="n"/>
      <c r="R454" s="80" t="n"/>
      <c r="S454" s="80" t="n"/>
      <c r="T454" s="80" t="n"/>
      <c r="U454" s="83" t="n"/>
      <c r="V454">
        <f>IF($A454="","",IF($A454=$A453,$V453,IF($V453="",0,1-$V453)))</f>
        <v/>
      </c>
      <c r="W454">
        <f>IF($B454&lt;&gt;"",$B454,$A454)</f>
        <v/>
      </c>
      <c r="X454">
        <f>IF(COUNTA($A454:$U454)=0,"",IF(OR($B454&lt;&gt;"",$O454&lt;&gt;""),"Dependent","Employee"))</f>
        <v/>
      </c>
      <c r="Y454">
        <f>IF(COUNTA($A454:$U454)=0,"",IF($A454="","Employee SSN is required; ","")&amp;IF($C454="","First Name is required; ","")&amp;IF(LEN($C454&amp;"")&gt;19,"First Name exceeds 19 characters; ","")&amp;IF(AND($C454&lt;&gt;"",SUMPRODUCT(--(ROW($1:$19)&lt;=LEN($C454&amp;"")),--ISERROR(FIND(MID($C454&amp;"",ROW($1:$19),1),"ABCDEFGHIJKLMNOPQRSTUVWXYZabcdefghijklmnopqrstuvwxyz .,")))&gt;0),"First Name contains unsupported or encoded characters; use plain A-Z letters only; ","")&amp;IF($D454="","Last Name is required; ","")&amp;IF(LEN($D454&amp;"")&gt;26,"Last Name exceeds 26 characters; ","")&amp;IF(AND($D454&lt;&gt;"",SUMPRODUCT(--(ROW($1:$26)&lt;=LEN($D454&amp;"")),--ISERROR(FIND(MID($D454&amp;"",ROW($1:$26),1),"ABCDEFGHIJKLMNOPQRSTUVWXYZabcdefghijklmnopqrstuvwxyz .,")))&gt;0),"Last Name contains unsupported or encoded characters; use plain A-Z letters only; ","")&amp;IF(LEN($E454&amp;"")&gt;1,"Middle Initial may contain only one character; ","")&amp;IF(AND($E454&lt;&gt;"",SUMPRODUCT(--(ROW($1:$1)&lt;=LEN($E454&amp;"")),--ISERROR(FIND(MID($E454&amp;"",ROW($1:$1),1),"ABCDEFGHIJKLMNOPQRSTUVWXYZabcdefghijklmnopqrstuvwxyz .,")))&gt;0),"Middle Initial must be a plain A-Z letter; ","")&amp;IF($F454="","Address is required; ","")&amp;IF(LEN($F454&amp;"")&gt;75,"Address exceeds 75 characters; ","")&amp;IF(LEN($G454&amp;"")&gt;75,"Address 2 exceeds 75 characters; ","")&amp;IF($H454="","City is required; ","")&amp;IF(LEN($H454&amp;"")&gt;30,"City exceeds 30 characters; ","")&amp;IF($K454="","Country is required; ","")&amp;IF(AND($K454&lt;&gt;"",$K454&lt;&gt;"US",$K454&lt;&gt;"CA"),"Country must be US or CA; ","")&amp;IF(AND($K454="US",OR($I454="",LEN($I454&amp;"")&lt;&gt;2)),"Use a 2-letter state code; ","")&amp;IF($J454="","ZIP or postal code is required; ","")&amp;IF(AND($K454="US",$J454&lt;&gt;"",NOT(IFERROR(OR(AND(LEN($J454&amp;"")=5,ISNUMBER(--($J454&amp;""))),AND(LEN($J454&amp;"")=9,ISNUMBER(--($J454&amp;""))),AND(LEN($J454&amp;"")=10,MID($J454&amp;"",6,1)="-",ISNUMBER(--SUBSTITUTE($J454&amp;"","-","")))),FALSE))),"US ZIP must be 5 or 9 digits, with an optional ZIP+4 hyphen; ","")&amp;IF(AND($N454&lt;&gt;"",NOT(IFERROR(AND(ISNUMBER(SEARCH("@",$N454)),ISNUMBER(SEARCH(".",$N454,SEARCH("@",$N454)+2))),FALSE))),"Email format appears invalid; ","")&amp;IF(AND($O454&lt;&gt;"",$B454=""),"Dependent SSN is required for every dependent; ","")&amp;IF(AND($B454&lt;&gt;"",$O454=""),"Dependent Relationship is required when Dependent SSN is entered; ","")&amp;IF(AND($O454&lt;&gt;"",$O454&lt;&gt;"Spouse or Common Law Spouse",$O454&lt;&gt;"Domestic Partner",$O454&lt;&gt;"Child",$O454&lt;&gt;"Other",$O454&lt;&gt;"Estate",$O454&lt;&gt;"Unknown"),"Dependent Relationship must use one of the approved options; ",""))</f>
        <v/>
      </c>
      <c r="Z454">
        <f>IF(COUNTA($A454:$U454)=0,"",IF(AND($A454&lt;&gt;"",NOT(IFERROR(AND(LEN($A454&amp;"")=9,ISNUMBER(--($A454&amp;""))),FALSE))),"Employee SSN must contain exactly 9 digits; ","")&amp;IF(AND($A454&lt;&gt;"",OR($A454="123456789",$A454="987654321",$A454="012345678",$A454=REPT(LEFT($A454&amp;"",1),9))),"Employee SSN appears to be a placeholder; ","")&amp;IF(AND($B454&lt;&gt;"",NOT(IFERROR(AND(LEN($B454&amp;"")=9,ISNUMBER(--($B454&amp;""))),FALSE))),"Dependent SSN must contain exactly 9 digits; ","")&amp;IF(AND($B454&lt;&gt;"",OR($B454="123456789",$B454="987654321",$B454="012345678",$B454=REPT(LEFT($B454&amp;"",1),9))),"Dependent SSN appears to be a placeholder; ","")&amp;IF(AND($A454&lt;&gt;"",$B454&lt;&gt;"",$A454&amp;""=$B454&amp;""),"Dependent SSN cannot match Employee SSN; ","")&amp;IF(AND($W454&lt;&gt;"",OR(COUNTIFS($W$2:$W$501,$W454,$C$2:$C$501,"&lt;&gt;"&amp;$C454)&gt;0,COUNTIFS($W$2:$W$501,$W454,$D$2:$D$501,"&lt;&gt;"&amp;$D454)&gt;0,COUNTIFS($W$2:$W$501,$W454,$L$2:$L$501,"&lt;&gt;"&amp;$L454)&gt;0)),"The same SSN is associated with a different name or birthdate; ",""))</f>
        <v/>
      </c>
      <c r="AA454">
        <f>IF(COUNTA($A454:$U454)=0,"",IF(AND($A454&lt;&gt;"",$S454&lt;&gt;"",COUNTIFS($A$2:$A$501,$A454,$S$2:$S$501,$S454,$B$2:$B$501,"",$O$2:$O$501,"")=0),"Add an employee row for this household and plan; ","")&amp;IF(AND($X454="Dependent",COUNTIFS($A$2:$A454,$A454,$S$2:$S454,$S454,$B$2:$B454,"",$O$2:$O454,"")=0),"Place the employee row before dependent rows for this plan; ","")&amp;IF(AND($X454="Dependent",COUNTIFS($A$2:$A$501,$A454,$S$2:$S$501,$S454,$B$2:$B$501,"",$O$2:$O$501,"")&gt;0,IFERROR(OR($P454&lt;&gt;LOOKUP(2,1/(($A$2:$A$501=$A454)*($S$2:$S$501=$S454)*($B$2:$B$501="")*($O$2:$O$501="")),$P$2:$P$501),$Q454&lt;&gt;LOOKUP(2,1/(($A$2:$A$501=$A454)*($S$2:$S$501=$S454)*($B$2:$B$501="")*($O$2:$O$501="")),$Q$2:$Q$501),$R454&lt;&gt;LOOKUP(2,1/(($A$2:$A$501=$A454)*($S$2:$S$501=$S454)*($B$2:$B$501="")*($O$2:$O$501="")),$R$2:$R$501),$T454&lt;&gt;LOOKUP(2,1/(($A$2:$A$501=$A454)*($S$2:$S$501=$S454)*($B$2:$B$501="")*($O$2:$O$501="")),$T$2:$T$501),$U454&lt;&gt;LOOKUP(2,1/(($A$2:$A$501=$A454)*($S$2:$S$501=$S454)*($B$2:$B$501="")*($O$2:$O$501="")),$U$2:$U$501)),FALSE)),"Dependent row does not match the employee row for eligibility, status, coverage level, or funding; ",""))</f>
        <v/>
      </c>
      <c r="AB454">
        <f>IF(COUNTA($A454:$U454)=0,"",IF($L454="","Birthdate is required; ","")&amp;IF(AND($L454&lt;&gt;"",OR(NOT(ISNUMBER($L454)),$L454&lt;=DATE(1900,1,1),$L454&gt;TODAY())),"Birthdate must be an exact valid past date; ","")&amp;IF($P454="","Eligibility Date is required; ","")&amp;IF(AND($P454&lt;&gt;"",OR(NOT(ISNUMBER($P454)),$P454&lt;=DATE(1900,1,1))),"Eligibility Date must be a valid date; ","")&amp;IF(AND($R454="Terminated",$Q454=""),"Termination Date is required when Status is Terminated; ","")&amp;IF(AND($Q454&lt;&gt;"",OR(NOT(ISNUMBER($Q454)),$Q454&lt;=DATE(1900,1,1))),"Termination Date must be a valid date; ","")&amp;IF(AND(ISNUMBER($P454),ISNUMBER($Q454),$Q454&lt;$P454),"Termination Date cannot be before Eligibility Date; ","")&amp;IF($R454="","Status is required; ","")&amp;IF(AND($R454&lt;&gt;"",$R454&lt;&gt;"Active",$R454&lt;&gt;"Terminated"),"Status must be Active or Terminated; ","")&amp;IF(AND('START HERE'!$C$8="Terminations Only",$R454&lt;&gt;"Terminated"),"Terminations Only files must contain terminated records; ",""))</f>
        <v/>
      </c>
      <c r="AC454">
        <f>IF(COUNTA($A454:$U454)=0,"",IF($S454="","Plan Name is required; ","")&amp;IF($T454="","Benefit Coverage Level is required; ","")&amp;IF(AND($U454&lt;&gt;"",OR(NOT(ISNUMBER($U454)),$U454&lt;0)),"Plan Funding Amount must be a nonnegative number; ","")&amp;IF(AND($A454&lt;&gt;"",$S454&lt;&gt;"",COUNTIFS($A$2:$A$501,$A454,$B$2:$B$501,$B454,$S$2:$S$501,$S454)&gt;1),"Duplicate participant and plan row; ",""))</f>
        <v/>
      </c>
      <c r="AD454">
        <f>IF(COUNTA($A454:$U454)=0,"",IF(AND($X454="Employee",$M454="",$N454=""),"No employee phone or email provided; ","")&amp;IF(AND($R454="Active",$Q454&lt;&gt;""),"Active record includes a Termination Date; confirm this is intentional; ","")&amp;IF(AND($B454&lt;&gt;"",$B454&amp;""&lt;&gt;$A454&amp;"",COUNTIF($A$2:$A$501,$B454)&gt;0),"Dependent SSN also appears as an Employee SSN elsewhere; confirm dual-employee coverage is intentional; ","")&amp;IF(AND($B454&lt;&gt;"",COUNTIF($B$2:$B$501,$B454)&gt;COUNTIFS($A$2:$A$501,$A454,$B$2:$B$501,$B454)),"Dependent SSN appears under more than one employee; confirm duplicate family coverage is intentional; ","")&amp;IF(AND(ROW()&gt;2,$A454&lt;&gt;"",$A454&lt;&gt;$A453,COUNTIF($A$2:$A453,$A454)&gt;0),"This household appears in more than one section of the census; keep the family together; ","")&amp;IF(OR(AND($C454&lt;&gt;"",LEN($C454&amp;"")&lt;&gt;LEN(TRIM($C454&amp;""))),AND($D454&lt;&gt;"",LEN($D454&amp;"")&lt;&gt;LEN(TRIM($D454&amp;""))),AND($E454&lt;&gt;"",LEN($E454&amp;"")&lt;&gt;LEN(TRIM($E454&amp;""))),AND($F454&lt;&gt;"",LEN($F454&amp;"")&lt;&gt;LEN(TRIM($F454&amp;""))),AND($G454&lt;&gt;"",LEN($G454&amp;"")&lt;&gt;LEN(TRIM($G454&amp;""))),AND($H454&lt;&gt;"",LEN($H454&amp;"")&lt;&gt;LEN(TRIM($H454&amp;""))),AND($I454&lt;&gt;"",LEN($I454&amp;"")&lt;&gt;LEN(TRIM($I454&amp;""))),AND($J454&lt;&gt;"",LEN($J454&amp;"")&lt;&gt;LEN(TRIM($J454&amp;""))),AND($K454&lt;&gt;"",LEN($K454&amp;"")&lt;&gt;LEN(TRIM($K454&amp;""))),AND($M454&lt;&gt;"",LEN($M454&amp;"")&lt;&gt;LEN(TRIM($M454&amp;""))),AND($N454&lt;&gt;"",LEN($N454&amp;"")&lt;&gt;LEN(TRIM($N454&amp;""))),AND($O454&lt;&gt;"",LEN($O454&amp;"")&lt;&gt;LEN(TRIM($O454&amp;""))),AND($R454&lt;&gt;"",LEN($R454&amp;"")&lt;&gt;LEN(TRIM($R454&amp;""))),AND($S454&lt;&gt;"",LEN($S454&amp;"")&lt;&gt;LEN(TRIM($S454&amp;""))),AND($T454&lt;&gt;"",LEN($T454&amp;"")&lt;&gt;LEN(TRIM($T454&amp;"")))),"Remove leading or trailing spaces from text fields; ","")&amp;IF(OR(AND(LEN($C454)&gt;1,OR(EXACT($C454,UPPER($C454)),EXACT($C454,LOWER($C454)))),AND(LEN($D454)&gt;1,OR(EXACT($D454,UPPER($D454)),EXACT($D454,LOWER($D454)))),AND(LEN($H454)&gt;1,OR(EXACT($H454,UPPER($H454)),EXACT($H454,LOWER($H454))))),"Review capitalization in First Name, Last Name, or City; ","")&amp;IF(AND($N454&lt;&gt;"",NOT(EXACT($N454,LOWER($N454)))),"Email will be standardized to lowercase in the clean output; ","")&amp;IF(AND(OR('START HERE'!$C$8="Initial Enrollment",'START HERE'!$C$8="Open Enrollment"),$R454="Terminated"),"A terminated row is included in an initial or open enrollment file; confirm this is intentional; ",""))</f>
        <v/>
      </c>
      <c r="AE454">
        <f>IF(COUNTA($A454:$U454)=0,"",IF(OR($A454="",AND($A454&lt;&gt;"",NOT(IFERROR(AND(LEN($A454&amp;"")=9,ISNUMBER(--($A454&amp;""))),FALSE))),AND($A454&lt;&gt;"",OR($A454="123456789",$A454="987654321",$A454="012345678",$A454=REPT(LEFT($A454&amp;"",1),9)))),"Employee SSN, ","")&amp;IF(OR(AND($O454&lt;&gt;"",$B454=""),AND($B454&lt;&gt;"",OR(NOT(IFERROR(AND(LEN($B454&amp;"")=9,ISNUMBER(--($B454&amp;""))),FALSE)),$B454=$A454,$B454="123456789",$B454="987654321",$B454="012345678",$B454=REPT(LEFT($B454&amp;"",1),9)))),"Dependent SSN, ","")&amp;IF(OR($C454="",LEN($C454)&gt;19,AND($C454&lt;&gt;"",SUMPRODUCT(--(ROW($1:$19)&lt;=LEN($C454&amp;"")),--ISERROR(FIND(MID($C454&amp;"",ROW($1:$19),1),"ABCDEFGHIJKLMNOPQRSTUVWXYZabcdefghijklmnopqrstuvwxyz .,")))&gt;0)),"First Name, ","")&amp;IF(OR($D454="",LEN($D454)&gt;26,AND($D454&lt;&gt;"",SUMPRODUCT(--(ROW($1:$26)&lt;=LEN($D454&amp;"")),--ISERROR(FIND(MID($D454&amp;"",ROW($1:$26),1),"ABCDEFGHIJKLMNOPQRSTUVWXYZabcdefghijklmnopqrstuvwxyz .,")))&gt;0)),"Last Name, ","")&amp;IF(OR(LEN($E454)&gt;1,AND($E454&lt;&gt;"",SUMPRODUCT(--(ROW($1:$1)&lt;=LEN($E454&amp;"")),--ISERROR(FIND(MID($E454&amp;"",ROW($1:$1),1),"ABCDEFGHIJKLMNOPQRSTUVWXYZabcdefghijklmnopqrstuvwxyz .,")))&gt;0)),"Middle Initial, ","")&amp;IF(OR($F454="",LEN($F454)&gt;75),"Address, ","")&amp;IF(OR($H454="",LEN($H454)&gt;30),"City, ","")&amp;IF(AND($K454="US",OR($I454="",LEN($I454)&lt;&gt;2)),"State, ","")&amp;IF($J454="","ZIP, ","")&amp;IF(OR($K454="",AND($K454&lt;&gt;"US",$K454&lt;&gt;"CA")),"Country, ","")&amp;IF(OR($L454="",AND($L454&lt;&gt;"",OR(NOT(ISNUMBER($L454)),$L454&lt;=DATE(1900,1,1),$L454&gt;TODAY()))),"Birthdate, ","")&amp;IF(AND($N454&lt;&gt;"",NOT(IFERROR(AND(ISNUMBER(SEARCH("@",$N454)),ISNUMBER(SEARCH(".",$N454,SEARCH("@",$N454)+2))),FALSE))),"Email, ","")&amp;IF(OR(AND($B454&lt;&gt;"",$O454=""),AND($O454&lt;&gt;"",$O454&lt;&gt;"Spouse or Common Law Spouse",$O454&lt;&gt;"Domestic Partner",$O454&lt;&gt;"Child",$O454&lt;&gt;"Other",$O454&lt;&gt;"Estate",$O454&lt;&gt;"Unknown")),"Dependent Relationship, ","")&amp;IF($AA454&lt;&gt;"","Household, ","")&amp;IF(OR($P454="",AND($P454&lt;&gt;"",OR(NOT(ISNUMBER($P454)),$P454&lt;=DATE(1900,1,1)))),"Eligibility Date, ","")&amp;IF(OR(AND($R454="Terminated",$Q454=""),AND($Q454&lt;&gt;"",OR(NOT(ISNUMBER($Q454)),$Q454&lt;=DATE(1900,1,1))),AND(ISNUMBER($P454),ISNUMBER($Q454),$Q454&lt;$P454)),"Termination Date, ","")&amp;IF(OR($R454="",AND($R454&lt;&gt;"Active",$R454&lt;&gt;"Terminated"),AND('START HERE'!$C$8="Terminations Only",$R454&lt;&gt;"Terminated")),"Status, ","")&amp;IF($S454="","Plan Name, ","")&amp;IF($T454="","Coverage Level, ","")&amp;IF(AND($U454&lt;&gt;"",OR(NOT(ISNUMBER($U454)),$U454&lt;0)),"Funding, ","")&amp;IF(AND($A454&lt;&gt;"",$S454&lt;&gt;"",COUNTIFS($A$2:$A$501,$A454,$B$2:$B$501,$B454,$S$2:$S$501,$S454)&gt;1),"Duplicate Row, ",""))</f>
        <v/>
      </c>
      <c r="AF454">
        <f>IF(COUNTA($A454:$U454)=0,"",$Y454&amp;$Z454&amp;$AA454&amp;$AB454&amp;$AC454)</f>
        <v/>
      </c>
      <c r="AG454">
        <f>IF($N454="","",LOWER(TRIM($N454)))</f>
        <v/>
      </c>
      <c r="AH454">
        <f>IF($A454="","",COUNTIFS($A$2:$A$501,$A454,$AI$2:$AI$501,1))</f>
        <v/>
      </c>
      <c r="AI454">
        <f>IF(COUNTA($A454:$U454)=0,"",--($AF454&lt;&gt;""))</f>
        <v/>
      </c>
      <c r="AJ454">
        <f>IF(COUNTA($A454:$U454)=0,"",--($AD454&lt;&gt;""))</f>
        <v/>
      </c>
    </row>
    <row r="455" ht="20" customHeight="1">
      <c r="A455" s="80" t="n"/>
      <c r="B455" s="80" t="n"/>
      <c r="C455" s="81" t="n"/>
      <c r="D455" s="81" t="n"/>
      <c r="E455" s="80" t="n"/>
      <c r="F455" s="81" t="n"/>
      <c r="G455" s="81" t="n"/>
      <c r="H455" s="81" t="n"/>
      <c r="I455" s="80" t="n"/>
      <c r="J455" s="80" t="n"/>
      <c r="K455" s="80" t="n"/>
      <c r="L455" s="82" t="n"/>
      <c r="M455" s="80" t="n"/>
      <c r="N455" s="80" t="n"/>
      <c r="O455" s="80" t="n"/>
      <c r="P455" s="82" t="n"/>
      <c r="Q455" s="82" t="n"/>
      <c r="R455" s="80" t="n"/>
      <c r="S455" s="80" t="n"/>
      <c r="T455" s="80" t="n"/>
      <c r="U455" s="83" t="n"/>
      <c r="V455">
        <f>IF($A455="","",IF($A455=$A454,$V454,IF($V454="",0,1-$V454)))</f>
        <v/>
      </c>
      <c r="W455">
        <f>IF($B455&lt;&gt;"",$B455,$A455)</f>
        <v/>
      </c>
      <c r="X455">
        <f>IF(COUNTA($A455:$U455)=0,"",IF(OR($B455&lt;&gt;"",$O455&lt;&gt;""),"Dependent","Employee"))</f>
        <v/>
      </c>
      <c r="Y455">
        <f>IF(COUNTA($A455:$U455)=0,"",IF($A455="","Employee SSN is required; ","")&amp;IF($C455="","First Name is required; ","")&amp;IF(LEN($C455&amp;"")&gt;19,"First Name exceeds 19 characters; ","")&amp;IF(AND($C455&lt;&gt;"",SUMPRODUCT(--(ROW($1:$19)&lt;=LEN($C455&amp;"")),--ISERROR(FIND(MID($C455&amp;"",ROW($1:$19),1),"ABCDEFGHIJKLMNOPQRSTUVWXYZabcdefghijklmnopqrstuvwxyz .,")))&gt;0),"First Name contains unsupported or encoded characters; use plain A-Z letters only; ","")&amp;IF($D455="","Last Name is required; ","")&amp;IF(LEN($D455&amp;"")&gt;26,"Last Name exceeds 26 characters; ","")&amp;IF(AND($D455&lt;&gt;"",SUMPRODUCT(--(ROW($1:$26)&lt;=LEN($D455&amp;"")),--ISERROR(FIND(MID($D455&amp;"",ROW($1:$26),1),"ABCDEFGHIJKLMNOPQRSTUVWXYZabcdefghijklmnopqrstuvwxyz .,")))&gt;0),"Last Name contains unsupported or encoded characters; use plain A-Z letters only; ","")&amp;IF(LEN($E455&amp;"")&gt;1,"Middle Initial may contain only one character; ","")&amp;IF(AND($E455&lt;&gt;"",SUMPRODUCT(--(ROW($1:$1)&lt;=LEN($E455&amp;"")),--ISERROR(FIND(MID($E455&amp;"",ROW($1:$1),1),"ABCDEFGHIJKLMNOPQRSTUVWXYZabcdefghijklmnopqrstuvwxyz .,")))&gt;0),"Middle Initial must be a plain A-Z letter; ","")&amp;IF($F455="","Address is required; ","")&amp;IF(LEN($F455&amp;"")&gt;75,"Address exceeds 75 characters; ","")&amp;IF(LEN($G455&amp;"")&gt;75,"Address 2 exceeds 75 characters; ","")&amp;IF($H455="","City is required; ","")&amp;IF(LEN($H455&amp;"")&gt;30,"City exceeds 30 characters; ","")&amp;IF($K455="","Country is required; ","")&amp;IF(AND($K455&lt;&gt;"",$K455&lt;&gt;"US",$K455&lt;&gt;"CA"),"Country must be US or CA; ","")&amp;IF(AND($K455="US",OR($I455="",LEN($I455&amp;"")&lt;&gt;2)),"Use a 2-letter state code; ","")&amp;IF($J455="","ZIP or postal code is required; ","")&amp;IF(AND($K455="US",$J455&lt;&gt;"",NOT(IFERROR(OR(AND(LEN($J455&amp;"")=5,ISNUMBER(--($J455&amp;""))),AND(LEN($J455&amp;"")=9,ISNUMBER(--($J455&amp;""))),AND(LEN($J455&amp;"")=10,MID($J455&amp;"",6,1)="-",ISNUMBER(--SUBSTITUTE($J455&amp;"","-","")))),FALSE))),"US ZIP must be 5 or 9 digits, with an optional ZIP+4 hyphen; ","")&amp;IF(AND($N455&lt;&gt;"",NOT(IFERROR(AND(ISNUMBER(SEARCH("@",$N455)),ISNUMBER(SEARCH(".",$N455,SEARCH("@",$N455)+2))),FALSE))),"Email format appears invalid; ","")&amp;IF(AND($O455&lt;&gt;"",$B455=""),"Dependent SSN is required for every dependent; ","")&amp;IF(AND($B455&lt;&gt;"",$O455=""),"Dependent Relationship is required when Dependent SSN is entered; ","")&amp;IF(AND($O455&lt;&gt;"",$O455&lt;&gt;"Spouse or Common Law Spouse",$O455&lt;&gt;"Domestic Partner",$O455&lt;&gt;"Child",$O455&lt;&gt;"Other",$O455&lt;&gt;"Estate",$O455&lt;&gt;"Unknown"),"Dependent Relationship must use one of the approved options; ",""))</f>
        <v/>
      </c>
      <c r="Z455">
        <f>IF(COUNTA($A455:$U455)=0,"",IF(AND($A455&lt;&gt;"",NOT(IFERROR(AND(LEN($A455&amp;"")=9,ISNUMBER(--($A455&amp;""))),FALSE))),"Employee SSN must contain exactly 9 digits; ","")&amp;IF(AND($A455&lt;&gt;"",OR($A455="123456789",$A455="987654321",$A455="012345678",$A455=REPT(LEFT($A455&amp;"",1),9))),"Employee SSN appears to be a placeholder; ","")&amp;IF(AND($B455&lt;&gt;"",NOT(IFERROR(AND(LEN($B455&amp;"")=9,ISNUMBER(--($B455&amp;""))),FALSE))),"Dependent SSN must contain exactly 9 digits; ","")&amp;IF(AND($B455&lt;&gt;"",OR($B455="123456789",$B455="987654321",$B455="012345678",$B455=REPT(LEFT($B455&amp;"",1),9))),"Dependent SSN appears to be a placeholder; ","")&amp;IF(AND($A455&lt;&gt;"",$B455&lt;&gt;"",$A455&amp;""=$B455&amp;""),"Dependent SSN cannot match Employee SSN; ","")&amp;IF(AND($W455&lt;&gt;"",OR(COUNTIFS($W$2:$W$501,$W455,$C$2:$C$501,"&lt;&gt;"&amp;$C455)&gt;0,COUNTIFS($W$2:$W$501,$W455,$D$2:$D$501,"&lt;&gt;"&amp;$D455)&gt;0,COUNTIFS($W$2:$W$501,$W455,$L$2:$L$501,"&lt;&gt;"&amp;$L455)&gt;0)),"The same SSN is associated with a different name or birthdate; ",""))</f>
        <v/>
      </c>
      <c r="AA455">
        <f>IF(COUNTA($A455:$U455)=0,"",IF(AND($A455&lt;&gt;"",$S455&lt;&gt;"",COUNTIFS($A$2:$A$501,$A455,$S$2:$S$501,$S455,$B$2:$B$501,"",$O$2:$O$501,"")=0),"Add an employee row for this household and plan; ","")&amp;IF(AND($X455="Dependent",COUNTIFS($A$2:$A455,$A455,$S$2:$S455,$S455,$B$2:$B455,"",$O$2:$O455,"")=0),"Place the employee row before dependent rows for this plan; ","")&amp;IF(AND($X455="Dependent",COUNTIFS($A$2:$A$501,$A455,$S$2:$S$501,$S455,$B$2:$B$501,"",$O$2:$O$501,"")&gt;0,IFERROR(OR($P455&lt;&gt;LOOKUP(2,1/(($A$2:$A$501=$A455)*($S$2:$S$501=$S455)*($B$2:$B$501="")*($O$2:$O$501="")),$P$2:$P$501),$Q455&lt;&gt;LOOKUP(2,1/(($A$2:$A$501=$A455)*($S$2:$S$501=$S455)*($B$2:$B$501="")*($O$2:$O$501="")),$Q$2:$Q$501),$R455&lt;&gt;LOOKUP(2,1/(($A$2:$A$501=$A455)*($S$2:$S$501=$S455)*($B$2:$B$501="")*($O$2:$O$501="")),$R$2:$R$501),$T455&lt;&gt;LOOKUP(2,1/(($A$2:$A$501=$A455)*($S$2:$S$501=$S455)*($B$2:$B$501="")*($O$2:$O$501="")),$T$2:$T$501),$U455&lt;&gt;LOOKUP(2,1/(($A$2:$A$501=$A455)*($S$2:$S$501=$S455)*($B$2:$B$501="")*($O$2:$O$501="")),$U$2:$U$501)),FALSE)),"Dependent row does not match the employee row for eligibility, status, coverage level, or funding; ",""))</f>
        <v/>
      </c>
      <c r="AB455">
        <f>IF(COUNTA($A455:$U455)=0,"",IF($L455="","Birthdate is required; ","")&amp;IF(AND($L455&lt;&gt;"",OR(NOT(ISNUMBER($L455)),$L455&lt;=DATE(1900,1,1),$L455&gt;TODAY())),"Birthdate must be an exact valid past date; ","")&amp;IF($P455="","Eligibility Date is required; ","")&amp;IF(AND($P455&lt;&gt;"",OR(NOT(ISNUMBER($P455)),$P455&lt;=DATE(1900,1,1))),"Eligibility Date must be a valid date; ","")&amp;IF(AND($R455="Terminated",$Q455=""),"Termination Date is required when Status is Terminated; ","")&amp;IF(AND($Q455&lt;&gt;"",OR(NOT(ISNUMBER($Q455)),$Q455&lt;=DATE(1900,1,1))),"Termination Date must be a valid date; ","")&amp;IF(AND(ISNUMBER($P455),ISNUMBER($Q455),$Q455&lt;$P455),"Termination Date cannot be before Eligibility Date; ","")&amp;IF($R455="","Status is required; ","")&amp;IF(AND($R455&lt;&gt;"",$R455&lt;&gt;"Active",$R455&lt;&gt;"Terminated"),"Status must be Active or Terminated; ","")&amp;IF(AND('START HERE'!$C$8="Terminations Only",$R455&lt;&gt;"Terminated"),"Terminations Only files must contain terminated records; ",""))</f>
        <v/>
      </c>
      <c r="AC455">
        <f>IF(COUNTA($A455:$U455)=0,"",IF($S455="","Plan Name is required; ","")&amp;IF($T455="","Benefit Coverage Level is required; ","")&amp;IF(AND($U455&lt;&gt;"",OR(NOT(ISNUMBER($U455)),$U455&lt;0)),"Plan Funding Amount must be a nonnegative number; ","")&amp;IF(AND($A455&lt;&gt;"",$S455&lt;&gt;"",COUNTIFS($A$2:$A$501,$A455,$B$2:$B$501,$B455,$S$2:$S$501,$S455)&gt;1),"Duplicate participant and plan row; ",""))</f>
        <v/>
      </c>
      <c r="AD455">
        <f>IF(COUNTA($A455:$U455)=0,"",IF(AND($X455="Employee",$M455="",$N455=""),"No employee phone or email provided; ","")&amp;IF(AND($R455="Active",$Q455&lt;&gt;""),"Active record includes a Termination Date; confirm this is intentional; ","")&amp;IF(AND($B455&lt;&gt;"",$B455&amp;""&lt;&gt;$A455&amp;"",COUNTIF($A$2:$A$501,$B455)&gt;0),"Dependent SSN also appears as an Employee SSN elsewhere; confirm dual-employee coverage is intentional; ","")&amp;IF(AND($B455&lt;&gt;"",COUNTIF($B$2:$B$501,$B455)&gt;COUNTIFS($A$2:$A$501,$A455,$B$2:$B$501,$B455)),"Dependent SSN appears under more than one employee; confirm duplicate family coverage is intentional; ","")&amp;IF(AND(ROW()&gt;2,$A455&lt;&gt;"",$A455&lt;&gt;$A454,COUNTIF($A$2:$A454,$A455)&gt;0),"This household appears in more than one section of the census; keep the family together; ","")&amp;IF(OR(AND($C455&lt;&gt;"",LEN($C455&amp;"")&lt;&gt;LEN(TRIM($C455&amp;""))),AND($D455&lt;&gt;"",LEN($D455&amp;"")&lt;&gt;LEN(TRIM($D455&amp;""))),AND($E455&lt;&gt;"",LEN($E455&amp;"")&lt;&gt;LEN(TRIM($E455&amp;""))),AND($F455&lt;&gt;"",LEN($F455&amp;"")&lt;&gt;LEN(TRIM($F455&amp;""))),AND($G455&lt;&gt;"",LEN($G455&amp;"")&lt;&gt;LEN(TRIM($G455&amp;""))),AND($H455&lt;&gt;"",LEN($H455&amp;"")&lt;&gt;LEN(TRIM($H455&amp;""))),AND($I455&lt;&gt;"",LEN($I455&amp;"")&lt;&gt;LEN(TRIM($I455&amp;""))),AND($J455&lt;&gt;"",LEN($J455&amp;"")&lt;&gt;LEN(TRIM($J455&amp;""))),AND($K455&lt;&gt;"",LEN($K455&amp;"")&lt;&gt;LEN(TRIM($K455&amp;""))),AND($M455&lt;&gt;"",LEN($M455&amp;"")&lt;&gt;LEN(TRIM($M455&amp;""))),AND($N455&lt;&gt;"",LEN($N455&amp;"")&lt;&gt;LEN(TRIM($N455&amp;""))),AND($O455&lt;&gt;"",LEN($O455&amp;"")&lt;&gt;LEN(TRIM($O455&amp;""))),AND($R455&lt;&gt;"",LEN($R455&amp;"")&lt;&gt;LEN(TRIM($R455&amp;""))),AND($S455&lt;&gt;"",LEN($S455&amp;"")&lt;&gt;LEN(TRIM($S455&amp;""))),AND($T455&lt;&gt;"",LEN($T455&amp;"")&lt;&gt;LEN(TRIM($T455&amp;"")))),"Remove leading or trailing spaces from text fields; ","")&amp;IF(OR(AND(LEN($C455)&gt;1,OR(EXACT($C455,UPPER($C455)),EXACT($C455,LOWER($C455)))),AND(LEN($D455)&gt;1,OR(EXACT($D455,UPPER($D455)),EXACT($D455,LOWER($D455)))),AND(LEN($H455)&gt;1,OR(EXACT($H455,UPPER($H455)),EXACT($H455,LOWER($H455))))),"Review capitalization in First Name, Last Name, or City; ","")&amp;IF(AND($N455&lt;&gt;"",NOT(EXACT($N455,LOWER($N455)))),"Email will be standardized to lowercase in the clean output; ","")&amp;IF(AND(OR('START HERE'!$C$8="Initial Enrollment",'START HERE'!$C$8="Open Enrollment"),$R455="Terminated"),"A terminated row is included in an initial or open enrollment file; confirm this is intentional; ",""))</f>
        <v/>
      </c>
      <c r="AE455">
        <f>IF(COUNTA($A455:$U455)=0,"",IF(OR($A455="",AND($A455&lt;&gt;"",NOT(IFERROR(AND(LEN($A455&amp;"")=9,ISNUMBER(--($A455&amp;""))),FALSE))),AND($A455&lt;&gt;"",OR($A455="123456789",$A455="987654321",$A455="012345678",$A455=REPT(LEFT($A455&amp;"",1),9)))),"Employee SSN, ","")&amp;IF(OR(AND($O455&lt;&gt;"",$B455=""),AND($B455&lt;&gt;"",OR(NOT(IFERROR(AND(LEN($B455&amp;"")=9,ISNUMBER(--($B455&amp;""))),FALSE)),$B455=$A455,$B455="123456789",$B455="987654321",$B455="012345678",$B455=REPT(LEFT($B455&amp;"",1),9)))),"Dependent SSN, ","")&amp;IF(OR($C455="",LEN($C455)&gt;19,AND($C455&lt;&gt;"",SUMPRODUCT(--(ROW($1:$19)&lt;=LEN($C455&amp;"")),--ISERROR(FIND(MID($C455&amp;"",ROW($1:$19),1),"ABCDEFGHIJKLMNOPQRSTUVWXYZabcdefghijklmnopqrstuvwxyz .,")))&gt;0)),"First Name, ","")&amp;IF(OR($D455="",LEN($D455)&gt;26,AND($D455&lt;&gt;"",SUMPRODUCT(--(ROW($1:$26)&lt;=LEN($D455&amp;"")),--ISERROR(FIND(MID($D455&amp;"",ROW($1:$26),1),"ABCDEFGHIJKLMNOPQRSTUVWXYZabcdefghijklmnopqrstuvwxyz .,")))&gt;0)),"Last Name, ","")&amp;IF(OR(LEN($E455)&gt;1,AND($E455&lt;&gt;"",SUMPRODUCT(--(ROW($1:$1)&lt;=LEN($E455&amp;"")),--ISERROR(FIND(MID($E455&amp;"",ROW($1:$1),1),"ABCDEFGHIJKLMNOPQRSTUVWXYZabcdefghijklmnopqrstuvwxyz .,")))&gt;0)),"Middle Initial, ","")&amp;IF(OR($F455="",LEN($F455)&gt;75),"Address, ","")&amp;IF(OR($H455="",LEN($H455)&gt;30),"City, ","")&amp;IF(AND($K455="US",OR($I455="",LEN($I455)&lt;&gt;2)),"State, ","")&amp;IF($J455="","ZIP, ","")&amp;IF(OR($K455="",AND($K455&lt;&gt;"US",$K455&lt;&gt;"CA")),"Country, ","")&amp;IF(OR($L455="",AND($L455&lt;&gt;"",OR(NOT(ISNUMBER($L455)),$L455&lt;=DATE(1900,1,1),$L455&gt;TODAY()))),"Birthdate, ","")&amp;IF(AND($N455&lt;&gt;"",NOT(IFERROR(AND(ISNUMBER(SEARCH("@",$N455)),ISNUMBER(SEARCH(".",$N455,SEARCH("@",$N455)+2))),FALSE))),"Email, ","")&amp;IF(OR(AND($B455&lt;&gt;"",$O455=""),AND($O455&lt;&gt;"",$O455&lt;&gt;"Spouse or Common Law Spouse",$O455&lt;&gt;"Domestic Partner",$O455&lt;&gt;"Child",$O455&lt;&gt;"Other",$O455&lt;&gt;"Estate",$O455&lt;&gt;"Unknown")),"Dependent Relationship, ","")&amp;IF($AA455&lt;&gt;"","Household, ","")&amp;IF(OR($P455="",AND($P455&lt;&gt;"",OR(NOT(ISNUMBER($P455)),$P455&lt;=DATE(1900,1,1)))),"Eligibility Date, ","")&amp;IF(OR(AND($R455="Terminated",$Q455=""),AND($Q455&lt;&gt;"",OR(NOT(ISNUMBER($Q455)),$Q455&lt;=DATE(1900,1,1))),AND(ISNUMBER($P455),ISNUMBER($Q455),$Q455&lt;$P455)),"Termination Date, ","")&amp;IF(OR($R455="",AND($R455&lt;&gt;"Active",$R455&lt;&gt;"Terminated"),AND('START HERE'!$C$8="Terminations Only",$R455&lt;&gt;"Terminated")),"Status, ","")&amp;IF($S455="","Plan Name, ","")&amp;IF($T455="","Coverage Level, ","")&amp;IF(AND($U455&lt;&gt;"",OR(NOT(ISNUMBER($U455)),$U455&lt;0)),"Funding, ","")&amp;IF(AND($A455&lt;&gt;"",$S455&lt;&gt;"",COUNTIFS($A$2:$A$501,$A455,$B$2:$B$501,$B455,$S$2:$S$501,$S455)&gt;1),"Duplicate Row, ",""))</f>
        <v/>
      </c>
      <c r="AF455">
        <f>IF(COUNTA($A455:$U455)=0,"",$Y455&amp;$Z455&amp;$AA455&amp;$AB455&amp;$AC455)</f>
        <v/>
      </c>
      <c r="AG455">
        <f>IF($N455="","",LOWER(TRIM($N455)))</f>
        <v/>
      </c>
      <c r="AH455">
        <f>IF($A455="","",COUNTIFS($A$2:$A$501,$A455,$AI$2:$AI$501,1))</f>
        <v/>
      </c>
      <c r="AI455">
        <f>IF(COUNTA($A455:$U455)=0,"",--($AF455&lt;&gt;""))</f>
        <v/>
      </c>
      <c r="AJ455">
        <f>IF(COUNTA($A455:$U455)=0,"",--($AD455&lt;&gt;""))</f>
        <v/>
      </c>
    </row>
    <row r="456" ht="20" customHeight="1">
      <c r="A456" s="80" t="n"/>
      <c r="B456" s="80" t="n"/>
      <c r="C456" s="81" t="n"/>
      <c r="D456" s="81" t="n"/>
      <c r="E456" s="80" t="n"/>
      <c r="F456" s="81" t="n"/>
      <c r="G456" s="81" t="n"/>
      <c r="H456" s="81" t="n"/>
      <c r="I456" s="80" t="n"/>
      <c r="J456" s="80" t="n"/>
      <c r="K456" s="80" t="n"/>
      <c r="L456" s="82" t="n"/>
      <c r="M456" s="80" t="n"/>
      <c r="N456" s="80" t="n"/>
      <c r="O456" s="80" t="n"/>
      <c r="P456" s="82" t="n"/>
      <c r="Q456" s="82" t="n"/>
      <c r="R456" s="80" t="n"/>
      <c r="S456" s="80" t="n"/>
      <c r="T456" s="80" t="n"/>
      <c r="U456" s="83" t="n"/>
      <c r="V456">
        <f>IF($A456="","",IF($A456=$A455,$V455,IF($V455="",0,1-$V455)))</f>
        <v/>
      </c>
      <c r="W456">
        <f>IF($B456&lt;&gt;"",$B456,$A456)</f>
        <v/>
      </c>
      <c r="X456">
        <f>IF(COUNTA($A456:$U456)=0,"",IF(OR($B456&lt;&gt;"",$O456&lt;&gt;""),"Dependent","Employee"))</f>
        <v/>
      </c>
      <c r="Y456">
        <f>IF(COUNTA($A456:$U456)=0,"",IF($A456="","Employee SSN is required; ","")&amp;IF($C456="","First Name is required; ","")&amp;IF(LEN($C456&amp;"")&gt;19,"First Name exceeds 19 characters; ","")&amp;IF(AND($C456&lt;&gt;"",SUMPRODUCT(--(ROW($1:$19)&lt;=LEN($C456&amp;"")),--ISERROR(FIND(MID($C456&amp;"",ROW($1:$19),1),"ABCDEFGHIJKLMNOPQRSTUVWXYZabcdefghijklmnopqrstuvwxyz .,")))&gt;0),"First Name contains unsupported or encoded characters; use plain A-Z letters only; ","")&amp;IF($D456="","Last Name is required; ","")&amp;IF(LEN($D456&amp;"")&gt;26,"Last Name exceeds 26 characters; ","")&amp;IF(AND($D456&lt;&gt;"",SUMPRODUCT(--(ROW($1:$26)&lt;=LEN($D456&amp;"")),--ISERROR(FIND(MID($D456&amp;"",ROW($1:$26),1),"ABCDEFGHIJKLMNOPQRSTUVWXYZabcdefghijklmnopqrstuvwxyz .,")))&gt;0),"Last Name contains unsupported or encoded characters; use plain A-Z letters only; ","")&amp;IF(LEN($E456&amp;"")&gt;1,"Middle Initial may contain only one character; ","")&amp;IF(AND($E456&lt;&gt;"",SUMPRODUCT(--(ROW($1:$1)&lt;=LEN($E456&amp;"")),--ISERROR(FIND(MID($E456&amp;"",ROW($1:$1),1),"ABCDEFGHIJKLMNOPQRSTUVWXYZabcdefghijklmnopqrstuvwxyz .,")))&gt;0),"Middle Initial must be a plain A-Z letter; ","")&amp;IF($F456="","Address is required; ","")&amp;IF(LEN($F456&amp;"")&gt;75,"Address exceeds 75 characters; ","")&amp;IF(LEN($G456&amp;"")&gt;75,"Address 2 exceeds 75 characters; ","")&amp;IF($H456="","City is required; ","")&amp;IF(LEN($H456&amp;"")&gt;30,"City exceeds 30 characters; ","")&amp;IF($K456="","Country is required; ","")&amp;IF(AND($K456&lt;&gt;"",$K456&lt;&gt;"US",$K456&lt;&gt;"CA"),"Country must be US or CA; ","")&amp;IF(AND($K456="US",OR($I456="",LEN($I456&amp;"")&lt;&gt;2)),"Use a 2-letter state code; ","")&amp;IF($J456="","ZIP or postal code is required; ","")&amp;IF(AND($K456="US",$J456&lt;&gt;"",NOT(IFERROR(OR(AND(LEN($J456&amp;"")=5,ISNUMBER(--($J456&amp;""))),AND(LEN($J456&amp;"")=9,ISNUMBER(--($J456&amp;""))),AND(LEN($J456&amp;"")=10,MID($J456&amp;"",6,1)="-",ISNUMBER(--SUBSTITUTE($J456&amp;"","-","")))),FALSE))),"US ZIP must be 5 or 9 digits, with an optional ZIP+4 hyphen; ","")&amp;IF(AND($N456&lt;&gt;"",NOT(IFERROR(AND(ISNUMBER(SEARCH("@",$N456)),ISNUMBER(SEARCH(".",$N456,SEARCH("@",$N456)+2))),FALSE))),"Email format appears invalid; ","")&amp;IF(AND($O456&lt;&gt;"",$B456=""),"Dependent SSN is required for every dependent; ","")&amp;IF(AND($B456&lt;&gt;"",$O456=""),"Dependent Relationship is required when Dependent SSN is entered; ","")&amp;IF(AND($O456&lt;&gt;"",$O456&lt;&gt;"Spouse or Common Law Spouse",$O456&lt;&gt;"Domestic Partner",$O456&lt;&gt;"Child",$O456&lt;&gt;"Other",$O456&lt;&gt;"Estate",$O456&lt;&gt;"Unknown"),"Dependent Relationship must use one of the approved options; ",""))</f>
        <v/>
      </c>
      <c r="Z456">
        <f>IF(COUNTA($A456:$U456)=0,"",IF(AND($A456&lt;&gt;"",NOT(IFERROR(AND(LEN($A456&amp;"")=9,ISNUMBER(--($A456&amp;""))),FALSE))),"Employee SSN must contain exactly 9 digits; ","")&amp;IF(AND($A456&lt;&gt;"",OR($A456="123456789",$A456="987654321",$A456="012345678",$A456=REPT(LEFT($A456&amp;"",1),9))),"Employee SSN appears to be a placeholder; ","")&amp;IF(AND($B456&lt;&gt;"",NOT(IFERROR(AND(LEN($B456&amp;"")=9,ISNUMBER(--($B456&amp;""))),FALSE))),"Dependent SSN must contain exactly 9 digits; ","")&amp;IF(AND($B456&lt;&gt;"",OR($B456="123456789",$B456="987654321",$B456="012345678",$B456=REPT(LEFT($B456&amp;"",1),9))),"Dependent SSN appears to be a placeholder; ","")&amp;IF(AND($A456&lt;&gt;"",$B456&lt;&gt;"",$A456&amp;""=$B456&amp;""),"Dependent SSN cannot match Employee SSN; ","")&amp;IF(AND($W456&lt;&gt;"",OR(COUNTIFS($W$2:$W$501,$W456,$C$2:$C$501,"&lt;&gt;"&amp;$C456)&gt;0,COUNTIFS($W$2:$W$501,$W456,$D$2:$D$501,"&lt;&gt;"&amp;$D456)&gt;0,COUNTIFS($W$2:$W$501,$W456,$L$2:$L$501,"&lt;&gt;"&amp;$L456)&gt;0)),"The same SSN is associated with a different name or birthdate; ",""))</f>
        <v/>
      </c>
      <c r="AA456">
        <f>IF(COUNTA($A456:$U456)=0,"",IF(AND($A456&lt;&gt;"",$S456&lt;&gt;"",COUNTIFS($A$2:$A$501,$A456,$S$2:$S$501,$S456,$B$2:$B$501,"",$O$2:$O$501,"")=0),"Add an employee row for this household and plan; ","")&amp;IF(AND($X456="Dependent",COUNTIFS($A$2:$A456,$A456,$S$2:$S456,$S456,$B$2:$B456,"",$O$2:$O456,"")=0),"Place the employee row before dependent rows for this plan; ","")&amp;IF(AND($X456="Dependent",COUNTIFS($A$2:$A$501,$A456,$S$2:$S$501,$S456,$B$2:$B$501,"",$O$2:$O$501,"")&gt;0,IFERROR(OR($P456&lt;&gt;LOOKUP(2,1/(($A$2:$A$501=$A456)*($S$2:$S$501=$S456)*($B$2:$B$501="")*($O$2:$O$501="")),$P$2:$P$501),$Q456&lt;&gt;LOOKUP(2,1/(($A$2:$A$501=$A456)*($S$2:$S$501=$S456)*($B$2:$B$501="")*($O$2:$O$501="")),$Q$2:$Q$501),$R456&lt;&gt;LOOKUP(2,1/(($A$2:$A$501=$A456)*($S$2:$S$501=$S456)*($B$2:$B$501="")*($O$2:$O$501="")),$R$2:$R$501),$T456&lt;&gt;LOOKUP(2,1/(($A$2:$A$501=$A456)*($S$2:$S$501=$S456)*($B$2:$B$501="")*($O$2:$O$501="")),$T$2:$T$501),$U456&lt;&gt;LOOKUP(2,1/(($A$2:$A$501=$A456)*($S$2:$S$501=$S456)*($B$2:$B$501="")*($O$2:$O$501="")),$U$2:$U$501)),FALSE)),"Dependent row does not match the employee row for eligibility, status, coverage level, or funding; ",""))</f>
        <v/>
      </c>
      <c r="AB456">
        <f>IF(COUNTA($A456:$U456)=0,"",IF($L456="","Birthdate is required; ","")&amp;IF(AND($L456&lt;&gt;"",OR(NOT(ISNUMBER($L456)),$L456&lt;=DATE(1900,1,1),$L456&gt;TODAY())),"Birthdate must be an exact valid past date; ","")&amp;IF($P456="","Eligibility Date is required; ","")&amp;IF(AND($P456&lt;&gt;"",OR(NOT(ISNUMBER($P456)),$P456&lt;=DATE(1900,1,1))),"Eligibility Date must be a valid date; ","")&amp;IF(AND($R456="Terminated",$Q456=""),"Termination Date is required when Status is Terminated; ","")&amp;IF(AND($Q456&lt;&gt;"",OR(NOT(ISNUMBER($Q456)),$Q456&lt;=DATE(1900,1,1))),"Termination Date must be a valid date; ","")&amp;IF(AND(ISNUMBER($P456),ISNUMBER($Q456),$Q456&lt;$P456),"Termination Date cannot be before Eligibility Date; ","")&amp;IF($R456="","Status is required; ","")&amp;IF(AND($R456&lt;&gt;"",$R456&lt;&gt;"Active",$R456&lt;&gt;"Terminated"),"Status must be Active or Terminated; ","")&amp;IF(AND('START HERE'!$C$8="Terminations Only",$R456&lt;&gt;"Terminated"),"Terminations Only files must contain terminated records; ",""))</f>
        <v/>
      </c>
      <c r="AC456">
        <f>IF(COUNTA($A456:$U456)=0,"",IF($S456="","Plan Name is required; ","")&amp;IF($T456="","Benefit Coverage Level is required; ","")&amp;IF(AND($U456&lt;&gt;"",OR(NOT(ISNUMBER($U456)),$U456&lt;0)),"Plan Funding Amount must be a nonnegative number; ","")&amp;IF(AND($A456&lt;&gt;"",$S456&lt;&gt;"",COUNTIFS($A$2:$A$501,$A456,$B$2:$B$501,$B456,$S$2:$S$501,$S456)&gt;1),"Duplicate participant and plan row; ",""))</f>
        <v/>
      </c>
      <c r="AD456">
        <f>IF(COUNTA($A456:$U456)=0,"",IF(AND($X456="Employee",$M456="",$N456=""),"No employee phone or email provided; ","")&amp;IF(AND($R456="Active",$Q456&lt;&gt;""),"Active record includes a Termination Date; confirm this is intentional; ","")&amp;IF(AND($B456&lt;&gt;"",$B456&amp;""&lt;&gt;$A456&amp;"",COUNTIF($A$2:$A$501,$B456)&gt;0),"Dependent SSN also appears as an Employee SSN elsewhere; confirm dual-employee coverage is intentional; ","")&amp;IF(AND($B456&lt;&gt;"",COUNTIF($B$2:$B$501,$B456)&gt;COUNTIFS($A$2:$A$501,$A456,$B$2:$B$501,$B456)),"Dependent SSN appears under more than one employee; confirm duplicate family coverage is intentional; ","")&amp;IF(AND(ROW()&gt;2,$A456&lt;&gt;"",$A456&lt;&gt;$A455,COUNTIF($A$2:$A455,$A456)&gt;0),"This household appears in more than one section of the census; keep the family together; ","")&amp;IF(OR(AND($C456&lt;&gt;"",LEN($C456&amp;"")&lt;&gt;LEN(TRIM($C456&amp;""))),AND($D456&lt;&gt;"",LEN($D456&amp;"")&lt;&gt;LEN(TRIM($D456&amp;""))),AND($E456&lt;&gt;"",LEN($E456&amp;"")&lt;&gt;LEN(TRIM($E456&amp;""))),AND($F456&lt;&gt;"",LEN($F456&amp;"")&lt;&gt;LEN(TRIM($F456&amp;""))),AND($G456&lt;&gt;"",LEN($G456&amp;"")&lt;&gt;LEN(TRIM($G456&amp;""))),AND($H456&lt;&gt;"",LEN($H456&amp;"")&lt;&gt;LEN(TRIM($H456&amp;""))),AND($I456&lt;&gt;"",LEN($I456&amp;"")&lt;&gt;LEN(TRIM($I456&amp;""))),AND($J456&lt;&gt;"",LEN($J456&amp;"")&lt;&gt;LEN(TRIM($J456&amp;""))),AND($K456&lt;&gt;"",LEN($K456&amp;"")&lt;&gt;LEN(TRIM($K456&amp;""))),AND($M456&lt;&gt;"",LEN($M456&amp;"")&lt;&gt;LEN(TRIM($M456&amp;""))),AND($N456&lt;&gt;"",LEN($N456&amp;"")&lt;&gt;LEN(TRIM($N456&amp;""))),AND($O456&lt;&gt;"",LEN($O456&amp;"")&lt;&gt;LEN(TRIM($O456&amp;""))),AND($R456&lt;&gt;"",LEN($R456&amp;"")&lt;&gt;LEN(TRIM($R456&amp;""))),AND($S456&lt;&gt;"",LEN($S456&amp;"")&lt;&gt;LEN(TRIM($S456&amp;""))),AND($T456&lt;&gt;"",LEN($T456&amp;"")&lt;&gt;LEN(TRIM($T456&amp;"")))),"Remove leading or trailing spaces from text fields; ","")&amp;IF(OR(AND(LEN($C456)&gt;1,OR(EXACT($C456,UPPER($C456)),EXACT($C456,LOWER($C456)))),AND(LEN($D456)&gt;1,OR(EXACT($D456,UPPER($D456)),EXACT($D456,LOWER($D456)))),AND(LEN($H456)&gt;1,OR(EXACT($H456,UPPER($H456)),EXACT($H456,LOWER($H456))))),"Review capitalization in First Name, Last Name, or City; ","")&amp;IF(AND($N456&lt;&gt;"",NOT(EXACT($N456,LOWER($N456)))),"Email will be standardized to lowercase in the clean output; ","")&amp;IF(AND(OR('START HERE'!$C$8="Initial Enrollment",'START HERE'!$C$8="Open Enrollment"),$R456="Terminated"),"A terminated row is included in an initial or open enrollment file; confirm this is intentional; ",""))</f>
        <v/>
      </c>
      <c r="AE456">
        <f>IF(COUNTA($A456:$U456)=0,"",IF(OR($A456="",AND($A456&lt;&gt;"",NOT(IFERROR(AND(LEN($A456&amp;"")=9,ISNUMBER(--($A456&amp;""))),FALSE))),AND($A456&lt;&gt;"",OR($A456="123456789",$A456="987654321",$A456="012345678",$A456=REPT(LEFT($A456&amp;"",1),9)))),"Employee SSN, ","")&amp;IF(OR(AND($O456&lt;&gt;"",$B456=""),AND($B456&lt;&gt;"",OR(NOT(IFERROR(AND(LEN($B456&amp;"")=9,ISNUMBER(--($B456&amp;""))),FALSE)),$B456=$A456,$B456="123456789",$B456="987654321",$B456="012345678",$B456=REPT(LEFT($B456&amp;"",1),9)))),"Dependent SSN, ","")&amp;IF(OR($C456="",LEN($C456)&gt;19,AND($C456&lt;&gt;"",SUMPRODUCT(--(ROW($1:$19)&lt;=LEN($C456&amp;"")),--ISERROR(FIND(MID($C456&amp;"",ROW($1:$19),1),"ABCDEFGHIJKLMNOPQRSTUVWXYZabcdefghijklmnopqrstuvwxyz .,")))&gt;0)),"First Name, ","")&amp;IF(OR($D456="",LEN($D456)&gt;26,AND($D456&lt;&gt;"",SUMPRODUCT(--(ROW($1:$26)&lt;=LEN($D456&amp;"")),--ISERROR(FIND(MID($D456&amp;"",ROW($1:$26),1),"ABCDEFGHIJKLMNOPQRSTUVWXYZabcdefghijklmnopqrstuvwxyz .,")))&gt;0)),"Last Name, ","")&amp;IF(OR(LEN($E456)&gt;1,AND($E456&lt;&gt;"",SUMPRODUCT(--(ROW($1:$1)&lt;=LEN($E456&amp;"")),--ISERROR(FIND(MID($E456&amp;"",ROW($1:$1),1),"ABCDEFGHIJKLMNOPQRSTUVWXYZabcdefghijklmnopqrstuvwxyz .,")))&gt;0)),"Middle Initial, ","")&amp;IF(OR($F456="",LEN($F456)&gt;75),"Address, ","")&amp;IF(OR($H456="",LEN($H456)&gt;30),"City, ","")&amp;IF(AND($K456="US",OR($I456="",LEN($I456)&lt;&gt;2)),"State, ","")&amp;IF($J456="","ZIP, ","")&amp;IF(OR($K456="",AND($K456&lt;&gt;"US",$K456&lt;&gt;"CA")),"Country, ","")&amp;IF(OR($L456="",AND($L456&lt;&gt;"",OR(NOT(ISNUMBER($L456)),$L456&lt;=DATE(1900,1,1),$L456&gt;TODAY()))),"Birthdate, ","")&amp;IF(AND($N456&lt;&gt;"",NOT(IFERROR(AND(ISNUMBER(SEARCH("@",$N456)),ISNUMBER(SEARCH(".",$N456,SEARCH("@",$N456)+2))),FALSE))),"Email, ","")&amp;IF(OR(AND($B456&lt;&gt;"",$O456=""),AND($O456&lt;&gt;"",$O456&lt;&gt;"Spouse or Common Law Spouse",$O456&lt;&gt;"Domestic Partner",$O456&lt;&gt;"Child",$O456&lt;&gt;"Other",$O456&lt;&gt;"Estate",$O456&lt;&gt;"Unknown")),"Dependent Relationship, ","")&amp;IF($AA456&lt;&gt;"","Household, ","")&amp;IF(OR($P456="",AND($P456&lt;&gt;"",OR(NOT(ISNUMBER($P456)),$P456&lt;=DATE(1900,1,1)))),"Eligibility Date, ","")&amp;IF(OR(AND($R456="Terminated",$Q456=""),AND($Q456&lt;&gt;"",OR(NOT(ISNUMBER($Q456)),$Q456&lt;=DATE(1900,1,1))),AND(ISNUMBER($P456),ISNUMBER($Q456),$Q456&lt;$P456)),"Termination Date, ","")&amp;IF(OR($R456="",AND($R456&lt;&gt;"Active",$R456&lt;&gt;"Terminated"),AND('START HERE'!$C$8="Terminations Only",$R456&lt;&gt;"Terminated")),"Status, ","")&amp;IF($S456="","Plan Name, ","")&amp;IF($T456="","Coverage Level, ","")&amp;IF(AND($U456&lt;&gt;"",OR(NOT(ISNUMBER($U456)),$U456&lt;0)),"Funding, ","")&amp;IF(AND($A456&lt;&gt;"",$S456&lt;&gt;"",COUNTIFS($A$2:$A$501,$A456,$B$2:$B$501,$B456,$S$2:$S$501,$S456)&gt;1),"Duplicate Row, ",""))</f>
        <v/>
      </c>
      <c r="AF456">
        <f>IF(COUNTA($A456:$U456)=0,"",$Y456&amp;$Z456&amp;$AA456&amp;$AB456&amp;$AC456)</f>
        <v/>
      </c>
      <c r="AG456">
        <f>IF($N456="","",LOWER(TRIM($N456)))</f>
        <v/>
      </c>
      <c r="AH456">
        <f>IF($A456="","",COUNTIFS($A$2:$A$501,$A456,$AI$2:$AI$501,1))</f>
        <v/>
      </c>
      <c r="AI456">
        <f>IF(COUNTA($A456:$U456)=0,"",--($AF456&lt;&gt;""))</f>
        <v/>
      </c>
      <c r="AJ456">
        <f>IF(COUNTA($A456:$U456)=0,"",--($AD456&lt;&gt;""))</f>
        <v/>
      </c>
    </row>
    <row r="457" ht="20" customHeight="1">
      <c r="A457" s="80" t="n"/>
      <c r="B457" s="80" t="n"/>
      <c r="C457" s="81" t="n"/>
      <c r="D457" s="81" t="n"/>
      <c r="E457" s="80" t="n"/>
      <c r="F457" s="81" t="n"/>
      <c r="G457" s="81" t="n"/>
      <c r="H457" s="81" t="n"/>
      <c r="I457" s="80" t="n"/>
      <c r="J457" s="80" t="n"/>
      <c r="K457" s="80" t="n"/>
      <c r="L457" s="82" t="n"/>
      <c r="M457" s="80" t="n"/>
      <c r="N457" s="80" t="n"/>
      <c r="O457" s="80" t="n"/>
      <c r="P457" s="82" t="n"/>
      <c r="Q457" s="82" t="n"/>
      <c r="R457" s="80" t="n"/>
      <c r="S457" s="80" t="n"/>
      <c r="T457" s="80" t="n"/>
      <c r="U457" s="83" t="n"/>
      <c r="V457">
        <f>IF($A457="","",IF($A457=$A456,$V456,IF($V456="",0,1-$V456)))</f>
        <v/>
      </c>
      <c r="W457">
        <f>IF($B457&lt;&gt;"",$B457,$A457)</f>
        <v/>
      </c>
      <c r="X457">
        <f>IF(COUNTA($A457:$U457)=0,"",IF(OR($B457&lt;&gt;"",$O457&lt;&gt;""),"Dependent","Employee"))</f>
        <v/>
      </c>
      <c r="Y457">
        <f>IF(COUNTA($A457:$U457)=0,"",IF($A457="","Employee SSN is required; ","")&amp;IF($C457="","First Name is required; ","")&amp;IF(LEN($C457&amp;"")&gt;19,"First Name exceeds 19 characters; ","")&amp;IF(AND($C457&lt;&gt;"",SUMPRODUCT(--(ROW($1:$19)&lt;=LEN($C457&amp;"")),--ISERROR(FIND(MID($C457&amp;"",ROW($1:$19),1),"ABCDEFGHIJKLMNOPQRSTUVWXYZabcdefghijklmnopqrstuvwxyz .,")))&gt;0),"First Name contains unsupported or encoded characters; use plain A-Z letters only; ","")&amp;IF($D457="","Last Name is required; ","")&amp;IF(LEN($D457&amp;"")&gt;26,"Last Name exceeds 26 characters; ","")&amp;IF(AND($D457&lt;&gt;"",SUMPRODUCT(--(ROW($1:$26)&lt;=LEN($D457&amp;"")),--ISERROR(FIND(MID($D457&amp;"",ROW($1:$26),1),"ABCDEFGHIJKLMNOPQRSTUVWXYZabcdefghijklmnopqrstuvwxyz .,")))&gt;0),"Last Name contains unsupported or encoded characters; use plain A-Z letters only; ","")&amp;IF(LEN($E457&amp;"")&gt;1,"Middle Initial may contain only one character; ","")&amp;IF(AND($E457&lt;&gt;"",SUMPRODUCT(--(ROW($1:$1)&lt;=LEN($E457&amp;"")),--ISERROR(FIND(MID($E457&amp;"",ROW($1:$1),1),"ABCDEFGHIJKLMNOPQRSTUVWXYZabcdefghijklmnopqrstuvwxyz .,")))&gt;0),"Middle Initial must be a plain A-Z letter; ","")&amp;IF($F457="","Address is required; ","")&amp;IF(LEN($F457&amp;"")&gt;75,"Address exceeds 75 characters; ","")&amp;IF(LEN($G457&amp;"")&gt;75,"Address 2 exceeds 75 characters; ","")&amp;IF($H457="","City is required; ","")&amp;IF(LEN($H457&amp;"")&gt;30,"City exceeds 30 characters; ","")&amp;IF($K457="","Country is required; ","")&amp;IF(AND($K457&lt;&gt;"",$K457&lt;&gt;"US",$K457&lt;&gt;"CA"),"Country must be US or CA; ","")&amp;IF(AND($K457="US",OR($I457="",LEN($I457&amp;"")&lt;&gt;2)),"Use a 2-letter state code; ","")&amp;IF($J457="","ZIP or postal code is required; ","")&amp;IF(AND($K457="US",$J457&lt;&gt;"",NOT(IFERROR(OR(AND(LEN($J457&amp;"")=5,ISNUMBER(--($J457&amp;""))),AND(LEN($J457&amp;"")=9,ISNUMBER(--($J457&amp;""))),AND(LEN($J457&amp;"")=10,MID($J457&amp;"",6,1)="-",ISNUMBER(--SUBSTITUTE($J457&amp;"","-","")))),FALSE))),"US ZIP must be 5 or 9 digits, with an optional ZIP+4 hyphen; ","")&amp;IF(AND($N457&lt;&gt;"",NOT(IFERROR(AND(ISNUMBER(SEARCH("@",$N457)),ISNUMBER(SEARCH(".",$N457,SEARCH("@",$N457)+2))),FALSE))),"Email format appears invalid; ","")&amp;IF(AND($O457&lt;&gt;"",$B457=""),"Dependent SSN is required for every dependent; ","")&amp;IF(AND($B457&lt;&gt;"",$O457=""),"Dependent Relationship is required when Dependent SSN is entered; ","")&amp;IF(AND($O457&lt;&gt;"",$O457&lt;&gt;"Spouse or Common Law Spouse",$O457&lt;&gt;"Domestic Partner",$O457&lt;&gt;"Child",$O457&lt;&gt;"Other",$O457&lt;&gt;"Estate",$O457&lt;&gt;"Unknown"),"Dependent Relationship must use one of the approved options; ",""))</f>
        <v/>
      </c>
      <c r="Z457">
        <f>IF(COUNTA($A457:$U457)=0,"",IF(AND($A457&lt;&gt;"",NOT(IFERROR(AND(LEN($A457&amp;"")=9,ISNUMBER(--($A457&amp;""))),FALSE))),"Employee SSN must contain exactly 9 digits; ","")&amp;IF(AND($A457&lt;&gt;"",OR($A457="123456789",$A457="987654321",$A457="012345678",$A457=REPT(LEFT($A457&amp;"",1),9))),"Employee SSN appears to be a placeholder; ","")&amp;IF(AND($B457&lt;&gt;"",NOT(IFERROR(AND(LEN($B457&amp;"")=9,ISNUMBER(--($B457&amp;""))),FALSE))),"Dependent SSN must contain exactly 9 digits; ","")&amp;IF(AND($B457&lt;&gt;"",OR($B457="123456789",$B457="987654321",$B457="012345678",$B457=REPT(LEFT($B457&amp;"",1),9))),"Dependent SSN appears to be a placeholder; ","")&amp;IF(AND($A457&lt;&gt;"",$B457&lt;&gt;"",$A457&amp;""=$B457&amp;""),"Dependent SSN cannot match Employee SSN; ","")&amp;IF(AND($W457&lt;&gt;"",OR(COUNTIFS($W$2:$W$501,$W457,$C$2:$C$501,"&lt;&gt;"&amp;$C457)&gt;0,COUNTIFS($W$2:$W$501,$W457,$D$2:$D$501,"&lt;&gt;"&amp;$D457)&gt;0,COUNTIFS($W$2:$W$501,$W457,$L$2:$L$501,"&lt;&gt;"&amp;$L457)&gt;0)),"The same SSN is associated with a different name or birthdate; ",""))</f>
        <v/>
      </c>
      <c r="AA457">
        <f>IF(COUNTA($A457:$U457)=0,"",IF(AND($A457&lt;&gt;"",$S457&lt;&gt;"",COUNTIFS($A$2:$A$501,$A457,$S$2:$S$501,$S457,$B$2:$B$501,"",$O$2:$O$501,"")=0),"Add an employee row for this household and plan; ","")&amp;IF(AND($X457="Dependent",COUNTIFS($A$2:$A457,$A457,$S$2:$S457,$S457,$B$2:$B457,"",$O$2:$O457,"")=0),"Place the employee row before dependent rows for this plan; ","")&amp;IF(AND($X457="Dependent",COUNTIFS($A$2:$A$501,$A457,$S$2:$S$501,$S457,$B$2:$B$501,"",$O$2:$O$501,"")&gt;0,IFERROR(OR($P457&lt;&gt;LOOKUP(2,1/(($A$2:$A$501=$A457)*($S$2:$S$501=$S457)*($B$2:$B$501="")*($O$2:$O$501="")),$P$2:$P$501),$Q457&lt;&gt;LOOKUP(2,1/(($A$2:$A$501=$A457)*($S$2:$S$501=$S457)*($B$2:$B$501="")*($O$2:$O$501="")),$Q$2:$Q$501),$R457&lt;&gt;LOOKUP(2,1/(($A$2:$A$501=$A457)*($S$2:$S$501=$S457)*($B$2:$B$501="")*($O$2:$O$501="")),$R$2:$R$501),$T457&lt;&gt;LOOKUP(2,1/(($A$2:$A$501=$A457)*($S$2:$S$501=$S457)*($B$2:$B$501="")*($O$2:$O$501="")),$T$2:$T$501),$U457&lt;&gt;LOOKUP(2,1/(($A$2:$A$501=$A457)*($S$2:$S$501=$S457)*($B$2:$B$501="")*($O$2:$O$501="")),$U$2:$U$501)),FALSE)),"Dependent row does not match the employee row for eligibility, status, coverage level, or funding; ",""))</f>
        <v/>
      </c>
      <c r="AB457">
        <f>IF(COUNTA($A457:$U457)=0,"",IF($L457="","Birthdate is required; ","")&amp;IF(AND($L457&lt;&gt;"",OR(NOT(ISNUMBER($L457)),$L457&lt;=DATE(1900,1,1),$L457&gt;TODAY())),"Birthdate must be an exact valid past date; ","")&amp;IF($P457="","Eligibility Date is required; ","")&amp;IF(AND($P457&lt;&gt;"",OR(NOT(ISNUMBER($P457)),$P457&lt;=DATE(1900,1,1))),"Eligibility Date must be a valid date; ","")&amp;IF(AND($R457="Terminated",$Q457=""),"Termination Date is required when Status is Terminated; ","")&amp;IF(AND($Q457&lt;&gt;"",OR(NOT(ISNUMBER($Q457)),$Q457&lt;=DATE(1900,1,1))),"Termination Date must be a valid date; ","")&amp;IF(AND(ISNUMBER($P457),ISNUMBER($Q457),$Q457&lt;$P457),"Termination Date cannot be before Eligibility Date; ","")&amp;IF($R457="","Status is required; ","")&amp;IF(AND($R457&lt;&gt;"",$R457&lt;&gt;"Active",$R457&lt;&gt;"Terminated"),"Status must be Active or Terminated; ","")&amp;IF(AND('START HERE'!$C$8="Terminations Only",$R457&lt;&gt;"Terminated"),"Terminations Only files must contain terminated records; ",""))</f>
        <v/>
      </c>
      <c r="AC457">
        <f>IF(COUNTA($A457:$U457)=0,"",IF($S457="","Plan Name is required; ","")&amp;IF($T457="","Benefit Coverage Level is required; ","")&amp;IF(AND($U457&lt;&gt;"",OR(NOT(ISNUMBER($U457)),$U457&lt;0)),"Plan Funding Amount must be a nonnegative number; ","")&amp;IF(AND($A457&lt;&gt;"",$S457&lt;&gt;"",COUNTIFS($A$2:$A$501,$A457,$B$2:$B$501,$B457,$S$2:$S$501,$S457)&gt;1),"Duplicate participant and plan row; ",""))</f>
        <v/>
      </c>
      <c r="AD457">
        <f>IF(COUNTA($A457:$U457)=0,"",IF(AND($X457="Employee",$M457="",$N457=""),"No employee phone or email provided; ","")&amp;IF(AND($R457="Active",$Q457&lt;&gt;""),"Active record includes a Termination Date; confirm this is intentional; ","")&amp;IF(AND($B457&lt;&gt;"",$B457&amp;""&lt;&gt;$A457&amp;"",COUNTIF($A$2:$A$501,$B457)&gt;0),"Dependent SSN also appears as an Employee SSN elsewhere; confirm dual-employee coverage is intentional; ","")&amp;IF(AND($B457&lt;&gt;"",COUNTIF($B$2:$B$501,$B457)&gt;COUNTIFS($A$2:$A$501,$A457,$B$2:$B$501,$B457)),"Dependent SSN appears under more than one employee; confirm duplicate family coverage is intentional; ","")&amp;IF(AND(ROW()&gt;2,$A457&lt;&gt;"",$A457&lt;&gt;$A456,COUNTIF($A$2:$A456,$A457)&gt;0),"This household appears in more than one section of the census; keep the family together; ","")&amp;IF(OR(AND($C457&lt;&gt;"",LEN($C457&amp;"")&lt;&gt;LEN(TRIM($C457&amp;""))),AND($D457&lt;&gt;"",LEN($D457&amp;"")&lt;&gt;LEN(TRIM($D457&amp;""))),AND($E457&lt;&gt;"",LEN($E457&amp;"")&lt;&gt;LEN(TRIM($E457&amp;""))),AND($F457&lt;&gt;"",LEN($F457&amp;"")&lt;&gt;LEN(TRIM($F457&amp;""))),AND($G457&lt;&gt;"",LEN($G457&amp;"")&lt;&gt;LEN(TRIM($G457&amp;""))),AND($H457&lt;&gt;"",LEN($H457&amp;"")&lt;&gt;LEN(TRIM($H457&amp;""))),AND($I457&lt;&gt;"",LEN($I457&amp;"")&lt;&gt;LEN(TRIM($I457&amp;""))),AND($J457&lt;&gt;"",LEN($J457&amp;"")&lt;&gt;LEN(TRIM($J457&amp;""))),AND($K457&lt;&gt;"",LEN($K457&amp;"")&lt;&gt;LEN(TRIM($K457&amp;""))),AND($M457&lt;&gt;"",LEN($M457&amp;"")&lt;&gt;LEN(TRIM($M457&amp;""))),AND($N457&lt;&gt;"",LEN($N457&amp;"")&lt;&gt;LEN(TRIM($N457&amp;""))),AND($O457&lt;&gt;"",LEN($O457&amp;"")&lt;&gt;LEN(TRIM($O457&amp;""))),AND($R457&lt;&gt;"",LEN($R457&amp;"")&lt;&gt;LEN(TRIM($R457&amp;""))),AND($S457&lt;&gt;"",LEN($S457&amp;"")&lt;&gt;LEN(TRIM($S457&amp;""))),AND($T457&lt;&gt;"",LEN($T457&amp;"")&lt;&gt;LEN(TRIM($T457&amp;"")))),"Remove leading or trailing spaces from text fields; ","")&amp;IF(OR(AND(LEN($C457)&gt;1,OR(EXACT($C457,UPPER($C457)),EXACT($C457,LOWER($C457)))),AND(LEN($D457)&gt;1,OR(EXACT($D457,UPPER($D457)),EXACT($D457,LOWER($D457)))),AND(LEN($H457)&gt;1,OR(EXACT($H457,UPPER($H457)),EXACT($H457,LOWER($H457))))),"Review capitalization in First Name, Last Name, or City; ","")&amp;IF(AND($N457&lt;&gt;"",NOT(EXACT($N457,LOWER($N457)))),"Email will be standardized to lowercase in the clean output; ","")&amp;IF(AND(OR('START HERE'!$C$8="Initial Enrollment",'START HERE'!$C$8="Open Enrollment"),$R457="Terminated"),"A terminated row is included in an initial or open enrollment file; confirm this is intentional; ",""))</f>
        <v/>
      </c>
      <c r="AE457">
        <f>IF(COUNTA($A457:$U457)=0,"",IF(OR($A457="",AND($A457&lt;&gt;"",NOT(IFERROR(AND(LEN($A457&amp;"")=9,ISNUMBER(--($A457&amp;""))),FALSE))),AND($A457&lt;&gt;"",OR($A457="123456789",$A457="987654321",$A457="012345678",$A457=REPT(LEFT($A457&amp;"",1),9)))),"Employee SSN, ","")&amp;IF(OR(AND($O457&lt;&gt;"",$B457=""),AND($B457&lt;&gt;"",OR(NOT(IFERROR(AND(LEN($B457&amp;"")=9,ISNUMBER(--($B457&amp;""))),FALSE)),$B457=$A457,$B457="123456789",$B457="987654321",$B457="012345678",$B457=REPT(LEFT($B457&amp;"",1),9)))),"Dependent SSN, ","")&amp;IF(OR($C457="",LEN($C457)&gt;19,AND($C457&lt;&gt;"",SUMPRODUCT(--(ROW($1:$19)&lt;=LEN($C457&amp;"")),--ISERROR(FIND(MID($C457&amp;"",ROW($1:$19),1),"ABCDEFGHIJKLMNOPQRSTUVWXYZabcdefghijklmnopqrstuvwxyz .,")))&gt;0)),"First Name, ","")&amp;IF(OR($D457="",LEN($D457)&gt;26,AND($D457&lt;&gt;"",SUMPRODUCT(--(ROW($1:$26)&lt;=LEN($D457&amp;"")),--ISERROR(FIND(MID($D457&amp;"",ROW($1:$26),1),"ABCDEFGHIJKLMNOPQRSTUVWXYZabcdefghijklmnopqrstuvwxyz .,")))&gt;0)),"Last Name, ","")&amp;IF(OR(LEN($E457)&gt;1,AND($E457&lt;&gt;"",SUMPRODUCT(--(ROW($1:$1)&lt;=LEN($E457&amp;"")),--ISERROR(FIND(MID($E457&amp;"",ROW($1:$1),1),"ABCDEFGHIJKLMNOPQRSTUVWXYZabcdefghijklmnopqrstuvwxyz .,")))&gt;0)),"Middle Initial, ","")&amp;IF(OR($F457="",LEN($F457)&gt;75),"Address, ","")&amp;IF(OR($H457="",LEN($H457)&gt;30),"City, ","")&amp;IF(AND($K457="US",OR($I457="",LEN($I457)&lt;&gt;2)),"State, ","")&amp;IF($J457="","ZIP, ","")&amp;IF(OR($K457="",AND($K457&lt;&gt;"US",$K457&lt;&gt;"CA")),"Country, ","")&amp;IF(OR($L457="",AND($L457&lt;&gt;"",OR(NOT(ISNUMBER($L457)),$L457&lt;=DATE(1900,1,1),$L457&gt;TODAY()))),"Birthdate, ","")&amp;IF(AND($N457&lt;&gt;"",NOT(IFERROR(AND(ISNUMBER(SEARCH("@",$N457)),ISNUMBER(SEARCH(".",$N457,SEARCH("@",$N457)+2))),FALSE))),"Email, ","")&amp;IF(OR(AND($B457&lt;&gt;"",$O457=""),AND($O457&lt;&gt;"",$O457&lt;&gt;"Spouse or Common Law Spouse",$O457&lt;&gt;"Domestic Partner",$O457&lt;&gt;"Child",$O457&lt;&gt;"Other",$O457&lt;&gt;"Estate",$O457&lt;&gt;"Unknown")),"Dependent Relationship, ","")&amp;IF($AA457&lt;&gt;"","Household, ","")&amp;IF(OR($P457="",AND($P457&lt;&gt;"",OR(NOT(ISNUMBER($P457)),$P457&lt;=DATE(1900,1,1)))),"Eligibility Date, ","")&amp;IF(OR(AND($R457="Terminated",$Q457=""),AND($Q457&lt;&gt;"",OR(NOT(ISNUMBER($Q457)),$Q457&lt;=DATE(1900,1,1))),AND(ISNUMBER($P457),ISNUMBER($Q457),$Q457&lt;$P457)),"Termination Date, ","")&amp;IF(OR($R457="",AND($R457&lt;&gt;"Active",$R457&lt;&gt;"Terminated"),AND('START HERE'!$C$8="Terminations Only",$R457&lt;&gt;"Terminated")),"Status, ","")&amp;IF($S457="","Plan Name, ","")&amp;IF($T457="","Coverage Level, ","")&amp;IF(AND($U457&lt;&gt;"",OR(NOT(ISNUMBER($U457)),$U457&lt;0)),"Funding, ","")&amp;IF(AND($A457&lt;&gt;"",$S457&lt;&gt;"",COUNTIFS($A$2:$A$501,$A457,$B$2:$B$501,$B457,$S$2:$S$501,$S457)&gt;1),"Duplicate Row, ",""))</f>
        <v/>
      </c>
      <c r="AF457">
        <f>IF(COUNTA($A457:$U457)=0,"",$Y457&amp;$Z457&amp;$AA457&amp;$AB457&amp;$AC457)</f>
        <v/>
      </c>
      <c r="AG457">
        <f>IF($N457="","",LOWER(TRIM($N457)))</f>
        <v/>
      </c>
      <c r="AH457">
        <f>IF($A457="","",COUNTIFS($A$2:$A$501,$A457,$AI$2:$AI$501,1))</f>
        <v/>
      </c>
      <c r="AI457">
        <f>IF(COUNTA($A457:$U457)=0,"",--($AF457&lt;&gt;""))</f>
        <v/>
      </c>
      <c r="AJ457">
        <f>IF(COUNTA($A457:$U457)=0,"",--($AD457&lt;&gt;""))</f>
        <v/>
      </c>
    </row>
    <row r="458" ht="20" customHeight="1">
      <c r="A458" s="80" t="n"/>
      <c r="B458" s="80" t="n"/>
      <c r="C458" s="81" t="n"/>
      <c r="D458" s="81" t="n"/>
      <c r="E458" s="80" t="n"/>
      <c r="F458" s="81" t="n"/>
      <c r="G458" s="81" t="n"/>
      <c r="H458" s="81" t="n"/>
      <c r="I458" s="80" t="n"/>
      <c r="J458" s="80" t="n"/>
      <c r="K458" s="80" t="n"/>
      <c r="L458" s="82" t="n"/>
      <c r="M458" s="80" t="n"/>
      <c r="N458" s="80" t="n"/>
      <c r="O458" s="80" t="n"/>
      <c r="P458" s="82" t="n"/>
      <c r="Q458" s="82" t="n"/>
      <c r="R458" s="80" t="n"/>
      <c r="S458" s="80" t="n"/>
      <c r="T458" s="80" t="n"/>
      <c r="U458" s="83" t="n"/>
      <c r="V458">
        <f>IF($A458="","",IF($A458=$A457,$V457,IF($V457="",0,1-$V457)))</f>
        <v/>
      </c>
      <c r="W458">
        <f>IF($B458&lt;&gt;"",$B458,$A458)</f>
        <v/>
      </c>
      <c r="X458">
        <f>IF(COUNTA($A458:$U458)=0,"",IF(OR($B458&lt;&gt;"",$O458&lt;&gt;""),"Dependent","Employee"))</f>
        <v/>
      </c>
      <c r="Y458">
        <f>IF(COUNTA($A458:$U458)=0,"",IF($A458="","Employee SSN is required; ","")&amp;IF($C458="","First Name is required; ","")&amp;IF(LEN($C458&amp;"")&gt;19,"First Name exceeds 19 characters; ","")&amp;IF(AND($C458&lt;&gt;"",SUMPRODUCT(--(ROW($1:$19)&lt;=LEN($C458&amp;"")),--ISERROR(FIND(MID($C458&amp;"",ROW($1:$19),1),"ABCDEFGHIJKLMNOPQRSTUVWXYZabcdefghijklmnopqrstuvwxyz .,")))&gt;0),"First Name contains unsupported or encoded characters; use plain A-Z letters only; ","")&amp;IF($D458="","Last Name is required; ","")&amp;IF(LEN($D458&amp;"")&gt;26,"Last Name exceeds 26 characters; ","")&amp;IF(AND($D458&lt;&gt;"",SUMPRODUCT(--(ROW($1:$26)&lt;=LEN($D458&amp;"")),--ISERROR(FIND(MID($D458&amp;"",ROW($1:$26),1),"ABCDEFGHIJKLMNOPQRSTUVWXYZabcdefghijklmnopqrstuvwxyz .,")))&gt;0),"Last Name contains unsupported or encoded characters; use plain A-Z letters only; ","")&amp;IF(LEN($E458&amp;"")&gt;1,"Middle Initial may contain only one character; ","")&amp;IF(AND($E458&lt;&gt;"",SUMPRODUCT(--(ROW($1:$1)&lt;=LEN($E458&amp;"")),--ISERROR(FIND(MID($E458&amp;"",ROW($1:$1),1),"ABCDEFGHIJKLMNOPQRSTUVWXYZabcdefghijklmnopqrstuvwxyz .,")))&gt;0),"Middle Initial must be a plain A-Z letter; ","")&amp;IF($F458="","Address is required; ","")&amp;IF(LEN($F458&amp;"")&gt;75,"Address exceeds 75 characters; ","")&amp;IF(LEN($G458&amp;"")&gt;75,"Address 2 exceeds 75 characters; ","")&amp;IF($H458="","City is required; ","")&amp;IF(LEN($H458&amp;"")&gt;30,"City exceeds 30 characters; ","")&amp;IF($K458="","Country is required; ","")&amp;IF(AND($K458&lt;&gt;"",$K458&lt;&gt;"US",$K458&lt;&gt;"CA"),"Country must be US or CA; ","")&amp;IF(AND($K458="US",OR($I458="",LEN($I458&amp;"")&lt;&gt;2)),"Use a 2-letter state code; ","")&amp;IF($J458="","ZIP or postal code is required; ","")&amp;IF(AND($K458="US",$J458&lt;&gt;"",NOT(IFERROR(OR(AND(LEN($J458&amp;"")=5,ISNUMBER(--($J458&amp;""))),AND(LEN($J458&amp;"")=9,ISNUMBER(--($J458&amp;""))),AND(LEN($J458&amp;"")=10,MID($J458&amp;"",6,1)="-",ISNUMBER(--SUBSTITUTE($J458&amp;"","-","")))),FALSE))),"US ZIP must be 5 or 9 digits, with an optional ZIP+4 hyphen; ","")&amp;IF(AND($N458&lt;&gt;"",NOT(IFERROR(AND(ISNUMBER(SEARCH("@",$N458)),ISNUMBER(SEARCH(".",$N458,SEARCH("@",$N458)+2))),FALSE))),"Email format appears invalid; ","")&amp;IF(AND($O458&lt;&gt;"",$B458=""),"Dependent SSN is required for every dependent; ","")&amp;IF(AND($B458&lt;&gt;"",$O458=""),"Dependent Relationship is required when Dependent SSN is entered; ","")&amp;IF(AND($O458&lt;&gt;"",$O458&lt;&gt;"Spouse or Common Law Spouse",$O458&lt;&gt;"Domestic Partner",$O458&lt;&gt;"Child",$O458&lt;&gt;"Other",$O458&lt;&gt;"Estate",$O458&lt;&gt;"Unknown"),"Dependent Relationship must use one of the approved options; ",""))</f>
        <v/>
      </c>
      <c r="Z458">
        <f>IF(COUNTA($A458:$U458)=0,"",IF(AND($A458&lt;&gt;"",NOT(IFERROR(AND(LEN($A458&amp;"")=9,ISNUMBER(--($A458&amp;""))),FALSE))),"Employee SSN must contain exactly 9 digits; ","")&amp;IF(AND($A458&lt;&gt;"",OR($A458="123456789",$A458="987654321",$A458="012345678",$A458=REPT(LEFT($A458&amp;"",1),9))),"Employee SSN appears to be a placeholder; ","")&amp;IF(AND($B458&lt;&gt;"",NOT(IFERROR(AND(LEN($B458&amp;"")=9,ISNUMBER(--($B458&amp;""))),FALSE))),"Dependent SSN must contain exactly 9 digits; ","")&amp;IF(AND($B458&lt;&gt;"",OR($B458="123456789",$B458="987654321",$B458="012345678",$B458=REPT(LEFT($B458&amp;"",1),9))),"Dependent SSN appears to be a placeholder; ","")&amp;IF(AND($A458&lt;&gt;"",$B458&lt;&gt;"",$A458&amp;""=$B458&amp;""),"Dependent SSN cannot match Employee SSN; ","")&amp;IF(AND($W458&lt;&gt;"",OR(COUNTIFS($W$2:$W$501,$W458,$C$2:$C$501,"&lt;&gt;"&amp;$C458)&gt;0,COUNTIFS($W$2:$W$501,$W458,$D$2:$D$501,"&lt;&gt;"&amp;$D458)&gt;0,COUNTIFS($W$2:$W$501,$W458,$L$2:$L$501,"&lt;&gt;"&amp;$L458)&gt;0)),"The same SSN is associated with a different name or birthdate; ",""))</f>
        <v/>
      </c>
      <c r="AA458">
        <f>IF(COUNTA($A458:$U458)=0,"",IF(AND($A458&lt;&gt;"",$S458&lt;&gt;"",COUNTIFS($A$2:$A$501,$A458,$S$2:$S$501,$S458,$B$2:$B$501,"",$O$2:$O$501,"")=0),"Add an employee row for this household and plan; ","")&amp;IF(AND($X458="Dependent",COUNTIFS($A$2:$A458,$A458,$S$2:$S458,$S458,$B$2:$B458,"",$O$2:$O458,"")=0),"Place the employee row before dependent rows for this plan; ","")&amp;IF(AND($X458="Dependent",COUNTIFS($A$2:$A$501,$A458,$S$2:$S$501,$S458,$B$2:$B$501,"",$O$2:$O$501,"")&gt;0,IFERROR(OR($P458&lt;&gt;LOOKUP(2,1/(($A$2:$A$501=$A458)*($S$2:$S$501=$S458)*($B$2:$B$501="")*($O$2:$O$501="")),$P$2:$P$501),$Q458&lt;&gt;LOOKUP(2,1/(($A$2:$A$501=$A458)*($S$2:$S$501=$S458)*($B$2:$B$501="")*($O$2:$O$501="")),$Q$2:$Q$501),$R458&lt;&gt;LOOKUP(2,1/(($A$2:$A$501=$A458)*($S$2:$S$501=$S458)*($B$2:$B$501="")*($O$2:$O$501="")),$R$2:$R$501),$T458&lt;&gt;LOOKUP(2,1/(($A$2:$A$501=$A458)*($S$2:$S$501=$S458)*($B$2:$B$501="")*($O$2:$O$501="")),$T$2:$T$501),$U458&lt;&gt;LOOKUP(2,1/(($A$2:$A$501=$A458)*($S$2:$S$501=$S458)*($B$2:$B$501="")*($O$2:$O$501="")),$U$2:$U$501)),FALSE)),"Dependent row does not match the employee row for eligibility, status, coverage level, or funding; ",""))</f>
        <v/>
      </c>
      <c r="AB458">
        <f>IF(COUNTA($A458:$U458)=0,"",IF($L458="","Birthdate is required; ","")&amp;IF(AND($L458&lt;&gt;"",OR(NOT(ISNUMBER($L458)),$L458&lt;=DATE(1900,1,1),$L458&gt;TODAY())),"Birthdate must be an exact valid past date; ","")&amp;IF($P458="","Eligibility Date is required; ","")&amp;IF(AND($P458&lt;&gt;"",OR(NOT(ISNUMBER($P458)),$P458&lt;=DATE(1900,1,1))),"Eligibility Date must be a valid date; ","")&amp;IF(AND($R458="Terminated",$Q458=""),"Termination Date is required when Status is Terminated; ","")&amp;IF(AND($Q458&lt;&gt;"",OR(NOT(ISNUMBER($Q458)),$Q458&lt;=DATE(1900,1,1))),"Termination Date must be a valid date; ","")&amp;IF(AND(ISNUMBER($P458),ISNUMBER($Q458),$Q458&lt;$P458),"Termination Date cannot be before Eligibility Date; ","")&amp;IF($R458="","Status is required; ","")&amp;IF(AND($R458&lt;&gt;"",$R458&lt;&gt;"Active",$R458&lt;&gt;"Terminated"),"Status must be Active or Terminated; ","")&amp;IF(AND('START HERE'!$C$8="Terminations Only",$R458&lt;&gt;"Terminated"),"Terminations Only files must contain terminated records; ",""))</f>
        <v/>
      </c>
      <c r="AC458">
        <f>IF(COUNTA($A458:$U458)=0,"",IF($S458="","Plan Name is required; ","")&amp;IF($T458="","Benefit Coverage Level is required; ","")&amp;IF(AND($U458&lt;&gt;"",OR(NOT(ISNUMBER($U458)),$U458&lt;0)),"Plan Funding Amount must be a nonnegative number; ","")&amp;IF(AND($A458&lt;&gt;"",$S458&lt;&gt;"",COUNTIFS($A$2:$A$501,$A458,$B$2:$B$501,$B458,$S$2:$S$501,$S458)&gt;1),"Duplicate participant and plan row; ",""))</f>
        <v/>
      </c>
      <c r="AD458">
        <f>IF(COUNTA($A458:$U458)=0,"",IF(AND($X458="Employee",$M458="",$N458=""),"No employee phone or email provided; ","")&amp;IF(AND($R458="Active",$Q458&lt;&gt;""),"Active record includes a Termination Date; confirm this is intentional; ","")&amp;IF(AND($B458&lt;&gt;"",$B458&amp;""&lt;&gt;$A458&amp;"",COUNTIF($A$2:$A$501,$B458)&gt;0),"Dependent SSN also appears as an Employee SSN elsewhere; confirm dual-employee coverage is intentional; ","")&amp;IF(AND($B458&lt;&gt;"",COUNTIF($B$2:$B$501,$B458)&gt;COUNTIFS($A$2:$A$501,$A458,$B$2:$B$501,$B458)),"Dependent SSN appears under more than one employee; confirm duplicate family coverage is intentional; ","")&amp;IF(AND(ROW()&gt;2,$A458&lt;&gt;"",$A458&lt;&gt;$A457,COUNTIF($A$2:$A457,$A458)&gt;0),"This household appears in more than one section of the census; keep the family together; ","")&amp;IF(OR(AND($C458&lt;&gt;"",LEN($C458&amp;"")&lt;&gt;LEN(TRIM($C458&amp;""))),AND($D458&lt;&gt;"",LEN($D458&amp;"")&lt;&gt;LEN(TRIM($D458&amp;""))),AND($E458&lt;&gt;"",LEN($E458&amp;"")&lt;&gt;LEN(TRIM($E458&amp;""))),AND($F458&lt;&gt;"",LEN($F458&amp;"")&lt;&gt;LEN(TRIM($F458&amp;""))),AND($G458&lt;&gt;"",LEN($G458&amp;"")&lt;&gt;LEN(TRIM($G458&amp;""))),AND($H458&lt;&gt;"",LEN($H458&amp;"")&lt;&gt;LEN(TRIM($H458&amp;""))),AND($I458&lt;&gt;"",LEN($I458&amp;"")&lt;&gt;LEN(TRIM($I458&amp;""))),AND($J458&lt;&gt;"",LEN($J458&amp;"")&lt;&gt;LEN(TRIM($J458&amp;""))),AND($K458&lt;&gt;"",LEN($K458&amp;"")&lt;&gt;LEN(TRIM($K458&amp;""))),AND($M458&lt;&gt;"",LEN($M458&amp;"")&lt;&gt;LEN(TRIM($M458&amp;""))),AND($N458&lt;&gt;"",LEN($N458&amp;"")&lt;&gt;LEN(TRIM($N458&amp;""))),AND($O458&lt;&gt;"",LEN($O458&amp;"")&lt;&gt;LEN(TRIM($O458&amp;""))),AND($R458&lt;&gt;"",LEN($R458&amp;"")&lt;&gt;LEN(TRIM($R458&amp;""))),AND($S458&lt;&gt;"",LEN($S458&amp;"")&lt;&gt;LEN(TRIM($S458&amp;""))),AND($T458&lt;&gt;"",LEN($T458&amp;"")&lt;&gt;LEN(TRIM($T458&amp;"")))),"Remove leading or trailing spaces from text fields; ","")&amp;IF(OR(AND(LEN($C458)&gt;1,OR(EXACT($C458,UPPER($C458)),EXACT($C458,LOWER($C458)))),AND(LEN($D458)&gt;1,OR(EXACT($D458,UPPER($D458)),EXACT($D458,LOWER($D458)))),AND(LEN($H458)&gt;1,OR(EXACT($H458,UPPER($H458)),EXACT($H458,LOWER($H458))))),"Review capitalization in First Name, Last Name, or City; ","")&amp;IF(AND($N458&lt;&gt;"",NOT(EXACT($N458,LOWER($N458)))),"Email will be standardized to lowercase in the clean output; ","")&amp;IF(AND(OR('START HERE'!$C$8="Initial Enrollment",'START HERE'!$C$8="Open Enrollment"),$R458="Terminated"),"A terminated row is included in an initial or open enrollment file; confirm this is intentional; ",""))</f>
        <v/>
      </c>
      <c r="AE458">
        <f>IF(COUNTA($A458:$U458)=0,"",IF(OR($A458="",AND($A458&lt;&gt;"",NOT(IFERROR(AND(LEN($A458&amp;"")=9,ISNUMBER(--($A458&amp;""))),FALSE))),AND($A458&lt;&gt;"",OR($A458="123456789",$A458="987654321",$A458="012345678",$A458=REPT(LEFT($A458&amp;"",1),9)))),"Employee SSN, ","")&amp;IF(OR(AND($O458&lt;&gt;"",$B458=""),AND($B458&lt;&gt;"",OR(NOT(IFERROR(AND(LEN($B458&amp;"")=9,ISNUMBER(--($B458&amp;""))),FALSE)),$B458=$A458,$B458="123456789",$B458="987654321",$B458="012345678",$B458=REPT(LEFT($B458&amp;"",1),9)))),"Dependent SSN, ","")&amp;IF(OR($C458="",LEN($C458)&gt;19,AND($C458&lt;&gt;"",SUMPRODUCT(--(ROW($1:$19)&lt;=LEN($C458&amp;"")),--ISERROR(FIND(MID($C458&amp;"",ROW($1:$19),1),"ABCDEFGHIJKLMNOPQRSTUVWXYZabcdefghijklmnopqrstuvwxyz .,")))&gt;0)),"First Name, ","")&amp;IF(OR($D458="",LEN($D458)&gt;26,AND($D458&lt;&gt;"",SUMPRODUCT(--(ROW($1:$26)&lt;=LEN($D458&amp;"")),--ISERROR(FIND(MID($D458&amp;"",ROW($1:$26),1),"ABCDEFGHIJKLMNOPQRSTUVWXYZabcdefghijklmnopqrstuvwxyz .,")))&gt;0)),"Last Name, ","")&amp;IF(OR(LEN($E458)&gt;1,AND($E458&lt;&gt;"",SUMPRODUCT(--(ROW($1:$1)&lt;=LEN($E458&amp;"")),--ISERROR(FIND(MID($E458&amp;"",ROW($1:$1),1),"ABCDEFGHIJKLMNOPQRSTUVWXYZabcdefghijklmnopqrstuvwxyz .,")))&gt;0)),"Middle Initial, ","")&amp;IF(OR($F458="",LEN($F458)&gt;75),"Address, ","")&amp;IF(OR($H458="",LEN($H458)&gt;30),"City, ","")&amp;IF(AND($K458="US",OR($I458="",LEN($I458)&lt;&gt;2)),"State, ","")&amp;IF($J458="","ZIP, ","")&amp;IF(OR($K458="",AND($K458&lt;&gt;"US",$K458&lt;&gt;"CA")),"Country, ","")&amp;IF(OR($L458="",AND($L458&lt;&gt;"",OR(NOT(ISNUMBER($L458)),$L458&lt;=DATE(1900,1,1),$L458&gt;TODAY()))),"Birthdate, ","")&amp;IF(AND($N458&lt;&gt;"",NOT(IFERROR(AND(ISNUMBER(SEARCH("@",$N458)),ISNUMBER(SEARCH(".",$N458,SEARCH("@",$N458)+2))),FALSE))),"Email, ","")&amp;IF(OR(AND($B458&lt;&gt;"",$O458=""),AND($O458&lt;&gt;"",$O458&lt;&gt;"Spouse or Common Law Spouse",$O458&lt;&gt;"Domestic Partner",$O458&lt;&gt;"Child",$O458&lt;&gt;"Other",$O458&lt;&gt;"Estate",$O458&lt;&gt;"Unknown")),"Dependent Relationship, ","")&amp;IF($AA458&lt;&gt;"","Household, ","")&amp;IF(OR($P458="",AND($P458&lt;&gt;"",OR(NOT(ISNUMBER($P458)),$P458&lt;=DATE(1900,1,1)))),"Eligibility Date, ","")&amp;IF(OR(AND($R458="Terminated",$Q458=""),AND($Q458&lt;&gt;"",OR(NOT(ISNUMBER($Q458)),$Q458&lt;=DATE(1900,1,1))),AND(ISNUMBER($P458),ISNUMBER($Q458),$Q458&lt;$P458)),"Termination Date, ","")&amp;IF(OR($R458="",AND($R458&lt;&gt;"Active",$R458&lt;&gt;"Terminated"),AND('START HERE'!$C$8="Terminations Only",$R458&lt;&gt;"Terminated")),"Status, ","")&amp;IF($S458="","Plan Name, ","")&amp;IF($T458="","Coverage Level, ","")&amp;IF(AND($U458&lt;&gt;"",OR(NOT(ISNUMBER($U458)),$U458&lt;0)),"Funding, ","")&amp;IF(AND($A458&lt;&gt;"",$S458&lt;&gt;"",COUNTIFS($A$2:$A$501,$A458,$B$2:$B$501,$B458,$S$2:$S$501,$S458)&gt;1),"Duplicate Row, ",""))</f>
        <v/>
      </c>
      <c r="AF458">
        <f>IF(COUNTA($A458:$U458)=0,"",$Y458&amp;$Z458&amp;$AA458&amp;$AB458&amp;$AC458)</f>
        <v/>
      </c>
      <c r="AG458">
        <f>IF($N458="","",LOWER(TRIM($N458)))</f>
        <v/>
      </c>
      <c r="AH458">
        <f>IF($A458="","",COUNTIFS($A$2:$A$501,$A458,$AI$2:$AI$501,1))</f>
        <v/>
      </c>
      <c r="AI458">
        <f>IF(COUNTA($A458:$U458)=0,"",--($AF458&lt;&gt;""))</f>
        <v/>
      </c>
      <c r="AJ458">
        <f>IF(COUNTA($A458:$U458)=0,"",--($AD458&lt;&gt;""))</f>
        <v/>
      </c>
    </row>
    <row r="459" ht="20" customHeight="1">
      <c r="A459" s="80" t="n"/>
      <c r="B459" s="80" t="n"/>
      <c r="C459" s="81" t="n"/>
      <c r="D459" s="81" t="n"/>
      <c r="E459" s="80" t="n"/>
      <c r="F459" s="81" t="n"/>
      <c r="G459" s="81" t="n"/>
      <c r="H459" s="81" t="n"/>
      <c r="I459" s="80" t="n"/>
      <c r="J459" s="80" t="n"/>
      <c r="K459" s="80" t="n"/>
      <c r="L459" s="82" t="n"/>
      <c r="M459" s="80" t="n"/>
      <c r="N459" s="80" t="n"/>
      <c r="O459" s="80" t="n"/>
      <c r="P459" s="82" t="n"/>
      <c r="Q459" s="82" t="n"/>
      <c r="R459" s="80" t="n"/>
      <c r="S459" s="80" t="n"/>
      <c r="T459" s="80" t="n"/>
      <c r="U459" s="83" t="n"/>
      <c r="V459">
        <f>IF($A459="","",IF($A459=$A458,$V458,IF($V458="",0,1-$V458)))</f>
        <v/>
      </c>
      <c r="W459">
        <f>IF($B459&lt;&gt;"",$B459,$A459)</f>
        <v/>
      </c>
      <c r="X459">
        <f>IF(COUNTA($A459:$U459)=0,"",IF(OR($B459&lt;&gt;"",$O459&lt;&gt;""),"Dependent","Employee"))</f>
        <v/>
      </c>
      <c r="Y459">
        <f>IF(COUNTA($A459:$U459)=0,"",IF($A459="","Employee SSN is required; ","")&amp;IF($C459="","First Name is required; ","")&amp;IF(LEN($C459&amp;"")&gt;19,"First Name exceeds 19 characters; ","")&amp;IF(AND($C459&lt;&gt;"",SUMPRODUCT(--(ROW($1:$19)&lt;=LEN($C459&amp;"")),--ISERROR(FIND(MID($C459&amp;"",ROW($1:$19),1),"ABCDEFGHIJKLMNOPQRSTUVWXYZabcdefghijklmnopqrstuvwxyz .,")))&gt;0),"First Name contains unsupported or encoded characters; use plain A-Z letters only; ","")&amp;IF($D459="","Last Name is required; ","")&amp;IF(LEN($D459&amp;"")&gt;26,"Last Name exceeds 26 characters; ","")&amp;IF(AND($D459&lt;&gt;"",SUMPRODUCT(--(ROW($1:$26)&lt;=LEN($D459&amp;"")),--ISERROR(FIND(MID($D459&amp;"",ROW($1:$26),1),"ABCDEFGHIJKLMNOPQRSTUVWXYZabcdefghijklmnopqrstuvwxyz .,")))&gt;0),"Last Name contains unsupported or encoded characters; use plain A-Z letters only; ","")&amp;IF(LEN($E459&amp;"")&gt;1,"Middle Initial may contain only one character; ","")&amp;IF(AND($E459&lt;&gt;"",SUMPRODUCT(--(ROW($1:$1)&lt;=LEN($E459&amp;"")),--ISERROR(FIND(MID($E459&amp;"",ROW($1:$1),1),"ABCDEFGHIJKLMNOPQRSTUVWXYZabcdefghijklmnopqrstuvwxyz .,")))&gt;0),"Middle Initial must be a plain A-Z letter; ","")&amp;IF($F459="","Address is required; ","")&amp;IF(LEN($F459&amp;"")&gt;75,"Address exceeds 75 characters; ","")&amp;IF(LEN($G459&amp;"")&gt;75,"Address 2 exceeds 75 characters; ","")&amp;IF($H459="","City is required; ","")&amp;IF(LEN($H459&amp;"")&gt;30,"City exceeds 30 characters; ","")&amp;IF($K459="","Country is required; ","")&amp;IF(AND($K459&lt;&gt;"",$K459&lt;&gt;"US",$K459&lt;&gt;"CA"),"Country must be US or CA; ","")&amp;IF(AND($K459="US",OR($I459="",LEN($I459&amp;"")&lt;&gt;2)),"Use a 2-letter state code; ","")&amp;IF($J459="","ZIP or postal code is required; ","")&amp;IF(AND($K459="US",$J459&lt;&gt;"",NOT(IFERROR(OR(AND(LEN($J459&amp;"")=5,ISNUMBER(--($J459&amp;""))),AND(LEN($J459&amp;"")=9,ISNUMBER(--($J459&amp;""))),AND(LEN($J459&amp;"")=10,MID($J459&amp;"",6,1)="-",ISNUMBER(--SUBSTITUTE($J459&amp;"","-","")))),FALSE))),"US ZIP must be 5 or 9 digits, with an optional ZIP+4 hyphen; ","")&amp;IF(AND($N459&lt;&gt;"",NOT(IFERROR(AND(ISNUMBER(SEARCH("@",$N459)),ISNUMBER(SEARCH(".",$N459,SEARCH("@",$N459)+2))),FALSE))),"Email format appears invalid; ","")&amp;IF(AND($O459&lt;&gt;"",$B459=""),"Dependent SSN is required for every dependent; ","")&amp;IF(AND($B459&lt;&gt;"",$O459=""),"Dependent Relationship is required when Dependent SSN is entered; ","")&amp;IF(AND($O459&lt;&gt;"",$O459&lt;&gt;"Spouse or Common Law Spouse",$O459&lt;&gt;"Domestic Partner",$O459&lt;&gt;"Child",$O459&lt;&gt;"Other",$O459&lt;&gt;"Estate",$O459&lt;&gt;"Unknown"),"Dependent Relationship must use one of the approved options; ",""))</f>
        <v/>
      </c>
      <c r="Z459">
        <f>IF(COUNTA($A459:$U459)=0,"",IF(AND($A459&lt;&gt;"",NOT(IFERROR(AND(LEN($A459&amp;"")=9,ISNUMBER(--($A459&amp;""))),FALSE))),"Employee SSN must contain exactly 9 digits; ","")&amp;IF(AND($A459&lt;&gt;"",OR($A459="123456789",$A459="987654321",$A459="012345678",$A459=REPT(LEFT($A459&amp;"",1),9))),"Employee SSN appears to be a placeholder; ","")&amp;IF(AND($B459&lt;&gt;"",NOT(IFERROR(AND(LEN($B459&amp;"")=9,ISNUMBER(--($B459&amp;""))),FALSE))),"Dependent SSN must contain exactly 9 digits; ","")&amp;IF(AND($B459&lt;&gt;"",OR($B459="123456789",$B459="987654321",$B459="012345678",$B459=REPT(LEFT($B459&amp;"",1),9))),"Dependent SSN appears to be a placeholder; ","")&amp;IF(AND($A459&lt;&gt;"",$B459&lt;&gt;"",$A459&amp;""=$B459&amp;""),"Dependent SSN cannot match Employee SSN; ","")&amp;IF(AND($W459&lt;&gt;"",OR(COUNTIFS($W$2:$W$501,$W459,$C$2:$C$501,"&lt;&gt;"&amp;$C459)&gt;0,COUNTIFS($W$2:$W$501,$W459,$D$2:$D$501,"&lt;&gt;"&amp;$D459)&gt;0,COUNTIFS($W$2:$W$501,$W459,$L$2:$L$501,"&lt;&gt;"&amp;$L459)&gt;0)),"The same SSN is associated with a different name or birthdate; ",""))</f>
        <v/>
      </c>
      <c r="AA459">
        <f>IF(COUNTA($A459:$U459)=0,"",IF(AND($A459&lt;&gt;"",$S459&lt;&gt;"",COUNTIFS($A$2:$A$501,$A459,$S$2:$S$501,$S459,$B$2:$B$501,"",$O$2:$O$501,"")=0),"Add an employee row for this household and plan; ","")&amp;IF(AND($X459="Dependent",COUNTIFS($A$2:$A459,$A459,$S$2:$S459,$S459,$B$2:$B459,"",$O$2:$O459,"")=0),"Place the employee row before dependent rows for this plan; ","")&amp;IF(AND($X459="Dependent",COUNTIFS($A$2:$A$501,$A459,$S$2:$S$501,$S459,$B$2:$B$501,"",$O$2:$O$501,"")&gt;0,IFERROR(OR($P459&lt;&gt;LOOKUP(2,1/(($A$2:$A$501=$A459)*($S$2:$S$501=$S459)*($B$2:$B$501="")*($O$2:$O$501="")),$P$2:$P$501),$Q459&lt;&gt;LOOKUP(2,1/(($A$2:$A$501=$A459)*($S$2:$S$501=$S459)*($B$2:$B$501="")*($O$2:$O$501="")),$Q$2:$Q$501),$R459&lt;&gt;LOOKUP(2,1/(($A$2:$A$501=$A459)*($S$2:$S$501=$S459)*($B$2:$B$501="")*($O$2:$O$501="")),$R$2:$R$501),$T459&lt;&gt;LOOKUP(2,1/(($A$2:$A$501=$A459)*($S$2:$S$501=$S459)*($B$2:$B$501="")*($O$2:$O$501="")),$T$2:$T$501),$U459&lt;&gt;LOOKUP(2,1/(($A$2:$A$501=$A459)*($S$2:$S$501=$S459)*($B$2:$B$501="")*($O$2:$O$501="")),$U$2:$U$501)),FALSE)),"Dependent row does not match the employee row for eligibility, status, coverage level, or funding; ",""))</f>
        <v/>
      </c>
      <c r="AB459">
        <f>IF(COUNTA($A459:$U459)=0,"",IF($L459="","Birthdate is required; ","")&amp;IF(AND($L459&lt;&gt;"",OR(NOT(ISNUMBER($L459)),$L459&lt;=DATE(1900,1,1),$L459&gt;TODAY())),"Birthdate must be an exact valid past date; ","")&amp;IF($P459="","Eligibility Date is required; ","")&amp;IF(AND($P459&lt;&gt;"",OR(NOT(ISNUMBER($P459)),$P459&lt;=DATE(1900,1,1))),"Eligibility Date must be a valid date; ","")&amp;IF(AND($R459="Terminated",$Q459=""),"Termination Date is required when Status is Terminated; ","")&amp;IF(AND($Q459&lt;&gt;"",OR(NOT(ISNUMBER($Q459)),$Q459&lt;=DATE(1900,1,1))),"Termination Date must be a valid date; ","")&amp;IF(AND(ISNUMBER($P459),ISNUMBER($Q459),$Q459&lt;$P459),"Termination Date cannot be before Eligibility Date; ","")&amp;IF($R459="","Status is required; ","")&amp;IF(AND($R459&lt;&gt;"",$R459&lt;&gt;"Active",$R459&lt;&gt;"Terminated"),"Status must be Active or Terminated; ","")&amp;IF(AND('START HERE'!$C$8="Terminations Only",$R459&lt;&gt;"Terminated"),"Terminations Only files must contain terminated records; ",""))</f>
        <v/>
      </c>
      <c r="AC459">
        <f>IF(COUNTA($A459:$U459)=0,"",IF($S459="","Plan Name is required; ","")&amp;IF($T459="","Benefit Coverage Level is required; ","")&amp;IF(AND($U459&lt;&gt;"",OR(NOT(ISNUMBER($U459)),$U459&lt;0)),"Plan Funding Amount must be a nonnegative number; ","")&amp;IF(AND($A459&lt;&gt;"",$S459&lt;&gt;"",COUNTIFS($A$2:$A$501,$A459,$B$2:$B$501,$B459,$S$2:$S$501,$S459)&gt;1),"Duplicate participant and plan row; ",""))</f>
        <v/>
      </c>
      <c r="AD459">
        <f>IF(COUNTA($A459:$U459)=0,"",IF(AND($X459="Employee",$M459="",$N459=""),"No employee phone or email provided; ","")&amp;IF(AND($R459="Active",$Q459&lt;&gt;""),"Active record includes a Termination Date; confirm this is intentional; ","")&amp;IF(AND($B459&lt;&gt;"",$B459&amp;""&lt;&gt;$A459&amp;"",COUNTIF($A$2:$A$501,$B459)&gt;0),"Dependent SSN also appears as an Employee SSN elsewhere; confirm dual-employee coverage is intentional; ","")&amp;IF(AND($B459&lt;&gt;"",COUNTIF($B$2:$B$501,$B459)&gt;COUNTIFS($A$2:$A$501,$A459,$B$2:$B$501,$B459)),"Dependent SSN appears under more than one employee; confirm duplicate family coverage is intentional; ","")&amp;IF(AND(ROW()&gt;2,$A459&lt;&gt;"",$A459&lt;&gt;$A458,COUNTIF($A$2:$A458,$A459)&gt;0),"This household appears in more than one section of the census; keep the family together; ","")&amp;IF(OR(AND($C459&lt;&gt;"",LEN($C459&amp;"")&lt;&gt;LEN(TRIM($C459&amp;""))),AND($D459&lt;&gt;"",LEN($D459&amp;"")&lt;&gt;LEN(TRIM($D459&amp;""))),AND($E459&lt;&gt;"",LEN($E459&amp;"")&lt;&gt;LEN(TRIM($E459&amp;""))),AND($F459&lt;&gt;"",LEN($F459&amp;"")&lt;&gt;LEN(TRIM($F459&amp;""))),AND($G459&lt;&gt;"",LEN($G459&amp;"")&lt;&gt;LEN(TRIM($G459&amp;""))),AND($H459&lt;&gt;"",LEN($H459&amp;"")&lt;&gt;LEN(TRIM($H459&amp;""))),AND($I459&lt;&gt;"",LEN($I459&amp;"")&lt;&gt;LEN(TRIM($I459&amp;""))),AND($J459&lt;&gt;"",LEN($J459&amp;"")&lt;&gt;LEN(TRIM($J459&amp;""))),AND($K459&lt;&gt;"",LEN($K459&amp;"")&lt;&gt;LEN(TRIM($K459&amp;""))),AND($M459&lt;&gt;"",LEN($M459&amp;"")&lt;&gt;LEN(TRIM($M459&amp;""))),AND($N459&lt;&gt;"",LEN($N459&amp;"")&lt;&gt;LEN(TRIM($N459&amp;""))),AND($O459&lt;&gt;"",LEN($O459&amp;"")&lt;&gt;LEN(TRIM($O459&amp;""))),AND($R459&lt;&gt;"",LEN($R459&amp;"")&lt;&gt;LEN(TRIM($R459&amp;""))),AND($S459&lt;&gt;"",LEN($S459&amp;"")&lt;&gt;LEN(TRIM($S459&amp;""))),AND($T459&lt;&gt;"",LEN($T459&amp;"")&lt;&gt;LEN(TRIM($T459&amp;"")))),"Remove leading or trailing spaces from text fields; ","")&amp;IF(OR(AND(LEN($C459)&gt;1,OR(EXACT($C459,UPPER($C459)),EXACT($C459,LOWER($C459)))),AND(LEN($D459)&gt;1,OR(EXACT($D459,UPPER($D459)),EXACT($D459,LOWER($D459)))),AND(LEN($H459)&gt;1,OR(EXACT($H459,UPPER($H459)),EXACT($H459,LOWER($H459))))),"Review capitalization in First Name, Last Name, or City; ","")&amp;IF(AND($N459&lt;&gt;"",NOT(EXACT($N459,LOWER($N459)))),"Email will be standardized to lowercase in the clean output; ","")&amp;IF(AND(OR('START HERE'!$C$8="Initial Enrollment",'START HERE'!$C$8="Open Enrollment"),$R459="Terminated"),"A terminated row is included in an initial or open enrollment file; confirm this is intentional; ",""))</f>
        <v/>
      </c>
      <c r="AE459">
        <f>IF(COUNTA($A459:$U459)=0,"",IF(OR($A459="",AND($A459&lt;&gt;"",NOT(IFERROR(AND(LEN($A459&amp;"")=9,ISNUMBER(--($A459&amp;""))),FALSE))),AND($A459&lt;&gt;"",OR($A459="123456789",$A459="987654321",$A459="012345678",$A459=REPT(LEFT($A459&amp;"",1),9)))),"Employee SSN, ","")&amp;IF(OR(AND($O459&lt;&gt;"",$B459=""),AND($B459&lt;&gt;"",OR(NOT(IFERROR(AND(LEN($B459&amp;"")=9,ISNUMBER(--($B459&amp;""))),FALSE)),$B459=$A459,$B459="123456789",$B459="987654321",$B459="012345678",$B459=REPT(LEFT($B459&amp;"",1),9)))),"Dependent SSN, ","")&amp;IF(OR($C459="",LEN($C459)&gt;19,AND($C459&lt;&gt;"",SUMPRODUCT(--(ROW($1:$19)&lt;=LEN($C459&amp;"")),--ISERROR(FIND(MID($C459&amp;"",ROW($1:$19),1),"ABCDEFGHIJKLMNOPQRSTUVWXYZabcdefghijklmnopqrstuvwxyz .,")))&gt;0)),"First Name, ","")&amp;IF(OR($D459="",LEN($D459)&gt;26,AND($D459&lt;&gt;"",SUMPRODUCT(--(ROW($1:$26)&lt;=LEN($D459&amp;"")),--ISERROR(FIND(MID($D459&amp;"",ROW($1:$26),1),"ABCDEFGHIJKLMNOPQRSTUVWXYZabcdefghijklmnopqrstuvwxyz .,")))&gt;0)),"Last Name, ","")&amp;IF(OR(LEN($E459)&gt;1,AND($E459&lt;&gt;"",SUMPRODUCT(--(ROW($1:$1)&lt;=LEN($E459&amp;"")),--ISERROR(FIND(MID($E459&amp;"",ROW($1:$1),1),"ABCDEFGHIJKLMNOPQRSTUVWXYZabcdefghijklmnopqrstuvwxyz .,")))&gt;0)),"Middle Initial, ","")&amp;IF(OR($F459="",LEN($F459)&gt;75),"Address, ","")&amp;IF(OR($H459="",LEN($H459)&gt;30),"City, ","")&amp;IF(AND($K459="US",OR($I459="",LEN($I459)&lt;&gt;2)),"State, ","")&amp;IF($J459="","ZIP, ","")&amp;IF(OR($K459="",AND($K459&lt;&gt;"US",$K459&lt;&gt;"CA")),"Country, ","")&amp;IF(OR($L459="",AND($L459&lt;&gt;"",OR(NOT(ISNUMBER($L459)),$L459&lt;=DATE(1900,1,1),$L459&gt;TODAY()))),"Birthdate, ","")&amp;IF(AND($N459&lt;&gt;"",NOT(IFERROR(AND(ISNUMBER(SEARCH("@",$N459)),ISNUMBER(SEARCH(".",$N459,SEARCH("@",$N459)+2))),FALSE))),"Email, ","")&amp;IF(OR(AND($B459&lt;&gt;"",$O459=""),AND($O459&lt;&gt;"",$O459&lt;&gt;"Spouse or Common Law Spouse",$O459&lt;&gt;"Domestic Partner",$O459&lt;&gt;"Child",$O459&lt;&gt;"Other",$O459&lt;&gt;"Estate",$O459&lt;&gt;"Unknown")),"Dependent Relationship, ","")&amp;IF($AA459&lt;&gt;"","Household, ","")&amp;IF(OR($P459="",AND($P459&lt;&gt;"",OR(NOT(ISNUMBER($P459)),$P459&lt;=DATE(1900,1,1)))),"Eligibility Date, ","")&amp;IF(OR(AND($R459="Terminated",$Q459=""),AND($Q459&lt;&gt;"",OR(NOT(ISNUMBER($Q459)),$Q459&lt;=DATE(1900,1,1))),AND(ISNUMBER($P459),ISNUMBER($Q459),$Q459&lt;$P459)),"Termination Date, ","")&amp;IF(OR($R459="",AND($R459&lt;&gt;"Active",$R459&lt;&gt;"Terminated"),AND('START HERE'!$C$8="Terminations Only",$R459&lt;&gt;"Terminated")),"Status, ","")&amp;IF($S459="","Plan Name, ","")&amp;IF($T459="","Coverage Level, ","")&amp;IF(AND($U459&lt;&gt;"",OR(NOT(ISNUMBER($U459)),$U459&lt;0)),"Funding, ","")&amp;IF(AND($A459&lt;&gt;"",$S459&lt;&gt;"",COUNTIFS($A$2:$A$501,$A459,$B$2:$B$501,$B459,$S$2:$S$501,$S459)&gt;1),"Duplicate Row, ",""))</f>
        <v/>
      </c>
      <c r="AF459">
        <f>IF(COUNTA($A459:$U459)=0,"",$Y459&amp;$Z459&amp;$AA459&amp;$AB459&amp;$AC459)</f>
        <v/>
      </c>
      <c r="AG459">
        <f>IF($N459="","",LOWER(TRIM($N459)))</f>
        <v/>
      </c>
      <c r="AH459">
        <f>IF($A459="","",COUNTIFS($A$2:$A$501,$A459,$AI$2:$AI$501,1))</f>
        <v/>
      </c>
      <c r="AI459">
        <f>IF(COUNTA($A459:$U459)=0,"",--($AF459&lt;&gt;""))</f>
        <v/>
      </c>
      <c r="AJ459">
        <f>IF(COUNTA($A459:$U459)=0,"",--($AD459&lt;&gt;""))</f>
        <v/>
      </c>
    </row>
    <row r="460" ht="20" customHeight="1">
      <c r="A460" s="80" t="n"/>
      <c r="B460" s="80" t="n"/>
      <c r="C460" s="81" t="n"/>
      <c r="D460" s="81" t="n"/>
      <c r="E460" s="80" t="n"/>
      <c r="F460" s="81" t="n"/>
      <c r="G460" s="81" t="n"/>
      <c r="H460" s="81" t="n"/>
      <c r="I460" s="80" t="n"/>
      <c r="J460" s="80" t="n"/>
      <c r="K460" s="80" t="n"/>
      <c r="L460" s="82" t="n"/>
      <c r="M460" s="80" t="n"/>
      <c r="N460" s="80" t="n"/>
      <c r="O460" s="80" t="n"/>
      <c r="P460" s="82" t="n"/>
      <c r="Q460" s="82" t="n"/>
      <c r="R460" s="80" t="n"/>
      <c r="S460" s="80" t="n"/>
      <c r="T460" s="80" t="n"/>
      <c r="U460" s="83" t="n"/>
      <c r="V460">
        <f>IF($A460="","",IF($A460=$A459,$V459,IF($V459="",0,1-$V459)))</f>
        <v/>
      </c>
      <c r="W460">
        <f>IF($B460&lt;&gt;"",$B460,$A460)</f>
        <v/>
      </c>
      <c r="X460">
        <f>IF(COUNTA($A460:$U460)=0,"",IF(OR($B460&lt;&gt;"",$O460&lt;&gt;""),"Dependent","Employee"))</f>
        <v/>
      </c>
      <c r="Y460">
        <f>IF(COUNTA($A460:$U460)=0,"",IF($A460="","Employee SSN is required; ","")&amp;IF($C460="","First Name is required; ","")&amp;IF(LEN($C460&amp;"")&gt;19,"First Name exceeds 19 characters; ","")&amp;IF(AND($C460&lt;&gt;"",SUMPRODUCT(--(ROW($1:$19)&lt;=LEN($C460&amp;"")),--ISERROR(FIND(MID($C460&amp;"",ROW($1:$19),1),"ABCDEFGHIJKLMNOPQRSTUVWXYZabcdefghijklmnopqrstuvwxyz .,")))&gt;0),"First Name contains unsupported or encoded characters; use plain A-Z letters only; ","")&amp;IF($D460="","Last Name is required; ","")&amp;IF(LEN($D460&amp;"")&gt;26,"Last Name exceeds 26 characters; ","")&amp;IF(AND($D460&lt;&gt;"",SUMPRODUCT(--(ROW($1:$26)&lt;=LEN($D460&amp;"")),--ISERROR(FIND(MID($D460&amp;"",ROW($1:$26),1),"ABCDEFGHIJKLMNOPQRSTUVWXYZabcdefghijklmnopqrstuvwxyz .,")))&gt;0),"Last Name contains unsupported or encoded characters; use plain A-Z letters only; ","")&amp;IF(LEN($E460&amp;"")&gt;1,"Middle Initial may contain only one character; ","")&amp;IF(AND($E460&lt;&gt;"",SUMPRODUCT(--(ROW($1:$1)&lt;=LEN($E460&amp;"")),--ISERROR(FIND(MID($E460&amp;"",ROW($1:$1),1),"ABCDEFGHIJKLMNOPQRSTUVWXYZabcdefghijklmnopqrstuvwxyz .,")))&gt;0),"Middle Initial must be a plain A-Z letter; ","")&amp;IF($F460="","Address is required; ","")&amp;IF(LEN($F460&amp;"")&gt;75,"Address exceeds 75 characters; ","")&amp;IF(LEN($G460&amp;"")&gt;75,"Address 2 exceeds 75 characters; ","")&amp;IF($H460="","City is required; ","")&amp;IF(LEN($H460&amp;"")&gt;30,"City exceeds 30 characters; ","")&amp;IF($K460="","Country is required; ","")&amp;IF(AND($K460&lt;&gt;"",$K460&lt;&gt;"US",$K460&lt;&gt;"CA"),"Country must be US or CA; ","")&amp;IF(AND($K460="US",OR($I460="",LEN($I460&amp;"")&lt;&gt;2)),"Use a 2-letter state code; ","")&amp;IF($J460="","ZIP or postal code is required; ","")&amp;IF(AND($K460="US",$J460&lt;&gt;"",NOT(IFERROR(OR(AND(LEN($J460&amp;"")=5,ISNUMBER(--($J460&amp;""))),AND(LEN($J460&amp;"")=9,ISNUMBER(--($J460&amp;""))),AND(LEN($J460&amp;"")=10,MID($J460&amp;"",6,1)="-",ISNUMBER(--SUBSTITUTE($J460&amp;"","-","")))),FALSE))),"US ZIP must be 5 or 9 digits, with an optional ZIP+4 hyphen; ","")&amp;IF(AND($N460&lt;&gt;"",NOT(IFERROR(AND(ISNUMBER(SEARCH("@",$N460)),ISNUMBER(SEARCH(".",$N460,SEARCH("@",$N460)+2))),FALSE))),"Email format appears invalid; ","")&amp;IF(AND($O460&lt;&gt;"",$B460=""),"Dependent SSN is required for every dependent; ","")&amp;IF(AND($B460&lt;&gt;"",$O460=""),"Dependent Relationship is required when Dependent SSN is entered; ","")&amp;IF(AND($O460&lt;&gt;"",$O460&lt;&gt;"Spouse or Common Law Spouse",$O460&lt;&gt;"Domestic Partner",$O460&lt;&gt;"Child",$O460&lt;&gt;"Other",$O460&lt;&gt;"Estate",$O460&lt;&gt;"Unknown"),"Dependent Relationship must use one of the approved options; ",""))</f>
        <v/>
      </c>
      <c r="Z460">
        <f>IF(COUNTA($A460:$U460)=0,"",IF(AND($A460&lt;&gt;"",NOT(IFERROR(AND(LEN($A460&amp;"")=9,ISNUMBER(--($A460&amp;""))),FALSE))),"Employee SSN must contain exactly 9 digits; ","")&amp;IF(AND($A460&lt;&gt;"",OR($A460="123456789",$A460="987654321",$A460="012345678",$A460=REPT(LEFT($A460&amp;"",1),9))),"Employee SSN appears to be a placeholder; ","")&amp;IF(AND($B460&lt;&gt;"",NOT(IFERROR(AND(LEN($B460&amp;"")=9,ISNUMBER(--($B460&amp;""))),FALSE))),"Dependent SSN must contain exactly 9 digits; ","")&amp;IF(AND($B460&lt;&gt;"",OR($B460="123456789",$B460="987654321",$B460="012345678",$B460=REPT(LEFT($B460&amp;"",1),9))),"Dependent SSN appears to be a placeholder; ","")&amp;IF(AND($A460&lt;&gt;"",$B460&lt;&gt;"",$A460&amp;""=$B460&amp;""),"Dependent SSN cannot match Employee SSN; ","")&amp;IF(AND($W460&lt;&gt;"",OR(COUNTIFS($W$2:$W$501,$W460,$C$2:$C$501,"&lt;&gt;"&amp;$C460)&gt;0,COUNTIFS($W$2:$W$501,$W460,$D$2:$D$501,"&lt;&gt;"&amp;$D460)&gt;0,COUNTIFS($W$2:$W$501,$W460,$L$2:$L$501,"&lt;&gt;"&amp;$L460)&gt;0)),"The same SSN is associated with a different name or birthdate; ",""))</f>
        <v/>
      </c>
      <c r="AA460">
        <f>IF(COUNTA($A460:$U460)=0,"",IF(AND($A460&lt;&gt;"",$S460&lt;&gt;"",COUNTIFS($A$2:$A$501,$A460,$S$2:$S$501,$S460,$B$2:$B$501,"",$O$2:$O$501,"")=0),"Add an employee row for this household and plan; ","")&amp;IF(AND($X460="Dependent",COUNTIFS($A$2:$A460,$A460,$S$2:$S460,$S460,$B$2:$B460,"",$O$2:$O460,"")=0),"Place the employee row before dependent rows for this plan; ","")&amp;IF(AND($X460="Dependent",COUNTIFS($A$2:$A$501,$A460,$S$2:$S$501,$S460,$B$2:$B$501,"",$O$2:$O$501,"")&gt;0,IFERROR(OR($P460&lt;&gt;LOOKUP(2,1/(($A$2:$A$501=$A460)*($S$2:$S$501=$S460)*($B$2:$B$501="")*($O$2:$O$501="")),$P$2:$P$501),$Q460&lt;&gt;LOOKUP(2,1/(($A$2:$A$501=$A460)*($S$2:$S$501=$S460)*($B$2:$B$501="")*($O$2:$O$501="")),$Q$2:$Q$501),$R460&lt;&gt;LOOKUP(2,1/(($A$2:$A$501=$A460)*($S$2:$S$501=$S460)*($B$2:$B$501="")*($O$2:$O$501="")),$R$2:$R$501),$T460&lt;&gt;LOOKUP(2,1/(($A$2:$A$501=$A460)*($S$2:$S$501=$S460)*($B$2:$B$501="")*($O$2:$O$501="")),$T$2:$T$501),$U460&lt;&gt;LOOKUP(2,1/(($A$2:$A$501=$A460)*($S$2:$S$501=$S460)*($B$2:$B$501="")*($O$2:$O$501="")),$U$2:$U$501)),FALSE)),"Dependent row does not match the employee row for eligibility, status, coverage level, or funding; ",""))</f>
        <v/>
      </c>
      <c r="AB460">
        <f>IF(COUNTA($A460:$U460)=0,"",IF($L460="","Birthdate is required; ","")&amp;IF(AND($L460&lt;&gt;"",OR(NOT(ISNUMBER($L460)),$L460&lt;=DATE(1900,1,1),$L460&gt;TODAY())),"Birthdate must be an exact valid past date; ","")&amp;IF($P460="","Eligibility Date is required; ","")&amp;IF(AND($P460&lt;&gt;"",OR(NOT(ISNUMBER($P460)),$P460&lt;=DATE(1900,1,1))),"Eligibility Date must be a valid date; ","")&amp;IF(AND($R460="Terminated",$Q460=""),"Termination Date is required when Status is Terminated; ","")&amp;IF(AND($Q460&lt;&gt;"",OR(NOT(ISNUMBER($Q460)),$Q460&lt;=DATE(1900,1,1))),"Termination Date must be a valid date; ","")&amp;IF(AND(ISNUMBER($P460),ISNUMBER($Q460),$Q460&lt;$P460),"Termination Date cannot be before Eligibility Date; ","")&amp;IF($R460="","Status is required; ","")&amp;IF(AND($R460&lt;&gt;"",$R460&lt;&gt;"Active",$R460&lt;&gt;"Terminated"),"Status must be Active or Terminated; ","")&amp;IF(AND('START HERE'!$C$8="Terminations Only",$R460&lt;&gt;"Terminated"),"Terminations Only files must contain terminated records; ",""))</f>
        <v/>
      </c>
      <c r="AC460">
        <f>IF(COUNTA($A460:$U460)=0,"",IF($S460="","Plan Name is required; ","")&amp;IF($T460="","Benefit Coverage Level is required; ","")&amp;IF(AND($U460&lt;&gt;"",OR(NOT(ISNUMBER($U460)),$U460&lt;0)),"Plan Funding Amount must be a nonnegative number; ","")&amp;IF(AND($A460&lt;&gt;"",$S460&lt;&gt;"",COUNTIFS($A$2:$A$501,$A460,$B$2:$B$501,$B460,$S$2:$S$501,$S460)&gt;1),"Duplicate participant and plan row; ",""))</f>
        <v/>
      </c>
      <c r="AD460">
        <f>IF(COUNTA($A460:$U460)=0,"",IF(AND($X460="Employee",$M460="",$N460=""),"No employee phone or email provided; ","")&amp;IF(AND($R460="Active",$Q460&lt;&gt;""),"Active record includes a Termination Date; confirm this is intentional; ","")&amp;IF(AND($B460&lt;&gt;"",$B460&amp;""&lt;&gt;$A460&amp;"",COUNTIF($A$2:$A$501,$B460)&gt;0),"Dependent SSN also appears as an Employee SSN elsewhere; confirm dual-employee coverage is intentional; ","")&amp;IF(AND($B460&lt;&gt;"",COUNTIF($B$2:$B$501,$B460)&gt;COUNTIFS($A$2:$A$501,$A460,$B$2:$B$501,$B460)),"Dependent SSN appears under more than one employee; confirm duplicate family coverage is intentional; ","")&amp;IF(AND(ROW()&gt;2,$A460&lt;&gt;"",$A460&lt;&gt;$A459,COUNTIF($A$2:$A459,$A460)&gt;0),"This household appears in more than one section of the census; keep the family together; ","")&amp;IF(OR(AND($C460&lt;&gt;"",LEN($C460&amp;"")&lt;&gt;LEN(TRIM($C460&amp;""))),AND($D460&lt;&gt;"",LEN($D460&amp;"")&lt;&gt;LEN(TRIM($D460&amp;""))),AND($E460&lt;&gt;"",LEN($E460&amp;"")&lt;&gt;LEN(TRIM($E460&amp;""))),AND($F460&lt;&gt;"",LEN($F460&amp;"")&lt;&gt;LEN(TRIM($F460&amp;""))),AND($G460&lt;&gt;"",LEN($G460&amp;"")&lt;&gt;LEN(TRIM($G460&amp;""))),AND($H460&lt;&gt;"",LEN($H460&amp;"")&lt;&gt;LEN(TRIM($H460&amp;""))),AND($I460&lt;&gt;"",LEN($I460&amp;"")&lt;&gt;LEN(TRIM($I460&amp;""))),AND($J460&lt;&gt;"",LEN($J460&amp;"")&lt;&gt;LEN(TRIM($J460&amp;""))),AND($K460&lt;&gt;"",LEN($K460&amp;"")&lt;&gt;LEN(TRIM($K460&amp;""))),AND($M460&lt;&gt;"",LEN($M460&amp;"")&lt;&gt;LEN(TRIM($M460&amp;""))),AND($N460&lt;&gt;"",LEN($N460&amp;"")&lt;&gt;LEN(TRIM($N460&amp;""))),AND($O460&lt;&gt;"",LEN($O460&amp;"")&lt;&gt;LEN(TRIM($O460&amp;""))),AND($R460&lt;&gt;"",LEN($R460&amp;"")&lt;&gt;LEN(TRIM($R460&amp;""))),AND($S460&lt;&gt;"",LEN($S460&amp;"")&lt;&gt;LEN(TRIM($S460&amp;""))),AND($T460&lt;&gt;"",LEN($T460&amp;"")&lt;&gt;LEN(TRIM($T460&amp;"")))),"Remove leading or trailing spaces from text fields; ","")&amp;IF(OR(AND(LEN($C460)&gt;1,OR(EXACT($C460,UPPER($C460)),EXACT($C460,LOWER($C460)))),AND(LEN($D460)&gt;1,OR(EXACT($D460,UPPER($D460)),EXACT($D460,LOWER($D460)))),AND(LEN($H460)&gt;1,OR(EXACT($H460,UPPER($H460)),EXACT($H460,LOWER($H460))))),"Review capitalization in First Name, Last Name, or City; ","")&amp;IF(AND($N460&lt;&gt;"",NOT(EXACT($N460,LOWER($N460)))),"Email will be standardized to lowercase in the clean output; ","")&amp;IF(AND(OR('START HERE'!$C$8="Initial Enrollment",'START HERE'!$C$8="Open Enrollment"),$R460="Terminated"),"A terminated row is included in an initial or open enrollment file; confirm this is intentional; ",""))</f>
        <v/>
      </c>
      <c r="AE460">
        <f>IF(COUNTA($A460:$U460)=0,"",IF(OR($A460="",AND($A460&lt;&gt;"",NOT(IFERROR(AND(LEN($A460&amp;"")=9,ISNUMBER(--($A460&amp;""))),FALSE))),AND($A460&lt;&gt;"",OR($A460="123456789",$A460="987654321",$A460="012345678",$A460=REPT(LEFT($A460&amp;"",1),9)))),"Employee SSN, ","")&amp;IF(OR(AND($O460&lt;&gt;"",$B460=""),AND($B460&lt;&gt;"",OR(NOT(IFERROR(AND(LEN($B460&amp;"")=9,ISNUMBER(--($B460&amp;""))),FALSE)),$B460=$A460,$B460="123456789",$B460="987654321",$B460="012345678",$B460=REPT(LEFT($B460&amp;"",1),9)))),"Dependent SSN, ","")&amp;IF(OR($C460="",LEN($C460)&gt;19,AND($C460&lt;&gt;"",SUMPRODUCT(--(ROW($1:$19)&lt;=LEN($C460&amp;"")),--ISERROR(FIND(MID($C460&amp;"",ROW($1:$19),1),"ABCDEFGHIJKLMNOPQRSTUVWXYZabcdefghijklmnopqrstuvwxyz .,")))&gt;0)),"First Name, ","")&amp;IF(OR($D460="",LEN($D460)&gt;26,AND($D460&lt;&gt;"",SUMPRODUCT(--(ROW($1:$26)&lt;=LEN($D460&amp;"")),--ISERROR(FIND(MID($D460&amp;"",ROW($1:$26),1),"ABCDEFGHIJKLMNOPQRSTUVWXYZabcdefghijklmnopqrstuvwxyz .,")))&gt;0)),"Last Name, ","")&amp;IF(OR(LEN($E460)&gt;1,AND($E460&lt;&gt;"",SUMPRODUCT(--(ROW($1:$1)&lt;=LEN($E460&amp;"")),--ISERROR(FIND(MID($E460&amp;"",ROW($1:$1),1),"ABCDEFGHIJKLMNOPQRSTUVWXYZabcdefghijklmnopqrstuvwxyz .,")))&gt;0)),"Middle Initial, ","")&amp;IF(OR($F460="",LEN($F460)&gt;75),"Address, ","")&amp;IF(OR($H460="",LEN($H460)&gt;30),"City, ","")&amp;IF(AND($K460="US",OR($I460="",LEN($I460)&lt;&gt;2)),"State, ","")&amp;IF($J460="","ZIP, ","")&amp;IF(OR($K460="",AND($K460&lt;&gt;"US",$K460&lt;&gt;"CA")),"Country, ","")&amp;IF(OR($L460="",AND($L460&lt;&gt;"",OR(NOT(ISNUMBER($L460)),$L460&lt;=DATE(1900,1,1),$L460&gt;TODAY()))),"Birthdate, ","")&amp;IF(AND($N460&lt;&gt;"",NOT(IFERROR(AND(ISNUMBER(SEARCH("@",$N460)),ISNUMBER(SEARCH(".",$N460,SEARCH("@",$N460)+2))),FALSE))),"Email, ","")&amp;IF(OR(AND($B460&lt;&gt;"",$O460=""),AND($O460&lt;&gt;"",$O460&lt;&gt;"Spouse or Common Law Spouse",$O460&lt;&gt;"Domestic Partner",$O460&lt;&gt;"Child",$O460&lt;&gt;"Other",$O460&lt;&gt;"Estate",$O460&lt;&gt;"Unknown")),"Dependent Relationship, ","")&amp;IF($AA460&lt;&gt;"","Household, ","")&amp;IF(OR($P460="",AND($P460&lt;&gt;"",OR(NOT(ISNUMBER($P460)),$P460&lt;=DATE(1900,1,1)))),"Eligibility Date, ","")&amp;IF(OR(AND($R460="Terminated",$Q460=""),AND($Q460&lt;&gt;"",OR(NOT(ISNUMBER($Q460)),$Q460&lt;=DATE(1900,1,1))),AND(ISNUMBER($P460),ISNUMBER($Q460),$Q460&lt;$P460)),"Termination Date, ","")&amp;IF(OR($R460="",AND($R460&lt;&gt;"Active",$R460&lt;&gt;"Terminated"),AND('START HERE'!$C$8="Terminations Only",$R460&lt;&gt;"Terminated")),"Status, ","")&amp;IF($S460="","Plan Name, ","")&amp;IF($T460="","Coverage Level, ","")&amp;IF(AND($U460&lt;&gt;"",OR(NOT(ISNUMBER($U460)),$U460&lt;0)),"Funding, ","")&amp;IF(AND($A460&lt;&gt;"",$S460&lt;&gt;"",COUNTIFS($A$2:$A$501,$A460,$B$2:$B$501,$B460,$S$2:$S$501,$S460)&gt;1),"Duplicate Row, ",""))</f>
        <v/>
      </c>
      <c r="AF460">
        <f>IF(COUNTA($A460:$U460)=0,"",$Y460&amp;$Z460&amp;$AA460&amp;$AB460&amp;$AC460)</f>
        <v/>
      </c>
      <c r="AG460">
        <f>IF($N460="","",LOWER(TRIM($N460)))</f>
        <v/>
      </c>
      <c r="AH460">
        <f>IF($A460="","",COUNTIFS($A$2:$A$501,$A460,$AI$2:$AI$501,1))</f>
        <v/>
      </c>
      <c r="AI460">
        <f>IF(COUNTA($A460:$U460)=0,"",--($AF460&lt;&gt;""))</f>
        <v/>
      </c>
      <c r="AJ460">
        <f>IF(COUNTA($A460:$U460)=0,"",--($AD460&lt;&gt;""))</f>
        <v/>
      </c>
    </row>
    <row r="461" ht="20" customHeight="1">
      <c r="A461" s="80" t="n"/>
      <c r="B461" s="80" t="n"/>
      <c r="C461" s="81" t="n"/>
      <c r="D461" s="81" t="n"/>
      <c r="E461" s="80" t="n"/>
      <c r="F461" s="81" t="n"/>
      <c r="G461" s="81" t="n"/>
      <c r="H461" s="81" t="n"/>
      <c r="I461" s="80" t="n"/>
      <c r="J461" s="80" t="n"/>
      <c r="K461" s="80" t="n"/>
      <c r="L461" s="82" t="n"/>
      <c r="M461" s="80" t="n"/>
      <c r="N461" s="80" t="n"/>
      <c r="O461" s="80" t="n"/>
      <c r="P461" s="82" t="n"/>
      <c r="Q461" s="82" t="n"/>
      <c r="R461" s="80" t="n"/>
      <c r="S461" s="80" t="n"/>
      <c r="T461" s="80" t="n"/>
      <c r="U461" s="83" t="n"/>
      <c r="V461">
        <f>IF($A461="","",IF($A461=$A460,$V460,IF($V460="",0,1-$V460)))</f>
        <v/>
      </c>
      <c r="W461">
        <f>IF($B461&lt;&gt;"",$B461,$A461)</f>
        <v/>
      </c>
      <c r="X461">
        <f>IF(COUNTA($A461:$U461)=0,"",IF(OR($B461&lt;&gt;"",$O461&lt;&gt;""),"Dependent","Employee"))</f>
        <v/>
      </c>
      <c r="Y461">
        <f>IF(COUNTA($A461:$U461)=0,"",IF($A461="","Employee SSN is required; ","")&amp;IF($C461="","First Name is required; ","")&amp;IF(LEN($C461&amp;"")&gt;19,"First Name exceeds 19 characters; ","")&amp;IF(AND($C461&lt;&gt;"",SUMPRODUCT(--(ROW($1:$19)&lt;=LEN($C461&amp;"")),--ISERROR(FIND(MID($C461&amp;"",ROW($1:$19),1),"ABCDEFGHIJKLMNOPQRSTUVWXYZabcdefghijklmnopqrstuvwxyz .,")))&gt;0),"First Name contains unsupported or encoded characters; use plain A-Z letters only; ","")&amp;IF($D461="","Last Name is required; ","")&amp;IF(LEN($D461&amp;"")&gt;26,"Last Name exceeds 26 characters; ","")&amp;IF(AND($D461&lt;&gt;"",SUMPRODUCT(--(ROW($1:$26)&lt;=LEN($D461&amp;"")),--ISERROR(FIND(MID($D461&amp;"",ROW($1:$26),1),"ABCDEFGHIJKLMNOPQRSTUVWXYZabcdefghijklmnopqrstuvwxyz .,")))&gt;0),"Last Name contains unsupported or encoded characters; use plain A-Z letters only; ","")&amp;IF(LEN($E461&amp;"")&gt;1,"Middle Initial may contain only one character; ","")&amp;IF(AND($E461&lt;&gt;"",SUMPRODUCT(--(ROW($1:$1)&lt;=LEN($E461&amp;"")),--ISERROR(FIND(MID($E461&amp;"",ROW($1:$1),1),"ABCDEFGHIJKLMNOPQRSTUVWXYZabcdefghijklmnopqrstuvwxyz .,")))&gt;0),"Middle Initial must be a plain A-Z letter; ","")&amp;IF($F461="","Address is required; ","")&amp;IF(LEN($F461&amp;"")&gt;75,"Address exceeds 75 characters; ","")&amp;IF(LEN($G461&amp;"")&gt;75,"Address 2 exceeds 75 characters; ","")&amp;IF($H461="","City is required; ","")&amp;IF(LEN($H461&amp;"")&gt;30,"City exceeds 30 characters; ","")&amp;IF($K461="","Country is required; ","")&amp;IF(AND($K461&lt;&gt;"",$K461&lt;&gt;"US",$K461&lt;&gt;"CA"),"Country must be US or CA; ","")&amp;IF(AND($K461="US",OR($I461="",LEN($I461&amp;"")&lt;&gt;2)),"Use a 2-letter state code; ","")&amp;IF($J461="","ZIP or postal code is required; ","")&amp;IF(AND($K461="US",$J461&lt;&gt;"",NOT(IFERROR(OR(AND(LEN($J461&amp;"")=5,ISNUMBER(--($J461&amp;""))),AND(LEN($J461&amp;"")=9,ISNUMBER(--($J461&amp;""))),AND(LEN($J461&amp;"")=10,MID($J461&amp;"",6,1)="-",ISNUMBER(--SUBSTITUTE($J461&amp;"","-","")))),FALSE))),"US ZIP must be 5 or 9 digits, with an optional ZIP+4 hyphen; ","")&amp;IF(AND($N461&lt;&gt;"",NOT(IFERROR(AND(ISNUMBER(SEARCH("@",$N461)),ISNUMBER(SEARCH(".",$N461,SEARCH("@",$N461)+2))),FALSE))),"Email format appears invalid; ","")&amp;IF(AND($O461&lt;&gt;"",$B461=""),"Dependent SSN is required for every dependent; ","")&amp;IF(AND($B461&lt;&gt;"",$O461=""),"Dependent Relationship is required when Dependent SSN is entered; ","")&amp;IF(AND($O461&lt;&gt;"",$O461&lt;&gt;"Spouse or Common Law Spouse",$O461&lt;&gt;"Domestic Partner",$O461&lt;&gt;"Child",$O461&lt;&gt;"Other",$O461&lt;&gt;"Estate",$O461&lt;&gt;"Unknown"),"Dependent Relationship must use one of the approved options; ",""))</f>
        <v/>
      </c>
      <c r="Z461">
        <f>IF(COUNTA($A461:$U461)=0,"",IF(AND($A461&lt;&gt;"",NOT(IFERROR(AND(LEN($A461&amp;"")=9,ISNUMBER(--($A461&amp;""))),FALSE))),"Employee SSN must contain exactly 9 digits; ","")&amp;IF(AND($A461&lt;&gt;"",OR($A461="123456789",$A461="987654321",$A461="012345678",$A461=REPT(LEFT($A461&amp;"",1),9))),"Employee SSN appears to be a placeholder; ","")&amp;IF(AND($B461&lt;&gt;"",NOT(IFERROR(AND(LEN($B461&amp;"")=9,ISNUMBER(--($B461&amp;""))),FALSE))),"Dependent SSN must contain exactly 9 digits; ","")&amp;IF(AND($B461&lt;&gt;"",OR($B461="123456789",$B461="987654321",$B461="012345678",$B461=REPT(LEFT($B461&amp;"",1),9))),"Dependent SSN appears to be a placeholder; ","")&amp;IF(AND($A461&lt;&gt;"",$B461&lt;&gt;"",$A461&amp;""=$B461&amp;""),"Dependent SSN cannot match Employee SSN; ","")&amp;IF(AND($W461&lt;&gt;"",OR(COUNTIFS($W$2:$W$501,$W461,$C$2:$C$501,"&lt;&gt;"&amp;$C461)&gt;0,COUNTIFS($W$2:$W$501,$W461,$D$2:$D$501,"&lt;&gt;"&amp;$D461)&gt;0,COUNTIFS($W$2:$W$501,$W461,$L$2:$L$501,"&lt;&gt;"&amp;$L461)&gt;0)),"The same SSN is associated with a different name or birthdate; ",""))</f>
        <v/>
      </c>
      <c r="AA461">
        <f>IF(COUNTA($A461:$U461)=0,"",IF(AND($A461&lt;&gt;"",$S461&lt;&gt;"",COUNTIFS($A$2:$A$501,$A461,$S$2:$S$501,$S461,$B$2:$B$501,"",$O$2:$O$501,"")=0),"Add an employee row for this household and plan; ","")&amp;IF(AND($X461="Dependent",COUNTIFS($A$2:$A461,$A461,$S$2:$S461,$S461,$B$2:$B461,"",$O$2:$O461,"")=0),"Place the employee row before dependent rows for this plan; ","")&amp;IF(AND($X461="Dependent",COUNTIFS($A$2:$A$501,$A461,$S$2:$S$501,$S461,$B$2:$B$501,"",$O$2:$O$501,"")&gt;0,IFERROR(OR($P461&lt;&gt;LOOKUP(2,1/(($A$2:$A$501=$A461)*($S$2:$S$501=$S461)*($B$2:$B$501="")*($O$2:$O$501="")),$P$2:$P$501),$Q461&lt;&gt;LOOKUP(2,1/(($A$2:$A$501=$A461)*($S$2:$S$501=$S461)*($B$2:$B$501="")*($O$2:$O$501="")),$Q$2:$Q$501),$R461&lt;&gt;LOOKUP(2,1/(($A$2:$A$501=$A461)*($S$2:$S$501=$S461)*($B$2:$B$501="")*($O$2:$O$501="")),$R$2:$R$501),$T461&lt;&gt;LOOKUP(2,1/(($A$2:$A$501=$A461)*($S$2:$S$501=$S461)*($B$2:$B$501="")*($O$2:$O$501="")),$T$2:$T$501),$U461&lt;&gt;LOOKUP(2,1/(($A$2:$A$501=$A461)*($S$2:$S$501=$S461)*($B$2:$B$501="")*($O$2:$O$501="")),$U$2:$U$501)),FALSE)),"Dependent row does not match the employee row for eligibility, status, coverage level, or funding; ",""))</f>
        <v/>
      </c>
      <c r="AB461">
        <f>IF(COUNTA($A461:$U461)=0,"",IF($L461="","Birthdate is required; ","")&amp;IF(AND($L461&lt;&gt;"",OR(NOT(ISNUMBER($L461)),$L461&lt;=DATE(1900,1,1),$L461&gt;TODAY())),"Birthdate must be an exact valid past date; ","")&amp;IF($P461="","Eligibility Date is required; ","")&amp;IF(AND($P461&lt;&gt;"",OR(NOT(ISNUMBER($P461)),$P461&lt;=DATE(1900,1,1))),"Eligibility Date must be a valid date; ","")&amp;IF(AND($R461="Terminated",$Q461=""),"Termination Date is required when Status is Terminated; ","")&amp;IF(AND($Q461&lt;&gt;"",OR(NOT(ISNUMBER($Q461)),$Q461&lt;=DATE(1900,1,1))),"Termination Date must be a valid date; ","")&amp;IF(AND(ISNUMBER($P461),ISNUMBER($Q461),$Q461&lt;$P461),"Termination Date cannot be before Eligibility Date; ","")&amp;IF($R461="","Status is required; ","")&amp;IF(AND($R461&lt;&gt;"",$R461&lt;&gt;"Active",$R461&lt;&gt;"Terminated"),"Status must be Active or Terminated; ","")&amp;IF(AND('START HERE'!$C$8="Terminations Only",$R461&lt;&gt;"Terminated"),"Terminations Only files must contain terminated records; ",""))</f>
        <v/>
      </c>
      <c r="AC461">
        <f>IF(COUNTA($A461:$U461)=0,"",IF($S461="","Plan Name is required; ","")&amp;IF($T461="","Benefit Coverage Level is required; ","")&amp;IF(AND($U461&lt;&gt;"",OR(NOT(ISNUMBER($U461)),$U461&lt;0)),"Plan Funding Amount must be a nonnegative number; ","")&amp;IF(AND($A461&lt;&gt;"",$S461&lt;&gt;"",COUNTIFS($A$2:$A$501,$A461,$B$2:$B$501,$B461,$S$2:$S$501,$S461)&gt;1),"Duplicate participant and plan row; ",""))</f>
        <v/>
      </c>
      <c r="AD461">
        <f>IF(COUNTA($A461:$U461)=0,"",IF(AND($X461="Employee",$M461="",$N461=""),"No employee phone or email provided; ","")&amp;IF(AND($R461="Active",$Q461&lt;&gt;""),"Active record includes a Termination Date; confirm this is intentional; ","")&amp;IF(AND($B461&lt;&gt;"",$B461&amp;""&lt;&gt;$A461&amp;"",COUNTIF($A$2:$A$501,$B461)&gt;0),"Dependent SSN also appears as an Employee SSN elsewhere; confirm dual-employee coverage is intentional; ","")&amp;IF(AND($B461&lt;&gt;"",COUNTIF($B$2:$B$501,$B461)&gt;COUNTIFS($A$2:$A$501,$A461,$B$2:$B$501,$B461)),"Dependent SSN appears under more than one employee; confirm duplicate family coverage is intentional; ","")&amp;IF(AND(ROW()&gt;2,$A461&lt;&gt;"",$A461&lt;&gt;$A460,COUNTIF($A$2:$A460,$A461)&gt;0),"This household appears in more than one section of the census; keep the family together; ","")&amp;IF(OR(AND($C461&lt;&gt;"",LEN($C461&amp;"")&lt;&gt;LEN(TRIM($C461&amp;""))),AND($D461&lt;&gt;"",LEN($D461&amp;"")&lt;&gt;LEN(TRIM($D461&amp;""))),AND($E461&lt;&gt;"",LEN($E461&amp;"")&lt;&gt;LEN(TRIM($E461&amp;""))),AND($F461&lt;&gt;"",LEN($F461&amp;"")&lt;&gt;LEN(TRIM($F461&amp;""))),AND($G461&lt;&gt;"",LEN($G461&amp;"")&lt;&gt;LEN(TRIM($G461&amp;""))),AND($H461&lt;&gt;"",LEN($H461&amp;"")&lt;&gt;LEN(TRIM($H461&amp;""))),AND($I461&lt;&gt;"",LEN($I461&amp;"")&lt;&gt;LEN(TRIM($I461&amp;""))),AND($J461&lt;&gt;"",LEN($J461&amp;"")&lt;&gt;LEN(TRIM($J461&amp;""))),AND($K461&lt;&gt;"",LEN($K461&amp;"")&lt;&gt;LEN(TRIM($K461&amp;""))),AND($M461&lt;&gt;"",LEN($M461&amp;"")&lt;&gt;LEN(TRIM($M461&amp;""))),AND($N461&lt;&gt;"",LEN($N461&amp;"")&lt;&gt;LEN(TRIM($N461&amp;""))),AND($O461&lt;&gt;"",LEN($O461&amp;"")&lt;&gt;LEN(TRIM($O461&amp;""))),AND($R461&lt;&gt;"",LEN($R461&amp;"")&lt;&gt;LEN(TRIM($R461&amp;""))),AND($S461&lt;&gt;"",LEN($S461&amp;"")&lt;&gt;LEN(TRIM($S461&amp;""))),AND($T461&lt;&gt;"",LEN($T461&amp;"")&lt;&gt;LEN(TRIM($T461&amp;"")))),"Remove leading or trailing spaces from text fields; ","")&amp;IF(OR(AND(LEN($C461)&gt;1,OR(EXACT($C461,UPPER($C461)),EXACT($C461,LOWER($C461)))),AND(LEN($D461)&gt;1,OR(EXACT($D461,UPPER($D461)),EXACT($D461,LOWER($D461)))),AND(LEN($H461)&gt;1,OR(EXACT($H461,UPPER($H461)),EXACT($H461,LOWER($H461))))),"Review capitalization in First Name, Last Name, or City; ","")&amp;IF(AND($N461&lt;&gt;"",NOT(EXACT($N461,LOWER($N461)))),"Email will be standardized to lowercase in the clean output; ","")&amp;IF(AND(OR('START HERE'!$C$8="Initial Enrollment",'START HERE'!$C$8="Open Enrollment"),$R461="Terminated"),"A terminated row is included in an initial or open enrollment file; confirm this is intentional; ",""))</f>
        <v/>
      </c>
      <c r="AE461">
        <f>IF(COUNTA($A461:$U461)=0,"",IF(OR($A461="",AND($A461&lt;&gt;"",NOT(IFERROR(AND(LEN($A461&amp;"")=9,ISNUMBER(--($A461&amp;""))),FALSE))),AND($A461&lt;&gt;"",OR($A461="123456789",$A461="987654321",$A461="012345678",$A461=REPT(LEFT($A461&amp;"",1),9)))),"Employee SSN, ","")&amp;IF(OR(AND($O461&lt;&gt;"",$B461=""),AND($B461&lt;&gt;"",OR(NOT(IFERROR(AND(LEN($B461&amp;"")=9,ISNUMBER(--($B461&amp;""))),FALSE)),$B461=$A461,$B461="123456789",$B461="987654321",$B461="012345678",$B461=REPT(LEFT($B461&amp;"",1),9)))),"Dependent SSN, ","")&amp;IF(OR($C461="",LEN($C461)&gt;19,AND($C461&lt;&gt;"",SUMPRODUCT(--(ROW($1:$19)&lt;=LEN($C461&amp;"")),--ISERROR(FIND(MID($C461&amp;"",ROW($1:$19),1),"ABCDEFGHIJKLMNOPQRSTUVWXYZabcdefghijklmnopqrstuvwxyz .,")))&gt;0)),"First Name, ","")&amp;IF(OR($D461="",LEN($D461)&gt;26,AND($D461&lt;&gt;"",SUMPRODUCT(--(ROW($1:$26)&lt;=LEN($D461&amp;"")),--ISERROR(FIND(MID($D461&amp;"",ROW($1:$26),1),"ABCDEFGHIJKLMNOPQRSTUVWXYZabcdefghijklmnopqrstuvwxyz .,")))&gt;0)),"Last Name, ","")&amp;IF(OR(LEN($E461)&gt;1,AND($E461&lt;&gt;"",SUMPRODUCT(--(ROW($1:$1)&lt;=LEN($E461&amp;"")),--ISERROR(FIND(MID($E461&amp;"",ROW($1:$1),1),"ABCDEFGHIJKLMNOPQRSTUVWXYZabcdefghijklmnopqrstuvwxyz .,")))&gt;0)),"Middle Initial, ","")&amp;IF(OR($F461="",LEN($F461)&gt;75),"Address, ","")&amp;IF(OR($H461="",LEN($H461)&gt;30),"City, ","")&amp;IF(AND($K461="US",OR($I461="",LEN($I461)&lt;&gt;2)),"State, ","")&amp;IF($J461="","ZIP, ","")&amp;IF(OR($K461="",AND($K461&lt;&gt;"US",$K461&lt;&gt;"CA")),"Country, ","")&amp;IF(OR($L461="",AND($L461&lt;&gt;"",OR(NOT(ISNUMBER($L461)),$L461&lt;=DATE(1900,1,1),$L461&gt;TODAY()))),"Birthdate, ","")&amp;IF(AND($N461&lt;&gt;"",NOT(IFERROR(AND(ISNUMBER(SEARCH("@",$N461)),ISNUMBER(SEARCH(".",$N461,SEARCH("@",$N461)+2))),FALSE))),"Email, ","")&amp;IF(OR(AND($B461&lt;&gt;"",$O461=""),AND($O461&lt;&gt;"",$O461&lt;&gt;"Spouse or Common Law Spouse",$O461&lt;&gt;"Domestic Partner",$O461&lt;&gt;"Child",$O461&lt;&gt;"Other",$O461&lt;&gt;"Estate",$O461&lt;&gt;"Unknown")),"Dependent Relationship, ","")&amp;IF($AA461&lt;&gt;"","Household, ","")&amp;IF(OR($P461="",AND($P461&lt;&gt;"",OR(NOT(ISNUMBER($P461)),$P461&lt;=DATE(1900,1,1)))),"Eligibility Date, ","")&amp;IF(OR(AND($R461="Terminated",$Q461=""),AND($Q461&lt;&gt;"",OR(NOT(ISNUMBER($Q461)),$Q461&lt;=DATE(1900,1,1))),AND(ISNUMBER($P461),ISNUMBER($Q461),$Q461&lt;$P461)),"Termination Date, ","")&amp;IF(OR($R461="",AND($R461&lt;&gt;"Active",$R461&lt;&gt;"Terminated"),AND('START HERE'!$C$8="Terminations Only",$R461&lt;&gt;"Terminated")),"Status, ","")&amp;IF($S461="","Plan Name, ","")&amp;IF($T461="","Coverage Level, ","")&amp;IF(AND($U461&lt;&gt;"",OR(NOT(ISNUMBER($U461)),$U461&lt;0)),"Funding, ","")&amp;IF(AND($A461&lt;&gt;"",$S461&lt;&gt;"",COUNTIFS($A$2:$A$501,$A461,$B$2:$B$501,$B461,$S$2:$S$501,$S461)&gt;1),"Duplicate Row, ",""))</f>
        <v/>
      </c>
      <c r="AF461">
        <f>IF(COUNTA($A461:$U461)=0,"",$Y461&amp;$Z461&amp;$AA461&amp;$AB461&amp;$AC461)</f>
        <v/>
      </c>
      <c r="AG461">
        <f>IF($N461="","",LOWER(TRIM($N461)))</f>
        <v/>
      </c>
      <c r="AH461">
        <f>IF($A461="","",COUNTIFS($A$2:$A$501,$A461,$AI$2:$AI$501,1))</f>
        <v/>
      </c>
      <c r="AI461">
        <f>IF(COUNTA($A461:$U461)=0,"",--($AF461&lt;&gt;""))</f>
        <v/>
      </c>
      <c r="AJ461">
        <f>IF(COUNTA($A461:$U461)=0,"",--($AD461&lt;&gt;""))</f>
        <v/>
      </c>
    </row>
    <row r="462" ht="20" customHeight="1">
      <c r="A462" s="80" t="n"/>
      <c r="B462" s="80" t="n"/>
      <c r="C462" s="81" t="n"/>
      <c r="D462" s="81" t="n"/>
      <c r="E462" s="80" t="n"/>
      <c r="F462" s="81" t="n"/>
      <c r="G462" s="81" t="n"/>
      <c r="H462" s="81" t="n"/>
      <c r="I462" s="80" t="n"/>
      <c r="J462" s="80" t="n"/>
      <c r="K462" s="80" t="n"/>
      <c r="L462" s="82" t="n"/>
      <c r="M462" s="80" t="n"/>
      <c r="N462" s="80" t="n"/>
      <c r="O462" s="80" t="n"/>
      <c r="P462" s="82" t="n"/>
      <c r="Q462" s="82" t="n"/>
      <c r="R462" s="80" t="n"/>
      <c r="S462" s="80" t="n"/>
      <c r="T462" s="80" t="n"/>
      <c r="U462" s="83" t="n"/>
      <c r="V462">
        <f>IF($A462="","",IF($A462=$A461,$V461,IF($V461="",0,1-$V461)))</f>
        <v/>
      </c>
      <c r="W462">
        <f>IF($B462&lt;&gt;"",$B462,$A462)</f>
        <v/>
      </c>
      <c r="X462">
        <f>IF(COUNTA($A462:$U462)=0,"",IF(OR($B462&lt;&gt;"",$O462&lt;&gt;""),"Dependent","Employee"))</f>
        <v/>
      </c>
      <c r="Y462">
        <f>IF(COUNTA($A462:$U462)=0,"",IF($A462="","Employee SSN is required; ","")&amp;IF($C462="","First Name is required; ","")&amp;IF(LEN($C462&amp;"")&gt;19,"First Name exceeds 19 characters; ","")&amp;IF(AND($C462&lt;&gt;"",SUMPRODUCT(--(ROW($1:$19)&lt;=LEN($C462&amp;"")),--ISERROR(FIND(MID($C462&amp;"",ROW($1:$19),1),"ABCDEFGHIJKLMNOPQRSTUVWXYZabcdefghijklmnopqrstuvwxyz .,")))&gt;0),"First Name contains unsupported or encoded characters; use plain A-Z letters only; ","")&amp;IF($D462="","Last Name is required; ","")&amp;IF(LEN($D462&amp;"")&gt;26,"Last Name exceeds 26 characters; ","")&amp;IF(AND($D462&lt;&gt;"",SUMPRODUCT(--(ROW($1:$26)&lt;=LEN($D462&amp;"")),--ISERROR(FIND(MID($D462&amp;"",ROW($1:$26),1),"ABCDEFGHIJKLMNOPQRSTUVWXYZabcdefghijklmnopqrstuvwxyz .,")))&gt;0),"Last Name contains unsupported or encoded characters; use plain A-Z letters only; ","")&amp;IF(LEN($E462&amp;"")&gt;1,"Middle Initial may contain only one character; ","")&amp;IF(AND($E462&lt;&gt;"",SUMPRODUCT(--(ROW($1:$1)&lt;=LEN($E462&amp;"")),--ISERROR(FIND(MID($E462&amp;"",ROW($1:$1),1),"ABCDEFGHIJKLMNOPQRSTUVWXYZabcdefghijklmnopqrstuvwxyz .,")))&gt;0),"Middle Initial must be a plain A-Z letter; ","")&amp;IF($F462="","Address is required; ","")&amp;IF(LEN($F462&amp;"")&gt;75,"Address exceeds 75 characters; ","")&amp;IF(LEN($G462&amp;"")&gt;75,"Address 2 exceeds 75 characters; ","")&amp;IF($H462="","City is required; ","")&amp;IF(LEN($H462&amp;"")&gt;30,"City exceeds 30 characters; ","")&amp;IF($K462="","Country is required; ","")&amp;IF(AND($K462&lt;&gt;"",$K462&lt;&gt;"US",$K462&lt;&gt;"CA"),"Country must be US or CA; ","")&amp;IF(AND($K462="US",OR($I462="",LEN($I462&amp;"")&lt;&gt;2)),"Use a 2-letter state code; ","")&amp;IF($J462="","ZIP or postal code is required; ","")&amp;IF(AND($K462="US",$J462&lt;&gt;"",NOT(IFERROR(OR(AND(LEN($J462&amp;"")=5,ISNUMBER(--($J462&amp;""))),AND(LEN($J462&amp;"")=9,ISNUMBER(--($J462&amp;""))),AND(LEN($J462&amp;"")=10,MID($J462&amp;"",6,1)="-",ISNUMBER(--SUBSTITUTE($J462&amp;"","-","")))),FALSE))),"US ZIP must be 5 or 9 digits, with an optional ZIP+4 hyphen; ","")&amp;IF(AND($N462&lt;&gt;"",NOT(IFERROR(AND(ISNUMBER(SEARCH("@",$N462)),ISNUMBER(SEARCH(".",$N462,SEARCH("@",$N462)+2))),FALSE))),"Email format appears invalid; ","")&amp;IF(AND($O462&lt;&gt;"",$B462=""),"Dependent SSN is required for every dependent; ","")&amp;IF(AND($B462&lt;&gt;"",$O462=""),"Dependent Relationship is required when Dependent SSN is entered; ","")&amp;IF(AND($O462&lt;&gt;"",$O462&lt;&gt;"Spouse or Common Law Spouse",$O462&lt;&gt;"Domestic Partner",$O462&lt;&gt;"Child",$O462&lt;&gt;"Other",$O462&lt;&gt;"Estate",$O462&lt;&gt;"Unknown"),"Dependent Relationship must use one of the approved options; ",""))</f>
        <v/>
      </c>
      <c r="Z462">
        <f>IF(COUNTA($A462:$U462)=0,"",IF(AND($A462&lt;&gt;"",NOT(IFERROR(AND(LEN($A462&amp;"")=9,ISNUMBER(--($A462&amp;""))),FALSE))),"Employee SSN must contain exactly 9 digits; ","")&amp;IF(AND($A462&lt;&gt;"",OR($A462="123456789",$A462="987654321",$A462="012345678",$A462=REPT(LEFT($A462&amp;"",1),9))),"Employee SSN appears to be a placeholder; ","")&amp;IF(AND($B462&lt;&gt;"",NOT(IFERROR(AND(LEN($B462&amp;"")=9,ISNUMBER(--($B462&amp;""))),FALSE))),"Dependent SSN must contain exactly 9 digits; ","")&amp;IF(AND($B462&lt;&gt;"",OR($B462="123456789",$B462="987654321",$B462="012345678",$B462=REPT(LEFT($B462&amp;"",1),9))),"Dependent SSN appears to be a placeholder; ","")&amp;IF(AND($A462&lt;&gt;"",$B462&lt;&gt;"",$A462&amp;""=$B462&amp;""),"Dependent SSN cannot match Employee SSN; ","")&amp;IF(AND($W462&lt;&gt;"",OR(COUNTIFS($W$2:$W$501,$W462,$C$2:$C$501,"&lt;&gt;"&amp;$C462)&gt;0,COUNTIFS($W$2:$W$501,$W462,$D$2:$D$501,"&lt;&gt;"&amp;$D462)&gt;0,COUNTIFS($W$2:$W$501,$W462,$L$2:$L$501,"&lt;&gt;"&amp;$L462)&gt;0)),"The same SSN is associated with a different name or birthdate; ",""))</f>
        <v/>
      </c>
      <c r="AA462">
        <f>IF(COUNTA($A462:$U462)=0,"",IF(AND($A462&lt;&gt;"",$S462&lt;&gt;"",COUNTIFS($A$2:$A$501,$A462,$S$2:$S$501,$S462,$B$2:$B$501,"",$O$2:$O$501,"")=0),"Add an employee row for this household and plan; ","")&amp;IF(AND($X462="Dependent",COUNTIFS($A$2:$A462,$A462,$S$2:$S462,$S462,$B$2:$B462,"",$O$2:$O462,"")=0),"Place the employee row before dependent rows for this plan; ","")&amp;IF(AND($X462="Dependent",COUNTIFS($A$2:$A$501,$A462,$S$2:$S$501,$S462,$B$2:$B$501,"",$O$2:$O$501,"")&gt;0,IFERROR(OR($P462&lt;&gt;LOOKUP(2,1/(($A$2:$A$501=$A462)*($S$2:$S$501=$S462)*($B$2:$B$501="")*($O$2:$O$501="")),$P$2:$P$501),$Q462&lt;&gt;LOOKUP(2,1/(($A$2:$A$501=$A462)*($S$2:$S$501=$S462)*($B$2:$B$501="")*($O$2:$O$501="")),$Q$2:$Q$501),$R462&lt;&gt;LOOKUP(2,1/(($A$2:$A$501=$A462)*($S$2:$S$501=$S462)*($B$2:$B$501="")*($O$2:$O$501="")),$R$2:$R$501),$T462&lt;&gt;LOOKUP(2,1/(($A$2:$A$501=$A462)*($S$2:$S$501=$S462)*($B$2:$B$501="")*($O$2:$O$501="")),$T$2:$T$501),$U462&lt;&gt;LOOKUP(2,1/(($A$2:$A$501=$A462)*($S$2:$S$501=$S462)*($B$2:$B$501="")*($O$2:$O$501="")),$U$2:$U$501)),FALSE)),"Dependent row does not match the employee row for eligibility, status, coverage level, or funding; ",""))</f>
        <v/>
      </c>
      <c r="AB462">
        <f>IF(COUNTA($A462:$U462)=0,"",IF($L462="","Birthdate is required; ","")&amp;IF(AND($L462&lt;&gt;"",OR(NOT(ISNUMBER($L462)),$L462&lt;=DATE(1900,1,1),$L462&gt;TODAY())),"Birthdate must be an exact valid past date; ","")&amp;IF($P462="","Eligibility Date is required; ","")&amp;IF(AND($P462&lt;&gt;"",OR(NOT(ISNUMBER($P462)),$P462&lt;=DATE(1900,1,1))),"Eligibility Date must be a valid date; ","")&amp;IF(AND($R462="Terminated",$Q462=""),"Termination Date is required when Status is Terminated; ","")&amp;IF(AND($Q462&lt;&gt;"",OR(NOT(ISNUMBER($Q462)),$Q462&lt;=DATE(1900,1,1))),"Termination Date must be a valid date; ","")&amp;IF(AND(ISNUMBER($P462),ISNUMBER($Q462),$Q462&lt;$P462),"Termination Date cannot be before Eligibility Date; ","")&amp;IF($R462="","Status is required; ","")&amp;IF(AND($R462&lt;&gt;"",$R462&lt;&gt;"Active",$R462&lt;&gt;"Terminated"),"Status must be Active or Terminated; ","")&amp;IF(AND('START HERE'!$C$8="Terminations Only",$R462&lt;&gt;"Terminated"),"Terminations Only files must contain terminated records; ",""))</f>
        <v/>
      </c>
      <c r="AC462">
        <f>IF(COUNTA($A462:$U462)=0,"",IF($S462="","Plan Name is required; ","")&amp;IF($T462="","Benefit Coverage Level is required; ","")&amp;IF(AND($U462&lt;&gt;"",OR(NOT(ISNUMBER($U462)),$U462&lt;0)),"Plan Funding Amount must be a nonnegative number; ","")&amp;IF(AND($A462&lt;&gt;"",$S462&lt;&gt;"",COUNTIFS($A$2:$A$501,$A462,$B$2:$B$501,$B462,$S$2:$S$501,$S462)&gt;1),"Duplicate participant and plan row; ",""))</f>
        <v/>
      </c>
      <c r="AD462">
        <f>IF(COUNTA($A462:$U462)=0,"",IF(AND($X462="Employee",$M462="",$N462=""),"No employee phone or email provided; ","")&amp;IF(AND($R462="Active",$Q462&lt;&gt;""),"Active record includes a Termination Date; confirm this is intentional; ","")&amp;IF(AND($B462&lt;&gt;"",$B462&amp;""&lt;&gt;$A462&amp;"",COUNTIF($A$2:$A$501,$B462)&gt;0),"Dependent SSN also appears as an Employee SSN elsewhere; confirm dual-employee coverage is intentional; ","")&amp;IF(AND($B462&lt;&gt;"",COUNTIF($B$2:$B$501,$B462)&gt;COUNTIFS($A$2:$A$501,$A462,$B$2:$B$501,$B462)),"Dependent SSN appears under more than one employee; confirm duplicate family coverage is intentional; ","")&amp;IF(AND(ROW()&gt;2,$A462&lt;&gt;"",$A462&lt;&gt;$A461,COUNTIF($A$2:$A461,$A462)&gt;0),"This household appears in more than one section of the census; keep the family together; ","")&amp;IF(OR(AND($C462&lt;&gt;"",LEN($C462&amp;"")&lt;&gt;LEN(TRIM($C462&amp;""))),AND($D462&lt;&gt;"",LEN($D462&amp;"")&lt;&gt;LEN(TRIM($D462&amp;""))),AND($E462&lt;&gt;"",LEN($E462&amp;"")&lt;&gt;LEN(TRIM($E462&amp;""))),AND($F462&lt;&gt;"",LEN($F462&amp;"")&lt;&gt;LEN(TRIM($F462&amp;""))),AND($G462&lt;&gt;"",LEN($G462&amp;"")&lt;&gt;LEN(TRIM($G462&amp;""))),AND($H462&lt;&gt;"",LEN($H462&amp;"")&lt;&gt;LEN(TRIM($H462&amp;""))),AND($I462&lt;&gt;"",LEN($I462&amp;"")&lt;&gt;LEN(TRIM($I462&amp;""))),AND($J462&lt;&gt;"",LEN($J462&amp;"")&lt;&gt;LEN(TRIM($J462&amp;""))),AND($K462&lt;&gt;"",LEN($K462&amp;"")&lt;&gt;LEN(TRIM($K462&amp;""))),AND($M462&lt;&gt;"",LEN($M462&amp;"")&lt;&gt;LEN(TRIM($M462&amp;""))),AND($N462&lt;&gt;"",LEN($N462&amp;"")&lt;&gt;LEN(TRIM($N462&amp;""))),AND($O462&lt;&gt;"",LEN($O462&amp;"")&lt;&gt;LEN(TRIM($O462&amp;""))),AND($R462&lt;&gt;"",LEN($R462&amp;"")&lt;&gt;LEN(TRIM($R462&amp;""))),AND($S462&lt;&gt;"",LEN($S462&amp;"")&lt;&gt;LEN(TRIM($S462&amp;""))),AND($T462&lt;&gt;"",LEN($T462&amp;"")&lt;&gt;LEN(TRIM($T462&amp;"")))),"Remove leading or trailing spaces from text fields; ","")&amp;IF(OR(AND(LEN($C462)&gt;1,OR(EXACT($C462,UPPER($C462)),EXACT($C462,LOWER($C462)))),AND(LEN($D462)&gt;1,OR(EXACT($D462,UPPER($D462)),EXACT($D462,LOWER($D462)))),AND(LEN($H462)&gt;1,OR(EXACT($H462,UPPER($H462)),EXACT($H462,LOWER($H462))))),"Review capitalization in First Name, Last Name, or City; ","")&amp;IF(AND($N462&lt;&gt;"",NOT(EXACT($N462,LOWER($N462)))),"Email will be standardized to lowercase in the clean output; ","")&amp;IF(AND(OR('START HERE'!$C$8="Initial Enrollment",'START HERE'!$C$8="Open Enrollment"),$R462="Terminated"),"A terminated row is included in an initial or open enrollment file; confirm this is intentional; ",""))</f>
        <v/>
      </c>
      <c r="AE462">
        <f>IF(COUNTA($A462:$U462)=0,"",IF(OR($A462="",AND($A462&lt;&gt;"",NOT(IFERROR(AND(LEN($A462&amp;"")=9,ISNUMBER(--($A462&amp;""))),FALSE))),AND($A462&lt;&gt;"",OR($A462="123456789",$A462="987654321",$A462="012345678",$A462=REPT(LEFT($A462&amp;"",1),9)))),"Employee SSN, ","")&amp;IF(OR(AND($O462&lt;&gt;"",$B462=""),AND($B462&lt;&gt;"",OR(NOT(IFERROR(AND(LEN($B462&amp;"")=9,ISNUMBER(--($B462&amp;""))),FALSE)),$B462=$A462,$B462="123456789",$B462="987654321",$B462="012345678",$B462=REPT(LEFT($B462&amp;"",1),9)))),"Dependent SSN, ","")&amp;IF(OR($C462="",LEN($C462)&gt;19,AND($C462&lt;&gt;"",SUMPRODUCT(--(ROW($1:$19)&lt;=LEN($C462&amp;"")),--ISERROR(FIND(MID($C462&amp;"",ROW($1:$19),1),"ABCDEFGHIJKLMNOPQRSTUVWXYZabcdefghijklmnopqrstuvwxyz .,")))&gt;0)),"First Name, ","")&amp;IF(OR($D462="",LEN($D462)&gt;26,AND($D462&lt;&gt;"",SUMPRODUCT(--(ROW($1:$26)&lt;=LEN($D462&amp;"")),--ISERROR(FIND(MID($D462&amp;"",ROW($1:$26),1),"ABCDEFGHIJKLMNOPQRSTUVWXYZabcdefghijklmnopqrstuvwxyz .,")))&gt;0)),"Last Name, ","")&amp;IF(OR(LEN($E462)&gt;1,AND($E462&lt;&gt;"",SUMPRODUCT(--(ROW($1:$1)&lt;=LEN($E462&amp;"")),--ISERROR(FIND(MID($E462&amp;"",ROW($1:$1),1),"ABCDEFGHIJKLMNOPQRSTUVWXYZabcdefghijklmnopqrstuvwxyz .,")))&gt;0)),"Middle Initial, ","")&amp;IF(OR($F462="",LEN($F462)&gt;75),"Address, ","")&amp;IF(OR($H462="",LEN($H462)&gt;30),"City, ","")&amp;IF(AND($K462="US",OR($I462="",LEN($I462)&lt;&gt;2)),"State, ","")&amp;IF($J462="","ZIP, ","")&amp;IF(OR($K462="",AND($K462&lt;&gt;"US",$K462&lt;&gt;"CA")),"Country, ","")&amp;IF(OR($L462="",AND($L462&lt;&gt;"",OR(NOT(ISNUMBER($L462)),$L462&lt;=DATE(1900,1,1),$L462&gt;TODAY()))),"Birthdate, ","")&amp;IF(AND($N462&lt;&gt;"",NOT(IFERROR(AND(ISNUMBER(SEARCH("@",$N462)),ISNUMBER(SEARCH(".",$N462,SEARCH("@",$N462)+2))),FALSE))),"Email, ","")&amp;IF(OR(AND($B462&lt;&gt;"",$O462=""),AND($O462&lt;&gt;"",$O462&lt;&gt;"Spouse or Common Law Spouse",$O462&lt;&gt;"Domestic Partner",$O462&lt;&gt;"Child",$O462&lt;&gt;"Other",$O462&lt;&gt;"Estate",$O462&lt;&gt;"Unknown")),"Dependent Relationship, ","")&amp;IF($AA462&lt;&gt;"","Household, ","")&amp;IF(OR($P462="",AND($P462&lt;&gt;"",OR(NOT(ISNUMBER($P462)),$P462&lt;=DATE(1900,1,1)))),"Eligibility Date, ","")&amp;IF(OR(AND($R462="Terminated",$Q462=""),AND($Q462&lt;&gt;"",OR(NOT(ISNUMBER($Q462)),$Q462&lt;=DATE(1900,1,1))),AND(ISNUMBER($P462),ISNUMBER($Q462),$Q462&lt;$P462)),"Termination Date, ","")&amp;IF(OR($R462="",AND($R462&lt;&gt;"Active",$R462&lt;&gt;"Terminated"),AND('START HERE'!$C$8="Terminations Only",$R462&lt;&gt;"Terminated")),"Status, ","")&amp;IF($S462="","Plan Name, ","")&amp;IF($T462="","Coverage Level, ","")&amp;IF(AND($U462&lt;&gt;"",OR(NOT(ISNUMBER($U462)),$U462&lt;0)),"Funding, ","")&amp;IF(AND($A462&lt;&gt;"",$S462&lt;&gt;"",COUNTIFS($A$2:$A$501,$A462,$B$2:$B$501,$B462,$S$2:$S$501,$S462)&gt;1),"Duplicate Row, ",""))</f>
        <v/>
      </c>
      <c r="AF462">
        <f>IF(COUNTA($A462:$U462)=0,"",$Y462&amp;$Z462&amp;$AA462&amp;$AB462&amp;$AC462)</f>
        <v/>
      </c>
      <c r="AG462">
        <f>IF($N462="","",LOWER(TRIM($N462)))</f>
        <v/>
      </c>
      <c r="AH462">
        <f>IF($A462="","",COUNTIFS($A$2:$A$501,$A462,$AI$2:$AI$501,1))</f>
        <v/>
      </c>
      <c r="AI462">
        <f>IF(COUNTA($A462:$U462)=0,"",--($AF462&lt;&gt;""))</f>
        <v/>
      </c>
      <c r="AJ462">
        <f>IF(COUNTA($A462:$U462)=0,"",--($AD462&lt;&gt;""))</f>
        <v/>
      </c>
    </row>
    <row r="463" ht="20" customHeight="1">
      <c r="A463" s="80" t="n"/>
      <c r="B463" s="80" t="n"/>
      <c r="C463" s="81" t="n"/>
      <c r="D463" s="81" t="n"/>
      <c r="E463" s="80" t="n"/>
      <c r="F463" s="81" t="n"/>
      <c r="G463" s="81" t="n"/>
      <c r="H463" s="81" t="n"/>
      <c r="I463" s="80" t="n"/>
      <c r="J463" s="80" t="n"/>
      <c r="K463" s="80" t="n"/>
      <c r="L463" s="82" t="n"/>
      <c r="M463" s="80" t="n"/>
      <c r="N463" s="80" t="n"/>
      <c r="O463" s="80" t="n"/>
      <c r="P463" s="82" t="n"/>
      <c r="Q463" s="82" t="n"/>
      <c r="R463" s="80" t="n"/>
      <c r="S463" s="80" t="n"/>
      <c r="T463" s="80" t="n"/>
      <c r="U463" s="83" t="n"/>
      <c r="V463">
        <f>IF($A463="","",IF($A463=$A462,$V462,IF($V462="",0,1-$V462)))</f>
        <v/>
      </c>
      <c r="W463">
        <f>IF($B463&lt;&gt;"",$B463,$A463)</f>
        <v/>
      </c>
      <c r="X463">
        <f>IF(COUNTA($A463:$U463)=0,"",IF(OR($B463&lt;&gt;"",$O463&lt;&gt;""),"Dependent","Employee"))</f>
        <v/>
      </c>
      <c r="Y463">
        <f>IF(COUNTA($A463:$U463)=0,"",IF($A463="","Employee SSN is required; ","")&amp;IF($C463="","First Name is required; ","")&amp;IF(LEN($C463&amp;"")&gt;19,"First Name exceeds 19 characters; ","")&amp;IF(AND($C463&lt;&gt;"",SUMPRODUCT(--(ROW($1:$19)&lt;=LEN($C463&amp;"")),--ISERROR(FIND(MID($C463&amp;"",ROW($1:$19),1),"ABCDEFGHIJKLMNOPQRSTUVWXYZabcdefghijklmnopqrstuvwxyz .,")))&gt;0),"First Name contains unsupported or encoded characters; use plain A-Z letters only; ","")&amp;IF($D463="","Last Name is required; ","")&amp;IF(LEN($D463&amp;"")&gt;26,"Last Name exceeds 26 characters; ","")&amp;IF(AND($D463&lt;&gt;"",SUMPRODUCT(--(ROW($1:$26)&lt;=LEN($D463&amp;"")),--ISERROR(FIND(MID($D463&amp;"",ROW($1:$26),1),"ABCDEFGHIJKLMNOPQRSTUVWXYZabcdefghijklmnopqrstuvwxyz .,")))&gt;0),"Last Name contains unsupported or encoded characters; use plain A-Z letters only; ","")&amp;IF(LEN($E463&amp;"")&gt;1,"Middle Initial may contain only one character; ","")&amp;IF(AND($E463&lt;&gt;"",SUMPRODUCT(--(ROW($1:$1)&lt;=LEN($E463&amp;"")),--ISERROR(FIND(MID($E463&amp;"",ROW($1:$1),1),"ABCDEFGHIJKLMNOPQRSTUVWXYZabcdefghijklmnopqrstuvwxyz .,")))&gt;0),"Middle Initial must be a plain A-Z letter; ","")&amp;IF($F463="","Address is required; ","")&amp;IF(LEN($F463&amp;"")&gt;75,"Address exceeds 75 characters; ","")&amp;IF(LEN($G463&amp;"")&gt;75,"Address 2 exceeds 75 characters; ","")&amp;IF($H463="","City is required; ","")&amp;IF(LEN($H463&amp;"")&gt;30,"City exceeds 30 characters; ","")&amp;IF($K463="","Country is required; ","")&amp;IF(AND($K463&lt;&gt;"",$K463&lt;&gt;"US",$K463&lt;&gt;"CA"),"Country must be US or CA; ","")&amp;IF(AND($K463="US",OR($I463="",LEN($I463&amp;"")&lt;&gt;2)),"Use a 2-letter state code; ","")&amp;IF($J463="","ZIP or postal code is required; ","")&amp;IF(AND($K463="US",$J463&lt;&gt;"",NOT(IFERROR(OR(AND(LEN($J463&amp;"")=5,ISNUMBER(--($J463&amp;""))),AND(LEN($J463&amp;"")=9,ISNUMBER(--($J463&amp;""))),AND(LEN($J463&amp;"")=10,MID($J463&amp;"",6,1)="-",ISNUMBER(--SUBSTITUTE($J463&amp;"","-","")))),FALSE))),"US ZIP must be 5 or 9 digits, with an optional ZIP+4 hyphen; ","")&amp;IF(AND($N463&lt;&gt;"",NOT(IFERROR(AND(ISNUMBER(SEARCH("@",$N463)),ISNUMBER(SEARCH(".",$N463,SEARCH("@",$N463)+2))),FALSE))),"Email format appears invalid; ","")&amp;IF(AND($O463&lt;&gt;"",$B463=""),"Dependent SSN is required for every dependent; ","")&amp;IF(AND($B463&lt;&gt;"",$O463=""),"Dependent Relationship is required when Dependent SSN is entered; ","")&amp;IF(AND($O463&lt;&gt;"",$O463&lt;&gt;"Spouse or Common Law Spouse",$O463&lt;&gt;"Domestic Partner",$O463&lt;&gt;"Child",$O463&lt;&gt;"Other",$O463&lt;&gt;"Estate",$O463&lt;&gt;"Unknown"),"Dependent Relationship must use one of the approved options; ",""))</f>
        <v/>
      </c>
      <c r="Z463">
        <f>IF(COUNTA($A463:$U463)=0,"",IF(AND($A463&lt;&gt;"",NOT(IFERROR(AND(LEN($A463&amp;"")=9,ISNUMBER(--($A463&amp;""))),FALSE))),"Employee SSN must contain exactly 9 digits; ","")&amp;IF(AND($A463&lt;&gt;"",OR($A463="123456789",$A463="987654321",$A463="012345678",$A463=REPT(LEFT($A463&amp;"",1),9))),"Employee SSN appears to be a placeholder; ","")&amp;IF(AND($B463&lt;&gt;"",NOT(IFERROR(AND(LEN($B463&amp;"")=9,ISNUMBER(--($B463&amp;""))),FALSE))),"Dependent SSN must contain exactly 9 digits; ","")&amp;IF(AND($B463&lt;&gt;"",OR($B463="123456789",$B463="987654321",$B463="012345678",$B463=REPT(LEFT($B463&amp;"",1),9))),"Dependent SSN appears to be a placeholder; ","")&amp;IF(AND($A463&lt;&gt;"",$B463&lt;&gt;"",$A463&amp;""=$B463&amp;""),"Dependent SSN cannot match Employee SSN; ","")&amp;IF(AND($W463&lt;&gt;"",OR(COUNTIFS($W$2:$W$501,$W463,$C$2:$C$501,"&lt;&gt;"&amp;$C463)&gt;0,COUNTIFS($W$2:$W$501,$W463,$D$2:$D$501,"&lt;&gt;"&amp;$D463)&gt;0,COUNTIFS($W$2:$W$501,$W463,$L$2:$L$501,"&lt;&gt;"&amp;$L463)&gt;0)),"The same SSN is associated with a different name or birthdate; ",""))</f>
        <v/>
      </c>
      <c r="AA463">
        <f>IF(COUNTA($A463:$U463)=0,"",IF(AND($A463&lt;&gt;"",$S463&lt;&gt;"",COUNTIFS($A$2:$A$501,$A463,$S$2:$S$501,$S463,$B$2:$B$501,"",$O$2:$O$501,"")=0),"Add an employee row for this household and plan; ","")&amp;IF(AND($X463="Dependent",COUNTIFS($A$2:$A463,$A463,$S$2:$S463,$S463,$B$2:$B463,"",$O$2:$O463,"")=0),"Place the employee row before dependent rows for this plan; ","")&amp;IF(AND($X463="Dependent",COUNTIFS($A$2:$A$501,$A463,$S$2:$S$501,$S463,$B$2:$B$501,"",$O$2:$O$501,"")&gt;0,IFERROR(OR($P463&lt;&gt;LOOKUP(2,1/(($A$2:$A$501=$A463)*($S$2:$S$501=$S463)*($B$2:$B$501="")*($O$2:$O$501="")),$P$2:$P$501),$Q463&lt;&gt;LOOKUP(2,1/(($A$2:$A$501=$A463)*($S$2:$S$501=$S463)*($B$2:$B$501="")*($O$2:$O$501="")),$Q$2:$Q$501),$R463&lt;&gt;LOOKUP(2,1/(($A$2:$A$501=$A463)*($S$2:$S$501=$S463)*($B$2:$B$501="")*($O$2:$O$501="")),$R$2:$R$501),$T463&lt;&gt;LOOKUP(2,1/(($A$2:$A$501=$A463)*($S$2:$S$501=$S463)*($B$2:$B$501="")*($O$2:$O$501="")),$T$2:$T$501),$U463&lt;&gt;LOOKUP(2,1/(($A$2:$A$501=$A463)*($S$2:$S$501=$S463)*($B$2:$B$501="")*($O$2:$O$501="")),$U$2:$U$501)),FALSE)),"Dependent row does not match the employee row for eligibility, status, coverage level, or funding; ",""))</f>
        <v/>
      </c>
      <c r="AB463">
        <f>IF(COUNTA($A463:$U463)=0,"",IF($L463="","Birthdate is required; ","")&amp;IF(AND($L463&lt;&gt;"",OR(NOT(ISNUMBER($L463)),$L463&lt;=DATE(1900,1,1),$L463&gt;TODAY())),"Birthdate must be an exact valid past date; ","")&amp;IF($P463="","Eligibility Date is required; ","")&amp;IF(AND($P463&lt;&gt;"",OR(NOT(ISNUMBER($P463)),$P463&lt;=DATE(1900,1,1))),"Eligibility Date must be a valid date; ","")&amp;IF(AND($R463="Terminated",$Q463=""),"Termination Date is required when Status is Terminated; ","")&amp;IF(AND($Q463&lt;&gt;"",OR(NOT(ISNUMBER($Q463)),$Q463&lt;=DATE(1900,1,1))),"Termination Date must be a valid date; ","")&amp;IF(AND(ISNUMBER($P463),ISNUMBER($Q463),$Q463&lt;$P463),"Termination Date cannot be before Eligibility Date; ","")&amp;IF($R463="","Status is required; ","")&amp;IF(AND($R463&lt;&gt;"",$R463&lt;&gt;"Active",$R463&lt;&gt;"Terminated"),"Status must be Active or Terminated; ","")&amp;IF(AND('START HERE'!$C$8="Terminations Only",$R463&lt;&gt;"Terminated"),"Terminations Only files must contain terminated records; ",""))</f>
        <v/>
      </c>
      <c r="AC463">
        <f>IF(COUNTA($A463:$U463)=0,"",IF($S463="","Plan Name is required; ","")&amp;IF($T463="","Benefit Coverage Level is required; ","")&amp;IF(AND($U463&lt;&gt;"",OR(NOT(ISNUMBER($U463)),$U463&lt;0)),"Plan Funding Amount must be a nonnegative number; ","")&amp;IF(AND($A463&lt;&gt;"",$S463&lt;&gt;"",COUNTIFS($A$2:$A$501,$A463,$B$2:$B$501,$B463,$S$2:$S$501,$S463)&gt;1),"Duplicate participant and plan row; ",""))</f>
        <v/>
      </c>
      <c r="AD463">
        <f>IF(COUNTA($A463:$U463)=0,"",IF(AND($X463="Employee",$M463="",$N463=""),"No employee phone or email provided; ","")&amp;IF(AND($R463="Active",$Q463&lt;&gt;""),"Active record includes a Termination Date; confirm this is intentional; ","")&amp;IF(AND($B463&lt;&gt;"",$B463&amp;""&lt;&gt;$A463&amp;"",COUNTIF($A$2:$A$501,$B463)&gt;0),"Dependent SSN also appears as an Employee SSN elsewhere; confirm dual-employee coverage is intentional; ","")&amp;IF(AND($B463&lt;&gt;"",COUNTIF($B$2:$B$501,$B463)&gt;COUNTIFS($A$2:$A$501,$A463,$B$2:$B$501,$B463)),"Dependent SSN appears under more than one employee; confirm duplicate family coverage is intentional; ","")&amp;IF(AND(ROW()&gt;2,$A463&lt;&gt;"",$A463&lt;&gt;$A462,COUNTIF($A$2:$A462,$A463)&gt;0),"This household appears in more than one section of the census; keep the family together; ","")&amp;IF(OR(AND($C463&lt;&gt;"",LEN($C463&amp;"")&lt;&gt;LEN(TRIM($C463&amp;""))),AND($D463&lt;&gt;"",LEN($D463&amp;"")&lt;&gt;LEN(TRIM($D463&amp;""))),AND($E463&lt;&gt;"",LEN($E463&amp;"")&lt;&gt;LEN(TRIM($E463&amp;""))),AND($F463&lt;&gt;"",LEN($F463&amp;"")&lt;&gt;LEN(TRIM($F463&amp;""))),AND($G463&lt;&gt;"",LEN($G463&amp;"")&lt;&gt;LEN(TRIM($G463&amp;""))),AND($H463&lt;&gt;"",LEN($H463&amp;"")&lt;&gt;LEN(TRIM($H463&amp;""))),AND($I463&lt;&gt;"",LEN($I463&amp;"")&lt;&gt;LEN(TRIM($I463&amp;""))),AND($J463&lt;&gt;"",LEN($J463&amp;"")&lt;&gt;LEN(TRIM($J463&amp;""))),AND($K463&lt;&gt;"",LEN($K463&amp;"")&lt;&gt;LEN(TRIM($K463&amp;""))),AND($M463&lt;&gt;"",LEN($M463&amp;"")&lt;&gt;LEN(TRIM($M463&amp;""))),AND($N463&lt;&gt;"",LEN($N463&amp;"")&lt;&gt;LEN(TRIM($N463&amp;""))),AND($O463&lt;&gt;"",LEN($O463&amp;"")&lt;&gt;LEN(TRIM($O463&amp;""))),AND($R463&lt;&gt;"",LEN($R463&amp;"")&lt;&gt;LEN(TRIM($R463&amp;""))),AND($S463&lt;&gt;"",LEN($S463&amp;"")&lt;&gt;LEN(TRIM($S463&amp;""))),AND($T463&lt;&gt;"",LEN($T463&amp;"")&lt;&gt;LEN(TRIM($T463&amp;"")))),"Remove leading or trailing spaces from text fields; ","")&amp;IF(OR(AND(LEN($C463)&gt;1,OR(EXACT($C463,UPPER($C463)),EXACT($C463,LOWER($C463)))),AND(LEN($D463)&gt;1,OR(EXACT($D463,UPPER($D463)),EXACT($D463,LOWER($D463)))),AND(LEN($H463)&gt;1,OR(EXACT($H463,UPPER($H463)),EXACT($H463,LOWER($H463))))),"Review capitalization in First Name, Last Name, or City; ","")&amp;IF(AND($N463&lt;&gt;"",NOT(EXACT($N463,LOWER($N463)))),"Email will be standardized to lowercase in the clean output; ","")&amp;IF(AND(OR('START HERE'!$C$8="Initial Enrollment",'START HERE'!$C$8="Open Enrollment"),$R463="Terminated"),"A terminated row is included in an initial or open enrollment file; confirm this is intentional; ",""))</f>
        <v/>
      </c>
      <c r="AE463">
        <f>IF(COUNTA($A463:$U463)=0,"",IF(OR($A463="",AND($A463&lt;&gt;"",NOT(IFERROR(AND(LEN($A463&amp;"")=9,ISNUMBER(--($A463&amp;""))),FALSE))),AND($A463&lt;&gt;"",OR($A463="123456789",$A463="987654321",$A463="012345678",$A463=REPT(LEFT($A463&amp;"",1),9)))),"Employee SSN, ","")&amp;IF(OR(AND($O463&lt;&gt;"",$B463=""),AND($B463&lt;&gt;"",OR(NOT(IFERROR(AND(LEN($B463&amp;"")=9,ISNUMBER(--($B463&amp;""))),FALSE)),$B463=$A463,$B463="123456789",$B463="987654321",$B463="012345678",$B463=REPT(LEFT($B463&amp;"",1),9)))),"Dependent SSN, ","")&amp;IF(OR($C463="",LEN($C463)&gt;19,AND($C463&lt;&gt;"",SUMPRODUCT(--(ROW($1:$19)&lt;=LEN($C463&amp;"")),--ISERROR(FIND(MID($C463&amp;"",ROW($1:$19),1),"ABCDEFGHIJKLMNOPQRSTUVWXYZabcdefghijklmnopqrstuvwxyz .,")))&gt;0)),"First Name, ","")&amp;IF(OR($D463="",LEN($D463)&gt;26,AND($D463&lt;&gt;"",SUMPRODUCT(--(ROW($1:$26)&lt;=LEN($D463&amp;"")),--ISERROR(FIND(MID($D463&amp;"",ROW($1:$26),1),"ABCDEFGHIJKLMNOPQRSTUVWXYZabcdefghijklmnopqrstuvwxyz .,")))&gt;0)),"Last Name, ","")&amp;IF(OR(LEN($E463)&gt;1,AND($E463&lt;&gt;"",SUMPRODUCT(--(ROW($1:$1)&lt;=LEN($E463&amp;"")),--ISERROR(FIND(MID($E463&amp;"",ROW($1:$1),1),"ABCDEFGHIJKLMNOPQRSTUVWXYZabcdefghijklmnopqrstuvwxyz .,")))&gt;0)),"Middle Initial, ","")&amp;IF(OR($F463="",LEN($F463)&gt;75),"Address, ","")&amp;IF(OR($H463="",LEN($H463)&gt;30),"City, ","")&amp;IF(AND($K463="US",OR($I463="",LEN($I463)&lt;&gt;2)),"State, ","")&amp;IF($J463="","ZIP, ","")&amp;IF(OR($K463="",AND($K463&lt;&gt;"US",$K463&lt;&gt;"CA")),"Country, ","")&amp;IF(OR($L463="",AND($L463&lt;&gt;"",OR(NOT(ISNUMBER($L463)),$L463&lt;=DATE(1900,1,1),$L463&gt;TODAY()))),"Birthdate, ","")&amp;IF(AND($N463&lt;&gt;"",NOT(IFERROR(AND(ISNUMBER(SEARCH("@",$N463)),ISNUMBER(SEARCH(".",$N463,SEARCH("@",$N463)+2))),FALSE))),"Email, ","")&amp;IF(OR(AND($B463&lt;&gt;"",$O463=""),AND($O463&lt;&gt;"",$O463&lt;&gt;"Spouse or Common Law Spouse",$O463&lt;&gt;"Domestic Partner",$O463&lt;&gt;"Child",$O463&lt;&gt;"Other",$O463&lt;&gt;"Estate",$O463&lt;&gt;"Unknown")),"Dependent Relationship, ","")&amp;IF($AA463&lt;&gt;"","Household, ","")&amp;IF(OR($P463="",AND($P463&lt;&gt;"",OR(NOT(ISNUMBER($P463)),$P463&lt;=DATE(1900,1,1)))),"Eligibility Date, ","")&amp;IF(OR(AND($R463="Terminated",$Q463=""),AND($Q463&lt;&gt;"",OR(NOT(ISNUMBER($Q463)),$Q463&lt;=DATE(1900,1,1))),AND(ISNUMBER($P463),ISNUMBER($Q463),$Q463&lt;$P463)),"Termination Date, ","")&amp;IF(OR($R463="",AND($R463&lt;&gt;"Active",$R463&lt;&gt;"Terminated"),AND('START HERE'!$C$8="Terminations Only",$R463&lt;&gt;"Terminated")),"Status, ","")&amp;IF($S463="","Plan Name, ","")&amp;IF($T463="","Coverage Level, ","")&amp;IF(AND($U463&lt;&gt;"",OR(NOT(ISNUMBER($U463)),$U463&lt;0)),"Funding, ","")&amp;IF(AND($A463&lt;&gt;"",$S463&lt;&gt;"",COUNTIFS($A$2:$A$501,$A463,$B$2:$B$501,$B463,$S$2:$S$501,$S463)&gt;1),"Duplicate Row, ",""))</f>
        <v/>
      </c>
      <c r="AF463">
        <f>IF(COUNTA($A463:$U463)=0,"",$Y463&amp;$Z463&amp;$AA463&amp;$AB463&amp;$AC463)</f>
        <v/>
      </c>
      <c r="AG463">
        <f>IF($N463="","",LOWER(TRIM($N463)))</f>
        <v/>
      </c>
      <c r="AH463">
        <f>IF($A463="","",COUNTIFS($A$2:$A$501,$A463,$AI$2:$AI$501,1))</f>
        <v/>
      </c>
      <c r="AI463">
        <f>IF(COUNTA($A463:$U463)=0,"",--($AF463&lt;&gt;""))</f>
        <v/>
      </c>
      <c r="AJ463">
        <f>IF(COUNTA($A463:$U463)=0,"",--($AD463&lt;&gt;""))</f>
        <v/>
      </c>
    </row>
    <row r="464" ht="20" customHeight="1">
      <c r="A464" s="80" t="n"/>
      <c r="B464" s="80" t="n"/>
      <c r="C464" s="81" t="n"/>
      <c r="D464" s="81" t="n"/>
      <c r="E464" s="80" t="n"/>
      <c r="F464" s="81" t="n"/>
      <c r="G464" s="81" t="n"/>
      <c r="H464" s="81" t="n"/>
      <c r="I464" s="80" t="n"/>
      <c r="J464" s="80" t="n"/>
      <c r="K464" s="80" t="n"/>
      <c r="L464" s="82" t="n"/>
      <c r="M464" s="80" t="n"/>
      <c r="N464" s="80" t="n"/>
      <c r="O464" s="80" t="n"/>
      <c r="P464" s="82" t="n"/>
      <c r="Q464" s="82" t="n"/>
      <c r="R464" s="80" t="n"/>
      <c r="S464" s="80" t="n"/>
      <c r="T464" s="80" t="n"/>
      <c r="U464" s="83" t="n"/>
      <c r="V464">
        <f>IF($A464="","",IF($A464=$A463,$V463,IF($V463="",0,1-$V463)))</f>
        <v/>
      </c>
      <c r="W464">
        <f>IF($B464&lt;&gt;"",$B464,$A464)</f>
        <v/>
      </c>
      <c r="X464">
        <f>IF(COUNTA($A464:$U464)=0,"",IF(OR($B464&lt;&gt;"",$O464&lt;&gt;""),"Dependent","Employee"))</f>
        <v/>
      </c>
      <c r="Y464">
        <f>IF(COUNTA($A464:$U464)=0,"",IF($A464="","Employee SSN is required; ","")&amp;IF($C464="","First Name is required; ","")&amp;IF(LEN($C464&amp;"")&gt;19,"First Name exceeds 19 characters; ","")&amp;IF(AND($C464&lt;&gt;"",SUMPRODUCT(--(ROW($1:$19)&lt;=LEN($C464&amp;"")),--ISERROR(FIND(MID($C464&amp;"",ROW($1:$19),1),"ABCDEFGHIJKLMNOPQRSTUVWXYZabcdefghijklmnopqrstuvwxyz .,")))&gt;0),"First Name contains unsupported or encoded characters; use plain A-Z letters only; ","")&amp;IF($D464="","Last Name is required; ","")&amp;IF(LEN($D464&amp;"")&gt;26,"Last Name exceeds 26 characters; ","")&amp;IF(AND($D464&lt;&gt;"",SUMPRODUCT(--(ROW($1:$26)&lt;=LEN($D464&amp;"")),--ISERROR(FIND(MID($D464&amp;"",ROW($1:$26),1),"ABCDEFGHIJKLMNOPQRSTUVWXYZabcdefghijklmnopqrstuvwxyz .,")))&gt;0),"Last Name contains unsupported or encoded characters; use plain A-Z letters only; ","")&amp;IF(LEN($E464&amp;"")&gt;1,"Middle Initial may contain only one character; ","")&amp;IF(AND($E464&lt;&gt;"",SUMPRODUCT(--(ROW($1:$1)&lt;=LEN($E464&amp;"")),--ISERROR(FIND(MID($E464&amp;"",ROW($1:$1),1),"ABCDEFGHIJKLMNOPQRSTUVWXYZabcdefghijklmnopqrstuvwxyz .,")))&gt;0),"Middle Initial must be a plain A-Z letter; ","")&amp;IF($F464="","Address is required; ","")&amp;IF(LEN($F464&amp;"")&gt;75,"Address exceeds 75 characters; ","")&amp;IF(LEN($G464&amp;"")&gt;75,"Address 2 exceeds 75 characters; ","")&amp;IF($H464="","City is required; ","")&amp;IF(LEN($H464&amp;"")&gt;30,"City exceeds 30 characters; ","")&amp;IF($K464="","Country is required; ","")&amp;IF(AND($K464&lt;&gt;"",$K464&lt;&gt;"US",$K464&lt;&gt;"CA"),"Country must be US or CA; ","")&amp;IF(AND($K464="US",OR($I464="",LEN($I464&amp;"")&lt;&gt;2)),"Use a 2-letter state code; ","")&amp;IF($J464="","ZIP or postal code is required; ","")&amp;IF(AND($K464="US",$J464&lt;&gt;"",NOT(IFERROR(OR(AND(LEN($J464&amp;"")=5,ISNUMBER(--($J464&amp;""))),AND(LEN($J464&amp;"")=9,ISNUMBER(--($J464&amp;""))),AND(LEN($J464&amp;"")=10,MID($J464&amp;"",6,1)="-",ISNUMBER(--SUBSTITUTE($J464&amp;"","-","")))),FALSE))),"US ZIP must be 5 or 9 digits, with an optional ZIP+4 hyphen; ","")&amp;IF(AND($N464&lt;&gt;"",NOT(IFERROR(AND(ISNUMBER(SEARCH("@",$N464)),ISNUMBER(SEARCH(".",$N464,SEARCH("@",$N464)+2))),FALSE))),"Email format appears invalid; ","")&amp;IF(AND($O464&lt;&gt;"",$B464=""),"Dependent SSN is required for every dependent; ","")&amp;IF(AND($B464&lt;&gt;"",$O464=""),"Dependent Relationship is required when Dependent SSN is entered; ","")&amp;IF(AND($O464&lt;&gt;"",$O464&lt;&gt;"Spouse or Common Law Spouse",$O464&lt;&gt;"Domestic Partner",$O464&lt;&gt;"Child",$O464&lt;&gt;"Other",$O464&lt;&gt;"Estate",$O464&lt;&gt;"Unknown"),"Dependent Relationship must use one of the approved options; ",""))</f>
        <v/>
      </c>
      <c r="Z464">
        <f>IF(COUNTA($A464:$U464)=0,"",IF(AND($A464&lt;&gt;"",NOT(IFERROR(AND(LEN($A464&amp;"")=9,ISNUMBER(--($A464&amp;""))),FALSE))),"Employee SSN must contain exactly 9 digits; ","")&amp;IF(AND($A464&lt;&gt;"",OR($A464="123456789",$A464="987654321",$A464="012345678",$A464=REPT(LEFT($A464&amp;"",1),9))),"Employee SSN appears to be a placeholder; ","")&amp;IF(AND($B464&lt;&gt;"",NOT(IFERROR(AND(LEN($B464&amp;"")=9,ISNUMBER(--($B464&amp;""))),FALSE))),"Dependent SSN must contain exactly 9 digits; ","")&amp;IF(AND($B464&lt;&gt;"",OR($B464="123456789",$B464="987654321",$B464="012345678",$B464=REPT(LEFT($B464&amp;"",1),9))),"Dependent SSN appears to be a placeholder; ","")&amp;IF(AND($A464&lt;&gt;"",$B464&lt;&gt;"",$A464&amp;""=$B464&amp;""),"Dependent SSN cannot match Employee SSN; ","")&amp;IF(AND($W464&lt;&gt;"",OR(COUNTIFS($W$2:$W$501,$W464,$C$2:$C$501,"&lt;&gt;"&amp;$C464)&gt;0,COUNTIFS($W$2:$W$501,$W464,$D$2:$D$501,"&lt;&gt;"&amp;$D464)&gt;0,COUNTIFS($W$2:$W$501,$W464,$L$2:$L$501,"&lt;&gt;"&amp;$L464)&gt;0)),"The same SSN is associated with a different name or birthdate; ",""))</f>
        <v/>
      </c>
      <c r="AA464">
        <f>IF(COUNTA($A464:$U464)=0,"",IF(AND($A464&lt;&gt;"",$S464&lt;&gt;"",COUNTIFS($A$2:$A$501,$A464,$S$2:$S$501,$S464,$B$2:$B$501,"",$O$2:$O$501,"")=0),"Add an employee row for this household and plan; ","")&amp;IF(AND($X464="Dependent",COUNTIFS($A$2:$A464,$A464,$S$2:$S464,$S464,$B$2:$B464,"",$O$2:$O464,"")=0),"Place the employee row before dependent rows for this plan; ","")&amp;IF(AND($X464="Dependent",COUNTIFS($A$2:$A$501,$A464,$S$2:$S$501,$S464,$B$2:$B$501,"",$O$2:$O$501,"")&gt;0,IFERROR(OR($P464&lt;&gt;LOOKUP(2,1/(($A$2:$A$501=$A464)*($S$2:$S$501=$S464)*($B$2:$B$501="")*($O$2:$O$501="")),$P$2:$P$501),$Q464&lt;&gt;LOOKUP(2,1/(($A$2:$A$501=$A464)*($S$2:$S$501=$S464)*($B$2:$B$501="")*($O$2:$O$501="")),$Q$2:$Q$501),$R464&lt;&gt;LOOKUP(2,1/(($A$2:$A$501=$A464)*($S$2:$S$501=$S464)*($B$2:$B$501="")*($O$2:$O$501="")),$R$2:$R$501),$T464&lt;&gt;LOOKUP(2,1/(($A$2:$A$501=$A464)*($S$2:$S$501=$S464)*($B$2:$B$501="")*($O$2:$O$501="")),$T$2:$T$501),$U464&lt;&gt;LOOKUP(2,1/(($A$2:$A$501=$A464)*($S$2:$S$501=$S464)*($B$2:$B$501="")*($O$2:$O$501="")),$U$2:$U$501)),FALSE)),"Dependent row does not match the employee row for eligibility, status, coverage level, or funding; ",""))</f>
        <v/>
      </c>
      <c r="AB464">
        <f>IF(COUNTA($A464:$U464)=0,"",IF($L464="","Birthdate is required; ","")&amp;IF(AND($L464&lt;&gt;"",OR(NOT(ISNUMBER($L464)),$L464&lt;=DATE(1900,1,1),$L464&gt;TODAY())),"Birthdate must be an exact valid past date; ","")&amp;IF($P464="","Eligibility Date is required; ","")&amp;IF(AND($P464&lt;&gt;"",OR(NOT(ISNUMBER($P464)),$P464&lt;=DATE(1900,1,1))),"Eligibility Date must be a valid date; ","")&amp;IF(AND($R464="Terminated",$Q464=""),"Termination Date is required when Status is Terminated; ","")&amp;IF(AND($Q464&lt;&gt;"",OR(NOT(ISNUMBER($Q464)),$Q464&lt;=DATE(1900,1,1))),"Termination Date must be a valid date; ","")&amp;IF(AND(ISNUMBER($P464),ISNUMBER($Q464),$Q464&lt;$P464),"Termination Date cannot be before Eligibility Date; ","")&amp;IF($R464="","Status is required; ","")&amp;IF(AND($R464&lt;&gt;"",$R464&lt;&gt;"Active",$R464&lt;&gt;"Terminated"),"Status must be Active or Terminated; ","")&amp;IF(AND('START HERE'!$C$8="Terminations Only",$R464&lt;&gt;"Terminated"),"Terminations Only files must contain terminated records; ",""))</f>
        <v/>
      </c>
      <c r="AC464">
        <f>IF(COUNTA($A464:$U464)=0,"",IF($S464="","Plan Name is required; ","")&amp;IF($T464="","Benefit Coverage Level is required; ","")&amp;IF(AND($U464&lt;&gt;"",OR(NOT(ISNUMBER($U464)),$U464&lt;0)),"Plan Funding Amount must be a nonnegative number; ","")&amp;IF(AND($A464&lt;&gt;"",$S464&lt;&gt;"",COUNTIFS($A$2:$A$501,$A464,$B$2:$B$501,$B464,$S$2:$S$501,$S464)&gt;1),"Duplicate participant and plan row; ",""))</f>
        <v/>
      </c>
      <c r="AD464">
        <f>IF(COUNTA($A464:$U464)=0,"",IF(AND($X464="Employee",$M464="",$N464=""),"No employee phone or email provided; ","")&amp;IF(AND($R464="Active",$Q464&lt;&gt;""),"Active record includes a Termination Date; confirm this is intentional; ","")&amp;IF(AND($B464&lt;&gt;"",$B464&amp;""&lt;&gt;$A464&amp;"",COUNTIF($A$2:$A$501,$B464)&gt;0),"Dependent SSN also appears as an Employee SSN elsewhere; confirm dual-employee coverage is intentional; ","")&amp;IF(AND($B464&lt;&gt;"",COUNTIF($B$2:$B$501,$B464)&gt;COUNTIFS($A$2:$A$501,$A464,$B$2:$B$501,$B464)),"Dependent SSN appears under more than one employee; confirm duplicate family coverage is intentional; ","")&amp;IF(AND(ROW()&gt;2,$A464&lt;&gt;"",$A464&lt;&gt;$A463,COUNTIF($A$2:$A463,$A464)&gt;0),"This household appears in more than one section of the census; keep the family together; ","")&amp;IF(OR(AND($C464&lt;&gt;"",LEN($C464&amp;"")&lt;&gt;LEN(TRIM($C464&amp;""))),AND($D464&lt;&gt;"",LEN($D464&amp;"")&lt;&gt;LEN(TRIM($D464&amp;""))),AND($E464&lt;&gt;"",LEN($E464&amp;"")&lt;&gt;LEN(TRIM($E464&amp;""))),AND($F464&lt;&gt;"",LEN($F464&amp;"")&lt;&gt;LEN(TRIM($F464&amp;""))),AND($G464&lt;&gt;"",LEN($G464&amp;"")&lt;&gt;LEN(TRIM($G464&amp;""))),AND($H464&lt;&gt;"",LEN($H464&amp;"")&lt;&gt;LEN(TRIM($H464&amp;""))),AND($I464&lt;&gt;"",LEN($I464&amp;"")&lt;&gt;LEN(TRIM($I464&amp;""))),AND($J464&lt;&gt;"",LEN($J464&amp;"")&lt;&gt;LEN(TRIM($J464&amp;""))),AND($K464&lt;&gt;"",LEN($K464&amp;"")&lt;&gt;LEN(TRIM($K464&amp;""))),AND($M464&lt;&gt;"",LEN($M464&amp;"")&lt;&gt;LEN(TRIM($M464&amp;""))),AND($N464&lt;&gt;"",LEN($N464&amp;"")&lt;&gt;LEN(TRIM($N464&amp;""))),AND($O464&lt;&gt;"",LEN($O464&amp;"")&lt;&gt;LEN(TRIM($O464&amp;""))),AND($R464&lt;&gt;"",LEN($R464&amp;"")&lt;&gt;LEN(TRIM($R464&amp;""))),AND($S464&lt;&gt;"",LEN($S464&amp;"")&lt;&gt;LEN(TRIM($S464&amp;""))),AND($T464&lt;&gt;"",LEN($T464&amp;"")&lt;&gt;LEN(TRIM($T464&amp;"")))),"Remove leading or trailing spaces from text fields; ","")&amp;IF(OR(AND(LEN($C464)&gt;1,OR(EXACT($C464,UPPER($C464)),EXACT($C464,LOWER($C464)))),AND(LEN($D464)&gt;1,OR(EXACT($D464,UPPER($D464)),EXACT($D464,LOWER($D464)))),AND(LEN($H464)&gt;1,OR(EXACT($H464,UPPER($H464)),EXACT($H464,LOWER($H464))))),"Review capitalization in First Name, Last Name, or City; ","")&amp;IF(AND($N464&lt;&gt;"",NOT(EXACT($N464,LOWER($N464)))),"Email will be standardized to lowercase in the clean output; ","")&amp;IF(AND(OR('START HERE'!$C$8="Initial Enrollment",'START HERE'!$C$8="Open Enrollment"),$R464="Terminated"),"A terminated row is included in an initial or open enrollment file; confirm this is intentional; ",""))</f>
        <v/>
      </c>
      <c r="AE464">
        <f>IF(COUNTA($A464:$U464)=0,"",IF(OR($A464="",AND($A464&lt;&gt;"",NOT(IFERROR(AND(LEN($A464&amp;"")=9,ISNUMBER(--($A464&amp;""))),FALSE))),AND($A464&lt;&gt;"",OR($A464="123456789",$A464="987654321",$A464="012345678",$A464=REPT(LEFT($A464&amp;"",1),9)))),"Employee SSN, ","")&amp;IF(OR(AND($O464&lt;&gt;"",$B464=""),AND($B464&lt;&gt;"",OR(NOT(IFERROR(AND(LEN($B464&amp;"")=9,ISNUMBER(--($B464&amp;""))),FALSE)),$B464=$A464,$B464="123456789",$B464="987654321",$B464="012345678",$B464=REPT(LEFT($B464&amp;"",1),9)))),"Dependent SSN, ","")&amp;IF(OR($C464="",LEN($C464)&gt;19,AND($C464&lt;&gt;"",SUMPRODUCT(--(ROW($1:$19)&lt;=LEN($C464&amp;"")),--ISERROR(FIND(MID($C464&amp;"",ROW($1:$19),1),"ABCDEFGHIJKLMNOPQRSTUVWXYZabcdefghijklmnopqrstuvwxyz .,")))&gt;0)),"First Name, ","")&amp;IF(OR($D464="",LEN($D464)&gt;26,AND($D464&lt;&gt;"",SUMPRODUCT(--(ROW($1:$26)&lt;=LEN($D464&amp;"")),--ISERROR(FIND(MID($D464&amp;"",ROW($1:$26),1),"ABCDEFGHIJKLMNOPQRSTUVWXYZabcdefghijklmnopqrstuvwxyz .,")))&gt;0)),"Last Name, ","")&amp;IF(OR(LEN($E464)&gt;1,AND($E464&lt;&gt;"",SUMPRODUCT(--(ROW($1:$1)&lt;=LEN($E464&amp;"")),--ISERROR(FIND(MID($E464&amp;"",ROW($1:$1),1),"ABCDEFGHIJKLMNOPQRSTUVWXYZabcdefghijklmnopqrstuvwxyz .,")))&gt;0)),"Middle Initial, ","")&amp;IF(OR($F464="",LEN($F464)&gt;75),"Address, ","")&amp;IF(OR($H464="",LEN($H464)&gt;30),"City, ","")&amp;IF(AND($K464="US",OR($I464="",LEN($I464)&lt;&gt;2)),"State, ","")&amp;IF($J464="","ZIP, ","")&amp;IF(OR($K464="",AND($K464&lt;&gt;"US",$K464&lt;&gt;"CA")),"Country, ","")&amp;IF(OR($L464="",AND($L464&lt;&gt;"",OR(NOT(ISNUMBER($L464)),$L464&lt;=DATE(1900,1,1),$L464&gt;TODAY()))),"Birthdate, ","")&amp;IF(AND($N464&lt;&gt;"",NOT(IFERROR(AND(ISNUMBER(SEARCH("@",$N464)),ISNUMBER(SEARCH(".",$N464,SEARCH("@",$N464)+2))),FALSE))),"Email, ","")&amp;IF(OR(AND($B464&lt;&gt;"",$O464=""),AND($O464&lt;&gt;"",$O464&lt;&gt;"Spouse or Common Law Spouse",$O464&lt;&gt;"Domestic Partner",$O464&lt;&gt;"Child",$O464&lt;&gt;"Other",$O464&lt;&gt;"Estate",$O464&lt;&gt;"Unknown")),"Dependent Relationship, ","")&amp;IF($AA464&lt;&gt;"","Household, ","")&amp;IF(OR($P464="",AND($P464&lt;&gt;"",OR(NOT(ISNUMBER($P464)),$P464&lt;=DATE(1900,1,1)))),"Eligibility Date, ","")&amp;IF(OR(AND($R464="Terminated",$Q464=""),AND($Q464&lt;&gt;"",OR(NOT(ISNUMBER($Q464)),$Q464&lt;=DATE(1900,1,1))),AND(ISNUMBER($P464),ISNUMBER($Q464),$Q464&lt;$P464)),"Termination Date, ","")&amp;IF(OR($R464="",AND($R464&lt;&gt;"Active",$R464&lt;&gt;"Terminated"),AND('START HERE'!$C$8="Terminations Only",$R464&lt;&gt;"Terminated")),"Status, ","")&amp;IF($S464="","Plan Name, ","")&amp;IF($T464="","Coverage Level, ","")&amp;IF(AND($U464&lt;&gt;"",OR(NOT(ISNUMBER($U464)),$U464&lt;0)),"Funding, ","")&amp;IF(AND($A464&lt;&gt;"",$S464&lt;&gt;"",COUNTIFS($A$2:$A$501,$A464,$B$2:$B$501,$B464,$S$2:$S$501,$S464)&gt;1),"Duplicate Row, ",""))</f>
        <v/>
      </c>
      <c r="AF464">
        <f>IF(COUNTA($A464:$U464)=0,"",$Y464&amp;$Z464&amp;$AA464&amp;$AB464&amp;$AC464)</f>
        <v/>
      </c>
      <c r="AG464">
        <f>IF($N464="","",LOWER(TRIM($N464)))</f>
        <v/>
      </c>
      <c r="AH464">
        <f>IF($A464="","",COUNTIFS($A$2:$A$501,$A464,$AI$2:$AI$501,1))</f>
        <v/>
      </c>
      <c r="AI464">
        <f>IF(COUNTA($A464:$U464)=0,"",--($AF464&lt;&gt;""))</f>
        <v/>
      </c>
      <c r="AJ464">
        <f>IF(COUNTA($A464:$U464)=0,"",--($AD464&lt;&gt;""))</f>
        <v/>
      </c>
    </row>
    <row r="465" ht="20" customHeight="1">
      <c r="A465" s="80" t="n"/>
      <c r="B465" s="80" t="n"/>
      <c r="C465" s="81" t="n"/>
      <c r="D465" s="81" t="n"/>
      <c r="E465" s="80" t="n"/>
      <c r="F465" s="81" t="n"/>
      <c r="G465" s="81" t="n"/>
      <c r="H465" s="81" t="n"/>
      <c r="I465" s="80" t="n"/>
      <c r="J465" s="80" t="n"/>
      <c r="K465" s="80" t="n"/>
      <c r="L465" s="82" t="n"/>
      <c r="M465" s="80" t="n"/>
      <c r="N465" s="80" t="n"/>
      <c r="O465" s="80" t="n"/>
      <c r="P465" s="82" t="n"/>
      <c r="Q465" s="82" t="n"/>
      <c r="R465" s="80" t="n"/>
      <c r="S465" s="80" t="n"/>
      <c r="T465" s="80" t="n"/>
      <c r="U465" s="83" t="n"/>
      <c r="V465">
        <f>IF($A465="","",IF($A465=$A464,$V464,IF($V464="",0,1-$V464)))</f>
        <v/>
      </c>
      <c r="W465">
        <f>IF($B465&lt;&gt;"",$B465,$A465)</f>
        <v/>
      </c>
      <c r="X465">
        <f>IF(COUNTA($A465:$U465)=0,"",IF(OR($B465&lt;&gt;"",$O465&lt;&gt;""),"Dependent","Employee"))</f>
        <v/>
      </c>
      <c r="Y465">
        <f>IF(COUNTA($A465:$U465)=0,"",IF($A465="","Employee SSN is required; ","")&amp;IF($C465="","First Name is required; ","")&amp;IF(LEN($C465&amp;"")&gt;19,"First Name exceeds 19 characters; ","")&amp;IF(AND($C465&lt;&gt;"",SUMPRODUCT(--(ROW($1:$19)&lt;=LEN($C465&amp;"")),--ISERROR(FIND(MID($C465&amp;"",ROW($1:$19),1),"ABCDEFGHIJKLMNOPQRSTUVWXYZabcdefghijklmnopqrstuvwxyz .,")))&gt;0),"First Name contains unsupported or encoded characters; use plain A-Z letters only; ","")&amp;IF($D465="","Last Name is required; ","")&amp;IF(LEN($D465&amp;"")&gt;26,"Last Name exceeds 26 characters; ","")&amp;IF(AND($D465&lt;&gt;"",SUMPRODUCT(--(ROW($1:$26)&lt;=LEN($D465&amp;"")),--ISERROR(FIND(MID($D465&amp;"",ROW($1:$26),1),"ABCDEFGHIJKLMNOPQRSTUVWXYZabcdefghijklmnopqrstuvwxyz .,")))&gt;0),"Last Name contains unsupported or encoded characters; use plain A-Z letters only; ","")&amp;IF(LEN($E465&amp;"")&gt;1,"Middle Initial may contain only one character; ","")&amp;IF(AND($E465&lt;&gt;"",SUMPRODUCT(--(ROW($1:$1)&lt;=LEN($E465&amp;"")),--ISERROR(FIND(MID($E465&amp;"",ROW($1:$1),1),"ABCDEFGHIJKLMNOPQRSTUVWXYZabcdefghijklmnopqrstuvwxyz .,")))&gt;0),"Middle Initial must be a plain A-Z letter; ","")&amp;IF($F465="","Address is required; ","")&amp;IF(LEN($F465&amp;"")&gt;75,"Address exceeds 75 characters; ","")&amp;IF(LEN($G465&amp;"")&gt;75,"Address 2 exceeds 75 characters; ","")&amp;IF($H465="","City is required; ","")&amp;IF(LEN($H465&amp;"")&gt;30,"City exceeds 30 characters; ","")&amp;IF($K465="","Country is required; ","")&amp;IF(AND($K465&lt;&gt;"",$K465&lt;&gt;"US",$K465&lt;&gt;"CA"),"Country must be US or CA; ","")&amp;IF(AND($K465="US",OR($I465="",LEN($I465&amp;"")&lt;&gt;2)),"Use a 2-letter state code; ","")&amp;IF($J465="","ZIP or postal code is required; ","")&amp;IF(AND($K465="US",$J465&lt;&gt;"",NOT(IFERROR(OR(AND(LEN($J465&amp;"")=5,ISNUMBER(--($J465&amp;""))),AND(LEN($J465&amp;"")=9,ISNUMBER(--($J465&amp;""))),AND(LEN($J465&amp;"")=10,MID($J465&amp;"",6,1)="-",ISNUMBER(--SUBSTITUTE($J465&amp;"","-","")))),FALSE))),"US ZIP must be 5 or 9 digits, with an optional ZIP+4 hyphen; ","")&amp;IF(AND($N465&lt;&gt;"",NOT(IFERROR(AND(ISNUMBER(SEARCH("@",$N465)),ISNUMBER(SEARCH(".",$N465,SEARCH("@",$N465)+2))),FALSE))),"Email format appears invalid; ","")&amp;IF(AND($O465&lt;&gt;"",$B465=""),"Dependent SSN is required for every dependent; ","")&amp;IF(AND($B465&lt;&gt;"",$O465=""),"Dependent Relationship is required when Dependent SSN is entered; ","")&amp;IF(AND($O465&lt;&gt;"",$O465&lt;&gt;"Spouse or Common Law Spouse",$O465&lt;&gt;"Domestic Partner",$O465&lt;&gt;"Child",$O465&lt;&gt;"Other",$O465&lt;&gt;"Estate",$O465&lt;&gt;"Unknown"),"Dependent Relationship must use one of the approved options; ",""))</f>
        <v/>
      </c>
      <c r="Z465">
        <f>IF(COUNTA($A465:$U465)=0,"",IF(AND($A465&lt;&gt;"",NOT(IFERROR(AND(LEN($A465&amp;"")=9,ISNUMBER(--($A465&amp;""))),FALSE))),"Employee SSN must contain exactly 9 digits; ","")&amp;IF(AND($A465&lt;&gt;"",OR($A465="123456789",$A465="987654321",$A465="012345678",$A465=REPT(LEFT($A465&amp;"",1),9))),"Employee SSN appears to be a placeholder; ","")&amp;IF(AND($B465&lt;&gt;"",NOT(IFERROR(AND(LEN($B465&amp;"")=9,ISNUMBER(--($B465&amp;""))),FALSE))),"Dependent SSN must contain exactly 9 digits; ","")&amp;IF(AND($B465&lt;&gt;"",OR($B465="123456789",$B465="987654321",$B465="012345678",$B465=REPT(LEFT($B465&amp;"",1),9))),"Dependent SSN appears to be a placeholder; ","")&amp;IF(AND($A465&lt;&gt;"",$B465&lt;&gt;"",$A465&amp;""=$B465&amp;""),"Dependent SSN cannot match Employee SSN; ","")&amp;IF(AND($W465&lt;&gt;"",OR(COUNTIFS($W$2:$W$501,$W465,$C$2:$C$501,"&lt;&gt;"&amp;$C465)&gt;0,COUNTIFS($W$2:$W$501,$W465,$D$2:$D$501,"&lt;&gt;"&amp;$D465)&gt;0,COUNTIFS($W$2:$W$501,$W465,$L$2:$L$501,"&lt;&gt;"&amp;$L465)&gt;0)),"The same SSN is associated with a different name or birthdate; ",""))</f>
        <v/>
      </c>
      <c r="AA465">
        <f>IF(COUNTA($A465:$U465)=0,"",IF(AND($A465&lt;&gt;"",$S465&lt;&gt;"",COUNTIFS($A$2:$A$501,$A465,$S$2:$S$501,$S465,$B$2:$B$501,"",$O$2:$O$501,"")=0),"Add an employee row for this household and plan; ","")&amp;IF(AND($X465="Dependent",COUNTIFS($A$2:$A465,$A465,$S$2:$S465,$S465,$B$2:$B465,"",$O$2:$O465,"")=0),"Place the employee row before dependent rows for this plan; ","")&amp;IF(AND($X465="Dependent",COUNTIFS($A$2:$A$501,$A465,$S$2:$S$501,$S465,$B$2:$B$501,"",$O$2:$O$501,"")&gt;0,IFERROR(OR($P465&lt;&gt;LOOKUP(2,1/(($A$2:$A$501=$A465)*($S$2:$S$501=$S465)*($B$2:$B$501="")*($O$2:$O$501="")),$P$2:$P$501),$Q465&lt;&gt;LOOKUP(2,1/(($A$2:$A$501=$A465)*($S$2:$S$501=$S465)*($B$2:$B$501="")*($O$2:$O$501="")),$Q$2:$Q$501),$R465&lt;&gt;LOOKUP(2,1/(($A$2:$A$501=$A465)*($S$2:$S$501=$S465)*($B$2:$B$501="")*($O$2:$O$501="")),$R$2:$R$501),$T465&lt;&gt;LOOKUP(2,1/(($A$2:$A$501=$A465)*($S$2:$S$501=$S465)*($B$2:$B$501="")*($O$2:$O$501="")),$T$2:$T$501),$U465&lt;&gt;LOOKUP(2,1/(($A$2:$A$501=$A465)*($S$2:$S$501=$S465)*($B$2:$B$501="")*($O$2:$O$501="")),$U$2:$U$501)),FALSE)),"Dependent row does not match the employee row for eligibility, status, coverage level, or funding; ",""))</f>
        <v/>
      </c>
      <c r="AB465">
        <f>IF(COUNTA($A465:$U465)=0,"",IF($L465="","Birthdate is required; ","")&amp;IF(AND($L465&lt;&gt;"",OR(NOT(ISNUMBER($L465)),$L465&lt;=DATE(1900,1,1),$L465&gt;TODAY())),"Birthdate must be an exact valid past date; ","")&amp;IF($P465="","Eligibility Date is required; ","")&amp;IF(AND($P465&lt;&gt;"",OR(NOT(ISNUMBER($P465)),$P465&lt;=DATE(1900,1,1))),"Eligibility Date must be a valid date; ","")&amp;IF(AND($R465="Terminated",$Q465=""),"Termination Date is required when Status is Terminated; ","")&amp;IF(AND($Q465&lt;&gt;"",OR(NOT(ISNUMBER($Q465)),$Q465&lt;=DATE(1900,1,1))),"Termination Date must be a valid date; ","")&amp;IF(AND(ISNUMBER($P465),ISNUMBER($Q465),$Q465&lt;$P465),"Termination Date cannot be before Eligibility Date; ","")&amp;IF($R465="","Status is required; ","")&amp;IF(AND($R465&lt;&gt;"",$R465&lt;&gt;"Active",$R465&lt;&gt;"Terminated"),"Status must be Active or Terminated; ","")&amp;IF(AND('START HERE'!$C$8="Terminations Only",$R465&lt;&gt;"Terminated"),"Terminations Only files must contain terminated records; ",""))</f>
        <v/>
      </c>
      <c r="AC465">
        <f>IF(COUNTA($A465:$U465)=0,"",IF($S465="","Plan Name is required; ","")&amp;IF($T465="","Benefit Coverage Level is required; ","")&amp;IF(AND($U465&lt;&gt;"",OR(NOT(ISNUMBER($U465)),$U465&lt;0)),"Plan Funding Amount must be a nonnegative number; ","")&amp;IF(AND($A465&lt;&gt;"",$S465&lt;&gt;"",COUNTIFS($A$2:$A$501,$A465,$B$2:$B$501,$B465,$S$2:$S$501,$S465)&gt;1),"Duplicate participant and plan row; ",""))</f>
        <v/>
      </c>
      <c r="AD465">
        <f>IF(COUNTA($A465:$U465)=0,"",IF(AND($X465="Employee",$M465="",$N465=""),"No employee phone or email provided; ","")&amp;IF(AND($R465="Active",$Q465&lt;&gt;""),"Active record includes a Termination Date; confirm this is intentional; ","")&amp;IF(AND($B465&lt;&gt;"",$B465&amp;""&lt;&gt;$A465&amp;"",COUNTIF($A$2:$A$501,$B465)&gt;0),"Dependent SSN also appears as an Employee SSN elsewhere; confirm dual-employee coverage is intentional; ","")&amp;IF(AND($B465&lt;&gt;"",COUNTIF($B$2:$B$501,$B465)&gt;COUNTIFS($A$2:$A$501,$A465,$B$2:$B$501,$B465)),"Dependent SSN appears under more than one employee; confirm duplicate family coverage is intentional; ","")&amp;IF(AND(ROW()&gt;2,$A465&lt;&gt;"",$A465&lt;&gt;$A464,COUNTIF($A$2:$A464,$A465)&gt;0),"This household appears in more than one section of the census; keep the family together; ","")&amp;IF(OR(AND($C465&lt;&gt;"",LEN($C465&amp;"")&lt;&gt;LEN(TRIM($C465&amp;""))),AND($D465&lt;&gt;"",LEN($D465&amp;"")&lt;&gt;LEN(TRIM($D465&amp;""))),AND($E465&lt;&gt;"",LEN($E465&amp;"")&lt;&gt;LEN(TRIM($E465&amp;""))),AND($F465&lt;&gt;"",LEN($F465&amp;"")&lt;&gt;LEN(TRIM($F465&amp;""))),AND($G465&lt;&gt;"",LEN($G465&amp;"")&lt;&gt;LEN(TRIM($G465&amp;""))),AND($H465&lt;&gt;"",LEN($H465&amp;"")&lt;&gt;LEN(TRIM($H465&amp;""))),AND($I465&lt;&gt;"",LEN($I465&amp;"")&lt;&gt;LEN(TRIM($I465&amp;""))),AND($J465&lt;&gt;"",LEN($J465&amp;"")&lt;&gt;LEN(TRIM($J465&amp;""))),AND($K465&lt;&gt;"",LEN($K465&amp;"")&lt;&gt;LEN(TRIM($K465&amp;""))),AND($M465&lt;&gt;"",LEN($M465&amp;"")&lt;&gt;LEN(TRIM($M465&amp;""))),AND($N465&lt;&gt;"",LEN($N465&amp;"")&lt;&gt;LEN(TRIM($N465&amp;""))),AND($O465&lt;&gt;"",LEN($O465&amp;"")&lt;&gt;LEN(TRIM($O465&amp;""))),AND($R465&lt;&gt;"",LEN($R465&amp;"")&lt;&gt;LEN(TRIM($R465&amp;""))),AND($S465&lt;&gt;"",LEN($S465&amp;"")&lt;&gt;LEN(TRIM($S465&amp;""))),AND($T465&lt;&gt;"",LEN($T465&amp;"")&lt;&gt;LEN(TRIM($T465&amp;"")))),"Remove leading or trailing spaces from text fields; ","")&amp;IF(OR(AND(LEN($C465)&gt;1,OR(EXACT($C465,UPPER($C465)),EXACT($C465,LOWER($C465)))),AND(LEN($D465)&gt;1,OR(EXACT($D465,UPPER($D465)),EXACT($D465,LOWER($D465)))),AND(LEN($H465)&gt;1,OR(EXACT($H465,UPPER($H465)),EXACT($H465,LOWER($H465))))),"Review capitalization in First Name, Last Name, or City; ","")&amp;IF(AND($N465&lt;&gt;"",NOT(EXACT($N465,LOWER($N465)))),"Email will be standardized to lowercase in the clean output; ","")&amp;IF(AND(OR('START HERE'!$C$8="Initial Enrollment",'START HERE'!$C$8="Open Enrollment"),$R465="Terminated"),"A terminated row is included in an initial or open enrollment file; confirm this is intentional; ",""))</f>
        <v/>
      </c>
      <c r="AE465">
        <f>IF(COUNTA($A465:$U465)=0,"",IF(OR($A465="",AND($A465&lt;&gt;"",NOT(IFERROR(AND(LEN($A465&amp;"")=9,ISNUMBER(--($A465&amp;""))),FALSE))),AND($A465&lt;&gt;"",OR($A465="123456789",$A465="987654321",$A465="012345678",$A465=REPT(LEFT($A465&amp;"",1),9)))),"Employee SSN, ","")&amp;IF(OR(AND($O465&lt;&gt;"",$B465=""),AND($B465&lt;&gt;"",OR(NOT(IFERROR(AND(LEN($B465&amp;"")=9,ISNUMBER(--($B465&amp;""))),FALSE)),$B465=$A465,$B465="123456789",$B465="987654321",$B465="012345678",$B465=REPT(LEFT($B465&amp;"",1),9)))),"Dependent SSN, ","")&amp;IF(OR($C465="",LEN($C465)&gt;19,AND($C465&lt;&gt;"",SUMPRODUCT(--(ROW($1:$19)&lt;=LEN($C465&amp;"")),--ISERROR(FIND(MID($C465&amp;"",ROW($1:$19),1),"ABCDEFGHIJKLMNOPQRSTUVWXYZabcdefghijklmnopqrstuvwxyz .,")))&gt;0)),"First Name, ","")&amp;IF(OR($D465="",LEN($D465)&gt;26,AND($D465&lt;&gt;"",SUMPRODUCT(--(ROW($1:$26)&lt;=LEN($D465&amp;"")),--ISERROR(FIND(MID($D465&amp;"",ROW($1:$26),1),"ABCDEFGHIJKLMNOPQRSTUVWXYZabcdefghijklmnopqrstuvwxyz .,")))&gt;0)),"Last Name, ","")&amp;IF(OR(LEN($E465)&gt;1,AND($E465&lt;&gt;"",SUMPRODUCT(--(ROW($1:$1)&lt;=LEN($E465&amp;"")),--ISERROR(FIND(MID($E465&amp;"",ROW($1:$1),1),"ABCDEFGHIJKLMNOPQRSTUVWXYZabcdefghijklmnopqrstuvwxyz .,")))&gt;0)),"Middle Initial, ","")&amp;IF(OR($F465="",LEN($F465)&gt;75),"Address, ","")&amp;IF(OR($H465="",LEN($H465)&gt;30),"City, ","")&amp;IF(AND($K465="US",OR($I465="",LEN($I465)&lt;&gt;2)),"State, ","")&amp;IF($J465="","ZIP, ","")&amp;IF(OR($K465="",AND($K465&lt;&gt;"US",$K465&lt;&gt;"CA")),"Country, ","")&amp;IF(OR($L465="",AND($L465&lt;&gt;"",OR(NOT(ISNUMBER($L465)),$L465&lt;=DATE(1900,1,1),$L465&gt;TODAY()))),"Birthdate, ","")&amp;IF(AND($N465&lt;&gt;"",NOT(IFERROR(AND(ISNUMBER(SEARCH("@",$N465)),ISNUMBER(SEARCH(".",$N465,SEARCH("@",$N465)+2))),FALSE))),"Email, ","")&amp;IF(OR(AND($B465&lt;&gt;"",$O465=""),AND($O465&lt;&gt;"",$O465&lt;&gt;"Spouse or Common Law Spouse",$O465&lt;&gt;"Domestic Partner",$O465&lt;&gt;"Child",$O465&lt;&gt;"Other",$O465&lt;&gt;"Estate",$O465&lt;&gt;"Unknown")),"Dependent Relationship, ","")&amp;IF($AA465&lt;&gt;"","Household, ","")&amp;IF(OR($P465="",AND($P465&lt;&gt;"",OR(NOT(ISNUMBER($P465)),$P465&lt;=DATE(1900,1,1)))),"Eligibility Date, ","")&amp;IF(OR(AND($R465="Terminated",$Q465=""),AND($Q465&lt;&gt;"",OR(NOT(ISNUMBER($Q465)),$Q465&lt;=DATE(1900,1,1))),AND(ISNUMBER($P465),ISNUMBER($Q465),$Q465&lt;$P465)),"Termination Date, ","")&amp;IF(OR($R465="",AND($R465&lt;&gt;"Active",$R465&lt;&gt;"Terminated"),AND('START HERE'!$C$8="Terminations Only",$R465&lt;&gt;"Terminated")),"Status, ","")&amp;IF($S465="","Plan Name, ","")&amp;IF($T465="","Coverage Level, ","")&amp;IF(AND($U465&lt;&gt;"",OR(NOT(ISNUMBER($U465)),$U465&lt;0)),"Funding, ","")&amp;IF(AND($A465&lt;&gt;"",$S465&lt;&gt;"",COUNTIFS($A$2:$A$501,$A465,$B$2:$B$501,$B465,$S$2:$S$501,$S465)&gt;1),"Duplicate Row, ",""))</f>
        <v/>
      </c>
      <c r="AF465">
        <f>IF(COUNTA($A465:$U465)=0,"",$Y465&amp;$Z465&amp;$AA465&amp;$AB465&amp;$AC465)</f>
        <v/>
      </c>
      <c r="AG465">
        <f>IF($N465="","",LOWER(TRIM($N465)))</f>
        <v/>
      </c>
      <c r="AH465">
        <f>IF($A465="","",COUNTIFS($A$2:$A$501,$A465,$AI$2:$AI$501,1))</f>
        <v/>
      </c>
      <c r="AI465">
        <f>IF(COUNTA($A465:$U465)=0,"",--($AF465&lt;&gt;""))</f>
        <v/>
      </c>
      <c r="AJ465">
        <f>IF(COUNTA($A465:$U465)=0,"",--($AD465&lt;&gt;""))</f>
        <v/>
      </c>
    </row>
    <row r="466" ht="20" customHeight="1">
      <c r="A466" s="80" t="n"/>
      <c r="B466" s="80" t="n"/>
      <c r="C466" s="81" t="n"/>
      <c r="D466" s="81" t="n"/>
      <c r="E466" s="80" t="n"/>
      <c r="F466" s="81" t="n"/>
      <c r="G466" s="81" t="n"/>
      <c r="H466" s="81" t="n"/>
      <c r="I466" s="80" t="n"/>
      <c r="J466" s="80" t="n"/>
      <c r="K466" s="80" t="n"/>
      <c r="L466" s="82" t="n"/>
      <c r="M466" s="80" t="n"/>
      <c r="N466" s="80" t="n"/>
      <c r="O466" s="80" t="n"/>
      <c r="P466" s="82" t="n"/>
      <c r="Q466" s="82" t="n"/>
      <c r="R466" s="80" t="n"/>
      <c r="S466" s="80" t="n"/>
      <c r="T466" s="80" t="n"/>
      <c r="U466" s="83" t="n"/>
      <c r="V466">
        <f>IF($A466="","",IF($A466=$A465,$V465,IF($V465="",0,1-$V465)))</f>
        <v/>
      </c>
      <c r="W466">
        <f>IF($B466&lt;&gt;"",$B466,$A466)</f>
        <v/>
      </c>
      <c r="X466">
        <f>IF(COUNTA($A466:$U466)=0,"",IF(OR($B466&lt;&gt;"",$O466&lt;&gt;""),"Dependent","Employee"))</f>
        <v/>
      </c>
      <c r="Y466">
        <f>IF(COUNTA($A466:$U466)=0,"",IF($A466="","Employee SSN is required; ","")&amp;IF($C466="","First Name is required; ","")&amp;IF(LEN($C466&amp;"")&gt;19,"First Name exceeds 19 characters; ","")&amp;IF(AND($C466&lt;&gt;"",SUMPRODUCT(--(ROW($1:$19)&lt;=LEN($C466&amp;"")),--ISERROR(FIND(MID($C466&amp;"",ROW($1:$19),1),"ABCDEFGHIJKLMNOPQRSTUVWXYZabcdefghijklmnopqrstuvwxyz .,")))&gt;0),"First Name contains unsupported or encoded characters; use plain A-Z letters only; ","")&amp;IF($D466="","Last Name is required; ","")&amp;IF(LEN($D466&amp;"")&gt;26,"Last Name exceeds 26 characters; ","")&amp;IF(AND($D466&lt;&gt;"",SUMPRODUCT(--(ROW($1:$26)&lt;=LEN($D466&amp;"")),--ISERROR(FIND(MID($D466&amp;"",ROW($1:$26),1),"ABCDEFGHIJKLMNOPQRSTUVWXYZabcdefghijklmnopqrstuvwxyz .,")))&gt;0),"Last Name contains unsupported or encoded characters; use plain A-Z letters only; ","")&amp;IF(LEN($E466&amp;"")&gt;1,"Middle Initial may contain only one character; ","")&amp;IF(AND($E466&lt;&gt;"",SUMPRODUCT(--(ROW($1:$1)&lt;=LEN($E466&amp;"")),--ISERROR(FIND(MID($E466&amp;"",ROW($1:$1),1),"ABCDEFGHIJKLMNOPQRSTUVWXYZabcdefghijklmnopqrstuvwxyz .,")))&gt;0),"Middle Initial must be a plain A-Z letter; ","")&amp;IF($F466="","Address is required; ","")&amp;IF(LEN($F466&amp;"")&gt;75,"Address exceeds 75 characters; ","")&amp;IF(LEN($G466&amp;"")&gt;75,"Address 2 exceeds 75 characters; ","")&amp;IF($H466="","City is required; ","")&amp;IF(LEN($H466&amp;"")&gt;30,"City exceeds 30 characters; ","")&amp;IF($K466="","Country is required; ","")&amp;IF(AND($K466&lt;&gt;"",$K466&lt;&gt;"US",$K466&lt;&gt;"CA"),"Country must be US or CA; ","")&amp;IF(AND($K466="US",OR($I466="",LEN($I466&amp;"")&lt;&gt;2)),"Use a 2-letter state code; ","")&amp;IF($J466="","ZIP or postal code is required; ","")&amp;IF(AND($K466="US",$J466&lt;&gt;"",NOT(IFERROR(OR(AND(LEN($J466&amp;"")=5,ISNUMBER(--($J466&amp;""))),AND(LEN($J466&amp;"")=9,ISNUMBER(--($J466&amp;""))),AND(LEN($J466&amp;"")=10,MID($J466&amp;"",6,1)="-",ISNUMBER(--SUBSTITUTE($J466&amp;"","-","")))),FALSE))),"US ZIP must be 5 or 9 digits, with an optional ZIP+4 hyphen; ","")&amp;IF(AND($N466&lt;&gt;"",NOT(IFERROR(AND(ISNUMBER(SEARCH("@",$N466)),ISNUMBER(SEARCH(".",$N466,SEARCH("@",$N466)+2))),FALSE))),"Email format appears invalid; ","")&amp;IF(AND($O466&lt;&gt;"",$B466=""),"Dependent SSN is required for every dependent; ","")&amp;IF(AND($B466&lt;&gt;"",$O466=""),"Dependent Relationship is required when Dependent SSN is entered; ","")&amp;IF(AND($O466&lt;&gt;"",$O466&lt;&gt;"Spouse or Common Law Spouse",$O466&lt;&gt;"Domestic Partner",$O466&lt;&gt;"Child",$O466&lt;&gt;"Other",$O466&lt;&gt;"Estate",$O466&lt;&gt;"Unknown"),"Dependent Relationship must use one of the approved options; ",""))</f>
        <v/>
      </c>
      <c r="Z466">
        <f>IF(COUNTA($A466:$U466)=0,"",IF(AND($A466&lt;&gt;"",NOT(IFERROR(AND(LEN($A466&amp;"")=9,ISNUMBER(--($A466&amp;""))),FALSE))),"Employee SSN must contain exactly 9 digits; ","")&amp;IF(AND($A466&lt;&gt;"",OR($A466="123456789",$A466="987654321",$A466="012345678",$A466=REPT(LEFT($A466&amp;"",1),9))),"Employee SSN appears to be a placeholder; ","")&amp;IF(AND($B466&lt;&gt;"",NOT(IFERROR(AND(LEN($B466&amp;"")=9,ISNUMBER(--($B466&amp;""))),FALSE))),"Dependent SSN must contain exactly 9 digits; ","")&amp;IF(AND($B466&lt;&gt;"",OR($B466="123456789",$B466="987654321",$B466="012345678",$B466=REPT(LEFT($B466&amp;"",1),9))),"Dependent SSN appears to be a placeholder; ","")&amp;IF(AND($A466&lt;&gt;"",$B466&lt;&gt;"",$A466&amp;""=$B466&amp;""),"Dependent SSN cannot match Employee SSN; ","")&amp;IF(AND($W466&lt;&gt;"",OR(COUNTIFS($W$2:$W$501,$W466,$C$2:$C$501,"&lt;&gt;"&amp;$C466)&gt;0,COUNTIFS($W$2:$W$501,$W466,$D$2:$D$501,"&lt;&gt;"&amp;$D466)&gt;0,COUNTIFS($W$2:$W$501,$W466,$L$2:$L$501,"&lt;&gt;"&amp;$L466)&gt;0)),"The same SSN is associated with a different name or birthdate; ",""))</f>
        <v/>
      </c>
      <c r="AA466">
        <f>IF(COUNTA($A466:$U466)=0,"",IF(AND($A466&lt;&gt;"",$S466&lt;&gt;"",COUNTIFS($A$2:$A$501,$A466,$S$2:$S$501,$S466,$B$2:$B$501,"",$O$2:$O$501,"")=0),"Add an employee row for this household and plan; ","")&amp;IF(AND($X466="Dependent",COUNTIFS($A$2:$A466,$A466,$S$2:$S466,$S466,$B$2:$B466,"",$O$2:$O466,"")=0),"Place the employee row before dependent rows for this plan; ","")&amp;IF(AND($X466="Dependent",COUNTIFS($A$2:$A$501,$A466,$S$2:$S$501,$S466,$B$2:$B$501,"",$O$2:$O$501,"")&gt;0,IFERROR(OR($P466&lt;&gt;LOOKUP(2,1/(($A$2:$A$501=$A466)*($S$2:$S$501=$S466)*($B$2:$B$501="")*($O$2:$O$501="")),$P$2:$P$501),$Q466&lt;&gt;LOOKUP(2,1/(($A$2:$A$501=$A466)*($S$2:$S$501=$S466)*($B$2:$B$501="")*($O$2:$O$501="")),$Q$2:$Q$501),$R466&lt;&gt;LOOKUP(2,1/(($A$2:$A$501=$A466)*($S$2:$S$501=$S466)*($B$2:$B$501="")*($O$2:$O$501="")),$R$2:$R$501),$T466&lt;&gt;LOOKUP(2,1/(($A$2:$A$501=$A466)*($S$2:$S$501=$S466)*($B$2:$B$501="")*($O$2:$O$501="")),$T$2:$T$501),$U466&lt;&gt;LOOKUP(2,1/(($A$2:$A$501=$A466)*($S$2:$S$501=$S466)*($B$2:$B$501="")*($O$2:$O$501="")),$U$2:$U$501)),FALSE)),"Dependent row does not match the employee row for eligibility, status, coverage level, or funding; ",""))</f>
        <v/>
      </c>
      <c r="AB466">
        <f>IF(COUNTA($A466:$U466)=0,"",IF($L466="","Birthdate is required; ","")&amp;IF(AND($L466&lt;&gt;"",OR(NOT(ISNUMBER($L466)),$L466&lt;=DATE(1900,1,1),$L466&gt;TODAY())),"Birthdate must be an exact valid past date; ","")&amp;IF($P466="","Eligibility Date is required; ","")&amp;IF(AND($P466&lt;&gt;"",OR(NOT(ISNUMBER($P466)),$P466&lt;=DATE(1900,1,1))),"Eligibility Date must be a valid date; ","")&amp;IF(AND($R466="Terminated",$Q466=""),"Termination Date is required when Status is Terminated; ","")&amp;IF(AND($Q466&lt;&gt;"",OR(NOT(ISNUMBER($Q466)),$Q466&lt;=DATE(1900,1,1))),"Termination Date must be a valid date; ","")&amp;IF(AND(ISNUMBER($P466),ISNUMBER($Q466),$Q466&lt;$P466),"Termination Date cannot be before Eligibility Date; ","")&amp;IF($R466="","Status is required; ","")&amp;IF(AND($R466&lt;&gt;"",$R466&lt;&gt;"Active",$R466&lt;&gt;"Terminated"),"Status must be Active or Terminated; ","")&amp;IF(AND('START HERE'!$C$8="Terminations Only",$R466&lt;&gt;"Terminated"),"Terminations Only files must contain terminated records; ",""))</f>
        <v/>
      </c>
      <c r="AC466">
        <f>IF(COUNTA($A466:$U466)=0,"",IF($S466="","Plan Name is required; ","")&amp;IF($T466="","Benefit Coverage Level is required; ","")&amp;IF(AND($U466&lt;&gt;"",OR(NOT(ISNUMBER($U466)),$U466&lt;0)),"Plan Funding Amount must be a nonnegative number; ","")&amp;IF(AND($A466&lt;&gt;"",$S466&lt;&gt;"",COUNTIFS($A$2:$A$501,$A466,$B$2:$B$501,$B466,$S$2:$S$501,$S466)&gt;1),"Duplicate participant and plan row; ",""))</f>
        <v/>
      </c>
      <c r="AD466">
        <f>IF(COUNTA($A466:$U466)=0,"",IF(AND($X466="Employee",$M466="",$N466=""),"No employee phone or email provided; ","")&amp;IF(AND($R466="Active",$Q466&lt;&gt;""),"Active record includes a Termination Date; confirm this is intentional; ","")&amp;IF(AND($B466&lt;&gt;"",$B466&amp;""&lt;&gt;$A466&amp;"",COUNTIF($A$2:$A$501,$B466)&gt;0),"Dependent SSN also appears as an Employee SSN elsewhere; confirm dual-employee coverage is intentional; ","")&amp;IF(AND($B466&lt;&gt;"",COUNTIF($B$2:$B$501,$B466)&gt;COUNTIFS($A$2:$A$501,$A466,$B$2:$B$501,$B466)),"Dependent SSN appears under more than one employee; confirm duplicate family coverage is intentional; ","")&amp;IF(AND(ROW()&gt;2,$A466&lt;&gt;"",$A466&lt;&gt;$A465,COUNTIF($A$2:$A465,$A466)&gt;0),"This household appears in more than one section of the census; keep the family together; ","")&amp;IF(OR(AND($C466&lt;&gt;"",LEN($C466&amp;"")&lt;&gt;LEN(TRIM($C466&amp;""))),AND($D466&lt;&gt;"",LEN($D466&amp;"")&lt;&gt;LEN(TRIM($D466&amp;""))),AND($E466&lt;&gt;"",LEN($E466&amp;"")&lt;&gt;LEN(TRIM($E466&amp;""))),AND($F466&lt;&gt;"",LEN($F466&amp;"")&lt;&gt;LEN(TRIM($F466&amp;""))),AND($G466&lt;&gt;"",LEN($G466&amp;"")&lt;&gt;LEN(TRIM($G466&amp;""))),AND($H466&lt;&gt;"",LEN($H466&amp;"")&lt;&gt;LEN(TRIM($H466&amp;""))),AND($I466&lt;&gt;"",LEN($I466&amp;"")&lt;&gt;LEN(TRIM($I466&amp;""))),AND($J466&lt;&gt;"",LEN($J466&amp;"")&lt;&gt;LEN(TRIM($J466&amp;""))),AND($K466&lt;&gt;"",LEN($K466&amp;"")&lt;&gt;LEN(TRIM($K466&amp;""))),AND($M466&lt;&gt;"",LEN($M466&amp;"")&lt;&gt;LEN(TRIM($M466&amp;""))),AND($N466&lt;&gt;"",LEN($N466&amp;"")&lt;&gt;LEN(TRIM($N466&amp;""))),AND($O466&lt;&gt;"",LEN($O466&amp;"")&lt;&gt;LEN(TRIM($O466&amp;""))),AND($R466&lt;&gt;"",LEN($R466&amp;"")&lt;&gt;LEN(TRIM($R466&amp;""))),AND($S466&lt;&gt;"",LEN($S466&amp;"")&lt;&gt;LEN(TRIM($S466&amp;""))),AND($T466&lt;&gt;"",LEN($T466&amp;"")&lt;&gt;LEN(TRIM($T466&amp;"")))),"Remove leading or trailing spaces from text fields; ","")&amp;IF(OR(AND(LEN($C466)&gt;1,OR(EXACT($C466,UPPER($C466)),EXACT($C466,LOWER($C466)))),AND(LEN($D466)&gt;1,OR(EXACT($D466,UPPER($D466)),EXACT($D466,LOWER($D466)))),AND(LEN($H466)&gt;1,OR(EXACT($H466,UPPER($H466)),EXACT($H466,LOWER($H466))))),"Review capitalization in First Name, Last Name, or City; ","")&amp;IF(AND($N466&lt;&gt;"",NOT(EXACT($N466,LOWER($N466)))),"Email will be standardized to lowercase in the clean output; ","")&amp;IF(AND(OR('START HERE'!$C$8="Initial Enrollment",'START HERE'!$C$8="Open Enrollment"),$R466="Terminated"),"A terminated row is included in an initial or open enrollment file; confirm this is intentional; ",""))</f>
        <v/>
      </c>
      <c r="AE466">
        <f>IF(COUNTA($A466:$U466)=0,"",IF(OR($A466="",AND($A466&lt;&gt;"",NOT(IFERROR(AND(LEN($A466&amp;"")=9,ISNUMBER(--($A466&amp;""))),FALSE))),AND($A466&lt;&gt;"",OR($A466="123456789",$A466="987654321",$A466="012345678",$A466=REPT(LEFT($A466&amp;"",1),9)))),"Employee SSN, ","")&amp;IF(OR(AND($O466&lt;&gt;"",$B466=""),AND($B466&lt;&gt;"",OR(NOT(IFERROR(AND(LEN($B466&amp;"")=9,ISNUMBER(--($B466&amp;""))),FALSE)),$B466=$A466,$B466="123456789",$B466="987654321",$B466="012345678",$B466=REPT(LEFT($B466&amp;"",1),9)))),"Dependent SSN, ","")&amp;IF(OR($C466="",LEN($C466)&gt;19,AND($C466&lt;&gt;"",SUMPRODUCT(--(ROW($1:$19)&lt;=LEN($C466&amp;"")),--ISERROR(FIND(MID($C466&amp;"",ROW($1:$19),1),"ABCDEFGHIJKLMNOPQRSTUVWXYZabcdefghijklmnopqrstuvwxyz .,")))&gt;0)),"First Name, ","")&amp;IF(OR($D466="",LEN($D466)&gt;26,AND($D466&lt;&gt;"",SUMPRODUCT(--(ROW($1:$26)&lt;=LEN($D466&amp;"")),--ISERROR(FIND(MID($D466&amp;"",ROW($1:$26),1),"ABCDEFGHIJKLMNOPQRSTUVWXYZabcdefghijklmnopqrstuvwxyz .,")))&gt;0)),"Last Name, ","")&amp;IF(OR(LEN($E466)&gt;1,AND($E466&lt;&gt;"",SUMPRODUCT(--(ROW($1:$1)&lt;=LEN($E466&amp;"")),--ISERROR(FIND(MID($E466&amp;"",ROW($1:$1),1),"ABCDEFGHIJKLMNOPQRSTUVWXYZabcdefghijklmnopqrstuvwxyz .,")))&gt;0)),"Middle Initial, ","")&amp;IF(OR($F466="",LEN($F466)&gt;75),"Address, ","")&amp;IF(OR($H466="",LEN($H466)&gt;30),"City, ","")&amp;IF(AND($K466="US",OR($I466="",LEN($I466)&lt;&gt;2)),"State, ","")&amp;IF($J466="","ZIP, ","")&amp;IF(OR($K466="",AND($K466&lt;&gt;"US",$K466&lt;&gt;"CA")),"Country, ","")&amp;IF(OR($L466="",AND($L466&lt;&gt;"",OR(NOT(ISNUMBER($L466)),$L466&lt;=DATE(1900,1,1),$L466&gt;TODAY()))),"Birthdate, ","")&amp;IF(AND($N466&lt;&gt;"",NOT(IFERROR(AND(ISNUMBER(SEARCH("@",$N466)),ISNUMBER(SEARCH(".",$N466,SEARCH("@",$N466)+2))),FALSE))),"Email, ","")&amp;IF(OR(AND($B466&lt;&gt;"",$O466=""),AND($O466&lt;&gt;"",$O466&lt;&gt;"Spouse or Common Law Spouse",$O466&lt;&gt;"Domestic Partner",$O466&lt;&gt;"Child",$O466&lt;&gt;"Other",$O466&lt;&gt;"Estate",$O466&lt;&gt;"Unknown")),"Dependent Relationship, ","")&amp;IF($AA466&lt;&gt;"","Household, ","")&amp;IF(OR($P466="",AND($P466&lt;&gt;"",OR(NOT(ISNUMBER($P466)),$P466&lt;=DATE(1900,1,1)))),"Eligibility Date, ","")&amp;IF(OR(AND($R466="Terminated",$Q466=""),AND($Q466&lt;&gt;"",OR(NOT(ISNUMBER($Q466)),$Q466&lt;=DATE(1900,1,1))),AND(ISNUMBER($P466),ISNUMBER($Q466),$Q466&lt;$P466)),"Termination Date, ","")&amp;IF(OR($R466="",AND($R466&lt;&gt;"Active",$R466&lt;&gt;"Terminated"),AND('START HERE'!$C$8="Terminations Only",$R466&lt;&gt;"Terminated")),"Status, ","")&amp;IF($S466="","Plan Name, ","")&amp;IF($T466="","Coverage Level, ","")&amp;IF(AND($U466&lt;&gt;"",OR(NOT(ISNUMBER($U466)),$U466&lt;0)),"Funding, ","")&amp;IF(AND($A466&lt;&gt;"",$S466&lt;&gt;"",COUNTIFS($A$2:$A$501,$A466,$B$2:$B$501,$B466,$S$2:$S$501,$S466)&gt;1),"Duplicate Row, ",""))</f>
        <v/>
      </c>
      <c r="AF466">
        <f>IF(COUNTA($A466:$U466)=0,"",$Y466&amp;$Z466&amp;$AA466&amp;$AB466&amp;$AC466)</f>
        <v/>
      </c>
      <c r="AG466">
        <f>IF($N466="","",LOWER(TRIM($N466)))</f>
        <v/>
      </c>
      <c r="AH466">
        <f>IF($A466="","",COUNTIFS($A$2:$A$501,$A466,$AI$2:$AI$501,1))</f>
        <v/>
      </c>
      <c r="AI466">
        <f>IF(COUNTA($A466:$U466)=0,"",--($AF466&lt;&gt;""))</f>
        <v/>
      </c>
      <c r="AJ466">
        <f>IF(COUNTA($A466:$U466)=0,"",--($AD466&lt;&gt;""))</f>
        <v/>
      </c>
    </row>
    <row r="467" ht="20" customHeight="1">
      <c r="A467" s="80" t="n"/>
      <c r="B467" s="80" t="n"/>
      <c r="C467" s="81" t="n"/>
      <c r="D467" s="81" t="n"/>
      <c r="E467" s="80" t="n"/>
      <c r="F467" s="81" t="n"/>
      <c r="G467" s="81" t="n"/>
      <c r="H467" s="81" t="n"/>
      <c r="I467" s="80" t="n"/>
      <c r="J467" s="80" t="n"/>
      <c r="K467" s="80" t="n"/>
      <c r="L467" s="82" t="n"/>
      <c r="M467" s="80" t="n"/>
      <c r="N467" s="80" t="n"/>
      <c r="O467" s="80" t="n"/>
      <c r="P467" s="82" t="n"/>
      <c r="Q467" s="82" t="n"/>
      <c r="R467" s="80" t="n"/>
      <c r="S467" s="80" t="n"/>
      <c r="T467" s="80" t="n"/>
      <c r="U467" s="83" t="n"/>
      <c r="V467">
        <f>IF($A467="","",IF($A467=$A466,$V466,IF($V466="",0,1-$V466)))</f>
        <v/>
      </c>
      <c r="W467">
        <f>IF($B467&lt;&gt;"",$B467,$A467)</f>
        <v/>
      </c>
      <c r="X467">
        <f>IF(COUNTA($A467:$U467)=0,"",IF(OR($B467&lt;&gt;"",$O467&lt;&gt;""),"Dependent","Employee"))</f>
        <v/>
      </c>
      <c r="Y467">
        <f>IF(COUNTA($A467:$U467)=0,"",IF($A467="","Employee SSN is required; ","")&amp;IF($C467="","First Name is required; ","")&amp;IF(LEN($C467&amp;"")&gt;19,"First Name exceeds 19 characters; ","")&amp;IF(AND($C467&lt;&gt;"",SUMPRODUCT(--(ROW($1:$19)&lt;=LEN($C467&amp;"")),--ISERROR(FIND(MID($C467&amp;"",ROW($1:$19),1),"ABCDEFGHIJKLMNOPQRSTUVWXYZabcdefghijklmnopqrstuvwxyz .,")))&gt;0),"First Name contains unsupported or encoded characters; use plain A-Z letters only; ","")&amp;IF($D467="","Last Name is required; ","")&amp;IF(LEN($D467&amp;"")&gt;26,"Last Name exceeds 26 characters; ","")&amp;IF(AND($D467&lt;&gt;"",SUMPRODUCT(--(ROW($1:$26)&lt;=LEN($D467&amp;"")),--ISERROR(FIND(MID($D467&amp;"",ROW($1:$26),1),"ABCDEFGHIJKLMNOPQRSTUVWXYZabcdefghijklmnopqrstuvwxyz .,")))&gt;0),"Last Name contains unsupported or encoded characters; use plain A-Z letters only; ","")&amp;IF(LEN($E467&amp;"")&gt;1,"Middle Initial may contain only one character; ","")&amp;IF(AND($E467&lt;&gt;"",SUMPRODUCT(--(ROW($1:$1)&lt;=LEN($E467&amp;"")),--ISERROR(FIND(MID($E467&amp;"",ROW($1:$1),1),"ABCDEFGHIJKLMNOPQRSTUVWXYZabcdefghijklmnopqrstuvwxyz .,")))&gt;0),"Middle Initial must be a plain A-Z letter; ","")&amp;IF($F467="","Address is required; ","")&amp;IF(LEN($F467&amp;"")&gt;75,"Address exceeds 75 characters; ","")&amp;IF(LEN($G467&amp;"")&gt;75,"Address 2 exceeds 75 characters; ","")&amp;IF($H467="","City is required; ","")&amp;IF(LEN($H467&amp;"")&gt;30,"City exceeds 30 characters; ","")&amp;IF($K467="","Country is required; ","")&amp;IF(AND($K467&lt;&gt;"",$K467&lt;&gt;"US",$K467&lt;&gt;"CA"),"Country must be US or CA; ","")&amp;IF(AND($K467="US",OR($I467="",LEN($I467&amp;"")&lt;&gt;2)),"Use a 2-letter state code; ","")&amp;IF($J467="","ZIP or postal code is required; ","")&amp;IF(AND($K467="US",$J467&lt;&gt;"",NOT(IFERROR(OR(AND(LEN($J467&amp;"")=5,ISNUMBER(--($J467&amp;""))),AND(LEN($J467&amp;"")=9,ISNUMBER(--($J467&amp;""))),AND(LEN($J467&amp;"")=10,MID($J467&amp;"",6,1)="-",ISNUMBER(--SUBSTITUTE($J467&amp;"","-","")))),FALSE))),"US ZIP must be 5 or 9 digits, with an optional ZIP+4 hyphen; ","")&amp;IF(AND($N467&lt;&gt;"",NOT(IFERROR(AND(ISNUMBER(SEARCH("@",$N467)),ISNUMBER(SEARCH(".",$N467,SEARCH("@",$N467)+2))),FALSE))),"Email format appears invalid; ","")&amp;IF(AND($O467&lt;&gt;"",$B467=""),"Dependent SSN is required for every dependent; ","")&amp;IF(AND($B467&lt;&gt;"",$O467=""),"Dependent Relationship is required when Dependent SSN is entered; ","")&amp;IF(AND($O467&lt;&gt;"",$O467&lt;&gt;"Spouse or Common Law Spouse",$O467&lt;&gt;"Domestic Partner",$O467&lt;&gt;"Child",$O467&lt;&gt;"Other",$O467&lt;&gt;"Estate",$O467&lt;&gt;"Unknown"),"Dependent Relationship must use one of the approved options; ",""))</f>
        <v/>
      </c>
      <c r="Z467">
        <f>IF(COUNTA($A467:$U467)=0,"",IF(AND($A467&lt;&gt;"",NOT(IFERROR(AND(LEN($A467&amp;"")=9,ISNUMBER(--($A467&amp;""))),FALSE))),"Employee SSN must contain exactly 9 digits; ","")&amp;IF(AND($A467&lt;&gt;"",OR($A467="123456789",$A467="987654321",$A467="012345678",$A467=REPT(LEFT($A467&amp;"",1),9))),"Employee SSN appears to be a placeholder; ","")&amp;IF(AND($B467&lt;&gt;"",NOT(IFERROR(AND(LEN($B467&amp;"")=9,ISNUMBER(--($B467&amp;""))),FALSE))),"Dependent SSN must contain exactly 9 digits; ","")&amp;IF(AND($B467&lt;&gt;"",OR($B467="123456789",$B467="987654321",$B467="012345678",$B467=REPT(LEFT($B467&amp;"",1),9))),"Dependent SSN appears to be a placeholder; ","")&amp;IF(AND($A467&lt;&gt;"",$B467&lt;&gt;"",$A467&amp;""=$B467&amp;""),"Dependent SSN cannot match Employee SSN; ","")&amp;IF(AND($W467&lt;&gt;"",OR(COUNTIFS($W$2:$W$501,$W467,$C$2:$C$501,"&lt;&gt;"&amp;$C467)&gt;0,COUNTIFS($W$2:$W$501,$W467,$D$2:$D$501,"&lt;&gt;"&amp;$D467)&gt;0,COUNTIFS($W$2:$W$501,$W467,$L$2:$L$501,"&lt;&gt;"&amp;$L467)&gt;0)),"The same SSN is associated with a different name or birthdate; ",""))</f>
        <v/>
      </c>
      <c r="AA467">
        <f>IF(COUNTA($A467:$U467)=0,"",IF(AND($A467&lt;&gt;"",$S467&lt;&gt;"",COUNTIFS($A$2:$A$501,$A467,$S$2:$S$501,$S467,$B$2:$B$501,"",$O$2:$O$501,"")=0),"Add an employee row for this household and plan; ","")&amp;IF(AND($X467="Dependent",COUNTIFS($A$2:$A467,$A467,$S$2:$S467,$S467,$B$2:$B467,"",$O$2:$O467,"")=0),"Place the employee row before dependent rows for this plan; ","")&amp;IF(AND($X467="Dependent",COUNTIFS($A$2:$A$501,$A467,$S$2:$S$501,$S467,$B$2:$B$501,"",$O$2:$O$501,"")&gt;0,IFERROR(OR($P467&lt;&gt;LOOKUP(2,1/(($A$2:$A$501=$A467)*($S$2:$S$501=$S467)*($B$2:$B$501="")*($O$2:$O$501="")),$P$2:$P$501),$Q467&lt;&gt;LOOKUP(2,1/(($A$2:$A$501=$A467)*($S$2:$S$501=$S467)*($B$2:$B$501="")*($O$2:$O$501="")),$Q$2:$Q$501),$R467&lt;&gt;LOOKUP(2,1/(($A$2:$A$501=$A467)*($S$2:$S$501=$S467)*($B$2:$B$501="")*($O$2:$O$501="")),$R$2:$R$501),$T467&lt;&gt;LOOKUP(2,1/(($A$2:$A$501=$A467)*($S$2:$S$501=$S467)*($B$2:$B$501="")*($O$2:$O$501="")),$T$2:$T$501),$U467&lt;&gt;LOOKUP(2,1/(($A$2:$A$501=$A467)*($S$2:$S$501=$S467)*($B$2:$B$501="")*($O$2:$O$501="")),$U$2:$U$501)),FALSE)),"Dependent row does not match the employee row for eligibility, status, coverage level, or funding; ",""))</f>
        <v/>
      </c>
      <c r="AB467">
        <f>IF(COUNTA($A467:$U467)=0,"",IF($L467="","Birthdate is required; ","")&amp;IF(AND($L467&lt;&gt;"",OR(NOT(ISNUMBER($L467)),$L467&lt;=DATE(1900,1,1),$L467&gt;TODAY())),"Birthdate must be an exact valid past date; ","")&amp;IF($P467="","Eligibility Date is required; ","")&amp;IF(AND($P467&lt;&gt;"",OR(NOT(ISNUMBER($P467)),$P467&lt;=DATE(1900,1,1))),"Eligibility Date must be a valid date; ","")&amp;IF(AND($R467="Terminated",$Q467=""),"Termination Date is required when Status is Terminated; ","")&amp;IF(AND($Q467&lt;&gt;"",OR(NOT(ISNUMBER($Q467)),$Q467&lt;=DATE(1900,1,1))),"Termination Date must be a valid date; ","")&amp;IF(AND(ISNUMBER($P467),ISNUMBER($Q467),$Q467&lt;$P467),"Termination Date cannot be before Eligibility Date; ","")&amp;IF($R467="","Status is required; ","")&amp;IF(AND($R467&lt;&gt;"",$R467&lt;&gt;"Active",$R467&lt;&gt;"Terminated"),"Status must be Active or Terminated; ","")&amp;IF(AND('START HERE'!$C$8="Terminations Only",$R467&lt;&gt;"Terminated"),"Terminations Only files must contain terminated records; ",""))</f>
        <v/>
      </c>
      <c r="AC467">
        <f>IF(COUNTA($A467:$U467)=0,"",IF($S467="","Plan Name is required; ","")&amp;IF($T467="","Benefit Coverage Level is required; ","")&amp;IF(AND($U467&lt;&gt;"",OR(NOT(ISNUMBER($U467)),$U467&lt;0)),"Plan Funding Amount must be a nonnegative number; ","")&amp;IF(AND($A467&lt;&gt;"",$S467&lt;&gt;"",COUNTIFS($A$2:$A$501,$A467,$B$2:$B$501,$B467,$S$2:$S$501,$S467)&gt;1),"Duplicate participant and plan row; ",""))</f>
        <v/>
      </c>
      <c r="AD467">
        <f>IF(COUNTA($A467:$U467)=0,"",IF(AND($X467="Employee",$M467="",$N467=""),"No employee phone or email provided; ","")&amp;IF(AND($R467="Active",$Q467&lt;&gt;""),"Active record includes a Termination Date; confirm this is intentional; ","")&amp;IF(AND($B467&lt;&gt;"",$B467&amp;""&lt;&gt;$A467&amp;"",COUNTIF($A$2:$A$501,$B467)&gt;0),"Dependent SSN also appears as an Employee SSN elsewhere; confirm dual-employee coverage is intentional; ","")&amp;IF(AND($B467&lt;&gt;"",COUNTIF($B$2:$B$501,$B467)&gt;COUNTIFS($A$2:$A$501,$A467,$B$2:$B$501,$B467)),"Dependent SSN appears under more than one employee; confirm duplicate family coverage is intentional; ","")&amp;IF(AND(ROW()&gt;2,$A467&lt;&gt;"",$A467&lt;&gt;$A466,COUNTIF($A$2:$A466,$A467)&gt;0),"This household appears in more than one section of the census; keep the family together; ","")&amp;IF(OR(AND($C467&lt;&gt;"",LEN($C467&amp;"")&lt;&gt;LEN(TRIM($C467&amp;""))),AND($D467&lt;&gt;"",LEN($D467&amp;"")&lt;&gt;LEN(TRIM($D467&amp;""))),AND($E467&lt;&gt;"",LEN($E467&amp;"")&lt;&gt;LEN(TRIM($E467&amp;""))),AND($F467&lt;&gt;"",LEN($F467&amp;"")&lt;&gt;LEN(TRIM($F467&amp;""))),AND($G467&lt;&gt;"",LEN($G467&amp;"")&lt;&gt;LEN(TRIM($G467&amp;""))),AND($H467&lt;&gt;"",LEN($H467&amp;"")&lt;&gt;LEN(TRIM($H467&amp;""))),AND($I467&lt;&gt;"",LEN($I467&amp;"")&lt;&gt;LEN(TRIM($I467&amp;""))),AND($J467&lt;&gt;"",LEN($J467&amp;"")&lt;&gt;LEN(TRIM($J467&amp;""))),AND($K467&lt;&gt;"",LEN($K467&amp;"")&lt;&gt;LEN(TRIM($K467&amp;""))),AND($M467&lt;&gt;"",LEN($M467&amp;"")&lt;&gt;LEN(TRIM($M467&amp;""))),AND($N467&lt;&gt;"",LEN($N467&amp;"")&lt;&gt;LEN(TRIM($N467&amp;""))),AND($O467&lt;&gt;"",LEN($O467&amp;"")&lt;&gt;LEN(TRIM($O467&amp;""))),AND($R467&lt;&gt;"",LEN($R467&amp;"")&lt;&gt;LEN(TRIM($R467&amp;""))),AND($S467&lt;&gt;"",LEN($S467&amp;"")&lt;&gt;LEN(TRIM($S467&amp;""))),AND($T467&lt;&gt;"",LEN($T467&amp;"")&lt;&gt;LEN(TRIM($T467&amp;"")))),"Remove leading or trailing spaces from text fields; ","")&amp;IF(OR(AND(LEN($C467)&gt;1,OR(EXACT($C467,UPPER($C467)),EXACT($C467,LOWER($C467)))),AND(LEN($D467)&gt;1,OR(EXACT($D467,UPPER($D467)),EXACT($D467,LOWER($D467)))),AND(LEN($H467)&gt;1,OR(EXACT($H467,UPPER($H467)),EXACT($H467,LOWER($H467))))),"Review capitalization in First Name, Last Name, or City; ","")&amp;IF(AND($N467&lt;&gt;"",NOT(EXACT($N467,LOWER($N467)))),"Email will be standardized to lowercase in the clean output; ","")&amp;IF(AND(OR('START HERE'!$C$8="Initial Enrollment",'START HERE'!$C$8="Open Enrollment"),$R467="Terminated"),"A terminated row is included in an initial or open enrollment file; confirm this is intentional; ",""))</f>
        <v/>
      </c>
      <c r="AE467">
        <f>IF(COUNTA($A467:$U467)=0,"",IF(OR($A467="",AND($A467&lt;&gt;"",NOT(IFERROR(AND(LEN($A467&amp;"")=9,ISNUMBER(--($A467&amp;""))),FALSE))),AND($A467&lt;&gt;"",OR($A467="123456789",$A467="987654321",$A467="012345678",$A467=REPT(LEFT($A467&amp;"",1),9)))),"Employee SSN, ","")&amp;IF(OR(AND($O467&lt;&gt;"",$B467=""),AND($B467&lt;&gt;"",OR(NOT(IFERROR(AND(LEN($B467&amp;"")=9,ISNUMBER(--($B467&amp;""))),FALSE)),$B467=$A467,$B467="123456789",$B467="987654321",$B467="012345678",$B467=REPT(LEFT($B467&amp;"",1),9)))),"Dependent SSN, ","")&amp;IF(OR($C467="",LEN($C467)&gt;19,AND($C467&lt;&gt;"",SUMPRODUCT(--(ROW($1:$19)&lt;=LEN($C467&amp;"")),--ISERROR(FIND(MID($C467&amp;"",ROW($1:$19),1),"ABCDEFGHIJKLMNOPQRSTUVWXYZabcdefghijklmnopqrstuvwxyz .,")))&gt;0)),"First Name, ","")&amp;IF(OR($D467="",LEN($D467)&gt;26,AND($D467&lt;&gt;"",SUMPRODUCT(--(ROW($1:$26)&lt;=LEN($D467&amp;"")),--ISERROR(FIND(MID($D467&amp;"",ROW($1:$26),1),"ABCDEFGHIJKLMNOPQRSTUVWXYZabcdefghijklmnopqrstuvwxyz .,")))&gt;0)),"Last Name, ","")&amp;IF(OR(LEN($E467)&gt;1,AND($E467&lt;&gt;"",SUMPRODUCT(--(ROW($1:$1)&lt;=LEN($E467&amp;"")),--ISERROR(FIND(MID($E467&amp;"",ROW($1:$1),1),"ABCDEFGHIJKLMNOPQRSTUVWXYZabcdefghijklmnopqrstuvwxyz .,")))&gt;0)),"Middle Initial, ","")&amp;IF(OR($F467="",LEN($F467)&gt;75),"Address, ","")&amp;IF(OR($H467="",LEN($H467)&gt;30),"City, ","")&amp;IF(AND($K467="US",OR($I467="",LEN($I467)&lt;&gt;2)),"State, ","")&amp;IF($J467="","ZIP, ","")&amp;IF(OR($K467="",AND($K467&lt;&gt;"US",$K467&lt;&gt;"CA")),"Country, ","")&amp;IF(OR($L467="",AND($L467&lt;&gt;"",OR(NOT(ISNUMBER($L467)),$L467&lt;=DATE(1900,1,1),$L467&gt;TODAY()))),"Birthdate, ","")&amp;IF(AND($N467&lt;&gt;"",NOT(IFERROR(AND(ISNUMBER(SEARCH("@",$N467)),ISNUMBER(SEARCH(".",$N467,SEARCH("@",$N467)+2))),FALSE))),"Email, ","")&amp;IF(OR(AND($B467&lt;&gt;"",$O467=""),AND($O467&lt;&gt;"",$O467&lt;&gt;"Spouse or Common Law Spouse",$O467&lt;&gt;"Domestic Partner",$O467&lt;&gt;"Child",$O467&lt;&gt;"Other",$O467&lt;&gt;"Estate",$O467&lt;&gt;"Unknown")),"Dependent Relationship, ","")&amp;IF($AA467&lt;&gt;"","Household, ","")&amp;IF(OR($P467="",AND($P467&lt;&gt;"",OR(NOT(ISNUMBER($P467)),$P467&lt;=DATE(1900,1,1)))),"Eligibility Date, ","")&amp;IF(OR(AND($R467="Terminated",$Q467=""),AND($Q467&lt;&gt;"",OR(NOT(ISNUMBER($Q467)),$Q467&lt;=DATE(1900,1,1))),AND(ISNUMBER($P467),ISNUMBER($Q467),$Q467&lt;$P467)),"Termination Date, ","")&amp;IF(OR($R467="",AND($R467&lt;&gt;"Active",$R467&lt;&gt;"Terminated"),AND('START HERE'!$C$8="Terminations Only",$R467&lt;&gt;"Terminated")),"Status, ","")&amp;IF($S467="","Plan Name, ","")&amp;IF($T467="","Coverage Level, ","")&amp;IF(AND($U467&lt;&gt;"",OR(NOT(ISNUMBER($U467)),$U467&lt;0)),"Funding, ","")&amp;IF(AND($A467&lt;&gt;"",$S467&lt;&gt;"",COUNTIFS($A$2:$A$501,$A467,$B$2:$B$501,$B467,$S$2:$S$501,$S467)&gt;1),"Duplicate Row, ",""))</f>
        <v/>
      </c>
      <c r="AF467">
        <f>IF(COUNTA($A467:$U467)=0,"",$Y467&amp;$Z467&amp;$AA467&amp;$AB467&amp;$AC467)</f>
        <v/>
      </c>
      <c r="AG467">
        <f>IF($N467="","",LOWER(TRIM($N467)))</f>
        <v/>
      </c>
      <c r="AH467">
        <f>IF($A467="","",COUNTIFS($A$2:$A$501,$A467,$AI$2:$AI$501,1))</f>
        <v/>
      </c>
      <c r="AI467">
        <f>IF(COUNTA($A467:$U467)=0,"",--($AF467&lt;&gt;""))</f>
        <v/>
      </c>
      <c r="AJ467">
        <f>IF(COUNTA($A467:$U467)=0,"",--($AD467&lt;&gt;""))</f>
        <v/>
      </c>
    </row>
    <row r="468" ht="20" customHeight="1">
      <c r="A468" s="80" t="n"/>
      <c r="B468" s="80" t="n"/>
      <c r="C468" s="81" t="n"/>
      <c r="D468" s="81" t="n"/>
      <c r="E468" s="80" t="n"/>
      <c r="F468" s="81" t="n"/>
      <c r="G468" s="81" t="n"/>
      <c r="H468" s="81" t="n"/>
      <c r="I468" s="80" t="n"/>
      <c r="J468" s="80" t="n"/>
      <c r="K468" s="80" t="n"/>
      <c r="L468" s="82" t="n"/>
      <c r="M468" s="80" t="n"/>
      <c r="N468" s="80" t="n"/>
      <c r="O468" s="80" t="n"/>
      <c r="P468" s="82" t="n"/>
      <c r="Q468" s="82" t="n"/>
      <c r="R468" s="80" t="n"/>
      <c r="S468" s="80" t="n"/>
      <c r="T468" s="80" t="n"/>
      <c r="U468" s="83" t="n"/>
      <c r="V468">
        <f>IF($A468="","",IF($A468=$A467,$V467,IF($V467="",0,1-$V467)))</f>
        <v/>
      </c>
      <c r="W468">
        <f>IF($B468&lt;&gt;"",$B468,$A468)</f>
        <v/>
      </c>
      <c r="X468">
        <f>IF(COUNTA($A468:$U468)=0,"",IF(OR($B468&lt;&gt;"",$O468&lt;&gt;""),"Dependent","Employee"))</f>
        <v/>
      </c>
      <c r="Y468">
        <f>IF(COUNTA($A468:$U468)=0,"",IF($A468="","Employee SSN is required; ","")&amp;IF($C468="","First Name is required; ","")&amp;IF(LEN($C468&amp;"")&gt;19,"First Name exceeds 19 characters; ","")&amp;IF(AND($C468&lt;&gt;"",SUMPRODUCT(--(ROW($1:$19)&lt;=LEN($C468&amp;"")),--ISERROR(FIND(MID($C468&amp;"",ROW($1:$19),1),"ABCDEFGHIJKLMNOPQRSTUVWXYZabcdefghijklmnopqrstuvwxyz .,")))&gt;0),"First Name contains unsupported or encoded characters; use plain A-Z letters only; ","")&amp;IF($D468="","Last Name is required; ","")&amp;IF(LEN($D468&amp;"")&gt;26,"Last Name exceeds 26 characters; ","")&amp;IF(AND($D468&lt;&gt;"",SUMPRODUCT(--(ROW($1:$26)&lt;=LEN($D468&amp;"")),--ISERROR(FIND(MID($D468&amp;"",ROW($1:$26),1),"ABCDEFGHIJKLMNOPQRSTUVWXYZabcdefghijklmnopqrstuvwxyz .,")))&gt;0),"Last Name contains unsupported or encoded characters; use plain A-Z letters only; ","")&amp;IF(LEN($E468&amp;"")&gt;1,"Middle Initial may contain only one character; ","")&amp;IF(AND($E468&lt;&gt;"",SUMPRODUCT(--(ROW($1:$1)&lt;=LEN($E468&amp;"")),--ISERROR(FIND(MID($E468&amp;"",ROW($1:$1),1),"ABCDEFGHIJKLMNOPQRSTUVWXYZabcdefghijklmnopqrstuvwxyz .,")))&gt;0),"Middle Initial must be a plain A-Z letter; ","")&amp;IF($F468="","Address is required; ","")&amp;IF(LEN($F468&amp;"")&gt;75,"Address exceeds 75 characters; ","")&amp;IF(LEN($G468&amp;"")&gt;75,"Address 2 exceeds 75 characters; ","")&amp;IF($H468="","City is required; ","")&amp;IF(LEN($H468&amp;"")&gt;30,"City exceeds 30 characters; ","")&amp;IF($K468="","Country is required; ","")&amp;IF(AND($K468&lt;&gt;"",$K468&lt;&gt;"US",$K468&lt;&gt;"CA"),"Country must be US or CA; ","")&amp;IF(AND($K468="US",OR($I468="",LEN($I468&amp;"")&lt;&gt;2)),"Use a 2-letter state code; ","")&amp;IF($J468="","ZIP or postal code is required; ","")&amp;IF(AND($K468="US",$J468&lt;&gt;"",NOT(IFERROR(OR(AND(LEN($J468&amp;"")=5,ISNUMBER(--($J468&amp;""))),AND(LEN($J468&amp;"")=9,ISNUMBER(--($J468&amp;""))),AND(LEN($J468&amp;"")=10,MID($J468&amp;"",6,1)="-",ISNUMBER(--SUBSTITUTE($J468&amp;"","-","")))),FALSE))),"US ZIP must be 5 or 9 digits, with an optional ZIP+4 hyphen; ","")&amp;IF(AND($N468&lt;&gt;"",NOT(IFERROR(AND(ISNUMBER(SEARCH("@",$N468)),ISNUMBER(SEARCH(".",$N468,SEARCH("@",$N468)+2))),FALSE))),"Email format appears invalid; ","")&amp;IF(AND($O468&lt;&gt;"",$B468=""),"Dependent SSN is required for every dependent; ","")&amp;IF(AND($B468&lt;&gt;"",$O468=""),"Dependent Relationship is required when Dependent SSN is entered; ","")&amp;IF(AND($O468&lt;&gt;"",$O468&lt;&gt;"Spouse or Common Law Spouse",$O468&lt;&gt;"Domestic Partner",$O468&lt;&gt;"Child",$O468&lt;&gt;"Other",$O468&lt;&gt;"Estate",$O468&lt;&gt;"Unknown"),"Dependent Relationship must use one of the approved options; ",""))</f>
        <v/>
      </c>
      <c r="Z468">
        <f>IF(COUNTA($A468:$U468)=0,"",IF(AND($A468&lt;&gt;"",NOT(IFERROR(AND(LEN($A468&amp;"")=9,ISNUMBER(--($A468&amp;""))),FALSE))),"Employee SSN must contain exactly 9 digits; ","")&amp;IF(AND($A468&lt;&gt;"",OR($A468="123456789",$A468="987654321",$A468="012345678",$A468=REPT(LEFT($A468&amp;"",1),9))),"Employee SSN appears to be a placeholder; ","")&amp;IF(AND($B468&lt;&gt;"",NOT(IFERROR(AND(LEN($B468&amp;"")=9,ISNUMBER(--($B468&amp;""))),FALSE))),"Dependent SSN must contain exactly 9 digits; ","")&amp;IF(AND($B468&lt;&gt;"",OR($B468="123456789",$B468="987654321",$B468="012345678",$B468=REPT(LEFT($B468&amp;"",1),9))),"Dependent SSN appears to be a placeholder; ","")&amp;IF(AND($A468&lt;&gt;"",$B468&lt;&gt;"",$A468&amp;""=$B468&amp;""),"Dependent SSN cannot match Employee SSN; ","")&amp;IF(AND($W468&lt;&gt;"",OR(COUNTIFS($W$2:$W$501,$W468,$C$2:$C$501,"&lt;&gt;"&amp;$C468)&gt;0,COUNTIFS($W$2:$W$501,$W468,$D$2:$D$501,"&lt;&gt;"&amp;$D468)&gt;0,COUNTIFS($W$2:$W$501,$W468,$L$2:$L$501,"&lt;&gt;"&amp;$L468)&gt;0)),"The same SSN is associated with a different name or birthdate; ",""))</f>
        <v/>
      </c>
      <c r="AA468">
        <f>IF(COUNTA($A468:$U468)=0,"",IF(AND($A468&lt;&gt;"",$S468&lt;&gt;"",COUNTIFS($A$2:$A$501,$A468,$S$2:$S$501,$S468,$B$2:$B$501,"",$O$2:$O$501,"")=0),"Add an employee row for this household and plan; ","")&amp;IF(AND($X468="Dependent",COUNTIFS($A$2:$A468,$A468,$S$2:$S468,$S468,$B$2:$B468,"",$O$2:$O468,"")=0),"Place the employee row before dependent rows for this plan; ","")&amp;IF(AND($X468="Dependent",COUNTIFS($A$2:$A$501,$A468,$S$2:$S$501,$S468,$B$2:$B$501,"",$O$2:$O$501,"")&gt;0,IFERROR(OR($P468&lt;&gt;LOOKUP(2,1/(($A$2:$A$501=$A468)*($S$2:$S$501=$S468)*($B$2:$B$501="")*($O$2:$O$501="")),$P$2:$P$501),$Q468&lt;&gt;LOOKUP(2,1/(($A$2:$A$501=$A468)*($S$2:$S$501=$S468)*($B$2:$B$501="")*($O$2:$O$501="")),$Q$2:$Q$501),$R468&lt;&gt;LOOKUP(2,1/(($A$2:$A$501=$A468)*($S$2:$S$501=$S468)*($B$2:$B$501="")*($O$2:$O$501="")),$R$2:$R$501),$T468&lt;&gt;LOOKUP(2,1/(($A$2:$A$501=$A468)*($S$2:$S$501=$S468)*($B$2:$B$501="")*($O$2:$O$501="")),$T$2:$T$501),$U468&lt;&gt;LOOKUP(2,1/(($A$2:$A$501=$A468)*($S$2:$S$501=$S468)*($B$2:$B$501="")*($O$2:$O$501="")),$U$2:$U$501)),FALSE)),"Dependent row does not match the employee row for eligibility, status, coverage level, or funding; ",""))</f>
        <v/>
      </c>
      <c r="AB468">
        <f>IF(COUNTA($A468:$U468)=0,"",IF($L468="","Birthdate is required; ","")&amp;IF(AND($L468&lt;&gt;"",OR(NOT(ISNUMBER($L468)),$L468&lt;=DATE(1900,1,1),$L468&gt;TODAY())),"Birthdate must be an exact valid past date; ","")&amp;IF($P468="","Eligibility Date is required; ","")&amp;IF(AND($P468&lt;&gt;"",OR(NOT(ISNUMBER($P468)),$P468&lt;=DATE(1900,1,1))),"Eligibility Date must be a valid date; ","")&amp;IF(AND($R468="Terminated",$Q468=""),"Termination Date is required when Status is Terminated; ","")&amp;IF(AND($Q468&lt;&gt;"",OR(NOT(ISNUMBER($Q468)),$Q468&lt;=DATE(1900,1,1))),"Termination Date must be a valid date; ","")&amp;IF(AND(ISNUMBER($P468),ISNUMBER($Q468),$Q468&lt;$P468),"Termination Date cannot be before Eligibility Date; ","")&amp;IF($R468="","Status is required; ","")&amp;IF(AND($R468&lt;&gt;"",$R468&lt;&gt;"Active",$R468&lt;&gt;"Terminated"),"Status must be Active or Terminated; ","")&amp;IF(AND('START HERE'!$C$8="Terminations Only",$R468&lt;&gt;"Terminated"),"Terminations Only files must contain terminated records; ",""))</f>
        <v/>
      </c>
      <c r="AC468">
        <f>IF(COUNTA($A468:$U468)=0,"",IF($S468="","Plan Name is required; ","")&amp;IF($T468="","Benefit Coverage Level is required; ","")&amp;IF(AND($U468&lt;&gt;"",OR(NOT(ISNUMBER($U468)),$U468&lt;0)),"Plan Funding Amount must be a nonnegative number; ","")&amp;IF(AND($A468&lt;&gt;"",$S468&lt;&gt;"",COUNTIFS($A$2:$A$501,$A468,$B$2:$B$501,$B468,$S$2:$S$501,$S468)&gt;1),"Duplicate participant and plan row; ",""))</f>
        <v/>
      </c>
      <c r="AD468">
        <f>IF(COUNTA($A468:$U468)=0,"",IF(AND($X468="Employee",$M468="",$N468=""),"No employee phone or email provided; ","")&amp;IF(AND($R468="Active",$Q468&lt;&gt;""),"Active record includes a Termination Date; confirm this is intentional; ","")&amp;IF(AND($B468&lt;&gt;"",$B468&amp;""&lt;&gt;$A468&amp;"",COUNTIF($A$2:$A$501,$B468)&gt;0),"Dependent SSN also appears as an Employee SSN elsewhere; confirm dual-employee coverage is intentional; ","")&amp;IF(AND($B468&lt;&gt;"",COUNTIF($B$2:$B$501,$B468)&gt;COUNTIFS($A$2:$A$501,$A468,$B$2:$B$501,$B468)),"Dependent SSN appears under more than one employee; confirm duplicate family coverage is intentional; ","")&amp;IF(AND(ROW()&gt;2,$A468&lt;&gt;"",$A468&lt;&gt;$A467,COUNTIF($A$2:$A467,$A468)&gt;0),"This household appears in more than one section of the census; keep the family together; ","")&amp;IF(OR(AND($C468&lt;&gt;"",LEN($C468&amp;"")&lt;&gt;LEN(TRIM($C468&amp;""))),AND($D468&lt;&gt;"",LEN($D468&amp;"")&lt;&gt;LEN(TRIM($D468&amp;""))),AND($E468&lt;&gt;"",LEN($E468&amp;"")&lt;&gt;LEN(TRIM($E468&amp;""))),AND($F468&lt;&gt;"",LEN($F468&amp;"")&lt;&gt;LEN(TRIM($F468&amp;""))),AND($G468&lt;&gt;"",LEN($G468&amp;"")&lt;&gt;LEN(TRIM($G468&amp;""))),AND($H468&lt;&gt;"",LEN($H468&amp;"")&lt;&gt;LEN(TRIM($H468&amp;""))),AND($I468&lt;&gt;"",LEN($I468&amp;"")&lt;&gt;LEN(TRIM($I468&amp;""))),AND($J468&lt;&gt;"",LEN($J468&amp;"")&lt;&gt;LEN(TRIM($J468&amp;""))),AND($K468&lt;&gt;"",LEN($K468&amp;"")&lt;&gt;LEN(TRIM($K468&amp;""))),AND($M468&lt;&gt;"",LEN($M468&amp;"")&lt;&gt;LEN(TRIM($M468&amp;""))),AND($N468&lt;&gt;"",LEN($N468&amp;"")&lt;&gt;LEN(TRIM($N468&amp;""))),AND($O468&lt;&gt;"",LEN($O468&amp;"")&lt;&gt;LEN(TRIM($O468&amp;""))),AND($R468&lt;&gt;"",LEN($R468&amp;"")&lt;&gt;LEN(TRIM($R468&amp;""))),AND($S468&lt;&gt;"",LEN($S468&amp;"")&lt;&gt;LEN(TRIM($S468&amp;""))),AND($T468&lt;&gt;"",LEN($T468&amp;"")&lt;&gt;LEN(TRIM($T468&amp;"")))),"Remove leading or trailing spaces from text fields; ","")&amp;IF(OR(AND(LEN($C468)&gt;1,OR(EXACT($C468,UPPER($C468)),EXACT($C468,LOWER($C468)))),AND(LEN($D468)&gt;1,OR(EXACT($D468,UPPER($D468)),EXACT($D468,LOWER($D468)))),AND(LEN($H468)&gt;1,OR(EXACT($H468,UPPER($H468)),EXACT($H468,LOWER($H468))))),"Review capitalization in First Name, Last Name, or City; ","")&amp;IF(AND($N468&lt;&gt;"",NOT(EXACT($N468,LOWER($N468)))),"Email will be standardized to lowercase in the clean output; ","")&amp;IF(AND(OR('START HERE'!$C$8="Initial Enrollment",'START HERE'!$C$8="Open Enrollment"),$R468="Terminated"),"A terminated row is included in an initial or open enrollment file; confirm this is intentional; ",""))</f>
        <v/>
      </c>
      <c r="AE468">
        <f>IF(COUNTA($A468:$U468)=0,"",IF(OR($A468="",AND($A468&lt;&gt;"",NOT(IFERROR(AND(LEN($A468&amp;"")=9,ISNUMBER(--($A468&amp;""))),FALSE))),AND($A468&lt;&gt;"",OR($A468="123456789",$A468="987654321",$A468="012345678",$A468=REPT(LEFT($A468&amp;"",1),9)))),"Employee SSN, ","")&amp;IF(OR(AND($O468&lt;&gt;"",$B468=""),AND($B468&lt;&gt;"",OR(NOT(IFERROR(AND(LEN($B468&amp;"")=9,ISNUMBER(--($B468&amp;""))),FALSE)),$B468=$A468,$B468="123456789",$B468="987654321",$B468="012345678",$B468=REPT(LEFT($B468&amp;"",1),9)))),"Dependent SSN, ","")&amp;IF(OR($C468="",LEN($C468)&gt;19,AND($C468&lt;&gt;"",SUMPRODUCT(--(ROW($1:$19)&lt;=LEN($C468&amp;"")),--ISERROR(FIND(MID($C468&amp;"",ROW($1:$19),1),"ABCDEFGHIJKLMNOPQRSTUVWXYZabcdefghijklmnopqrstuvwxyz .,")))&gt;0)),"First Name, ","")&amp;IF(OR($D468="",LEN($D468)&gt;26,AND($D468&lt;&gt;"",SUMPRODUCT(--(ROW($1:$26)&lt;=LEN($D468&amp;"")),--ISERROR(FIND(MID($D468&amp;"",ROW($1:$26),1),"ABCDEFGHIJKLMNOPQRSTUVWXYZabcdefghijklmnopqrstuvwxyz .,")))&gt;0)),"Last Name, ","")&amp;IF(OR(LEN($E468)&gt;1,AND($E468&lt;&gt;"",SUMPRODUCT(--(ROW($1:$1)&lt;=LEN($E468&amp;"")),--ISERROR(FIND(MID($E468&amp;"",ROW($1:$1),1),"ABCDEFGHIJKLMNOPQRSTUVWXYZabcdefghijklmnopqrstuvwxyz .,")))&gt;0)),"Middle Initial, ","")&amp;IF(OR($F468="",LEN($F468)&gt;75),"Address, ","")&amp;IF(OR($H468="",LEN($H468)&gt;30),"City, ","")&amp;IF(AND($K468="US",OR($I468="",LEN($I468)&lt;&gt;2)),"State, ","")&amp;IF($J468="","ZIP, ","")&amp;IF(OR($K468="",AND($K468&lt;&gt;"US",$K468&lt;&gt;"CA")),"Country, ","")&amp;IF(OR($L468="",AND($L468&lt;&gt;"",OR(NOT(ISNUMBER($L468)),$L468&lt;=DATE(1900,1,1),$L468&gt;TODAY()))),"Birthdate, ","")&amp;IF(AND($N468&lt;&gt;"",NOT(IFERROR(AND(ISNUMBER(SEARCH("@",$N468)),ISNUMBER(SEARCH(".",$N468,SEARCH("@",$N468)+2))),FALSE))),"Email, ","")&amp;IF(OR(AND($B468&lt;&gt;"",$O468=""),AND($O468&lt;&gt;"",$O468&lt;&gt;"Spouse or Common Law Spouse",$O468&lt;&gt;"Domestic Partner",$O468&lt;&gt;"Child",$O468&lt;&gt;"Other",$O468&lt;&gt;"Estate",$O468&lt;&gt;"Unknown")),"Dependent Relationship, ","")&amp;IF($AA468&lt;&gt;"","Household, ","")&amp;IF(OR($P468="",AND($P468&lt;&gt;"",OR(NOT(ISNUMBER($P468)),$P468&lt;=DATE(1900,1,1)))),"Eligibility Date, ","")&amp;IF(OR(AND($R468="Terminated",$Q468=""),AND($Q468&lt;&gt;"",OR(NOT(ISNUMBER($Q468)),$Q468&lt;=DATE(1900,1,1))),AND(ISNUMBER($P468),ISNUMBER($Q468),$Q468&lt;$P468)),"Termination Date, ","")&amp;IF(OR($R468="",AND($R468&lt;&gt;"Active",$R468&lt;&gt;"Terminated"),AND('START HERE'!$C$8="Terminations Only",$R468&lt;&gt;"Terminated")),"Status, ","")&amp;IF($S468="","Plan Name, ","")&amp;IF($T468="","Coverage Level, ","")&amp;IF(AND($U468&lt;&gt;"",OR(NOT(ISNUMBER($U468)),$U468&lt;0)),"Funding, ","")&amp;IF(AND($A468&lt;&gt;"",$S468&lt;&gt;"",COUNTIFS($A$2:$A$501,$A468,$B$2:$B$501,$B468,$S$2:$S$501,$S468)&gt;1),"Duplicate Row, ",""))</f>
        <v/>
      </c>
      <c r="AF468">
        <f>IF(COUNTA($A468:$U468)=0,"",$Y468&amp;$Z468&amp;$AA468&amp;$AB468&amp;$AC468)</f>
        <v/>
      </c>
      <c r="AG468">
        <f>IF($N468="","",LOWER(TRIM($N468)))</f>
        <v/>
      </c>
      <c r="AH468">
        <f>IF($A468="","",COUNTIFS($A$2:$A$501,$A468,$AI$2:$AI$501,1))</f>
        <v/>
      </c>
      <c r="AI468">
        <f>IF(COUNTA($A468:$U468)=0,"",--($AF468&lt;&gt;""))</f>
        <v/>
      </c>
      <c r="AJ468">
        <f>IF(COUNTA($A468:$U468)=0,"",--($AD468&lt;&gt;""))</f>
        <v/>
      </c>
    </row>
    <row r="469" ht="20" customHeight="1">
      <c r="A469" s="80" t="n"/>
      <c r="B469" s="80" t="n"/>
      <c r="C469" s="81" t="n"/>
      <c r="D469" s="81" t="n"/>
      <c r="E469" s="80" t="n"/>
      <c r="F469" s="81" t="n"/>
      <c r="G469" s="81" t="n"/>
      <c r="H469" s="81" t="n"/>
      <c r="I469" s="80" t="n"/>
      <c r="J469" s="80" t="n"/>
      <c r="K469" s="80" t="n"/>
      <c r="L469" s="82" t="n"/>
      <c r="M469" s="80" t="n"/>
      <c r="N469" s="80" t="n"/>
      <c r="O469" s="80" t="n"/>
      <c r="P469" s="82" t="n"/>
      <c r="Q469" s="82" t="n"/>
      <c r="R469" s="80" t="n"/>
      <c r="S469" s="80" t="n"/>
      <c r="T469" s="80" t="n"/>
      <c r="U469" s="83" t="n"/>
      <c r="V469">
        <f>IF($A469="","",IF($A469=$A468,$V468,IF($V468="",0,1-$V468)))</f>
        <v/>
      </c>
      <c r="W469">
        <f>IF($B469&lt;&gt;"",$B469,$A469)</f>
        <v/>
      </c>
      <c r="X469">
        <f>IF(COUNTA($A469:$U469)=0,"",IF(OR($B469&lt;&gt;"",$O469&lt;&gt;""),"Dependent","Employee"))</f>
        <v/>
      </c>
      <c r="Y469">
        <f>IF(COUNTA($A469:$U469)=0,"",IF($A469="","Employee SSN is required; ","")&amp;IF($C469="","First Name is required; ","")&amp;IF(LEN($C469&amp;"")&gt;19,"First Name exceeds 19 characters; ","")&amp;IF(AND($C469&lt;&gt;"",SUMPRODUCT(--(ROW($1:$19)&lt;=LEN($C469&amp;"")),--ISERROR(FIND(MID($C469&amp;"",ROW($1:$19),1),"ABCDEFGHIJKLMNOPQRSTUVWXYZabcdefghijklmnopqrstuvwxyz .,")))&gt;0),"First Name contains unsupported or encoded characters; use plain A-Z letters only; ","")&amp;IF($D469="","Last Name is required; ","")&amp;IF(LEN($D469&amp;"")&gt;26,"Last Name exceeds 26 characters; ","")&amp;IF(AND($D469&lt;&gt;"",SUMPRODUCT(--(ROW($1:$26)&lt;=LEN($D469&amp;"")),--ISERROR(FIND(MID($D469&amp;"",ROW($1:$26),1),"ABCDEFGHIJKLMNOPQRSTUVWXYZabcdefghijklmnopqrstuvwxyz .,")))&gt;0),"Last Name contains unsupported or encoded characters; use plain A-Z letters only; ","")&amp;IF(LEN($E469&amp;"")&gt;1,"Middle Initial may contain only one character; ","")&amp;IF(AND($E469&lt;&gt;"",SUMPRODUCT(--(ROW($1:$1)&lt;=LEN($E469&amp;"")),--ISERROR(FIND(MID($E469&amp;"",ROW($1:$1),1),"ABCDEFGHIJKLMNOPQRSTUVWXYZabcdefghijklmnopqrstuvwxyz .,")))&gt;0),"Middle Initial must be a plain A-Z letter; ","")&amp;IF($F469="","Address is required; ","")&amp;IF(LEN($F469&amp;"")&gt;75,"Address exceeds 75 characters; ","")&amp;IF(LEN($G469&amp;"")&gt;75,"Address 2 exceeds 75 characters; ","")&amp;IF($H469="","City is required; ","")&amp;IF(LEN($H469&amp;"")&gt;30,"City exceeds 30 characters; ","")&amp;IF($K469="","Country is required; ","")&amp;IF(AND($K469&lt;&gt;"",$K469&lt;&gt;"US",$K469&lt;&gt;"CA"),"Country must be US or CA; ","")&amp;IF(AND($K469="US",OR($I469="",LEN($I469&amp;"")&lt;&gt;2)),"Use a 2-letter state code; ","")&amp;IF($J469="","ZIP or postal code is required; ","")&amp;IF(AND($K469="US",$J469&lt;&gt;"",NOT(IFERROR(OR(AND(LEN($J469&amp;"")=5,ISNUMBER(--($J469&amp;""))),AND(LEN($J469&amp;"")=9,ISNUMBER(--($J469&amp;""))),AND(LEN($J469&amp;"")=10,MID($J469&amp;"",6,1)="-",ISNUMBER(--SUBSTITUTE($J469&amp;"","-","")))),FALSE))),"US ZIP must be 5 or 9 digits, with an optional ZIP+4 hyphen; ","")&amp;IF(AND($N469&lt;&gt;"",NOT(IFERROR(AND(ISNUMBER(SEARCH("@",$N469)),ISNUMBER(SEARCH(".",$N469,SEARCH("@",$N469)+2))),FALSE))),"Email format appears invalid; ","")&amp;IF(AND($O469&lt;&gt;"",$B469=""),"Dependent SSN is required for every dependent; ","")&amp;IF(AND($B469&lt;&gt;"",$O469=""),"Dependent Relationship is required when Dependent SSN is entered; ","")&amp;IF(AND($O469&lt;&gt;"",$O469&lt;&gt;"Spouse or Common Law Spouse",$O469&lt;&gt;"Domestic Partner",$O469&lt;&gt;"Child",$O469&lt;&gt;"Other",$O469&lt;&gt;"Estate",$O469&lt;&gt;"Unknown"),"Dependent Relationship must use one of the approved options; ",""))</f>
        <v/>
      </c>
      <c r="Z469">
        <f>IF(COUNTA($A469:$U469)=0,"",IF(AND($A469&lt;&gt;"",NOT(IFERROR(AND(LEN($A469&amp;"")=9,ISNUMBER(--($A469&amp;""))),FALSE))),"Employee SSN must contain exactly 9 digits; ","")&amp;IF(AND($A469&lt;&gt;"",OR($A469="123456789",$A469="987654321",$A469="012345678",$A469=REPT(LEFT($A469&amp;"",1),9))),"Employee SSN appears to be a placeholder; ","")&amp;IF(AND($B469&lt;&gt;"",NOT(IFERROR(AND(LEN($B469&amp;"")=9,ISNUMBER(--($B469&amp;""))),FALSE))),"Dependent SSN must contain exactly 9 digits; ","")&amp;IF(AND($B469&lt;&gt;"",OR($B469="123456789",$B469="987654321",$B469="012345678",$B469=REPT(LEFT($B469&amp;"",1),9))),"Dependent SSN appears to be a placeholder; ","")&amp;IF(AND($A469&lt;&gt;"",$B469&lt;&gt;"",$A469&amp;""=$B469&amp;""),"Dependent SSN cannot match Employee SSN; ","")&amp;IF(AND($W469&lt;&gt;"",OR(COUNTIFS($W$2:$W$501,$W469,$C$2:$C$501,"&lt;&gt;"&amp;$C469)&gt;0,COUNTIFS($W$2:$W$501,$W469,$D$2:$D$501,"&lt;&gt;"&amp;$D469)&gt;0,COUNTIFS($W$2:$W$501,$W469,$L$2:$L$501,"&lt;&gt;"&amp;$L469)&gt;0)),"The same SSN is associated with a different name or birthdate; ",""))</f>
        <v/>
      </c>
      <c r="AA469">
        <f>IF(COUNTA($A469:$U469)=0,"",IF(AND($A469&lt;&gt;"",$S469&lt;&gt;"",COUNTIFS($A$2:$A$501,$A469,$S$2:$S$501,$S469,$B$2:$B$501,"",$O$2:$O$501,"")=0),"Add an employee row for this household and plan; ","")&amp;IF(AND($X469="Dependent",COUNTIFS($A$2:$A469,$A469,$S$2:$S469,$S469,$B$2:$B469,"",$O$2:$O469,"")=0),"Place the employee row before dependent rows for this plan; ","")&amp;IF(AND($X469="Dependent",COUNTIFS($A$2:$A$501,$A469,$S$2:$S$501,$S469,$B$2:$B$501,"",$O$2:$O$501,"")&gt;0,IFERROR(OR($P469&lt;&gt;LOOKUP(2,1/(($A$2:$A$501=$A469)*($S$2:$S$501=$S469)*($B$2:$B$501="")*($O$2:$O$501="")),$P$2:$P$501),$Q469&lt;&gt;LOOKUP(2,1/(($A$2:$A$501=$A469)*($S$2:$S$501=$S469)*($B$2:$B$501="")*($O$2:$O$501="")),$Q$2:$Q$501),$R469&lt;&gt;LOOKUP(2,1/(($A$2:$A$501=$A469)*($S$2:$S$501=$S469)*($B$2:$B$501="")*($O$2:$O$501="")),$R$2:$R$501),$T469&lt;&gt;LOOKUP(2,1/(($A$2:$A$501=$A469)*($S$2:$S$501=$S469)*($B$2:$B$501="")*($O$2:$O$501="")),$T$2:$T$501),$U469&lt;&gt;LOOKUP(2,1/(($A$2:$A$501=$A469)*($S$2:$S$501=$S469)*($B$2:$B$501="")*($O$2:$O$501="")),$U$2:$U$501)),FALSE)),"Dependent row does not match the employee row for eligibility, status, coverage level, or funding; ",""))</f>
        <v/>
      </c>
      <c r="AB469">
        <f>IF(COUNTA($A469:$U469)=0,"",IF($L469="","Birthdate is required; ","")&amp;IF(AND($L469&lt;&gt;"",OR(NOT(ISNUMBER($L469)),$L469&lt;=DATE(1900,1,1),$L469&gt;TODAY())),"Birthdate must be an exact valid past date; ","")&amp;IF($P469="","Eligibility Date is required; ","")&amp;IF(AND($P469&lt;&gt;"",OR(NOT(ISNUMBER($P469)),$P469&lt;=DATE(1900,1,1))),"Eligibility Date must be a valid date; ","")&amp;IF(AND($R469="Terminated",$Q469=""),"Termination Date is required when Status is Terminated; ","")&amp;IF(AND($Q469&lt;&gt;"",OR(NOT(ISNUMBER($Q469)),$Q469&lt;=DATE(1900,1,1))),"Termination Date must be a valid date; ","")&amp;IF(AND(ISNUMBER($P469),ISNUMBER($Q469),$Q469&lt;$P469),"Termination Date cannot be before Eligibility Date; ","")&amp;IF($R469="","Status is required; ","")&amp;IF(AND($R469&lt;&gt;"",$R469&lt;&gt;"Active",$R469&lt;&gt;"Terminated"),"Status must be Active or Terminated; ","")&amp;IF(AND('START HERE'!$C$8="Terminations Only",$R469&lt;&gt;"Terminated"),"Terminations Only files must contain terminated records; ",""))</f>
        <v/>
      </c>
      <c r="AC469">
        <f>IF(COUNTA($A469:$U469)=0,"",IF($S469="","Plan Name is required; ","")&amp;IF($T469="","Benefit Coverage Level is required; ","")&amp;IF(AND($U469&lt;&gt;"",OR(NOT(ISNUMBER($U469)),$U469&lt;0)),"Plan Funding Amount must be a nonnegative number; ","")&amp;IF(AND($A469&lt;&gt;"",$S469&lt;&gt;"",COUNTIFS($A$2:$A$501,$A469,$B$2:$B$501,$B469,$S$2:$S$501,$S469)&gt;1),"Duplicate participant and plan row; ",""))</f>
        <v/>
      </c>
      <c r="AD469">
        <f>IF(COUNTA($A469:$U469)=0,"",IF(AND($X469="Employee",$M469="",$N469=""),"No employee phone or email provided; ","")&amp;IF(AND($R469="Active",$Q469&lt;&gt;""),"Active record includes a Termination Date; confirm this is intentional; ","")&amp;IF(AND($B469&lt;&gt;"",$B469&amp;""&lt;&gt;$A469&amp;"",COUNTIF($A$2:$A$501,$B469)&gt;0),"Dependent SSN also appears as an Employee SSN elsewhere; confirm dual-employee coverage is intentional; ","")&amp;IF(AND($B469&lt;&gt;"",COUNTIF($B$2:$B$501,$B469)&gt;COUNTIFS($A$2:$A$501,$A469,$B$2:$B$501,$B469)),"Dependent SSN appears under more than one employee; confirm duplicate family coverage is intentional; ","")&amp;IF(AND(ROW()&gt;2,$A469&lt;&gt;"",$A469&lt;&gt;$A468,COUNTIF($A$2:$A468,$A469)&gt;0),"This household appears in more than one section of the census; keep the family together; ","")&amp;IF(OR(AND($C469&lt;&gt;"",LEN($C469&amp;"")&lt;&gt;LEN(TRIM($C469&amp;""))),AND($D469&lt;&gt;"",LEN($D469&amp;"")&lt;&gt;LEN(TRIM($D469&amp;""))),AND($E469&lt;&gt;"",LEN($E469&amp;"")&lt;&gt;LEN(TRIM($E469&amp;""))),AND($F469&lt;&gt;"",LEN($F469&amp;"")&lt;&gt;LEN(TRIM($F469&amp;""))),AND($G469&lt;&gt;"",LEN($G469&amp;"")&lt;&gt;LEN(TRIM($G469&amp;""))),AND($H469&lt;&gt;"",LEN($H469&amp;"")&lt;&gt;LEN(TRIM($H469&amp;""))),AND($I469&lt;&gt;"",LEN($I469&amp;"")&lt;&gt;LEN(TRIM($I469&amp;""))),AND($J469&lt;&gt;"",LEN($J469&amp;"")&lt;&gt;LEN(TRIM($J469&amp;""))),AND($K469&lt;&gt;"",LEN($K469&amp;"")&lt;&gt;LEN(TRIM($K469&amp;""))),AND($M469&lt;&gt;"",LEN($M469&amp;"")&lt;&gt;LEN(TRIM($M469&amp;""))),AND($N469&lt;&gt;"",LEN($N469&amp;"")&lt;&gt;LEN(TRIM($N469&amp;""))),AND($O469&lt;&gt;"",LEN($O469&amp;"")&lt;&gt;LEN(TRIM($O469&amp;""))),AND($R469&lt;&gt;"",LEN($R469&amp;"")&lt;&gt;LEN(TRIM($R469&amp;""))),AND($S469&lt;&gt;"",LEN($S469&amp;"")&lt;&gt;LEN(TRIM($S469&amp;""))),AND($T469&lt;&gt;"",LEN($T469&amp;"")&lt;&gt;LEN(TRIM($T469&amp;"")))),"Remove leading or trailing spaces from text fields; ","")&amp;IF(OR(AND(LEN($C469)&gt;1,OR(EXACT($C469,UPPER($C469)),EXACT($C469,LOWER($C469)))),AND(LEN($D469)&gt;1,OR(EXACT($D469,UPPER($D469)),EXACT($D469,LOWER($D469)))),AND(LEN($H469)&gt;1,OR(EXACT($H469,UPPER($H469)),EXACT($H469,LOWER($H469))))),"Review capitalization in First Name, Last Name, or City; ","")&amp;IF(AND($N469&lt;&gt;"",NOT(EXACT($N469,LOWER($N469)))),"Email will be standardized to lowercase in the clean output; ","")&amp;IF(AND(OR('START HERE'!$C$8="Initial Enrollment",'START HERE'!$C$8="Open Enrollment"),$R469="Terminated"),"A terminated row is included in an initial or open enrollment file; confirm this is intentional; ",""))</f>
        <v/>
      </c>
      <c r="AE469">
        <f>IF(COUNTA($A469:$U469)=0,"",IF(OR($A469="",AND($A469&lt;&gt;"",NOT(IFERROR(AND(LEN($A469&amp;"")=9,ISNUMBER(--($A469&amp;""))),FALSE))),AND($A469&lt;&gt;"",OR($A469="123456789",$A469="987654321",$A469="012345678",$A469=REPT(LEFT($A469&amp;"",1),9)))),"Employee SSN, ","")&amp;IF(OR(AND($O469&lt;&gt;"",$B469=""),AND($B469&lt;&gt;"",OR(NOT(IFERROR(AND(LEN($B469&amp;"")=9,ISNUMBER(--($B469&amp;""))),FALSE)),$B469=$A469,$B469="123456789",$B469="987654321",$B469="012345678",$B469=REPT(LEFT($B469&amp;"",1),9)))),"Dependent SSN, ","")&amp;IF(OR($C469="",LEN($C469)&gt;19,AND($C469&lt;&gt;"",SUMPRODUCT(--(ROW($1:$19)&lt;=LEN($C469&amp;"")),--ISERROR(FIND(MID($C469&amp;"",ROW($1:$19),1),"ABCDEFGHIJKLMNOPQRSTUVWXYZabcdefghijklmnopqrstuvwxyz .,")))&gt;0)),"First Name, ","")&amp;IF(OR($D469="",LEN($D469)&gt;26,AND($D469&lt;&gt;"",SUMPRODUCT(--(ROW($1:$26)&lt;=LEN($D469&amp;"")),--ISERROR(FIND(MID($D469&amp;"",ROW($1:$26),1),"ABCDEFGHIJKLMNOPQRSTUVWXYZabcdefghijklmnopqrstuvwxyz .,")))&gt;0)),"Last Name, ","")&amp;IF(OR(LEN($E469)&gt;1,AND($E469&lt;&gt;"",SUMPRODUCT(--(ROW($1:$1)&lt;=LEN($E469&amp;"")),--ISERROR(FIND(MID($E469&amp;"",ROW($1:$1),1),"ABCDEFGHIJKLMNOPQRSTUVWXYZabcdefghijklmnopqrstuvwxyz .,")))&gt;0)),"Middle Initial, ","")&amp;IF(OR($F469="",LEN($F469)&gt;75),"Address, ","")&amp;IF(OR($H469="",LEN($H469)&gt;30),"City, ","")&amp;IF(AND($K469="US",OR($I469="",LEN($I469)&lt;&gt;2)),"State, ","")&amp;IF($J469="","ZIP, ","")&amp;IF(OR($K469="",AND($K469&lt;&gt;"US",$K469&lt;&gt;"CA")),"Country, ","")&amp;IF(OR($L469="",AND($L469&lt;&gt;"",OR(NOT(ISNUMBER($L469)),$L469&lt;=DATE(1900,1,1),$L469&gt;TODAY()))),"Birthdate, ","")&amp;IF(AND($N469&lt;&gt;"",NOT(IFERROR(AND(ISNUMBER(SEARCH("@",$N469)),ISNUMBER(SEARCH(".",$N469,SEARCH("@",$N469)+2))),FALSE))),"Email, ","")&amp;IF(OR(AND($B469&lt;&gt;"",$O469=""),AND($O469&lt;&gt;"",$O469&lt;&gt;"Spouse or Common Law Spouse",$O469&lt;&gt;"Domestic Partner",$O469&lt;&gt;"Child",$O469&lt;&gt;"Other",$O469&lt;&gt;"Estate",$O469&lt;&gt;"Unknown")),"Dependent Relationship, ","")&amp;IF($AA469&lt;&gt;"","Household, ","")&amp;IF(OR($P469="",AND($P469&lt;&gt;"",OR(NOT(ISNUMBER($P469)),$P469&lt;=DATE(1900,1,1)))),"Eligibility Date, ","")&amp;IF(OR(AND($R469="Terminated",$Q469=""),AND($Q469&lt;&gt;"",OR(NOT(ISNUMBER($Q469)),$Q469&lt;=DATE(1900,1,1))),AND(ISNUMBER($P469),ISNUMBER($Q469),$Q469&lt;$P469)),"Termination Date, ","")&amp;IF(OR($R469="",AND($R469&lt;&gt;"Active",$R469&lt;&gt;"Terminated"),AND('START HERE'!$C$8="Terminations Only",$R469&lt;&gt;"Terminated")),"Status, ","")&amp;IF($S469="","Plan Name, ","")&amp;IF($T469="","Coverage Level, ","")&amp;IF(AND($U469&lt;&gt;"",OR(NOT(ISNUMBER($U469)),$U469&lt;0)),"Funding, ","")&amp;IF(AND($A469&lt;&gt;"",$S469&lt;&gt;"",COUNTIFS($A$2:$A$501,$A469,$B$2:$B$501,$B469,$S$2:$S$501,$S469)&gt;1),"Duplicate Row, ",""))</f>
        <v/>
      </c>
      <c r="AF469">
        <f>IF(COUNTA($A469:$U469)=0,"",$Y469&amp;$Z469&amp;$AA469&amp;$AB469&amp;$AC469)</f>
        <v/>
      </c>
      <c r="AG469">
        <f>IF($N469="","",LOWER(TRIM($N469)))</f>
        <v/>
      </c>
      <c r="AH469">
        <f>IF($A469="","",COUNTIFS($A$2:$A$501,$A469,$AI$2:$AI$501,1))</f>
        <v/>
      </c>
      <c r="AI469">
        <f>IF(COUNTA($A469:$U469)=0,"",--($AF469&lt;&gt;""))</f>
        <v/>
      </c>
      <c r="AJ469">
        <f>IF(COUNTA($A469:$U469)=0,"",--($AD469&lt;&gt;""))</f>
        <v/>
      </c>
    </row>
    <row r="470" ht="20" customHeight="1">
      <c r="A470" s="80" t="n"/>
      <c r="B470" s="80" t="n"/>
      <c r="C470" s="81" t="n"/>
      <c r="D470" s="81" t="n"/>
      <c r="E470" s="80" t="n"/>
      <c r="F470" s="81" t="n"/>
      <c r="G470" s="81" t="n"/>
      <c r="H470" s="81" t="n"/>
      <c r="I470" s="80" t="n"/>
      <c r="J470" s="80" t="n"/>
      <c r="K470" s="80" t="n"/>
      <c r="L470" s="82" t="n"/>
      <c r="M470" s="80" t="n"/>
      <c r="N470" s="80" t="n"/>
      <c r="O470" s="80" t="n"/>
      <c r="P470" s="82" t="n"/>
      <c r="Q470" s="82" t="n"/>
      <c r="R470" s="80" t="n"/>
      <c r="S470" s="80" t="n"/>
      <c r="T470" s="80" t="n"/>
      <c r="U470" s="83" t="n"/>
      <c r="V470">
        <f>IF($A470="","",IF($A470=$A469,$V469,IF($V469="",0,1-$V469)))</f>
        <v/>
      </c>
      <c r="W470">
        <f>IF($B470&lt;&gt;"",$B470,$A470)</f>
        <v/>
      </c>
      <c r="X470">
        <f>IF(COUNTA($A470:$U470)=0,"",IF(OR($B470&lt;&gt;"",$O470&lt;&gt;""),"Dependent","Employee"))</f>
        <v/>
      </c>
      <c r="Y470">
        <f>IF(COUNTA($A470:$U470)=0,"",IF($A470="","Employee SSN is required; ","")&amp;IF($C470="","First Name is required; ","")&amp;IF(LEN($C470&amp;"")&gt;19,"First Name exceeds 19 characters; ","")&amp;IF(AND($C470&lt;&gt;"",SUMPRODUCT(--(ROW($1:$19)&lt;=LEN($C470&amp;"")),--ISERROR(FIND(MID($C470&amp;"",ROW($1:$19),1),"ABCDEFGHIJKLMNOPQRSTUVWXYZabcdefghijklmnopqrstuvwxyz .,")))&gt;0),"First Name contains unsupported or encoded characters; use plain A-Z letters only; ","")&amp;IF($D470="","Last Name is required; ","")&amp;IF(LEN($D470&amp;"")&gt;26,"Last Name exceeds 26 characters; ","")&amp;IF(AND($D470&lt;&gt;"",SUMPRODUCT(--(ROW($1:$26)&lt;=LEN($D470&amp;"")),--ISERROR(FIND(MID($D470&amp;"",ROW($1:$26),1),"ABCDEFGHIJKLMNOPQRSTUVWXYZabcdefghijklmnopqrstuvwxyz .,")))&gt;0),"Last Name contains unsupported or encoded characters; use plain A-Z letters only; ","")&amp;IF(LEN($E470&amp;"")&gt;1,"Middle Initial may contain only one character; ","")&amp;IF(AND($E470&lt;&gt;"",SUMPRODUCT(--(ROW($1:$1)&lt;=LEN($E470&amp;"")),--ISERROR(FIND(MID($E470&amp;"",ROW($1:$1),1),"ABCDEFGHIJKLMNOPQRSTUVWXYZabcdefghijklmnopqrstuvwxyz .,")))&gt;0),"Middle Initial must be a plain A-Z letter; ","")&amp;IF($F470="","Address is required; ","")&amp;IF(LEN($F470&amp;"")&gt;75,"Address exceeds 75 characters; ","")&amp;IF(LEN($G470&amp;"")&gt;75,"Address 2 exceeds 75 characters; ","")&amp;IF($H470="","City is required; ","")&amp;IF(LEN($H470&amp;"")&gt;30,"City exceeds 30 characters; ","")&amp;IF($K470="","Country is required; ","")&amp;IF(AND($K470&lt;&gt;"",$K470&lt;&gt;"US",$K470&lt;&gt;"CA"),"Country must be US or CA; ","")&amp;IF(AND($K470="US",OR($I470="",LEN($I470&amp;"")&lt;&gt;2)),"Use a 2-letter state code; ","")&amp;IF($J470="","ZIP or postal code is required; ","")&amp;IF(AND($K470="US",$J470&lt;&gt;"",NOT(IFERROR(OR(AND(LEN($J470&amp;"")=5,ISNUMBER(--($J470&amp;""))),AND(LEN($J470&amp;"")=9,ISNUMBER(--($J470&amp;""))),AND(LEN($J470&amp;"")=10,MID($J470&amp;"",6,1)="-",ISNUMBER(--SUBSTITUTE($J470&amp;"","-","")))),FALSE))),"US ZIP must be 5 or 9 digits, with an optional ZIP+4 hyphen; ","")&amp;IF(AND($N470&lt;&gt;"",NOT(IFERROR(AND(ISNUMBER(SEARCH("@",$N470)),ISNUMBER(SEARCH(".",$N470,SEARCH("@",$N470)+2))),FALSE))),"Email format appears invalid; ","")&amp;IF(AND($O470&lt;&gt;"",$B470=""),"Dependent SSN is required for every dependent; ","")&amp;IF(AND($B470&lt;&gt;"",$O470=""),"Dependent Relationship is required when Dependent SSN is entered; ","")&amp;IF(AND($O470&lt;&gt;"",$O470&lt;&gt;"Spouse or Common Law Spouse",$O470&lt;&gt;"Domestic Partner",$O470&lt;&gt;"Child",$O470&lt;&gt;"Other",$O470&lt;&gt;"Estate",$O470&lt;&gt;"Unknown"),"Dependent Relationship must use one of the approved options; ",""))</f>
        <v/>
      </c>
      <c r="Z470">
        <f>IF(COUNTA($A470:$U470)=0,"",IF(AND($A470&lt;&gt;"",NOT(IFERROR(AND(LEN($A470&amp;"")=9,ISNUMBER(--($A470&amp;""))),FALSE))),"Employee SSN must contain exactly 9 digits; ","")&amp;IF(AND($A470&lt;&gt;"",OR($A470="123456789",$A470="987654321",$A470="012345678",$A470=REPT(LEFT($A470&amp;"",1),9))),"Employee SSN appears to be a placeholder; ","")&amp;IF(AND($B470&lt;&gt;"",NOT(IFERROR(AND(LEN($B470&amp;"")=9,ISNUMBER(--($B470&amp;""))),FALSE))),"Dependent SSN must contain exactly 9 digits; ","")&amp;IF(AND($B470&lt;&gt;"",OR($B470="123456789",$B470="987654321",$B470="012345678",$B470=REPT(LEFT($B470&amp;"",1),9))),"Dependent SSN appears to be a placeholder; ","")&amp;IF(AND($A470&lt;&gt;"",$B470&lt;&gt;"",$A470&amp;""=$B470&amp;""),"Dependent SSN cannot match Employee SSN; ","")&amp;IF(AND($W470&lt;&gt;"",OR(COUNTIFS($W$2:$W$501,$W470,$C$2:$C$501,"&lt;&gt;"&amp;$C470)&gt;0,COUNTIFS($W$2:$W$501,$W470,$D$2:$D$501,"&lt;&gt;"&amp;$D470)&gt;0,COUNTIFS($W$2:$W$501,$W470,$L$2:$L$501,"&lt;&gt;"&amp;$L470)&gt;0)),"The same SSN is associated with a different name or birthdate; ",""))</f>
        <v/>
      </c>
      <c r="AA470">
        <f>IF(COUNTA($A470:$U470)=0,"",IF(AND($A470&lt;&gt;"",$S470&lt;&gt;"",COUNTIFS($A$2:$A$501,$A470,$S$2:$S$501,$S470,$B$2:$B$501,"",$O$2:$O$501,"")=0),"Add an employee row for this household and plan; ","")&amp;IF(AND($X470="Dependent",COUNTIFS($A$2:$A470,$A470,$S$2:$S470,$S470,$B$2:$B470,"",$O$2:$O470,"")=0),"Place the employee row before dependent rows for this plan; ","")&amp;IF(AND($X470="Dependent",COUNTIFS($A$2:$A$501,$A470,$S$2:$S$501,$S470,$B$2:$B$501,"",$O$2:$O$501,"")&gt;0,IFERROR(OR($P470&lt;&gt;LOOKUP(2,1/(($A$2:$A$501=$A470)*($S$2:$S$501=$S470)*($B$2:$B$501="")*($O$2:$O$501="")),$P$2:$P$501),$Q470&lt;&gt;LOOKUP(2,1/(($A$2:$A$501=$A470)*($S$2:$S$501=$S470)*($B$2:$B$501="")*($O$2:$O$501="")),$Q$2:$Q$501),$R470&lt;&gt;LOOKUP(2,1/(($A$2:$A$501=$A470)*($S$2:$S$501=$S470)*($B$2:$B$501="")*($O$2:$O$501="")),$R$2:$R$501),$T470&lt;&gt;LOOKUP(2,1/(($A$2:$A$501=$A470)*($S$2:$S$501=$S470)*($B$2:$B$501="")*($O$2:$O$501="")),$T$2:$T$501),$U470&lt;&gt;LOOKUP(2,1/(($A$2:$A$501=$A470)*($S$2:$S$501=$S470)*($B$2:$B$501="")*($O$2:$O$501="")),$U$2:$U$501)),FALSE)),"Dependent row does not match the employee row for eligibility, status, coverage level, or funding; ",""))</f>
        <v/>
      </c>
      <c r="AB470">
        <f>IF(COUNTA($A470:$U470)=0,"",IF($L470="","Birthdate is required; ","")&amp;IF(AND($L470&lt;&gt;"",OR(NOT(ISNUMBER($L470)),$L470&lt;=DATE(1900,1,1),$L470&gt;TODAY())),"Birthdate must be an exact valid past date; ","")&amp;IF($P470="","Eligibility Date is required; ","")&amp;IF(AND($P470&lt;&gt;"",OR(NOT(ISNUMBER($P470)),$P470&lt;=DATE(1900,1,1))),"Eligibility Date must be a valid date; ","")&amp;IF(AND($R470="Terminated",$Q470=""),"Termination Date is required when Status is Terminated; ","")&amp;IF(AND($Q470&lt;&gt;"",OR(NOT(ISNUMBER($Q470)),$Q470&lt;=DATE(1900,1,1))),"Termination Date must be a valid date; ","")&amp;IF(AND(ISNUMBER($P470),ISNUMBER($Q470),$Q470&lt;$P470),"Termination Date cannot be before Eligibility Date; ","")&amp;IF($R470="","Status is required; ","")&amp;IF(AND($R470&lt;&gt;"",$R470&lt;&gt;"Active",$R470&lt;&gt;"Terminated"),"Status must be Active or Terminated; ","")&amp;IF(AND('START HERE'!$C$8="Terminations Only",$R470&lt;&gt;"Terminated"),"Terminations Only files must contain terminated records; ",""))</f>
        <v/>
      </c>
      <c r="AC470">
        <f>IF(COUNTA($A470:$U470)=0,"",IF($S470="","Plan Name is required; ","")&amp;IF($T470="","Benefit Coverage Level is required; ","")&amp;IF(AND($U470&lt;&gt;"",OR(NOT(ISNUMBER($U470)),$U470&lt;0)),"Plan Funding Amount must be a nonnegative number; ","")&amp;IF(AND($A470&lt;&gt;"",$S470&lt;&gt;"",COUNTIFS($A$2:$A$501,$A470,$B$2:$B$501,$B470,$S$2:$S$501,$S470)&gt;1),"Duplicate participant and plan row; ",""))</f>
        <v/>
      </c>
      <c r="AD470">
        <f>IF(COUNTA($A470:$U470)=0,"",IF(AND($X470="Employee",$M470="",$N470=""),"No employee phone or email provided; ","")&amp;IF(AND($R470="Active",$Q470&lt;&gt;""),"Active record includes a Termination Date; confirm this is intentional; ","")&amp;IF(AND($B470&lt;&gt;"",$B470&amp;""&lt;&gt;$A470&amp;"",COUNTIF($A$2:$A$501,$B470)&gt;0),"Dependent SSN also appears as an Employee SSN elsewhere; confirm dual-employee coverage is intentional; ","")&amp;IF(AND($B470&lt;&gt;"",COUNTIF($B$2:$B$501,$B470)&gt;COUNTIFS($A$2:$A$501,$A470,$B$2:$B$501,$B470)),"Dependent SSN appears under more than one employee; confirm duplicate family coverage is intentional; ","")&amp;IF(AND(ROW()&gt;2,$A470&lt;&gt;"",$A470&lt;&gt;$A469,COUNTIF($A$2:$A469,$A470)&gt;0),"This household appears in more than one section of the census; keep the family together; ","")&amp;IF(OR(AND($C470&lt;&gt;"",LEN($C470&amp;"")&lt;&gt;LEN(TRIM($C470&amp;""))),AND($D470&lt;&gt;"",LEN($D470&amp;"")&lt;&gt;LEN(TRIM($D470&amp;""))),AND($E470&lt;&gt;"",LEN($E470&amp;"")&lt;&gt;LEN(TRIM($E470&amp;""))),AND($F470&lt;&gt;"",LEN($F470&amp;"")&lt;&gt;LEN(TRIM($F470&amp;""))),AND($G470&lt;&gt;"",LEN($G470&amp;"")&lt;&gt;LEN(TRIM($G470&amp;""))),AND($H470&lt;&gt;"",LEN($H470&amp;"")&lt;&gt;LEN(TRIM($H470&amp;""))),AND($I470&lt;&gt;"",LEN($I470&amp;"")&lt;&gt;LEN(TRIM($I470&amp;""))),AND($J470&lt;&gt;"",LEN($J470&amp;"")&lt;&gt;LEN(TRIM($J470&amp;""))),AND($K470&lt;&gt;"",LEN($K470&amp;"")&lt;&gt;LEN(TRIM($K470&amp;""))),AND($M470&lt;&gt;"",LEN($M470&amp;"")&lt;&gt;LEN(TRIM($M470&amp;""))),AND($N470&lt;&gt;"",LEN($N470&amp;"")&lt;&gt;LEN(TRIM($N470&amp;""))),AND($O470&lt;&gt;"",LEN($O470&amp;"")&lt;&gt;LEN(TRIM($O470&amp;""))),AND($R470&lt;&gt;"",LEN($R470&amp;"")&lt;&gt;LEN(TRIM($R470&amp;""))),AND($S470&lt;&gt;"",LEN($S470&amp;"")&lt;&gt;LEN(TRIM($S470&amp;""))),AND($T470&lt;&gt;"",LEN($T470&amp;"")&lt;&gt;LEN(TRIM($T470&amp;"")))),"Remove leading or trailing spaces from text fields; ","")&amp;IF(OR(AND(LEN($C470)&gt;1,OR(EXACT($C470,UPPER($C470)),EXACT($C470,LOWER($C470)))),AND(LEN($D470)&gt;1,OR(EXACT($D470,UPPER($D470)),EXACT($D470,LOWER($D470)))),AND(LEN($H470)&gt;1,OR(EXACT($H470,UPPER($H470)),EXACT($H470,LOWER($H470))))),"Review capitalization in First Name, Last Name, or City; ","")&amp;IF(AND($N470&lt;&gt;"",NOT(EXACT($N470,LOWER($N470)))),"Email will be standardized to lowercase in the clean output; ","")&amp;IF(AND(OR('START HERE'!$C$8="Initial Enrollment",'START HERE'!$C$8="Open Enrollment"),$R470="Terminated"),"A terminated row is included in an initial or open enrollment file; confirm this is intentional; ",""))</f>
        <v/>
      </c>
      <c r="AE470">
        <f>IF(COUNTA($A470:$U470)=0,"",IF(OR($A470="",AND($A470&lt;&gt;"",NOT(IFERROR(AND(LEN($A470&amp;"")=9,ISNUMBER(--($A470&amp;""))),FALSE))),AND($A470&lt;&gt;"",OR($A470="123456789",$A470="987654321",$A470="012345678",$A470=REPT(LEFT($A470&amp;"",1),9)))),"Employee SSN, ","")&amp;IF(OR(AND($O470&lt;&gt;"",$B470=""),AND($B470&lt;&gt;"",OR(NOT(IFERROR(AND(LEN($B470&amp;"")=9,ISNUMBER(--($B470&amp;""))),FALSE)),$B470=$A470,$B470="123456789",$B470="987654321",$B470="012345678",$B470=REPT(LEFT($B470&amp;"",1),9)))),"Dependent SSN, ","")&amp;IF(OR($C470="",LEN($C470)&gt;19,AND($C470&lt;&gt;"",SUMPRODUCT(--(ROW($1:$19)&lt;=LEN($C470&amp;"")),--ISERROR(FIND(MID($C470&amp;"",ROW($1:$19),1),"ABCDEFGHIJKLMNOPQRSTUVWXYZabcdefghijklmnopqrstuvwxyz .,")))&gt;0)),"First Name, ","")&amp;IF(OR($D470="",LEN($D470)&gt;26,AND($D470&lt;&gt;"",SUMPRODUCT(--(ROW($1:$26)&lt;=LEN($D470&amp;"")),--ISERROR(FIND(MID($D470&amp;"",ROW($1:$26),1),"ABCDEFGHIJKLMNOPQRSTUVWXYZabcdefghijklmnopqrstuvwxyz .,")))&gt;0)),"Last Name, ","")&amp;IF(OR(LEN($E470)&gt;1,AND($E470&lt;&gt;"",SUMPRODUCT(--(ROW($1:$1)&lt;=LEN($E470&amp;"")),--ISERROR(FIND(MID($E470&amp;"",ROW($1:$1),1),"ABCDEFGHIJKLMNOPQRSTUVWXYZabcdefghijklmnopqrstuvwxyz .,")))&gt;0)),"Middle Initial, ","")&amp;IF(OR($F470="",LEN($F470)&gt;75),"Address, ","")&amp;IF(OR($H470="",LEN($H470)&gt;30),"City, ","")&amp;IF(AND($K470="US",OR($I470="",LEN($I470)&lt;&gt;2)),"State, ","")&amp;IF($J470="","ZIP, ","")&amp;IF(OR($K470="",AND($K470&lt;&gt;"US",$K470&lt;&gt;"CA")),"Country, ","")&amp;IF(OR($L470="",AND($L470&lt;&gt;"",OR(NOT(ISNUMBER($L470)),$L470&lt;=DATE(1900,1,1),$L470&gt;TODAY()))),"Birthdate, ","")&amp;IF(AND($N470&lt;&gt;"",NOT(IFERROR(AND(ISNUMBER(SEARCH("@",$N470)),ISNUMBER(SEARCH(".",$N470,SEARCH("@",$N470)+2))),FALSE))),"Email, ","")&amp;IF(OR(AND($B470&lt;&gt;"",$O470=""),AND($O470&lt;&gt;"",$O470&lt;&gt;"Spouse or Common Law Spouse",$O470&lt;&gt;"Domestic Partner",$O470&lt;&gt;"Child",$O470&lt;&gt;"Other",$O470&lt;&gt;"Estate",$O470&lt;&gt;"Unknown")),"Dependent Relationship, ","")&amp;IF($AA470&lt;&gt;"","Household, ","")&amp;IF(OR($P470="",AND($P470&lt;&gt;"",OR(NOT(ISNUMBER($P470)),$P470&lt;=DATE(1900,1,1)))),"Eligibility Date, ","")&amp;IF(OR(AND($R470="Terminated",$Q470=""),AND($Q470&lt;&gt;"",OR(NOT(ISNUMBER($Q470)),$Q470&lt;=DATE(1900,1,1))),AND(ISNUMBER($P470),ISNUMBER($Q470),$Q470&lt;$P470)),"Termination Date, ","")&amp;IF(OR($R470="",AND($R470&lt;&gt;"Active",$R470&lt;&gt;"Terminated"),AND('START HERE'!$C$8="Terminations Only",$R470&lt;&gt;"Terminated")),"Status, ","")&amp;IF($S470="","Plan Name, ","")&amp;IF($T470="","Coverage Level, ","")&amp;IF(AND($U470&lt;&gt;"",OR(NOT(ISNUMBER($U470)),$U470&lt;0)),"Funding, ","")&amp;IF(AND($A470&lt;&gt;"",$S470&lt;&gt;"",COUNTIFS($A$2:$A$501,$A470,$B$2:$B$501,$B470,$S$2:$S$501,$S470)&gt;1),"Duplicate Row, ",""))</f>
        <v/>
      </c>
      <c r="AF470">
        <f>IF(COUNTA($A470:$U470)=0,"",$Y470&amp;$Z470&amp;$AA470&amp;$AB470&amp;$AC470)</f>
        <v/>
      </c>
      <c r="AG470">
        <f>IF($N470="","",LOWER(TRIM($N470)))</f>
        <v/>
      </c>
      <c r="AH470">
        <f>IF($A470="","",COUNTIFS($A$2:$A$501,$A470,$AI$2:$AI$501,1))</f>
        <v/>
      </c>
      <c r="AI470">
        <f>IF(COUNTA($A470:$U470)=0,"",--($AF470&lt;&gt;""))</f>
        <v/>
      </c>
      <c r="AJ470">
        <f>IF(COUNTA($A470:$U470)=0,"",--($AD470&lt;&gt;""))</f>
        <v/>
      </c>
    </row>
    <row r="471" ht="20" customHeight="1">
      <c r="A471" s="80" t="n"/>
      <c r="B471" s="80" t="n"/>
      <c r="C471" s="81" t="n"/>
      <c r="D471" s="81" t="n"/>
      <c r="E471" s="80" t="n"/>
      <c r="F471" s="81" t="n"/>
      <c r="G471" s="81" t="n"/>
      <c r="H471" s="81" t="n"/>
      <c r="I471" s="80" t="n"/>
      <c r="J471" s="80" t="n"/>
      <c r="K471" s="80" t="n"/>
      <c r="L471" s="82" t="n"/>
      <c r="M471" s="80" t="n"/>
      <c r="N471" s="80" t="n"/>
      <c r="O471" s="80" t="n"/>
      <c r="P471" s="82" t="n"/>
      <c r="Q471" s="82" t="n"/>
      <c r="R471" s="80" t="n"/>
      <c r="S471" s="80" t="n"/>
      <c r="T471" s="80" t="n"/>
      <c r="U471" s="83" t="n"/>
      <c r="V471">
        <f>IF($A471="","",IF($A471=$A470,$V470,IF($V470="",0,1-$V470)))</f>
        <v/>
      </c>
      <c r="W471">
        <f>IF($B471&lt;&gt;"",$B471,$A471)</f>
        <v/>
      </c>
      <c r="X471">
        <f>IF(COUNTA($A471:$U471)=0,"",IF(OR($B471&lt;&gt;"",$O471&lt;&gt;""),"Dependent","Employee"))</f>
        <v/>
      </c>
      <c r="Y471">
        <f>IF(COUNTA($A471:$U471)=0,"",IF($A471="","Employee SSN is required; ","")&amp;IF($C471="","First Name is required; ","")&amp;IF(LEN($C471&amp;"")&gt;19,"First Name exceeds 19 characters; ","")&amp;IF(AND($C471&lt;&gt;"",SUMPRODUCT(--(ROW($1:$19)&lt;=LEN($C471&amp;"")),--ISERROR(FIND(MID($C471&amp;"",ROW($1:$19),1),"ABCDEFGHIJKLMNOPQRSTUVWXYZabcdefghijklmnopqrstuvwxyz .,")))&gt;0),"First Name contains unsupported or encoded characters; use plain A-Z letters only; ","")&amp;IF($D471="","Last Name is required; ","")&amp;IF(LEN($D471&amp;"")&gt;26,"Last Name exceeds 26 characters; ","")&amp;IF(AND($D471&lt;&gt;"",SUMPRODUCT(--(ROW($1:$26)&lt;=LEN($D471&amp;"")),--ISERROR(FIND(MID($D471&amp;"",ROW($1:$26),1),"ABCDEFGHIJKLMNOPQRSTUVWXYZabcdefghijklmnopqrstuvwxyz .,")))&gt;0),"Last Name contains unsupported or encoded characters; use plain A-Z letters only; ","")&amp;IF(LEN($E471&amp;"")&gt;1,"Middle Initial may contain only one character; ","")&amp;IF(AND($E471&lt;&gt;"",SUMPRODUCT(--(ROW($1:$1)&lt;=LEN($E471&amp;"")),--ISERROR(FIND(MID($E471&amp;"",ROW($1:$1),1),"ABCDEFGHIJKLMNOPQRSTUVWXYZabcdefghijklmnopqrstuvwxyz .,")))&gt;0),"Middle Initial must be a plain A-Z letter; ","")&amp;IF($F471="","Address is required; ","")&amp;IF(LEN($F471&amp;"")&gt;75,"Address exceeds 75 characters; ","")&amp;IF(LEN($G471&amp;"")&gt;75,"Address 2 exceeds 75 characters; ","")&amp;IF($H471="","City is required; ","")&amp;IF(LEN($H471&amp;"")&gt;30,"City exceeds 30 characters; ","")&amp;IF($K471="","Country is required; ","")&amp;IF(AND($K471&lt;&gt;"",$K471&lt;&gt;"US",$K471&lt;&gt;"CA"),"Country must be US or CA; ","")&amp;IF(AND($K471="US",OR($I471="",LEN($I471&amp;"")&lt;&gt;2)),"Use a 2-letter state code; ","")&amp;IF($J471="","ZIP or postal code is required; ","")&amp;IF(AND($K471="US",$J471&lt;&gt;"",NOT(IFERROR(OR(AND(LEN($J471&amp;"")=5,ISNUMBER(--($J471&amp;""))),AND(LEN($J471&amp;"")=9,ISNUMBER(--($J471&amp;""))),AND(LEN($J471&amp;"")=10,MID($J471&amp;"",6,1)="-",ISNUMBER(--SUBSTITUTE($J471&amp;"","-","")))),FALSE))),"US ZIP must be 5 or 9 digits, with an optional ZIP+4 hyphen; ","")&amp;IF(AND($N471&lt;&gt;"",NOT(IFERROR(AND(ISNUMBER(SEARCH("@",$N471)),ISNUMBER(SEARCH(".",$N471,SEARCH("@",$N471)+2))),FALSE))),"Email format appears invalid; ","")&amp;IF(AND($O471&lt;&gt;"",$B471=""),"Dependent SSN is required for every dependent; ","")&amp;IF(AND($B471&lt;&gt;"",$O471=""),"Dependent Relationship is required when Dependent SSN is entered; ","")&amp;IF(AND($O471&lt;&gt;"",$O471&lt;&gt;"Spouse or Common Law Spouse",$O471&lt;&gt;"Domestic Partner",$O471&lt;&gt;"Child",$O471&lt;&gt;"Other",$O471&lt;&gt;"Estate",$O471&lt;&gt;"Unknown"),"Dependent Relationship must use one of the approved options; ",""))</f>
        <v/>
      </c>
      <c r="Z471">
        <f>IF(COUNTA($A471:$U471)=0,"",IF(AND($A471&lt;&gt;"",NOT(IFERROR(AND(LEN($A471&amp;"")=9,ISNUMBER(--($A471&amp;""))),FALSE))),"Employee SSN must contain exactly 9 digits; ","")&amp;IF(AND($A471&lt;&gt;"",OR($A471="123456789",$A471="987654321",$A471="012345678",$A471=REPT(LEFT($A471&amp;"",1),9))),"Employee SSN appears to be a placeholder; ","")&amp;IF(AND($B471&lt;&gt;"",NOT(IFERROR(AND(LEN($B471&amp;"")=9,ISNUMBER(--($B471&amp;""))),FALSE))),"Dependent SSN must contain exactly 9 digits; ","")&amp;IF(AND($B471&lt;&gt;"",OR($B471="123456789",$B471="987654321",$B471="012345678",$B471=REPT(LEFT($B471&amp;"",1),9))),"Dependent SSN appears to be a placeholder; ","")&amp;IF(AND($A471&lt;&gt;"",$B471&lt;&gt;"",$A471&amp;""=$B471&amp;""),"Dependent SSN cannot match Employee SSN; ","")&amp;IF(AND($W471&lt;&gt;"",OR(COUNTIFS($W$2:$W$501,$W471,$C$2:$C$501,"&lt;&gt;"&amp;$C471)&gt;0,COUNTIFS($W$2:$W$501,$W471,$D$2:$D$501,"&lt;&gt;"&amp;$D471)&gt;0,COUNTIFS($W$2:$W$501,$W471,$L$2:$L$501,"&lt;&gt;"&amp;$L471)&gt;0)),"The same SSN is associated with a different name or birthdate; ",""))</f>
        <v/>
      </c>
      <c r="AA471">
        <f>IF(COUNTA($A471:$U471)=0,"",IF(AND($A471&lt;&gt;"",$S471&lt;&gt;"",COUNTIFS($A$2:$A$501,$A471,$S$2:$S$501,$S471,$B$2:$B$501,"",$O$2:$O$501,"")=0),"Add an employee row for this household and plan; ","")&amp;IF(AND($X471="Dependent",COUNTIFS($A$2:$A471,$A471,$S$2:$S471,$S471,$B$2:$B471,"",$O$2:$O471,"")=0),"Place the employee row before dependent rows for this plan; ","")&amp;IF(AND($X471="Dependent",COUNTIFS($A$2:$A$501,$A471,$S$2:$S$501,$S471,$B$2:$B$501,"",$O$2:$O$501,"")&gt;0,IFERROR(OR($P471&lt;&gt;LOOKUP(2,1/(($A$2:$A$501=$A471)*($S$2:$S$501=$S471)*($B$2:$B$501="")*($O$2:$O$501="")),$P$2:$P$501),$Q471&lt;&gt;LOOKUP(2,1/(($A$2:$A$501=$A471)*($S$2:$S$501=$S471)*($B$2:$B$501="")*($O$2:$O$501="")),$Q$2:$Q$501),$R471&lt;&gt;LOOKUP(2,1/(($A$2:$A$501=$A471)*($S$2:$S$501=$S471)*($B$2:$B$501="")*($O$2:$O$501="")),$R$2:$R$501),$T471&lt;&gt;LOOKUP(2,1/(($A$2:$A$501=$A471)*($S$2:$S$501=$S471)*($B$2:$B$501="")*($O$2:$O$501="")),$T$2:$T$501),$U471&lt;&gt;LOOKUP(2,1/(($A$2:$A$501=$A471)*($S$2:$S$501=$S471)*($B$2:$B$501="")*($O$2:$O$501="")),$U$2:$U$501)),FALSE)),"Dependent row does not match the employee row for eligibility, status, coverage level, or funding; ",""))</f>
        <v/>
      </c>
      <c r="AB471">
        <f>IF(COUNTA($A471:$U471)=0,"",IF($L471="","Birthdate is required; ","")&amp;IF(AND($L471&lt;&gt;"",OR(NOT(ISNUMBER($L471)),$L471&lt;=DATE(1900,1,1),$L471&gt;TODAY())),"Birthdate must be an exact valid past date; ","")&amp;IF($P471="","Eligibility Date is required; ","")&amp;IF(AND($P471&lt;&gt;"",OR(NOT(ISNUMBER($P471)),$P471&lt;=DATE(1900,1,1))),"Eligibility Date must be a valid date; ","")&amp;IF(AND($R471="Terminated",$Q471=""),"Termination Date is required when Status is Terminated; ","")&amp;IF(AND($Q471&lt;&gt;"",OR(NOT(ISNUMBER($Q471)),$Q471&lt;=DATE(1900,1,1))),"Termination Date must be a valid date; ","")&amp;IF(AND(ISNUMBER($P471),ISNUMBER($Q471),$Q471&lt;$P471),"Termination Date cannot be before Eligibility Date; ","")&amp;IF($R471="","Status is required; ","")&amp;IF(AND($R471&lt;&gt;"",$R471&lt;&gt;"Active",$R471&lt;&gt;"Terminated"),"Status must be Active or Terminated; ","")&amp;IF(AND('START HERE'!$C$8="Terminations Only",$R471&lt;&gt;"Terminated"),"Terminations Only files must contain terminated records; ",""))</f>
        <v/>
      </c>
      <c r="AC471">
        <f>IF(COUNTA($A471:$U471)=0,"",IF($S471="","Plan Name is required; ","")&amp;IF($T471="","Benefit Coverage Level is required; ","")&amp;IF(AND($U471&lt;&gt;"",OR(NOT(ISNUMBER($U471)),$U471&lt;0)),"Plan Funding Amount must be a nonnegative number; ","")&amp;IF(AND($A471&lt;&gt;"",$S471&lt;&gt;"",COUNTIFS($A$2:$A$501,$A471,$B$2:$B$501,$B471,$S$2:$S$501,$S471)&gt;1),"Duplicate participant and plan row; ",""))</f>
        <v/>
      </c>
      <c r="AD471">
        <f>IF(COUNTA($A471:$U471)=0,"",IF(AND($X471="Employee",$M471="",$N471=""),"No employee phone or email provided; ","")&amp;IF(AND($R471="Active",$Q471&lt;&gt;""),"Active record includes a Termination Date; confirm this is intentional; ","")&amp;IF(AND($B471&lt;&gt;"",$B471&amp;""&lt;&gt;$A471&amp;"",COUNTIF($A$2:$A$501,$B471)&gt;0),"Dependent SSN also appears as an Employee SSN elsewhere; confirm dual-employee coverage is intentional; ","")&amp;IF(AND($B471&lt;&gt;"",COUNTIF($B$2:$B$501,$B471)&gt;COUNTIFS($A$2:$A$501,$A471,$B$2:$B$501,$B471)),"Dependent SSN appears under more than one employee; confirm duplicate family coverage is intentional; ","")&amp;IF(AND(ROW()&gt;2,$A471&lt;&gt;"",$A471&lt;&gt;$A470,COUNTIF($A$2:$A470,$A471)&gt;0),"This household appears in more than one section of the census; keep the family together; ","")&amp;IF(OR(AND($C471&lt;&gt;"",LEN($C471&amp;"")&lt;&gt;LEN(TRIM($C471&amp;""))),AND($D471&lt;&gt;"",LEN($D471&amp;"")&lt;&gt;LEN(TRIM($D471&amp;""))),AND($E471&lt;&gt;"",LEN($E471&amp;"")&lt;&gt;LEN(TRIM($E471&amp;""))),AND($F471&lt;&gt;"",LEN($F471&amp;"")&lt;&gt;LEN(TRIM($F471&amp;""))),AND($G471&lt;&gt;"",LEN($G471&amp;"")&lt;&gt;LEN(TRIM($G471&amp;""))),AND($H471&lt;&gt;"",LEN($H471&amp;"")&lt;&gt;LEN(TRIM($H471&amp;""))),AND($I471&lt;&gt;"",LEN($I471&amp;"")&lt;&gt;LEN(TRIM($I471&amp;""))),AND($J471&lt;&gt;"",LEN($J471&amp;"")&lt;&gt;LEN(TRIM($J471&amp;""))),AND($K471&lt;&gt;"",LEN($K471&amp;"")&lt;&gt;LEN(TRIM($K471&amp;""))),AND($M471&lt;&gt;"",LEN($M471&amp;"")&lt;&gt;LEN(TRIM($M471&amp;""))),AND($N471&lt;&gt;"",LEN($N471&amp;"")&lt;&gt;LEN(TRIM($N471&amp;""))),AND($O471&lt;&gt;"",LEN($O471&amp;"")&lt;&gt;LEN(TRIM($O471&amp;""))),AND($R471&lt;&gt;"",LEN($R471&amp;"")&lt;&gt;LEN(TRIM($R471&amp;""))),AND($S471&lt;&gt;"",LEN($S471&amp;"")&lt;&gt;LEN(TRIM($S471&amp;""))),AND($T471&lt;&gt;"",LEN($T471&amp;"")&lt;&gt;LEN(TRIM($T471&amp;"")))),"Remove leading or trailing spaces from text fields; ","")&amp;IF(OR(AND(LEN($C471)&gt;1,OR(EXACT($C471,UPPER($C471)),EXACT($C471,LOWER($C471)))),AND(LEN($D471)&gt;1,OR(EXACT($D471,UPPER($D471)),EXACT($D471,LOWER($D471)))),AND(LEN($H471)&gt;1,OR(EXACT($H471,UPPER($H471)),EXACT($H471,LOWER($H471))))),"Review capitalization in First Name, Last Name, or City; ","")&amp;IF(AND($N471&lt;&gt;"",NOT(EXACT($N471,LOWER($N471)))),"Email will be standardized to lowercase in the clean output; ","")&amp;IF(AND(OR('START HERE'!$C$8="Initial Enrollment",'START HERE'!$C$8="Open Enrollment"),$R471="Terminated"),"A terminated row is included in an initial or open enrollment file; confirm this is intentional; ",""))</f>
        <v/>
      </c>
      <c r="AE471">
        <f>IF(COUNTA($A471:$U471)=0,"",IF(OR($A471="",AND($A471&lt;&gt;"",NOT(IFERROR(AND(LEN($A471&amp;"")=9,ISNUMBER(--($A471&amp;""))),FALSE))),AND($A471&lt;&gt;"",OR($A471="123456789",$A471="987654321",$A471="012345678",$A471=REPT(LEFT($A471&amp;"",1),9)))),"Employee SSN, ","")&amp;IF(OR(AND($O471&lt;&gt;"",$B471=""),AND($B471&lt;&gt;"",OR(NOT(IFERROR(AND(LEN($B471&amp;"")=9,ISNUMBER(--($B471&amp;""))),FALSE)),$B471=$A471,$B471="123456789",$B471="987654321",$B471="012345678",$B471=REPT(LEFT($B471&amp;"",1),9)))),"Dependent SSN, ","")&amp;IF(OR($C471="",LEN($C471)&gt;19,AND($C471&lt;&gt;"",SUMPRODUCT(--(ROW($1:$19)&lt;=LEN($C471&amp;"")),--ISERROR(FIND(MID($C471&amp;"",ROW($1:$19),1),"ABCDEFGHIJKLMNOPQRSTUVWXYZabcdefghijklmnopqrstuvwxyz .,")))&gt;0)),"First Name, ","")&amp;IF(OR($D471="",LEN($D471)&gt;26,AND($D471&lt;&gt;"",SUMPRODUCT(--(ROW($1:$26)&lt;=LEN($D471&amp;"")),--ISERROR(FIND(MID($D471&amp;"",ROW($1:$26),1),"ABCDEFGHIJKLMNOPQRSTUVWXYZabcdefghijklmnopqrstuvwxyz .,")))&gt;0)),"Last Name, ","")&amp;IF(OR(LEN($E471)&gt;1,AND($E471&lt;&gt;"",SUMPRODUCT(--(ROW($1:$1)&lt;=LEN($E471&amp;"")),--ISERROR(FIND(MID($E471&amp;"",ROW($1:$1),1),"ABCDEFGHIJKLMNOPQRSTUVWXYZabcdefghijklmnopqrstuvwxyz .,")))&gt;0)),"Middle Initial, ","")&amp;IF(OR($F471="",LEN($F471)&gt;75),"Address, ","")&amp;IF(OR($H471="",LEN($H471)&gt;30),"City, ","")&amp;IF(AND($K471="US",OR($I471="",LEN($I471)&lt;&gt;2)),"State, ","")&amp;IF($J471="","ZIP, ","")&amp;IF(OR($K471="",AND($K471&lt;&gt;"US",$K471&lt;&gt;"CA")),"Country, ","")&amp;IF(OR($L471="",AND($L471&lt;&gt;"",OR(NOT(ISNUMBER($L471)),$L471&lt;=DATE(1900,1,1),$L471&gt;TODAY()))),"Birthdate, ","")&amp;IF(AND($N471&lt;&gt;"",NOT(IFERROR(AND(ISNUMBER(SEARCH("@",$N471)),ISNUMBER(SEARCH(".",$N471,SEARCH("@",$N471)+2))),FALSE))),"Email, ","")&amp;IF(OR(AND($B471&lt;&gt;"",$O471=""),AND($O471&lt;&gt;"",$O471&lt;&gt;"Spouse or Common Law Spouse",$O471&lt;&gt;"Domestic Partner",$O471&lt;&gt;"Child",$O471&lt;&gt;"Other",$O471&lt;&gt;"Estate",$O471&lt;&gt;"Unknown")),"Dependent Relationship, ","")&amp;IF($AA471&lt;&gt;"","Household, ","")&amp;IF(OR($P471="",AND($P471&lt;&gt;"",OR(NOT(ISNUMBER($P471)),$P471&lt;=DATE(1900,1,1)))),"Eligibility Date, ","")&amp;IF(OR(AND($R471="Terminated",$Q471=""),AND($Q471&lt;&gt;"",OR(NOT(ISNUMBER($Q471)),$Q471&lt;=DATE(1900,1,1))),AND(ISNUMBER($P471),ISNUMBER($Q471),$Q471&lt;$P471)),"Termination Date, ","")&amp;IF(OR($R471="",AND($R471&lt;&gt;"Active",$R471&lt;&gt;"Terminated"),AND('START HERE'!$C$8="Terminations Only",$R471&lt;&gt;"Terminated")),"Status, ","")&amp;IF($S471="","Plan Name, ","")&amp;IF($T471="","Coverage Level, ","")&amp;IF(AND($U471&lt;&gt;"",OR(NOT(ISNUMBER($U471)),$U471&lt;0)),"Funding, ","")&amp;IF(AND($A471&lt;&gt;"",$S471&lt;&gt;"",COUNTIFS($A$2:$A$501,$A471,$B$2:$B$501,$B471,$S$2:$S$501,$S471)&gt;1),"Duplicate Row, ",""))</f>
        <v/>
      </c>
      <c r="AF471">
        <f>IF(COUNTA($A471:$U471)=0,"",$Y471&amp;$Z471&amp;$AA471&amp;$AB471&amp;$AC471)</f>
        <v/>
      </c>
      <c r="AG471">
        <f>IF($N471="","",LOWER(TRIM($N471)))</f>
        <v/>
      </c>
      <c r="AH471">
        <f>IF($A471="","",COUNTIFS($A$2:$A$501,$A471,$AI$2:$AI$501,1))</f>
        <v/>
      </c>
      <c r="AI471">
        <f>IF(COUNTA($A471:$U471)=0,"",--($AF471&lt;&gt;""))</f>
        <v/>
      </c>
      <c r="AJ471">
        <f>IF(COUNTA($A471:$U471)=0,"",--($AD471&lt;&gt;""))</f>
        <v/>
      </c>
    </row>
    <row r="472" ht="20" customHeight="1">
      <c r="A472" s="80" t="n"/>
      <c r="B472" s="80" t="n"/>
      <c r="C472" s="81" t="n"/>
      <c r="D472" s="81" t="n"/>
      <c r="E472" s="80" t="n"/>
      <c r="F472" s="81" t="n"/>
      <c r="G472" s="81" t="n"/>
      <c r="H472" s="81" t="n"/>
      <c r="I472" s="80" t="n"/>
      <c r="J472" s="80" t="n"/>
      <c r="K472" s="80" t="n"/>
      <c r="L472" s="82" t="n"/>
      <c r="M472" s="80" t="n"/>
      <c r="N472" s="80" t="n"/>
      <c r="O472" s="80" t="n"/>
      <c r="P472" s="82" t="n"/>
      <c r="Q472" s="82" t="n"/>
      <c r="R472" s="80" t="n"/>
      <c r="S472" s="80" t="n"/>
      <c r="T472" s="80" t="n"/>
      <c r="U472" s="83" t="n"/>
      <c r="V472">
        <f>IF($A472="","",IF($A472=$A471,$V471,IF($V471="",0,1-$V471)))</f>
        <v/>
      </c>
      <c r="W472">
        <f>IF($B472&lt;&gt;"",$B472,$A472)</f>
        <v/>
      </c>
      <c r="X472">
        <f>IF(COUNTA($A472:$U472)=0,"",IF(OR($B472&lt;&gt;"",$O472&lt;&gt;""),"Dependent","Employee"))</f>
        <v/>
      </c>
      <c r="Y472">
        <f>IF(COUNTA($A472:$U472)=0,"",IF($A472="","Employee SSN is required; ","")&amp;IF($C472="","First Name is required; ","")&amp;IF(LEN($C472&amp;"")&gt;19,"First Name exceeds 19 characters; ","")&amp;IF(AND($C472&lt;&gt;"",SUMPRODUCT(--(ROW($1:$19)&lt;=LEN($C472&amp;"")),--ISERROR(FIND(MID($C472&amp;"",ROW($1:$19),1),"ABCDEFGHIJKLMNOPQRSTUVWXYZabcdefghijklmnopqrstuvwxyz .,")))&gt;0),"First Name contains unsupported or encoded characters; use plain A-Z letters only; ","")&amp;IF($D472="","Last Name is required; ","")&amp;IF(LEN($D472&amp;"")&gt;26,"Last Name exceeds 26 characters; ","")&amp;IF(AND($D472&lt;&gt;"",SUMPRODUCT(--(ROW($1:$26)&lt;=LEN($D472&amp;"")),--ISERROR(FIND(MID($D472&amp;"",ROW($1:$26),1),"ABCDEFGHIJKLMNOPQRSTUVWXYZabcdefghijklmnopqrstuvwxyz .,")))&gt;0),"Last Name contains unsupported or encoded characters; use plain A-Z letters only; ","")&amp;IF(LEN($E472&amp;"")&gt;1,"Middle Initial may contain only one character; ","")&amp;IF(AND($E472&lt;&gt;"",SUMPRODUCT(--(ROW($1:$1)&lt;=LEN($E472&amp;"")),--ISERROR(FIND(MID($E472&amp;"",ROW($1:$1),1),"ABCDEFGHIJKLMNOPQRSTUVWXYZabcdefghijklmnopqrstuvwxyz .,")))&gt;0),"Middle Initial must be a plain A-Z letter; ","")&amp;IF($F472="","Address is required; ","")&amp;IF(LEN($F472&amp;"")&gt;75,"Address exceeds 75 characters; ","")&amp;IF(LEN($G472&amp;"")&gt;75,"Address 2 exceeds 75 characters; ","")&amp;IF($H472="","City is required; ","")&amp;IF(LEN($H472&amp;"")&gt;30,"City exceeds 30 characters; ","")&amp;IF($K472="","Country is required; ","")&amp;IF(AND($K472&lt;&gt;"",$K472&lt;&gt;"US",$K472&lt;&gt;"CA"),"Country must be US or CA; ","")&amp;IF(AND($K472="US",OR($I472="",LEN($I472&amp;"")&lt;&gt;2)),"Use a 2-letter state code; ","")&amp;IF($J472="","ZIP or postal code is required; ","")&amp;IF(AND($K472="US",$J472&lt;&gt;"",NOT(IFERROR(OR(AND(LEN($J472&amp;"")=5,ISNUMBER(--($J472&amp;""))),AND(LEN($J472&amp;"")=9,ISNUMBER(--($J472&amp;""))),AND(LEN($J472&amp;"")=10,MID($J472&amp;"",6,1)="-",ISNUMBER(--SUBSTITUTE($J472&amp;"","-","")))),FALSE))),"US ZIP must be 5 or 9 digits, with an optional ZIP+4 hyphen; ","")&amp;IF(AND($N472&lt;&gt;"",NOT(IFERROR(AND(ISNUMBER(SEARCH("@",$N472)),ISNUMBER(SEARCH(".",$N472,SEARCH("@",$N472)+2))),FALSE))),"Email format appears invalid; ","")&amp;IF(AND($O472&lt;&gt;"",$B472=""),"Dependent SSN is required for every dependent; ","")&amp;IF(AND($B472&lt;&gt;"",$O472=""),"Dependent Relationship is required when Dependent SSN is entered; ","")&amp;IF(AND($O472&lt;&gt;"",$O472&lt;&gt;"Spouse or Common Law Spouse",$O472&lt;&gt;"Domestic Partner",$O472&lt;&gt;"Child",$O472&lt;&gt;"Other",$O472&lt;&gt;"Estate",$O472&lt;&gt;"Unknown"),"Dependent Relationship must use one of the approved options; ",""))</f>
        <v/>
      </c>
      <c r="Z472">
        <f>IF(COUNTA($A472:$U472)=0,"",IF(AND($A472&lt;&gt;"",NOT(IFERROR(AND(LEN($A472&amp;"")=9,ISNUMBER(--($A472&amp;""))),FALSE))),"Employee SSN must contain exactly 9 digits; ","")&amp;IF(AND($A472&lt;&gt;"",OR($A472="123456789",$A472="987654321",$A472="012345678",$A472=REPT(LEFT($A472&amp;"",1),9))),"Employee SSN appears to be a placeholder; ","")&amp;IF(AND($B472&lt;&gt;"",NOT(IFERROR(AND(LEN($B472&amp;"")=9,ISNUMBER(--($B472&amp;""))),FALSE))),"Dependent SSN must contain exactly 9 digits; ","")&amp;IF(AND($B472&lt;&gt;"",OR($B472="123456789",$B472="987654321",$B472="012345678",$B472=REPT(LEFT($B472&amp;"",1),9))),"Dependent SSN appears to be a placeholder; ","")&amp;IF(AND($A472&lt;&gt;"",$B472&lt;&gt;"",$A472&amp;""=$B472&amp;""),"Dependent SSN cannot match Employee SSN; ","")&amp;IF(AND($W472&lt;&gt;"",OR(COUNTIFS($W$2:$W$501,$W472,$C$2:$C$501,"&lt;&gt;"&amp;$C472)&gt;0,COUNTIFS($W$2:$W$501,$W472,$D$2:$D$501,"&lt;&gt;"&amp;$D472)&gt;0,COUNTIFS($W$2:$W$501,$W472,$L$2:$L$501,"&lt;&gt;"&amp;$L472)&gt;0)),"The same SSN is associated with a different name or birthdate; ",""))</f>
        <v/>
      </c>
      <c r="AA472">
        <f>IF(COUNTA($A472:$U472)=0,"",IF(AND($A472&lt;&gt;"",$S472&lt;&gt;"",COUNTIFS($A$2:$A$501,$A472,$S$2:$S$501,$S472,$B$2:$B$501,"",$O$2:$O$501,"")=0),"Add an employee row for this household and plan; ","")&amp;IF(AND($X472="Dependent",COUNTIFS($A$2:$A472,$A472,$S$2:$S472,$S472,$B$2:$B472,"",$O$2:$O472,"")=0),"Place the employee row before dependent rows for this plan; ","")&amp;IF(AND($X472="Dependent",COUNTIFS($A$2:$A$501,$A472,$S$2:$S$501,$S472,$B$2:$B$501,"",$O$2:$O$501,"")&gt;0,IFERROR(OR($P472&lt;&gt;LOOKUP(2,1/(($A$2:$A$501=$A472)*($S$2:$S$501=$S472)*($B$2:$B$501="")*($O$2:$O$501="")),$P$2:$P$501),$Q472&lt;&gt;LOOKUP(2,1/(($A$2:$A$501=$A472)*($S$2:$S$501=$S472)*($B$2:$B$501="")*($O$2:$O$501="")),$Q$2:$Q$501),$R472&lt;&gt;LOOKUP(2,1/(($A$2:$A$501=$A472)*($S$2:$S$501=$S472)*($B$2:$B$501="")*($O$2:$O$501="")),$R$2:$R$501),$T472&lt;&gt;LOOKUP(2,1/(($A$2:$A$501=$A472)*($S$2:$S$501=$S472)*($B$2:$B$501="")*($O$2:$O$501="")),$T$2:$T$501),$U472&lt;&gt;LOOKUP(2,1/(($A$2:$A$501=$A472)*($S$2:$S$501=$S472)*($B$2:$B$501="")*($O$2:$O$501="")),$U$2:$U$501)),FALSE)),"Dependent row does not match the employee row for eligibility, status, coverage level, or funding; ",""))</f>
        <v/>
      </c>
      <c r="AB472">
        <f>IF(COUNTA($A472:$U472)=0,"",IF($L472="","Birthdate is required; ","")&amp;IF(AND($L472&lt;&gt;"",OR(NOT(ISNUMBER($L472)),$L472&lt;=DATE(1900,1,1),$L472&gt;TODAY())),"Birthdate must be an exact valid past date; ","")&amp;IF($P472="","Eligibility Date is required; ","")&amp;IF(AND($P472&lt;&gt;"",OR(NOT(ISNUMBER($P472)),$P472&lt;=DATE(1900,1,1))),"Eligibility Date must be a valid date; ","")&amp;IF(AND($R472="Terminated",$Q472=""),"Termination Date is required when Status is Terminated; ","")&amp;IF(AND($Q472&lt;&gt;"",OR(NOT(ISNUMBER($Q472)),$Q472&lt;=DATE(1900,1,1))),"Termination Date must be a valid date; ","")&amp;IF(AND(ISNUMBER($P472),ISNUMBER($Q472),$Q472&lt;$P472),"Termination Date cannot be before Eligibility Date; ","")&amp;IF($R472="","Status is required; ","")&amp;IF(AND($R472&lt;&gt;"",$R472&lt;&gt;"Active",$R472&lt;&gt;"Terminated"),"Status must be Active or Terminated; ","")&amp;IF(AND('START HERE'!$C$8="Terminations Only",$R472&lt;&gt;"Terminated"),"Terminations Only files must contain terminated records; ",""))</f>
        <v/>
      </c>
      <c r="AC472">
        <f>IF(COUNTA($A472:$U472)=0,"",IF($S472="","Plan Name is required; ","")&amp;IF($T472="","Benefit Coverage Level is required; ","")&amp;IF(AND($U472&lt;&gt;"",OR(NOT(ISNUMBER($U472)),$U472&lt;0)),"Plan Funding Amount must be a nonnegative number; ","")&amp;IF(AND($A472&lt;&gt;"",$S472&lt;&gt;"",COUNTIFS($A$2:$A$501,$A472,$B$2:$B$501,$B472,$S$2:$S$501,$S472)&gt;1),"Duplicate participant and plan row; ",""))</f>
        <v/>
      </c>
      <c r="AD472">
        <f>IF(COUNTA($A472:$U472)=0,"",IF(AND($X472="Employee",$M472="",$N472=""),"No employee phone or email provided; ","")&amp;IF(AND($R472="Active",$Q472&lt;&gt;""),"Active record includes a Termination Date; confirm this is intentional; ","")&amp;IF(AND($B472&lt;&gt;"",$B472&amp;""&lt;&gt;$A472&amp;"",COUNTIF($A$2:$A$501,$B472)&gt;0),"Dependent SSN also appears as an Employee SSN elsewhere; confirm dual-employee coverage is intentional; ","")&amp;IF(AND($B472&lt;&gt;"",COUNTIF($B$2:$B$501,$B472)&gt;COUNTIFS($A$2:$A$501,$A472,$B$2:$B$501,$B472)),"Dependent SSN appears under more than one employee; confirm duplicate family coverage is intentional; ","")&amp;IF(AND(ROW()&gt;2,$A472&lt;&gt;"",$A472&lt;&gt;$A471,COUNTIF($A$2:$A471,$A472)&gt;0),"This household appears in more than one section of the census; keep the family together; ","")&amp;IF(OR(AND($C472&lt;&gt;"",LEN($C472&amp;"")&lt;&gt;LEN(TRIM($C472&amp;""))),AND($D472&lt;&gt;"",LEN($D472&amp;"")&lt;&gt;LEN(TRIM($D472&amp;""))),AND($E472&lt;&gt;"",LEN($E472&amp;"")&lt;&gt;LEN(TRIM($E472&amp;""))),AND($F472&lt;&gt;"",LEN($F472&amp;"")&lt;&gt;LEN(TRIM($F472&amp;""))),AND($G472&lt;&gt;"",LEN($G472&amp;"")&lt;&gt;LEN(TRIM($G472&amp;""))),AND($H472&lt;&gt;"",LEN($H472&amp;"")&lt;&gt;LEN(TRIM($H472&amp;""))),AND($I472&lt;&gt;"",LEN($I472&amp;"")&lt;&gt;LEN(TRIM($I472&amp;""))),AND($J472&lt;&gt;"",LEN($J472&amp;"")&lt;&gt;LEN(TRIM($J472&amp;""))),AND($K472&lt;&gt;"",LEN($K472&amp;"")&lt;&gt;LEN(TRIM($K472&amp;""))),AND($M472&lt;&gt;"",LEN($M472&amp;"")&lt;&gt;LEN(TRIM($M472&amp;""))),AND($N472&lt;&gt;"",LEN($N472&amp;"")&lt;&gt;LEN(TRIM($N472&amp;""))),AND($O472&lt;&gt;"",LEN($O472&amp;"")&lt;&gt;LEN(TRIM($O472&amp;""))),AND($R472&lt;&gt;"",LEN($R472&amp;"")&lt;&gt;LEN(TRIM($R472&amp;""))),AND($S472&lt;&gt;"",LEN($S472&amp;"")&lt;&gt;LEN(TRIM($S472&amp;""))),AND($T472&lt;&gt;"",LEN($T472&amp;"")&lt;&gt;LEN(TRIM($T472&amp;"")))),"Remove leading or trailing spaces from text fields; ","")&amp;IF(OR(AND(LEN($C472)&gt;1,OR(EXACT($C472,UPPER($C472)),EXACT($C472,LOWER($C472)))),AND(LEN($D472)&gt;1,OR(EXACT($D472,UPPER($D472)),EXACT($D472,LOWER($D472)))),AND(LEN($H472)&gt;1,OR(EXACT($H472,UPPER($H472)),EXACT($H472,LOWER($H472))))),"Review capitalization in First Name, Last Name, or City; ","")&amp;IF(AND($N472&lt;&gt;"",NOT(EXACT($N472,LOWER($N472)))),"Email will be standardized to lowercase in the clean output; ","")&amp;IF(AND(OR('START HERE'!$C$8="Initial Enrollment",'START HERE'!$C$8="Open Enrollment"),$R472="Terminated"),"A terminated row is included in an initial or open enrollment file; confirm this is intentional; ",""))</f>
        <v/>
      </c>
      <c r="AE472">
        <f>IF(COUNTA($A472:$U472)=0,"",IF(OR($A472="",AND($A472&lt;&gt;"",NOT(IFERROR(AND(LEN($A472&amp;"")=9,ISNUMBER(--($A472&amp;""))),FALSE))),AND($A472&lt;&gt;"",OR($A472="123456789",$A472="987654321",$A472="012345678",$A472=REPT(LEFT($A472&amp;"",1),9)))),"Employee SSN, ","")&amp;IF(OR(AND($O472&lt;&gt;"",$B472=""),AND($B472&lt;&gt;"",OR(NOT(IFERROR(AND(LEN($B472&amp;"")=9,ISNUMBER(--($B472&amp;""))),FALSE)),$B472=$A472,$B472="123456789",$B472="987654321",$B472="012345678",$B472=REPT(LEFT($B472&amp;"",1),9)))),"Dependent SSN, ","")&amp;IF(OR($C472="",LEN($C472)&gt;19,AND($C472&lt;&gt;"",SUMPRODUCT(--(ROW($1:$19)&lt;=LEN($C472&amp;"")),--ISERROR(FIND(MID($C472&amp;"",ROW($1:$19),1),"ABCDEFGHIJKLMNOPQRSTUVWXYZabcdefghijklmnopqrstuvwxyz .,")))&gt;0)),"First Name, ","")&amp;IF(OR($D472="",LEN($D472)&gt;26,AND($D472&lt;&gt;"",SUMPRODUCT(--(ROW($1:$26)&lt;=LEN($D472&amp;"")),--ISERROR(FIND(MID($D472&amp;"",ROW($1:$26),1),"ABCDEFGHIJKLMNOPQRSTUVWXYZabcdefghijklmnopqrstuvwxyz .,")))&gt;0)),"Last Name, ","")&amp;IF(OR(LEN($E472)&gt;1,AND($E472&lt;&gt;"",SUMPRODUCT(--(ROW($1:$1)&lt;=LEN($E472&amp;"")),--ISERROR(FIND(MID($E472&amp;"",ROW($1:$1),1),"ABCDEFGHIJKLMNOPQRSTUVWXYZabcdefghijklmnopqrstuvwxyz .,")))&gt;0)),"Middle Initial, ","")&amp;IF(OR($F472="",LEN($F472)&gt;75),"Address, ","")&amp;IF(OR($H472="",LEN($H472)&gt;30),"City, ","")&amp;IF(AND($K472="US",OR($I472="",LEN($I472)&lt;&gt;2)),"State, ","")&amp;IF($J472="","ZIP, ","")&amp;IF(OR($K472="",AND($K472&lt;&gt;"US",$K472&lt;&gt;"CA")),"Country, ","")&amp;IF(OR($L472="",AND($L472&lt;&gt;"",OR(NOT(ISNUMBER($L472)),$L472&lt;=DATE(1900,1,1),$L472&gt;TODAY()))),"Birthdate, ","")&amp;IF(AND($N472&lt;&gt;"",NOT(IFERROR(AND(ISNUMBER(SEARCH("@",$N472)),ISNUMBER(SEARCH(".",$N472,SEARCH("@",$N472)+2))),FALSE))),"Email, ","")&amp;IF(OR(AND($B472&lt;&gt;"",$O472=""),AND($O472&lt;&gt;"",$O472&lt;&gt;"Spouse or Common Law Spouse",$O472&lt;&gt;"Domestic Partner",$O472&lt;&gt;"Child",$O472&lt;&gt;"Other",$O472&lt;&gt;"Estate",$O472&lt;&gt;"Unknown")),"Dependent Relationship, ","")&amp;IF($AA472&lt;&gt;"","Household, ","")&amp;IF(OR($P472="",AND($P472&lt;&gt;"",OR(NOT(ISNUMBER($P472)),$P472&lt;=DATE(1900,1,1)))),"Eligibility Date, ","")&amp;IF(OR(AND($R472="Terminated",$Q472=""),AND($Q472&lt;&gt;"",OR(NOT(ISNUMBER($Q472)),$Q472&lt;=DATE(1900,1,1))),AND(ISNUMBER($P472),ISNUMBER($Q472),$Q472&lt;$P472)),"Termination Date, ","")&amp;IF(OR($R472="",AND($R472&lt;&gt;"Active",$R472&lt;&gt;"Terminated"),AND('START HERE'!$C$8="Terminations Only",$R472&lt;&gt;"Terminated")),"Status, ","")&amp;IF($S472="","Plan Name, ","")&amp;IF($T472="","Coverage Level, ","")&amp;IF(AND($U472&lt;&gt;"",OR(NOT(ISNUMBER($U472)),$U472&lt;0)),"Funding, ","")&amp;IF(AND($A472&lt;&gt;"",$S472&lt;&gt;"",COUNTIFS($A$2:$A$501,$A472,$B$2:$B$501,$B472,$S$2:$S$501,$S472)&gt;1),"Duplicate Row, ",""))</f>
        <v/>
      </c>
      <c r="AF472">
        <f>IF(COUNTA($A472:$U472)=0,"",$Y472&amp;$Z472&amp;$AA472&amp;$AB472&amp;$AC472)</f>
        <v/>
      </c>
      <c r="AG472">
        <f>IF($N472="","",LOWER(TRIM($N472)))</f>
        <v/>
      </c>
      <c r="AH472">
        <f>IF($A472="","",COUNTIFS($A$2:$A$501,$A472,$AI$2:$AI$501,1))</f>
        <v/>
      </c>
      <c r="AI472">
        <f>IF(COUNTA($A472:$U472)=0,"",--($AF472&lt;&gt;""))</f>
        <v/>
      </c>
      <c r="AJ472">
        <f>IF(COUNTA($A472:$U472)=0,"",--($AD472&lt;&gt;""))</f>
        <v/>
      </c>
    </row>
    <row r="473" ht="20" customHeight="1">
      <c r="A473" s="80" t="n"/>
      <c r="B473" s="80" t="n"/>
      <c r="C473" s="81" t="n"/>
      <c r="D473" s="81" t="n"/>
      <c r="E473" s="80" t="n"/>
      <c r="F473" s="81" t="n"/>
      <c r="G473" s="81" t="n"/>
      <c r="H473" s="81" t="n"/>
      <c r="I473" s="80" t="n"/>
      <c r="J473" s="80" t="n"/>
      <c r="K473" s="80" t="n"/>
      <c r="L473" s="82" t="n"/>
      <c r="M473" s="80" t="n"/>
      <c r="N473" s="80" t="n"/>
      <c r="O473" s="80" t="n"/>
      <c r="P473" s="82" t="n"/>
      <c r="Q473" s="82" t="n"/>
      <c r="R473" s="80" t="n"/>
      <c r="S473" s="80" t="n"/>
      <c r="T473" s="80" t="n"/>
      <c r="U473" s="83" t="n"/>
      <c r="V473">
        <f>IF($A473="","",IF($A473=$A472,$V472,IF($V472="",0,1-$V472)))</f>
        <v/>
      </c>
      <c r="W473">
        <f>IF($B473&lt;&gt;"",$B473,$A473)</f>
        <v/>
      </c>
      <c r="X473">
        <f>IF(COUNTA($A473:$U473)=0,"",IF(OR($B473&lt;&gt;"",$O473&lt;&gt;""),"Dependent","Employee"))</f>
        <v/>
      </c>
      <c r="Y473">
        <f>IF(COUNTA($A473:$U473)=0,"",IF($A473="","Employee SSN is required; ","")&amp;IF($C473="","First Name is required; ","")&amp;IF(LEN($C473&amp;"")&gt;19,"First Name exceeds 19 characters; ","")&amp;IF(AND($C473&lt;&gt;"",SUMPRODUCT(--(ROW($1:$19)&lt;=LEN($C473&amp;"")),--ISERROR(FIND(MID($C473&amp;"",ROW($1:$19),1),"ABCDEFGHIJKLMNOPQRSTUVWXYZabcdefghijklmnopqrstuvwxyz .,")))&gt;0),"First Name contains unsupported or encoded characters; use plain A-Z letters only; ","")&amp;IF($D473="","Last Name is required; ","")&amp;IF(LEN($D473&amp;"")&gt;26,"Last Name exceeds 26 characters; ","")&amp;IF(AND($D473&lt;&gt;"",SUMPRODUCT(--(ROW($1:$26)&lt;=LEN($D473&amp;"")),--ISERROR(FIND(MID($D473&amp;"",ROW($1:$26),1),"ABCDEFGHIJKLMNOPQRSTUVWXYZabcdefghijklmnopqrstuvwxyz .,")))&gt;0),"Last Name contains unsupported or encoded characters; use plain A-Z letters only; ","")&amp;IF(LEN($E473&amp;"")&gt;1,"Middle Initial may contain only one character; ","")&amp;IF(AND($E473&lt;&gt;"",SUMPRODUCT(--(ROW($1:$1)&lt;=LEN($E473&amp;"")),--ISERROR(FIND(MID($E473&amp;"",ROW($1:$1),1),"ABCDEFGHIJKLMNOPQRSTUVWXYZabcdefghijklmnopqrstuvwxyz .,")))&gt;0),"Middle Initial must be a plain A-Z letter; ","")&amp;IF($F473="","Address is required; ","")&amp;IF(LEN($F473&amp;"")&gt;75,"Address exceeds 75 characters; ","")&amp;IF(LEN($G473&amp;"")&gt;75,"Address 2 exceeds 75 characters; ","")&amp;IF($H473="","City is required; ","")&amp;IF(LEN($H473&amp;"")&gt;30,"City exceeds 30 characters; ","")&amp;IF($K473="","Country is required; ","")&amp;IF(AND($K473&lt;&gt;"",$K473&lt;&gt;"US",$K473&lt;&gt;"CA"),"Country must be US or CA; ","")&amp;IF(AND($K473="US",OR($I473="",LEN($I473&amp;"")&lt;&gt;2)),"Use a 2-letter state code; ","")&amp;IF($J473="","ZIP or postal code is required; ","")&amp;IF(AND($K473="US",$J473&lt;&gt;"",NOT(IFERROR(OR(AND(LEN($J473&amp;"")=5,ISNUMBER(--($J473&amp;""))),AND(LEN($J473&amp;"")=9,ISNUMBER(--($J473&amp;""))),AND(LEN($J473&amp;"")=10,MID($J473&amp;"",6,1)="-",ISNUMBER(--SUBSTITUTE($J473&amp;"","-","")))),FALSE))),"US ZIP must be 5 or 9 digits, with an optional ZIP+4 hyphen; ","")&amp;IF(AND($N473&lt;&gt;"",NOT(IFERROR(AND(ISNUMBER(SEARCH("@",$N473)),ISNUMBER(SEARCH(".",$N473,SEARCH("@",$N473)+2))),FALSE))),"Email format appears invalid; ","")&amp;IF(AND($O473&lt;&gt;"",$B473=""),"Dependent SSN is required for every dependent; ","")&amp;IF(AND($B473&lt;&gt;"",$O473=""),"Dependent Relationship is required when Dependent SSN is entered; ","")&amp;IF(AND($O473&lt;&gt;"",$O473&lt;&gt;"Spouse or Common Law Spouse",$O473&lt;&gt;"Domestic Partner",$O473&lt;&gt;"Child",$O473&lt;&gt;"Other",$O473&lt;&gt;"Estate",$O473&lt;&gt;"Unknown"),"Dependent Relationship must use one of the approved options; ",""))</f>
        <v/>
      </c>
      <c r="Z473">
        <f>IF(COUNTA($A473:$U473)=0,"",IF(AND($A473&lt;&gt;"",NOT(IFERROR(AND(LEN($A473&amp;"")=9,ISNUMBER(--($A473&amp;""))),FALSE))),"Employee SSN must contain exactly 9 digits; ","")&amp;IF(AND($A473&lt;&gt;"",OR($A473="123456789",$A473="987654321",$A473="012345678",$A473=REPT(LEFT($A473&amp;"",1),9))),"Employee SSN appears to be a placeholder; ","")&amp;IF(AND($B473&lt;&gt;"",NOT(IFERROR(AND(LEN($B473&amp;"")=9,ISNUMBER(--($B473&amp;""))),FALSE))),"Dependent SSN must contain exactly 9 digits; ","")&amp;IF(AND($B473&lt;&gt;"",OR($B473="123456789",$B473="987654321",$B473="012345678",$B473=REPT(LEFT($B473&amp;"",1),9))),"Dependent SSN appears to be a placeholder; ","")&amp;IF(AND($A473&lt;&gt;"",$B473&lt;&gt;"",$A473&amp;""=$B473&amp;""),"Dependent SSN cannot match Employee SSN; ","")&amp;IF(AND($W473&lt;&gt;"",OR(COUNTIFS($W$2:$W$501,$W473,$C$2:$C$501,"&lt;&gt;"&amp;$C473)&gt;0,COUNTIFS($W$2:$W$501,$W473,$D$2:$D$501,"&lt;&gt;"&amp;$D473)&gt;0,COUNTIFS($W$2:$W$501,$W473,$L$2:$L$501,"&lt;&gt;"&amp;$L473)&gt;0)),"The same SSN is associated with a different name or birthdate; ",""))</f>
        <v/>
      </c>
      <c r="AA473">
        <f>IF(COUNTA($A473:$U473)=0,"",IF(AND($A473&lt;&gt;"",$S473&lt;&gt;"",COUNTIFS($A$2:$A$501,$A473,$S$2:$S$501,$S473,$B$2:$B$501,"",$O$2:$O$501,"")=0),"Add an employee row for this household and plan; ","")&amp;IF(AND($X473="Dependent",COUNTIFS($A$2:$A473,$A473,$S$2:$S473,$S473,$B$2:$B473,"",$O$2:$O473,"")=0),"Place the employee row before dependent rows for this plan; ","")&amp;IF(AND($X473="Dependent",COUNTIFS($A$2:$A$501,$A473,$S$2:$S$501,$S473,$B$2:$B$501,"",$O$2:$O$501,"")&gt;0,IFERROR(OR($P473&lt;&gt;LOOKUP(2,1/(($A$2:$A$501=$A473)*($S$2:$S$501=$S473)*($B$2:$B$501="")*($O$2:$O$501="")),$P$2:$P$501),$Q473&lt;&gt;LOOKUP(2,1/(($A$2:$A$501=$A473)*($S$2:$S$501=$S473)*($B$2:$B$501="")*($O$2:$O$501="")),$Q$2:$Q$501),$R473&lt;&gt;LOOKUP(2,1/(($A$2:$A$501=$A473)*($S$2:$S$501=$S473)*($B$2:$B$501="")*($O$2:$O$501="")),$R$2:$R$501),$T473&lt;&gt;LOOKUP(2,1/(($A$2:$A$501=$A473)*($S$2:$S$501=$S473)*($B$2:$B$501="")*($O$2:$O$501="")),$T$2:$T$501),$U473&lt;&gt;LOOKUP(2,1/(($A$2:$A$501=$A473)*($S$2:$S$501=$S473)*($B$2:$B$501="")*($O$2:$O$501="")),$U$2:$U$501)),FALSE)),"Dependent row does not match the employee row for eligibility, status, coverage level, or funding; ",""))</f>
        <v/>
      </c>
      <c r="AB473">
        <f>IF(COUNTA($A473:$U473)=0,"",IF($L473="","Birthdate is required; ","")&amp;IF(AND($L473&lt;&gt;"",OR(NOT(ISNUMBER($L473)),$L473&lt;=DATE(1900,1,1),$L473&gt;TODAY())),"Birthdate must be an exact valid past date; ","")&amp;IF($P473="","Eligibility Date is required; ","")&amp;IF(AND($P473&lt;&gt;"",OR(NOT(ISNUMBER($P473)),$P473&lt;=DATE(1900,1,1))),"Eligibility Date must be a valid date; ","")&amp;IF(AND($R473="Terminated",$Q473=""),"Termination Date is required when Status is Terminated; ","")&amp;IF(AND($Q473&lt;&gt;"",OR(NOT(ISNUMBER($Q473)),$Q473&lt;=DATE(1900,1,1))),"Termination Date must be a valid date; ","")&amp;IF(AND(ISNUMBER($P473),ISNUMBER($Q473),$Q473&lt;$P473),"Termination Date cannot be before Eligibility Date; ","")&amp;IF($R473="","Status is required; ","")&amp;IF(AND($R473&lt;&gt;"",$R473&lt;&gt;"Active",$R473&lt;&gt;"Terminated"),"Status must be Active or Terminated; ","")&amp;IF(AND('START HERE'!$C$8="Terminations Only",$R473&lt;&gt;"Terminated"),"Terminations Only files must contain terminated records; ",""))</f>
        <v/>
      </c>
      <c r="AC473">
        <f>IF(COUNTA($A473:$U473)=0,"",IF($S473="","Plan Name is required; ","")&amp;IF($T473="","Benefit Coverage Level is required; ","")&amp;IF(AND($U473&lt;&gt;"",OR(NOT(ISNUMBER($U473)),$U473&lt;0)),"Plan Funding Amount must be a nonnegative number; ","")&amp;IF(AND($A473&lt;&gt;"",$S473&lt;&gt;"",COUNTIFS($A$2:$A$501,$A473,$B$2:$B$501,$B473,$S$2:$S$501,$S473)&gt;1),"Duplicate participant and plan row; ",""))</f>
        <v/>
      </c>
      <c r="AD473">
        <f>IF(COUNTA($A473:$U473)=0,"",IF(AND($X473="Employee",$M473="",$N473=""),"No employee phone or email provided; ","")&amp;IF(AND($R473="Active",$Q473&lt;&gt;""),"Active record includes a Termination Date; confirm this is intentional; ","")&amp;IF(AND($B473&lt;&gt;"",$B473&amp;""&lt;&gt;$A473&amp;"",COUNTIF($A$2:$A$501,$B473)&gt;0),"Dependent SSN also appears as an Employee SSN elsewhere; confirm dual-employee coverage is intentional; ","")&amp;IF(AND($B473&lt;&gt;"",COUNTIF($B$2:$B$501,$B473)&gt;COUNTIFS($A$2:$A$501,$A473,$B$2:$B$501,$B473)),"Dependent SSN appears under more than one employee; confirm duplicate family coverage is intentional; ","")&amp;IF(AND(ROW()&gt;2,$A473&lt;&gt;"",$A473&lt;&gt;$A472,COUNTIF($A$2:$A472,$A473)&gt;0),"This household appears in more than one section of the census; keep the family together; ","")&amp;IF(OR(AND($C473&lt;&gt;"",LEN($C473&amp;"")&lt;&gt;LEN(TRIM($C473&amp;""))),AND($D473&lt;&gt;"",LEN($D473&amp;"")&lt;&gt;LEN(TRIM($D473&amp;""))),AND($E473&lt;&gt;"",LEN($E473&amp;"")&lt;&gt;LEN(TRIM($E473&amp;""))),AND($F473&lt;&gt;"",LEN($F473&amp;"")&lt;&gt;LEN(TRIM($F473&amp;""))),AND($G473&lt;&gt;"",LEN($G473&amp;"")&lt;&gt;LEN(TRIM($G473&amp;""))),AND($H473&lt;&gt;"",LEN($H473&amp;"")&lt;&gt;LEN(TRIM($H473&amp;""))),AND($I473&lt;&gt;"",LEN($I473&amp;"")&lt;&gt;LEN(TRIM($I473&amp;""))),AND($J473&lt;&gt;"",LEN($J473&amp;"")&lt;&gt;LEN(TRIM($J473&amp;""))),AND($K473&lt;&gt;"",LEN($K473&amp;"")&lt;&gt;LEN(TRIM($K473&amp;""))),AND($M473&lt;&gt;"",LEN($M473&amp;"")&lt;&gt;LEN(TRIM($M473&amp;""))),AND($N473&lt;&gt;"",LEN($N473&amp;"")&lt;&gt;LEN(TRIM($N473&amp;""))),AND($O473&lt;&gt;"",LEN($O473&amp;"")&lt;&gt;LEN(TRIM($O473&amp;""))),AND($R473&lt;&gt;"",LEN($R473&amp;"")&lt;&gt;LEN(TRIM($R473&amp;""))),AND($S473&lt;&gt;"",LEN($S473&amp;"")&lt;&gt;LEN(TRIM($S473&amp;""))),AND($T473&lt;&gt;"",LEN($T473&amp;"")&lt;&gt;LEN(TRIM($T473&amp;"")))),"Remove leading or trailing spaces from text fields; ","")&amp;IF(OR(AND(LEN($C473)&gt;1,OR(EXACT($C473,UPPER($C473)),EXACT($C473,LOWER($C473)))),AND(LEN($D473)&gt;1,OR(EXACT($D473,UPPER($D473)),EXACT($D473,LOWER($D473)))),AND(LEN($H473)&gt;1,OR(EXACT($H473,UPPER($H473)),EXACT($H473,LOWER($H473))))),"Review capitalization in First Name, Last Name, or City; ","")&amp;IF(AND($N473&lt;&gt;"",NOT(EXACT($N473,LOWER($N473)))),"Email will be standardized to lowercase in the clean output; ","")&amp;IF(AND(OR('START HERE'!$C$8="Initial Enrollment",'START HERE'!$C$8="Open Enrollment"),$R473="Terminated"),"A terminated row is included in an initial or open enrollment file; confirm this is intentional; ",""))</f>
        <v/>
      </c>
      <c r="AE473">
        <f>IF(COUNTA($A473:$U473)=0,"",IF(OR($A473="",AND($A473&lt;&gt;"",NOT(IFERROR(AND(LEN($A473&amp;"")=9,ISNUMBER(--($A473&amp;""))),FALSE))),AND($A473&lt;&gt;"",OR($A473="123456789",$A473="987654321",$A473="012345678",$A473=REPT(LEFT($A473&amp;"",1),9)))),"Employee SSN, ","")&amp;IF(OR(AND($O473&lt;&gt;"",$B473=""),AND($B473&lt;&gt;"",OR(NOT(IFERROR(AND(LEN($B473&amp;"")=9,ISNUMBER(--($B473&amp;""))),FALSE)),$B473=$A473,$B473="123456789",$B473="987654321",$B473="012345678",$B473=REPT(LEFT($B473&amp;"",1),9)))),"Dependent SSN, ","")&amp;IF(OR($C473="",LEN($C473)&gt;19,AND($C473&lt;&gt;"",SUMPRODUCT(--(ROW($1:$19)&lt;=LEN($C473&amp;"")),--ISERROR(FIND(MID($C473&amp;"",ROW($1:$19),1),"ABCDEFGHIJKLMNOPQRSTUVWXYZabcdefghijklmnopqrstuvwxyz .,")))&gt;0)),"First Name, ","")&amp;IF(OR($D473="",LEN($D473)&gt;26,AND($D473&lt;&gt;"",SUMPRODUCT(--(ROW($1:$26)&lt;=LEN($D473&amp;"")),--ISERROR(FIND(MID($D473&amp;"",ROW($1:$26),1),"ABCDEFGHIJKLMNOPQRSTUVWXYZabcdefghijklmnopqrstuvwxyz .,")))&gt;0)),"Last Name, ","")&amp;IF(OR(LEN($E473)&gt;1,AND($E473&lt;&gt;"",SUMPRODUCT(--(ROW($1:$1)&lt;=LEN($E473&amp;"")),--ISERROR(FIND(MID($E473&amp;"",ROW($1:$1),1),"ABCDEFGHIJKLMNOPQRSTUVWXYZabcdefghijklmnopqrstuvwxyz .,")))&gt;0)),"Middle Initial, ","")&amp;IF(OR($F473="",LEN($F473)&gt;75),"Address, ","")&amp;IF(OR($H473="",LEN($H473)&gt;30),"City, ","")&amp;IF(AND($K473="US",OR($I473="",LEN($I473)&lt;&gt;2)),"State, ","")&amp;IF($J473="","ZIP, ","")&amp;IF(OR($K473="",AND($K473&lt;&gt;"US",$K473&lt;&gt;"CA")),"Country, ","")&amp;IF(OR($L473="",AND($L473&lt;&gt;"",OR(NOT(ISNUMBER($L473)),$L473&lt;=DATE(1900,1,1),$L473&gt;TODAY()))),"Birthdate, ","")&amp;IF(AND($N473&lt;&gt;"",NOT(IFERROR(AND(ISNUMBER(SEARCH("@",$N473)),ISNUMBER(SEARCH(".",$N473,SEARCH("@",$N473)+2))),FALSE))),"Email, ","")&amp;IF(OR(AND($B473&lt;&gt;"",$O473=""),AND($O473&lt;&gt;"",$O473&lt;&gt;"Spouse or Common Law Spouse",$O473&lt;&gt;"Domestic Partner",$O473&lt;&gt;"Child",$O473&lt;&gt;"Other",$O473&lt;&gt;"Estate",$O473&lt;&gt;"Unknown")),"Dependent Relationship, ","")&amp;IF($AA473&lt;&gt;"","Household, ","")&amp;IF(OR($P473="",AND($P473&lt;&gt;"",OR(NOT(ISNUMBER($P473)),$P473&lt;=DATE(1900,1,1)))),"Eligibility Date, ","")&amp;IF(OR(AND($R473="Terminated",$Q473=""),AND($Q473&lt;&gt;"",OR(NOT(ISNUMBER($Q473)),$Q473&lt;=DATE(1900,1,1))),AND(ISNUMBER($P473),ISNUMBER($Q473),$Q473&lt;$P473)),"Termination Date, ","")&amp;IF(OR($R473="",AND($R473&lt;&gt;"Active",$R473&lt;&gt;"Terminated"),AND('START HERE'!$C$8="Terminations Only",$R473&lt;&gt;"Terminated")),"Status, ","")&amp;IF($S473="","Plan Name, ","")&amp;IF($T473="","Coverage Level, ","")&amp;IF(AND($U473&lt;&gt;"",OR(NOT(ISNUMBER($U473)),$U473&lt;0)),"Funding, ","")&amp;IF(AND($A473&lt;&gt;"",$S473&lt;&gt;"",COUNTIFS($A$2:$A$501,$A473,$B$2:$B$501,$B473,$S$2:$S$501,$S473)&gt;1),"Duplicate Row, ",""))</f>
        <v/>
      </c>
      <c r="AF473">
        <f>IF(COUNTA($A473:$U473)=0,"",$Y473&amp;$Z473&amp;$AA473&amp;$AB473&amp;$AC473)</f>
        <v/>
      </c>
      <c r="AG473">
        <f>IF($N473="","",LOWER(TRIM($N473)))</f>
        <v/>
      </c>
      <c r="AH473">
        <f>IF($A473="","",COUNTIFS($A$2:$A$501,$A473,$AI$2:$AI$501,1))</f>
        <v/>
      </c>
      <c r="AI473">
        <f>IF(COUNTA($A473:$U473)=0,"",--($AF473&lt;&gt;""))</f>
        <v/>
      </c>
      <c r="AJ473">
        <f>IF(COUNTA($A473:$U473)=0,"",--($AD473&lt;&gt;""))</f>
        <v/>
      </c>
    </row>
    <row r="474" ht="20" customHeight="1">
      <c r="A474" s="80" t="n"/>
      <c r="B474" s="80" t="n"/>
      <c r="C474" s="81" t="n"/>
      <c r="D474" s="81" t="n"/>
      <c r="E474" s="80" t="n"/>
      <c r="F474" s="81" t="n"/>
      <c r="G474" s="81" t="n"/>
      <c r="H474" s="81" t="n"/>
      <c r="I474" s="80" t="n"/>
      <c r="J474" s="80" t="n"/>
      <c r="K474" s="80" t="n"/>
      <c r="L474" s="82" t="n"/>
      <c r="M474" s="80" t="n"/>
      <c r="N474" s="80" t="n"/>
      <c r="O474" s="80" t="n"/>
      <c r="P474" s="82" t="n"/>
      <c r="Q474" s="82" t="n"/>
      <c r="R474" s="80" t="n"/>
      <c r="S474" s="80" t="n"/>
      <c r="T474" s="80" t="n"/>
      <c r="U474" s="83" t="n"/>
      <c r="V474">
        <f>IF($A474="","",IF($A474=$A473,$V473,IF($V473="",0,1-$V473)))</f>
        <v/>
      </c>
      <c r="W474">
        <f>IF($B474&lt;&gt;"",$B474,$A474)</f>
        <v/>
      </c>
      <c r="X474">
        <f>IF(COUNTA($A474:$U474)=0,"",IF(OR($B474&lt;&gt;"",$O474&lt;&gt;""),"Dependent","Employee"))</f>
        <v/>
      </c>
      <c r="Y474">
        <f>IF(COUNTA($A474:$U474)=0,"",IF($A474="","Employee SSN is required; ","")&amp;IF($C474="","First Name is required; ","")&amp;IF(LEN($C474&amp;"")&gt;19,"First Name exceeds 19 characters; ","")&amp;IF(AND($C474&lt;&gt;"",SUMPRODUCT(--(ROW($1:$19)&lt;=LEN($C474&amp;"")),--ISERROR(FIND(MID($C474&amp;"",ROW($1:$19),1),"ABCDEFGHIJKLMNOPQRSTUVWXYZabcdefghijklmnopqrstuvwxyz .,")))&gt;0),"First Name contains unsupported or encoded characters; use plain A-Z letters only; ","")&amp;IF($D474="","Last Name is required; ","")&amp;IF(LEN($D474&amp;"")&gt;26,"Last Name exceeds 26 characters; ","")&amp;IF(AND($D474&lt;&gt;"",SUMPRODUCT(--(ROW($1:$26)&lt;=LEN($D474&amp;"")),--ISERROR(FIND(MID($D474&amp;"",ROW($1:$26),1),"ABCDEFGHIJKLMNOPQRSTUVWXYZabcdefghijklmnopqrstuvwxyz .,")))&gt;0),"Last Name contains unsupported or encoded characters; use plain A-Z letters only; ","")&amp;IF(LEN($E474&amp;"")&gt;1,"Middle Initial may contain only one character; ","")&amp;IF(AND($E474&lt;&gt;"",SUMPRODUCT(--(ROW($1:$1)&lt;=LEN($E474&amp;"")),--ISERROR(FIND(MID($E474&amp;"",ROW($1:$1),1),"ABCDEFGHIJKLMNOPQRSTUVWXYZabcdefghijklmnopqrstuvwxyz .,")))&gt;0),"Middle Initial must be a plain A-Z letter; ","")&amp;IF($F474="","Address is required; ","")&amp;IF(LEN($F474&amp;"")&gt;75,"Address exceeds 75 characters; ","")&amp;IF(LEN($G474&amp;"")&gt;75,"Address 2 exceeds 75 characters; ","")&amp;IF($H474="","City is required; ","")&amp;IF(LEN($H474&amp;"")&gt;30,"City exceeds 30 characters; ","")&amp;IF($K474="","Country is required; ","")&amp;IF(AND($K474&lt;&gt;"",$K474&lt;&gt;"US",$K474&lt;&gt;"CA"),"Country must be US or CA; ","")&amp;IF(AND($K474="US",OR($I474="",LEN($I474&amp;"")&lt;&gt;2)),"Use a 2-letter state code; ","")&amp;IF($J474="","ZIP or postal code is required; ","")&amp;IF(AND($K474="US",$J474&lt;&gt;"",NOT(IFERROR(OR(AND(LEN($J474&amp;"")=5,ISNUMBER(--($J474&amp;""))),AND(LEN($J474&amp;"")=9,ISNUMBER(--($J474&amp;""))),AND(LEN($J474&amp;"")=10,MID($J474&amp;"",6,1)="-",ISNUMBER(--SUBSTITUTE($J474&amp;"","-","")))),FALSE))),"US ZIP must be 5 or 9 digits, with an optional ZIP+4 hyphen; ","")&amp;IF(AND($N474&lt;&gt;"",NOT(IFERROR(AND(ISNUMBER(SEARCH("@",$N474)),ISNUMBER(SEARCH(".",$N474,SEARCH("@",$N474)+2))),FALSE))),"Email format appears invalid; ","")&amp;IF(AND($O474&lt;&gt;"",$B474=""),"Dependent SSN is required for every dependent; ","")&amp;IF(AND($B474&lt;&gt;"",$O474=""),"Dependent Relationship is required when Dependent SSN is entered; ","")&amp;IF(AND($O474&lt;&gt;"",$O474&lt;&gt;"Spouse or Common Law Spouse",$O474&lt;&gt;"Domestic Partner",$O474&lt;&gt;"Child",$O474&lt;&gt;"Other",$O474&lt;&gt;"Estate",$O474&lt;&gt;"Unknown"),"Dependent Relationship must use one of the approved options; ",""))</f>
        <v/>
      </c>
      <c r="Z474">
        <f>IF(COUNTA($A474:$U474)=0,"",IF(AND($A474&lt;&gt;"",NOT(IFERROR(AND(LEN($A474&amp;"")=9,ISNUMBER(--($A474&amp;""))),FALSE))),"Employee SSN must contain exactly 9 digits; ","")&amp;IF(AND($A474&lt;&gt;"",OR($A474="123456789",$A474="987654321",$A474="012345678",$A474=REPT(LEFT($A474&amp;"",1),9))),"Employee SSN appears to be a placeholder; ","")&amp;IF(AND($B474&lt;&gt;"",NOT(IFERROR(AND(LEN($B474&amp;"")=9,ISNUMBER(--($B474&amp;""))),FALSE))),"Dependent SSN must contain exactly 9 digits; ","")&amp;IF(AND($B474&lt;&gt;"",OR($B474="123456789",$B474="987654321",$B474="012345678",$B474=REPT(LEFT($B474&amp;"",1),9))),"Dependent SSN appears to be a placeholder; ","")&amp;IF(AND($A474&lt;&gt;"",$B474&lt;&gt;"",$A474&amp;""=$B474&amp;""),"Dependent SSN cannot match Employee SSN; ","")&amp;IF(AND($W474&lt;&gt;"",OR(COUNTIFS($W$2:$W$501,$W474,$C$2:$C$501,"&lt;&gt;"&amp;$C474)&gt;0,COUNTIFS($W$2:$W$501,$W474,$D$2:$D$501,"&lt;&gt;"&amp;$D474)&gt;0,COUNTIFS($W$2:$W$501,$W474,$L$2:$L$501,"&lt;&gt;"&amp;$L474)&gt;0)),"The same SSN is associated with a different name or birthdate; ",""))</f>
        <v/>
      </c>
      <c r="AA474">
        <f>IF(COUNTA($A474:$U474)=0,"",IF(AND($A474&lt;&gt;"",$S474&lt;&gt;"",COUNTIFS($A$2:$A$501,$A474,$S$2:$S$501,$S474,$B$2:$B$501,"",$O$2:$O$501,"")=0),"Add an employee row for this household and plan; ","")&amp;IF(AND($X474="Dependent",COUNTIFS($A$2:$A474,$A474,$S$2:$S474,$S474,$B$2:$B474,"",$O$2:$O474,"")=0),"Place the employee row before dependent rows for this plan; ","")&amp;IF(AND($X474="Dependent",COUNTIFS($A$2:$A$501,$A474,$S$2:$S$501,$S474,$B$2:$B$501,"",$O$2:$O$501,"")&gt;0,IFERROR(OR($P474&lt;&gt;LOOKUP(2,1/(($A$2:$A$501=$A474)*($S$2:$S$501=$S474)*($B$2:$B$501="")*($O$2:$O$501="")),$P$2:$P$501),$Q474&lt;&gt;LOOKUP(2,1/(($A$2:$A$501=$A474)*($S$2:$S$501=$S474)*($B$2:$B$501="")*($O$2:$O$501="")),$Q$2:$Q$501),$R474&lt;&gt;LOOKUP(2,1/(($A$2:$A$501=$A474)*($S$2:$S$501=$S474)*($B$2:$B$501="")*($O$2:$O$501="")),$R$2:$R$501),$T474&lt;&gt;LOOKUP(2,1/(($A$2:$A$501=$A474)*($S$2:$S$501=$S474)*($B$2:$B$501="")*($O$2:$O$501="")),$T$2:$T$501),$U474&lt;&gt;LOOKUP(2,1/(($A$2:$A$501=$A474)*($S$2:$S$501=$S474)*($B$2:$B$501="")*($O$2:$O$501="")),$U$2:$U$501)),FALSE)),"Dependent row does not match the employee row for eligibility, status, coverage level, or funding; ",""))</f>
        <v/>
      </c>
      <c r="AB474">
        <f>IF(COUNTA($A474:$U474)=0,"",IF($L474="","Birthdate is required; ","")&amp;IF(AND($L474&lt;&gt;"",OR(NOT(ISNUMBER($L474)),$L474&lt;=DATE(1900,1,1),$L474&gt;TODAY())),"Birthdate must be an exact valid past date; ","")&amp;IF($P474="","Eligibility Date is required; ","")&amp;IF(AND($P474&lt;&gt;"",OR(NOT(ISNUMBER($P474)),$P474&lt;=DATE(1900,1,1))),"Eligibility Date must be a valid date; ","")&amp;IF(AND($R474="Terminated",$Q474=""),"Termination Date is required when Status is Terminated; ","")&amp;IF(AND($Q474&lt;&gt;"",OR(NOT(ISNUMBER($Q474)),$Q474&lt;=DATE(1900,1,1))),"Termination Date must be a valid date; ","")&amp;IF(AND(ISNUMBER($P474),ISNUMBER($Q474),$Q474&lt;$P474),"Termination Date cannot be before Eligibility Date; ","")&amp;IF($R474="","Status is required; ","")&amp;IF(AND($R474&lt;&gt;"",$R474&lt;&gt;"Active",$R474&lt;&gt;"Terminated"),"Status must be Active or Terminated; ","")&amp;IF(AND('START HERE'!$C$8="Terminations Only",$R474&lt;&gt;"Terminated"),"Terminations Only files must contain terminated records; ",""))</f>
        <v/>
      </c>
      <c r="AC474">
        <f>IF(COUNTA($A474:$U474)=0,"",IF($S474="","Plan Name is required; ","")&amp;IF($T474="","Benefit Coverage Level is required; ","")&amp;IF(AND($U474&lt;&gt;"",OR(NOT(ISNUMBER($U474)),$U474&lt;0)),"Plan Funding Amount must be a nonnegative number; ","")&amp;IF(AND($A474&lt;&gt;"",$S474&lt;&gt;"",COUNTIFS($A$2:$A$501,$A474,$B$2:$B$501,$B474,$S$2:$S$501,$S474)&gt;1),"Duplicate participant and plan row; ",""))</f>
        <v/>
      </c>
      <c r="AD474">
        <f>IF(COUNTA($A474:$U474)=0,"",IF(AND($X474="Employee",$M474="",$N474=""),"No employee phone or email provided; ","")&amp;IF(AND($R474="Active",$Q474&lt;&gt;""),"Active record includes a Termination Date; confirm this is intentional; ","")&amp;IF(AND($B474&lt;&gt;"",$B474&amp;""&lt;&gt;$A474&amp;"",COUNTIF($A$2:$A$501,$B474)&gt;0),"Dependent SSN also appears as an Employee SSN elsewhere; confirm dual-employee coverage is intentional; ","")&amp;IF(AND($B474&lt;&gt;"",COUNTIF($B$2:$B$501,$B474)&gt;COUNTIFS($A$2:$A$501,$A474,$B$2:$B$501,$B474)),"Dependent SSN appears under more than one employee; confirm duplicate family coverage is intentional; ","")&amp;IF(AND(ROW()&gt;2,$A474&lt;&gt;"",$A474&lt;&gt;$A473,COUNTIF($A$2:$A473,$A474)&gt;0),"This household appears in more than one section of the census; keep the family together; ","")&amp;IF(OR(AND($C474&lt;&gt;"",LEN($C474&amp;"")&lt;&gt;LEN(TRIM($C474&amp;""))),AND($D474&lt;&gt;"",LEN($D474&amp;"")&lt;&gt;LEN(TRIM($D474&amp;""))),AND($E474&lt;&gt;"",LEN($E474&amp;"")&lt;&gt;LEN(TRIM($E474&amp;""))),AND($F474&lt;&gt;"",LEN($F474&amp;"")&lt;&gt;LEN(TRIM($F474&amp;""))),AND($G474&lt;&gt;"",LEN($G474&amp;"")&lt;&gt;LEN(TRIM($G474&amp;""))),AND($H474&lt;&gt;"",LEN($H474&amp;"")&lt;&gt;LEN(TRIM($H474&amp;""))),AND($I474&lt;&gt;"",LEN($I474&amp;"")&lt;&gt;LEN(TRIM($I474&amp;""))),AND($J474&lt;&gt;"",LEN($J474&amp;"")&lt;&gt;LEN(TRIM($J474&amp;""))),AND($K474&lt;&gt;"",LEN($K474&amp;"")&lt;&gt;LEN(TRIM($K474&amp;""))),AND($M474&lt;&gt;"",LEN($M474&amp;"")&lt;&gt;LEN(TRIM($M474&amp;""))),AND($N474&lt;&gt;"",LEN($N474&amp;"")&lt;&gt;LEN(TRIM($N474&amp;""))),AND($O474&lt;&gt;"",LEN($O474&amp;"")&lt;&gt;LEN(TRIM($O474&amp;""))),AND($R474&lt;&gt;"",LEN($R474&amp;"")&lt;&gt;LEN(TRIM($R474&amp;""))),AND($S474&lt;&gt;"",LEN($S474&amp;"")&lt;&gt;LEN(TRIM($S474&amp;""))),AND($T474&lt;&gt;"",LEN($T474&amp;"")&lt;&gt;LEN(TRIM($T474&amp;"")))),"Remove leading or trailing spaces from text fields; ","")&amp;IF(OR(AND(LEN($C474)&gt;1,OR(EXACT($C474,UPPER($C474)),EXACT($C474,LOWER($C474)))),AND(LEN($D474)&gt;1,OR(EXACT($D474,UPPER($D474)),EXACT($D474,LOWER($D474)))),AND(LEN($H474)&gt;1,OR(EXACT($H474,UPPER($H474)),EXACT($H474,LOWER($H474))))),"Review capitalization in First Name, Last Name, or City; ","")&amp;IF(AND($N474&lt;&gt;"",NOT(EXACT($N474,LOWER($N474)))),"Email will be standardized to lowercase in the clean output; ","")&amp;IF(AND(OR('START HERE'!$C$8="Initial Enrollment",'START HERE'!$C$8="Open Enrollment"),$R474="Terminated"),"A terminated row is included in an initial or open enrollment file; confirm this is intentional; ",""))</f>
        <v/>
      </c>
      <c r="AE474">
        <f>IF(COUNTA($A474:$U474)=0,"",IF(OR($A474="",AND($A474&lt;&gt;"",NOT(IFERROR(AND(LEN($A474&amp;"")=9,ISNUMBER(--($A474&amp;""))),FALSE))),AND($A474&lt;&gt;"",OR($A474="123456789",$A474="987654321",$A474="012345678",$A474=REPT(LEFT($A474&amp;"",1),9)))),"Employee SSN, ","")&amp;IF(OR(AND($O474&lt;&gt;"",$B474=""),AND($B474&lt;&gt;"",OR(NOT(IFERROR(AND(LEN($B474&amp;"")=9,ISNUMBER(--($B474&amp;""))),FALSE)),$B474=$A474,$B474="123456789",$B474="987654321",$B474="012345678",$B474=REPT(LEFT($B474&amp;"",1),9)))),"Dependent SSN, ","")&amp;IF(OR($C474="",LEN($C474)&gt;19,AND($C474&lt;&gt;"",SUMPRODUCT(--(ROW($1:$19)&lt;=LEN($C474&amp;"")),--ISERROR(FIND(MID($C474&amp;"",ROW($1:$19),1),"ABCDEFGHIJKLMNOPQRSTUVWXYZabcdefghijklmnopqrstuvwxyz .,")))&gt;0)),"First Name, ","")&amp;IF(OR($D474="",LEN($D474)&gt;26,AND($D474&lt;&gt;"",SUMPRODUCT(--(ROW($1:$26)&lt;=LEN($D474&amp;"")),--ISERROR(FIND(MID($D474&amp;"",ROW($1:$26),1),"ABCDEFGHIJKLMNOPQRSTUVWXYZabcdefghijklmnopqrstuvwxyz .,")))&gt;0)),"Last Name, ","")&amp;IF(OR(LEN($E474)&gt;1,AND($E474&lt;&gt;"",SUMPRODUCT(--(ROW($1:$1)&lt;=LEN($E474&amp;"")),--ISERROR(FIND(MID($E474&amp;"",ROW($1:$1),1),"ABCDEFGHIJKLMNOPQRSTUVWXYZabcdefghijklmnopqrstuvwxyz .,")))&gt;0)),"Middle Initial, ","")&amp;IF(OR($F474="",LEN($F474)&gt;75),"Address, ","")&amp;IF(OR($H474="",LEN($H474)&gt;30),"City, ","")&amp;IF(AND($K474="US",OR($I474="",LEN($I474)&lt;&gt;2)),"State, ","")&amp;IF($J474="","ZIP, ","")&amp;IF(OR($K474="",AND($K474&lt;&gt;"US",$K474&lt;&gt;"CA")),"Country, ","")&amp;IF(OR($L474="",AND($L474&lt;&gt;"",OR(NOT(ISNUMBER($L474)),$L474&lt;=DATE(1900,1,1),$L474&gt;TODAY()))),"Birthdate, ","")&amp;IF(AND($N474&lt;&gt;"",NOT(IFERROR(AND(ISNUMBER(SEARCH("@",$N474)),ISNUMBER(SEARCH(".",$N474,SEARCH("@",$N474)+2))),FALSE))),"Email, ","")&amp;IF(OR(AND($B474&lt;&gt;"",$O474=""),AND($O474&lt;&gt;"",$O474&lt;&gt;"Spouse or Common Law Spouse",$O474&lt;&gt;"Domestic Partner",$O474&lt;&gt;"Child",$O474&lt;&gt;"Other",$O474&lt;&gt;"Estate",$O474&lt;&gt;"Unknown")),"Dependent Relationship, ","")&amp;IF($AA474&lt;&gt;"","Household, ","")&amp;IF(OR($P474="",AND($P474&lt;&gt;"",OR(NOT(ISNUMBER($P474)),$P474&lt;=DATE(1900,1,1)))),"Eligibility Date, ","")&amp;IF(OR(AND($R474="Terminated",$Q474=""),AND($Q474&lt;&gt;"",OR(NOT(ISNUMBER($Q474)),$Q474&lt;=DATE(1900,1,1))),AND(ISNUMBER($P474),ISNUMBER($Q474),$Q474&lt;$P474)),"Termination Date, ","")&amp;IF(OR($R474="",AND($R474&lt;&gt;"Active",$R474&lt;&gt;"Terminated"),AND('START HERE'!$C$8="Terminations Only",$R474&lt;&gt;"Terminated")),"Status, ","")&amp;IF($S474="","Plan Name, ","")&amp;IF($T474="","Coverage Level, ","")&amp;IF(AND($U474&lt;&gt;"",OR(NOT(ISNUMBER($U474)),$U474&lt;0)),"Funding, ","")&amp;IF(AND($A474&lt;&gt;"",$S474&lt;&gt;"",COUNTIFS($A$2:$A$501,$A474,$B$2:$B$501,$B474,$S$2:$S$501,$S474)&gt;1),"Duplicate Row, ",""))</f>
        <v/>
      </c>
      <c r="AF474">
        <f>IF(COUNTA($A474:$U474)=0,"",$Y474&amp;$Z474&amp;$AA474&amp;$AB474&amp;$AC474)</f>
        <v/>
      </c>
      <c r="AG474">
        <f>IF($N474="","",LOWER(TRIM($N474)))</f>
        <v/>
      </c>
      <c r="AH474">
        <f>IF($A474="","",COUNTIFS($A$2:$A$501,$A474,$AI$2:$AI$501,1))</f>
        <v/>
      </c>
      <c r="AI474">
        <f>IF(COUNTA($A474:$U474)=0,"",--($AF474&lt;&gt;""))</f>
        <v/>
      </c>
      <c r="AJ474">
        <f>IF(COUNTA($A474:$U474)=0,"",--($AD474&lt;&gt;""))</f>
        <v/>
      </c>
    </row>
    <row r="475" ht="20" customHeight="1">
      <c r="A475" s="80" t="n"/>
      <c r="B475" s="80" t="n"/>
      <c r="C475" s="81" t="n"/>
      <c r="D475" s="81" t="n"/>
      <c r="E475" s="80" t="n"/>
      <c r="F475" s="81" t="n"/>
      <c r="G475" s="81" t="n"/>
      <c r="H475" s="81" t="n"/>
      <c r="I475" s="80" t="n"/>
      <c r="J475" s="80" t="n"/>
      <c r="K475" s="80" t="n"/>
      <c r="L475" s="82" t="n"/>
      <c r="M475" s="80" t="n"/>
      <c r="N475" s="80" t="n"/>
      <c r="O475" s="80" t="n"/>
      <c r="P475" s="82" t="n"/>
      <c r="Q475" s="82" t="n"/>
      <c r="R475" s="80" t="n"/>
      <c r="S475" s="80" t="n"/>
      <c r="T475" s="80" t="n"/>
      <c r="U475" s="83" t="n"/>
      <c r="V475">
        <f>IF($A475="","",IF($A475=$A474,$V474,IF($V474="",0,1-$V474)))</f>
        <v/>
      </c>
      <c r="W475">
        <f>IF($B475&lt;&gt;"",$B475,$A475)</f>
        <v/>
      </c>
      <c r="X475">
        <f>IF(COUNTA($A475:$U475)=0,"",IF(OR($B475&lt;&gt;"",$O475&lt;&gt;""),"Dependent","Employee"))</f>
        <v/>
      </c>
      <c r="Y475">
        <f>IF(COUNTA($A475:$U475)=0,"",IF($A475="","Employee SSN is required; ","")&amp;IF($C475="","First Name is required; ","")&amp;IF(LEN($C475&amp;"")&gt;19,"First Name exceeds 19 characters; ","")&amp;IF(AND($C475&lt;&gt;"",SUMPRODUCT(--(ROW($1:$19)&lt;=LEN($C475&amp;"")),--ISERROR(FIND(MID($C475&amp;"",ROW($1:$19),1),"ABCDEFGHIJKLMNOPQRSTUVWXYZabcdefghijklmnopqrstuvwxyz .,")))&gt;0),"First Name contains unsupported or encoded characters; use plain A-Z letters only; ","")&amp;IF($D475="","Last Name is required; ","")&amp;IF(LEN($D475&amp;"")&gt;26,"Last Name exceeds 26 characters; ","")&amp;IF(AND($D475&lt;&gt;"",SUMPRODUCT(--(ROW($1:$26)&lt;=LEN($D475&amp;"")),--ISERROR(FIND(MID($D475&amp;"",ROW($1:$26),1),"ABCDEFGHIJKLMNOPQRSTUVWXYZabcdefghijklmnopqrstuvwxyz .,")))&gt;0),"Last Name contains unsupported or encoded characters; use plain A-Z letters only; ","")&amp;IF(LEN($E475&amp;"")&gt;1,"Middle Initial may contain only one character; ","")&amp;IF(AND($E475&lt;&gt;"",SUMPRODUCT(--(ROW($1:$1)&lt;=LEN($E475&amp;"")),--ISERROR(FIND(MID($E475&amp;"",ROW($1:$1),1),"ABCDEFGHIJKLMNOPQRSTUVWXYZabcdefghijklmnopqrstuvwxyz .,")))&gt;0),"Middle Initial must be a plain A-Z letter; ","")&amp;IF($F475="","Address is required; ","")&amp;IF(LEN($F475&amp;"")&gt;75,"Address exceeds 75 characters; ","")&amp;IF(LEN($G475&amp;"")&gt;75,"Address 2 exceeds 75 characters; ","")&amp;IF($H475="","City is required; ","")&amp;IF(LEN($H475&amp;"")&gt;30,"City exceeds 30 characters; ","")&amp;IF($K475="","Country is required; ","")&amp;IF(AND($K475&lt;&gt;"",$K475&lt;&gt;"US",$K475&lt;&gt;"CA"),"Country must be US or CA; ","")&amp;IF(AND($K475="US",OR($I475="",LEN($I475&amp;"")&lt;&gt;2)),"Use a 2-letter state code; ","")&amp;IF($J475="","ZIP or postal code is required; ","")&amp;IF(AND($K475="US",$J475&lt;&gt;"",NOT(IFERROR(OR(AND(LEN($J475&amp;"")=5,ISNUMBER(--($J475&amp;""))),AND(LEN($J475&amp;"")=9,ISNUMBER(--($J475&amp;""))),AND(LEN($J475&amp;"")=10,MID($J475&amp;"",6,1)="-",ISNUMBER(--SUBSTITUTE($J475&amp;"","-","")))),FALSE))),"US ZIP must be 5 or 9 digits, with an optional ZIP+4 hyphen; ","")&amp;IF(AND($N475&lt;&gt;"",NOT(IFERROR(AND(ISNUMBER(SEARCH("@",$N475)),ISNUMBER(SEARCH(".",$N475,SEARCH("@",$N475)+2))),FALSE))),"Email format appears invalid; ","")&amp;IF(AND($O475&lt;&gt;"",$B475=""),"Dependent SSN is required for every dependent; ","")&amp;IF(AND($B475&lt;&gt;"",$O475=""),"Dependent Relationship is required when Dependent SSN is entered; ","")&amp;IF(AND($O475&lt;&gt;"",$O475&lt;&gt;"Spouse or Common Law Spouse",$O475&lt;&gt;"Domestic Partner",$O475&lt;&gt;"Child",$O475&lt;&gt;"Other",$O475&lt;&gt;"Estate",$O475&lt;&gt;"Unknown"),"Dependent Relationship must use one of the approved options; ",""))</f>
        <v/>
      </c>
      <c r="Z475">
        <f>IF(COUNTA($A475:$U475)=0,"",IF(AND($A475&lt;&gt;"",NOT(IFERROR(AND(LEN($A475&amp;"")=9,ISNUMBER(--($A475&amp;""))),FALSE))),"Employee SSN must contain exactly 9 digits; ","")&amp;IF(AND($A475&lt;&gt;"",OR($A475="123456789",$A475="987654321",$A475="012345678",$A475=REPT(LEFT($A475&amp;"",1),9))),"Employee SSN appears to be a placeholder; ","")&amp;IF(AND($B475&lt;&gt;"",NOT(IFERROR(AND(LEN($B475&amp;"")=9,ISNUMBER(--($B475&amp;""))),FALSE))),"Dependent SSN must contain exactly 9 digits; ","")&amp;IF(AND($B475&lt;&gt;"",OR($B475="123456789",$B475="987654321",$B475="012345678",$B475=REPT(LEFT($B475&amp;"",1),9))),"Dependent SSN appears to be a placeholder; ","")&amp;IF(AND($A475&lt;&gt;"",$B475&lt;&gt;"",$A475&amp;""=$B475&amp;""),"Dependent SSN cannot match Employee SSN; ","")&amp;IF(AND($W475&lt;&gt;"",OR(COUNTIFS($W$2:$W$501,$W475,$C$2:$C$501,"&lt;&gt;"&amp;$C475)&gt;0,COUNTIFS($W$2:$W$501,$W475,$D$2:$D$501,"&lt;&gt;"&amp;$D475)&gt;0,COUNTIFS($W$2:$W$501,$W475,$L$2:$L$501,"&lt;&gt;"&amp;$L475)&gt;0)),"The same SSN is associated with a different name or birthdate; ",""))</f>
        <v/>
      </c>
      <c r="AA475">
        <f>IF(COUNTA($A475:$U475)=0,"",IF(AND($A475&lt;&gt;"",$S475&lt;&gt;"",COUNTIFS($A$2:$A$501,$A475,$S$2:$S$501,$S475,$B$2:$B$501,"",$O$2:$O$501,"")=0),"Add an employee row for this household and plan; ","")&amp;IF(AND($X475="Dependent",COUNTIFS($A$2:$A475,$A475,$S$2:$S475,$S475,$B$2:$B475,"",$O$2:$O475,"")=0),"Place the employee row before dependent rows for this plan; ","")&amp;IF(AND($X475="Dependent",COUNTIFS($A$2:$A$501,$A475,$S$2:$S$501,$S475,$B$2:$B$501,"",$O$2:$O$501,"")&gt;0,IFERROR(OR($P475&lt;&gt;LOOKUP(2,1/(($A$2:$A$501=$A475)*($S$2:$S$501=$S475)*($B$2:$B$501="")*($O$2:$O$501="")),$P$2:$P$501),$Q475&lt;&gt;LOOKUP(2,1/(($A$2:$A$501=$A475)*($S$2:$S$501=$S475)*($B$2:$B$501="")*($O$2:$O$501="")),$Q$2:$Q$501),$R475&lt;&gt;LOOKUP(2,1/(($A$2:$A$501=$A475)*($S$2:$S$501=$S475)*($B$2:$B$501="")*($O$2:$O$501="")),$R$2:$R$501),$T475&lt;&gt;LOOKUP(2,1/(($A$2:$A$501=$A475)*($S$2:$S$501=$S475)*($B$2:$B$501="")*($O$2:$O$501="")),$T$2:$T$501),$U475&lt;&gt;LOOKUP(2,1/(($A$2:$A$501=$A475)*($S$2:$S$501=$S475)*($B$2:$B$501="")*($O$2:$O$501="")),$U$2:$U$501)),FALSE)),"Dependent row does not match the employee row for eligibility, status, coverage level, or funding; ",""))</f>
        <v/>
      </c>
      <c r="AB475">
        <f>IF(COUNTA($A475:$U475)=0,"",IF($L475="","Birthdate is required; ","")&amp;IF(AND($L475&lt;&gt;"",OR(NOT(ISNUMBER($L475)),$L475&lt;=DATE(1900,1,1),$L475&gt;TODAY())),"Birthdate must be an exact valid past date; ","")&amp;IF($P475="","Eligibility Date is required; ","")&amp;IF(AND($P475&lt;&gt;"",OR(NOT(ISNUMBER($P475)),$P475&lt;=DATE(1900,1,1))),"Eligibility Date must be a valid date; ","")&amp;IF(AND($R475="Terminated",$Q475=""),"Termination Date is required when Status is Terminated; ","")&amp;IF(AND($Q475&lt;&gt;"",OR(NOT(ISNUMBER($Q475)),$Q475&lt;=DATE(1900,1,1))),"Termination Date must be a valid date; ","")&amp;IF(AND(ISNUMBER($P475),ISNUMBER($Q475),$Q475&lt;$P475),"Termination Date cannot be before Eligibility Date; ","")&amp;IF($R475="","Status is required; ","")&amp;IF(AND($R475&lt;&gt;"",$R475&lt;&gt;"Active",$R475&lt;&gt;"Terminated"),"Status must be Active or Terminated; ","")&amp;IF(AND('START HERE'!$C$8="Terminations Only",$R475&lt;&gt;"Terminated"),"Terminations Only files must contain terminated records; ",""))</f>
        <v/>
      </c>
      <c r="AC475">
        <f>IF(COUNTA($A475:$U475)=0,"",IF($S475="","Plan Name is required; ","")&amp;IF($T475="","Benefit Coverage Level is required; ","")&amp;IF(AND($U475&lt;&gt;"",OR(NOT(ISNUMBER($U475)),$U475&lt;0)),"Plan Funding Amount must be a nonnegative number; ","")&amp;IF(AND($A475&lt;&gt;"",$S475&lt;&gt;"",COUNTIFS($A$2:$A$501,$A475,$B$2:$B$501,$B475,$S$2:$S$501,$S475)&gt;1),"Duplicate participant and plan row; ",""))</f>
        <v/>
      </c>
      <c r="AD475">
        <f>IF(COUNTA($A475:$U475)=0,"",IF(AND($X475="Employee",$M475="",$N475=""),"No employee phone or email provided; ","")&amp;IF(AND($R475="Active",$Q475&lt;&gt;""),"Active record includes a Termination Date; confirm this is intentional; ","")&amp;IF(AND($B475&lt;&gt;"",$B475&amp;""&lt;&gt;$A475&amp;"",COUNTIF($A$2:$A$501,$B475)&gt;0),"Dependent SSN also appears as an Employee SSN elsewhere; confirm dual-employee coverage is intentional; ","")&amp;IF(AND($B475&lt;&gt;"",COUNTIF($B$2:$B$501,$B475)&gt;COUNTIFS($A$2:$A$501,$A475,$B$2:$B$501,$B475)),"Dependent SSN appears under more than one employee; confirm duplicate family coverage is intentional; ","")&amp;IF(AND(ROW()&gt;2,$A475&lt;&gt;"",$A475&lt;&gt;$A474,COUNTIF($A$2:$A474,$A475)&gt;0),"This household appears in more than one section of the census; keep the family together; ","")&amp;IF(OR(AND($C475&lt;&gt;"",LEN($C475&amp;"")&lt;&gt;LEN(TRIM($C475&amp;""))),AND($D475&lt;&gt;"",LEN($D475&amp;"")&lt;&gt;LEN(TRIM($D475&amp;""))),AND($E475&lt;&gt;"",LEN($E475&amp;"")&lt;&gt;LEN(TRIM($E475&amp;""))),AND($F475&lt;&gt;"",LEN($F475&amp;"")&lt;&gt;LEN(TRIM($F475&amp;""))),AND($G475&lt;&gt;"",LEN($G475&amp;"")&lt;&gt;LEN(TRIM($G475&amp;""))),AND($H475&lt;&gt;"",LEN($H475&amp;"")&lt;&gt;LEN(TRIM($H475&amp;""))),AND($I475&lt;&gt;"",LEN($I475&amp;"")&lt;&gt;LEN(TRIM($I475&amp;""))),AND($J475&lt;&gt;"",LEN($J475&amp;"")&lt;&gt;LEN(TRIM($J475&amp;""))),AND($K475&lt;&gt;"",LEN($K475&amp;"")&lt;&gt;LEN(TRIM($K475&amp;""))),AND($M475&lt;&gt;"",LEN($M475&amp;"")&lt;&gt;LEN(TRIM($M475&amp;""))),AND($N475&lt;&gt;"",LEN($N475&amp;"")&lt;&gt;LEN(TRIM($N475&amp;""))),AND($O475&lt;&gt;"",LEN($O475&amp;"")&lt;&gt;LEN(TRIM($O475&amp;""))),AND($R475&lt;&gt;"",LEN($R475&amp;"")&lt;&gt;LEN(TRIM($R475&amp;""))),AND($S475&lt;&gt;"",LEN($S475&amp;"")&lt;&gt;LEN(TRIM($S475&amp;""))),AND($T475&lt;&gt;"",LEN($T475&amp;"")&lt;&gt;LEN(TRIM($T475&amp;"")))),"Remove leading or trailing spaces from text fields; ","")&amp;IF(OR(AND(LEN($C475)&gt;1,OR(EXACT($C475,UPPER($C475)),EXACT($C475,LOWER($C475)))),AND(LEN($D475)&gt;1,OR(EXACT($D475,UPPER($D475)),EXACT($D475,LOWER($D475)))),AND(LEN($H475)&gt;1,OR(EXACT($H475,UPPER($H475)),EXACT($H475,LOWER($H475))))),"Review capitalization in First Name, Last Name, or City; ","")&amp;IF(AND($N475&lt;&gt;"",NOT(EXACT($N475,LOWER($N475)))),"Email will be standardized to lowercase in the clean output; ","")&amp;IF(AND(OR('START HERE'!$C$8="Initial Enrollment",'START HERE'!$C$8="Open Enrollment"),$R475="Terminated"),"A terminated row is included in an initial or open enrollment file; confirm this is intentional; ",""))</f>
        <v/>
      </c>
      <c r="AE475">
        <f>IF(COUNTA($A475:$U475)=0,"",IF(OR($A475="",AND($A475&lt;&gt;"",NOT(IFERROR(AND(LEN($A475&amp;"")=9,ISNUMBER(--($A475&amp;""))),FALSE))),AND($A475&lt;&gt;"",OR($A475="123456789",$A475="987654321",$A475="012345678",$A475=REPT(LEFT($A475&amp;"",1),9)))),"Employee SSN, ","")&amp;IF(OR(AND($O475&lt;&gt;"",$B475=""),AND($B475&lt;&gt;"",OR(NOT(IFERROR(AND(LEN($B475&amp;"")=9,ISNUMBER(--($B475&amp;""))),FALSE)),$B475=$A475,$B475="123456789",$B475="987654321",$B475="012345678",$B475=REPT(LEFT($B475&amp;"",1),9)))),"Dependent SSN, ","")&amp;IF(OR($C475="",LEN($C475)&gt;19,AND($C475&lt;&gt;"",SUMPRODUCT(--(ROW($1:$19)&lt;=LEN($C475&amp;"")),--ISERROR(FIND(MID($C475&amp;"",ROW($1:$19),1),"ABCDEFGHIJKLMNOPQRSTUVWXYZabcdefghijklmnopqrstuvwxyz .,")))&gt;0)),"First Name, ","")&amp;IF(OR($D475="",LEN($D475)&gt;26,AND($D475&lt;&gt;"",SUMPRODUCT(--(ROW($1:$26)&lt;=LEN($D475&amp;"")),--ISERROR(FIND(MID($D475&amp;"",ROW($1:$26),1),"ABCDEFGHIJKLMNOPQRSTUVWXYZabcdefghijklmnopqrstuvwxyz .,")))&gt;0)),"Last Name, ","")&amp;IF(OR(LEN($E475)&gt;1,AND($E475&lt;&gt;"",SUMPRODUCT(--(ROW($1:$1)&lt;=LEN($E475&amp;"")),--ISERROR(FIND(MID($E475&amp;"",ROW($1:$1),1),"ABCDEFGHIJKLMNOPQRSTUVWXYZabcdefghijklmnopqrstuvwxyz .,")))&gt;0)),"Middle Initial, ","")&amp;IF(OR($F475="",LEN($F475)&gt;75),"Address, ","")&amp;IF(OR($H475="",LEN($H475)&gt;30),"City, ","")&amp;IF(AND($K475="US",OR($I475="",LEN($I475)&lt;&gt;2)),"State, ","")&amp;IF($J475="","ZIP, ","")&amp;IF(OR($K475="",AND($K475&lt;&gt;"US",$K475&lt;&gt;"CA")),"Country, ","")&amp;IF(OR($L475="",AND($L475&lt;&gt;"",OR(NOT(ISNUMBER($L475)),$L475&lt;=DATE(1900,1,1),$L475&gt;TODAY()))),"Birthdate, ","")&amp;IF(AND($N475&lt;&gt;"",NOT(IFERROR(AND(ISNUMBER(SEARCH("@",$N475)),ISNUMBER(SEARCH(".",$N475,SEARCH("@",$N475)+2))),FALSE))),"Email, ","")&amp;IF(OR(AND($B475&lt;&gt;"",$O475=""),AND($O475&lt;&gt;"",$O475&lt;&gt;"Spouse or Common Law Spouse",$O475&lt;&gt;"Domestic Partner",$O475&lt;&gt;"Child",$O475&lt;&gt;"Other",$O475&lt;&gt;"Estate",$O475&lt;&gt;"Unknown")),"Dependent Relationship, ","")&amp;IF($AA475&lt;&gt;"","Household, ","")&amp;IF(OR($P475="",AND($P475&lt;&gt;"",OR(NOT(ISNUMBER($P475)),$P475&lt;=DATE(1900,1,1)))),"Eligibility Date, ","")&amp;IF(OR(AND($R475="Terminated",$Q475=""),AND($Q475&lt;&gt;"",OR(NOT(ISNUMBER($Q475)),$Q475&lt;=DATE(1900,1,1))),AND(ISNUMBER($P475),ISNUMBER($Q475),$Q475&lt;$P475)),"Termination Date, ","")&amp;IF(OR($R475="",AND($R475&lt;&gt;"Active",$R475&lt;&gt;"Terminated"),AND('START HERE'!$C$8="Terminations Only",$R475&lt;&gt;"Terminated")),"Status, ","")&amp;IF($S475="","Plan Name, ","")&amp;IF($T475="","Coverage Level, ","")&amp;IF(AND($U475&lt;&gt;"",OR(NOT(ISNUMBER($U475)),$U475&lt;0)),"Funding, ","")&amp;IF(AND($A475&lt;&gt;"",$S475&lt;&gt;"",COUNTIFS($A$2:$A$501,$A475,$B$2:$B$501,$B475,$S$2:$S$501,$S475)&gt;1),"Duplicate Row, ",""))</f>
        <v/>
      </c>
      <c r="AF475">
        <f>IF(COUNTA($A475:$U475)=0,"",$Y475&amp;$Z475&amp;$AA475&amp;$AB475&amp;$AC475)</f>
        <v/>
      </c>
      <c r="AG475">
        <f>IF($N475="","",LOWER(TRIM($N475)))</f>
        <v/>
      </c>
      <c r="AH475">
        <f>IF($A475="","",COUNTIFS($A$2:$A$501,$A475,$AI$2:$AI$501,1))</f>
        <v/>
      </c>
      <c r="AI475">
        <f>IF(COUNTA($A475:$U475)=0,"",--($AF475&lt;&gt;""))</f>
        <v/>
      </c>
      <c r="AJ475">
        <f>IF(COUNTA($A475:$U475)=0,"",--($AD475&lt;&gt;""))</f>
        <v/>
      </c>
    </row>
    <row r="476" ht="20" customHeight="1">
      <c r="A476" s="80" t="n"/>
      <c r="B476" s="80" t="n"/>
      <c r="C476" s="81" t="n"/>
      <c r="D476" s="81" t="n"/>
      <c r="E476" s="80" t="n"/>
      <c r="F476" s="81" t="n"/>
      <c r="G476" s="81" t="n"/>
      <c r="H476" s="81" t="n"/>
      <c r="I476" s="80" t="n"/>
      <c r="J476" s="80" t="n"/>
      <c r="K476" s="80" t="n"/>
      <c r="L476" s="82" t="n"/>
      <c r="M476" s="80" t="n"/>
      <c r="N476" s="80" t="n"/>
      <c r="O476" s="80" t="n"/>
      <c r="P476" s="82" t="n"/>
      <c r="Q476" s="82" t="n"/>
      <c r="R476" s="80" t="n"/>
      <c r="S476" s="80" t="n"/>
      <c r="T476" s="80" t="n"/>
      <c r="U476" s="83" t="n"/>
      <c r="V476">
        <f>IF($A476="","",IF($A476=$A475,$V475,IF($V475="",0,1-$V475)))</f>
        <v/>
      </c>
      <c r="W476">
        <f>IF($B476&lt;&gt;"",$B476,$A476)</f>
        <v/>
      </c>
      <c r="X476">
        <f>IF(COUNTA($A476:$U476)=0,"",IF(OR($B476&lt;&gt;"",$O476&lt;&gt;""),"Dependent","Employee"))</f>
        <v/>
      </c>
      <c r="Y476">
        <f>IF(COUNTA($A476:$U476)=0,"",IF($A476="","Employee SSN is required; ","")&amp;IF($C476="","First Name is required; ","")&amp;IF(LEN($C476&amp;"")&gt;19,"First Name exceeds 19 characters; ","")&amp;IF(AND($C476&lt;&gt;"",SUMPRODUCT(--(ROW($1:$19)&lt;=LEN($C476&amp;"")),--ISERROR(FIND(MID($C476&amp;"",ROW($1:$19),1),"ABCDEFGHIJKLMNOPQRSTUVWXYZabcdefghijklmnopqrstuvwxyz .,")))&gt;0),"First Name contains unsupported or encoded characters; use plain A-Z letters only; ","")&amp;IF($D476="","Last Name is required; ","")&amp;IF(LEN($D476&amp;"")&gt;26,"Last Name exceeds 26 characters; ","")&amp;IF(AND($D476&lt;&gt;"",SUMPRODUCT(--(ROW($1:$26)&lt;=LEN($D476&amp;"")),--ISERROR(FIND(MID($D476&amp;"",ROW($1:$26),1),"ABCDEFGHIJKLMNOPQRSTUVWXYZabcdefghijklmnopqrstuvwxyz .,")))&gt;0),"Last Name contains unsupported or encoded characters; use plain A-Z letters only; ","")&amp;IF(LEN($E476&amp;"")&gt;1,"Middle Initial may contain only one character; ","")&amp;IF(AND($E476&lt;&gt;"",SUMPRODUCT(--(ROW($1:$1)&lt;=LEN($E476&amp;"")),--ISERROR(FIND(MID($E476&amp;"",ROW($1:$1),1),"ABCDEFGHIJKLMNOPQRSTUVWXYZabcdefghijklmnopqrstuvwxyz .,")))&gt;0),"Middle Initial must be a plain A-Z letter; ","")&amp;IF($F476="","Address is required; ","")&amp;IF(LEN($F476&amp;"")&gt;75,"Address exceeds 75 characters; ","")&amp;IF(LEN($G476&amp;"")&gt;75,"Address 2 exceeds 75 characters; ","")&amp;IF($H476="","City is required; ","")&amp;IF(LEN($H476&amp;"")&gt;30,"City exceeds 30 characters; ","")&amp;IF($K476="","Country is required; ","")&amp;IF(AND($K476&lt;&gt;"",$K476&lt;&gt;"US",$K476&lt;&gt;"CA"),"Country must be US or CA; ","")&amp;IF(AND($K476="US",OR($I476="",LEN($I476&amp;"")&lt;&gt;2)),"Use a 2-letter state code; ","")&amp;IF($J476="","ZIP or postal code is required; ","")&amp;IF(AND($K476="US",$J476&lt;&gt;"",NOT(IFERROR(OR(AND(LEN($J476&amp;"")=5,ISNUMBER(--($J476&amp;""))),AND(LEN($J476&amp;"")=9,ISNUMBER(--($J476&amp;""))),AND(LEN($J476&amp;"")=10,MID($J476&amp;"",6,1)="-",ISNUMBER(--SUBSTITUTE($J476&amp;"","-","")))),FALSE))),"US ZIP must be 5 or 9 digits, with an optional ZIP+4 hyphen; ","")&amp;IF(AND($N476&lt;&gt;"",NOT(IFERROR(AND(ISNUMBER(SEARCH("@",$N476)),ISNUMBER(SEARCH(".",$N476,SEARCH("@",$N476)+2))),FALSE))),"Email format appears invalid; ","")&amp;IF(AND($O476&lt;&gt;"",$B476=""),"Dependent SSN is required for every dependent; ","")&amp;IF(AND($B476&lt;&gt;"",$O476=""),"Dependent Relationship is required when Dependent SSN is entered; ","")&amp;IF(AND($O476&lt;&gt;"",$O476&lt;&gt;"Spouse or Common Law Spouse",$O476&lt;&gt;"Domestic Partner",$O476&lt;&gt;"Child",$O476&lt;&gt;"Other",$O476&lt;&gt;"Estate",$O476&lt;&gt;"Unknown"),"Dependent Relationship must use one of the approved options; ",""))</f>
        <v/>
      </c>
      <c r="Z476">
        <f>IF(COUNTA($A476:$U476)=0,"",IF(AND($A476&lt;&gt;"",NOT(IFERROR(AND(LEN($A476&amp;"")=9,ISNUMBER(--($A476&amp;""))),FALSE))),"Employee SSN must contain exactly 9 digits; ","")&amp;IF(AND($A476&lt;&gt;"",OR($A476="123456789",$A476="987654321",$A476="012345678",$A476=REPT(LEFT($A476&amp;"",1),9))),"Employee SSN appears to be a placeholder; ","")&amp;IF(AND($B476&lt;&gt;"",NOT(IFERROR(AND(LEN($B476&amp;"")=9,ISNUMBER(--($B476&amp;""))),FALSE))),"Dependent SSN must contain exactly 9 digits; ","")&amp;IF(AND($B476&lt;&gt;"",OR($B476="123456789",$B476="987654321",$B476="012345678",$B476=REPT(LEFT($B476&amp;"",1),9))),"Dependent SSN appears to be a placeholder; ","")&amp;IF(AND($A476&lt;&gt;"",$B476&lt;&gt;"",$A476&amp;""=$B476&amp;""),"Dependent SSN cannot match Employee SSN; ","")&amp;IF(AND($W476&lt;&gt;"",OR(COUNTIFS($W$2:$W$501,$W476,$C$2:$C$501,"&lt;&gt;"&amp;$C476)&gt;0,COUNTIFS($W$2:$W$501,$W476,$D$2:$D$501,"&lt;&gt;"&amp;$D476)&gt;0,COUNTIFS($W$2:$W$501,$W476,$L$2:$L$501,"&lt;&gt;"&amp;$L476)&gt;0)),"The same SSN is associated with a different name or birthdate; ",""))</f>
        <v/>
      </c>
      <c r="AA476">
        <f>IF(COUNTA($A476:$U476)=0,"",IF(AND($A476&lt;&gt;"",$S476&lt;&gt;"",COUNTIFS($A$2:$A$501,$A476,$S$2:$S$501,$S476,$B$2:$B$501,"",$O$2:$O$501,"")=0),"Add an employee row for this household and plan; ","")&amp;IF(AND($X476="Dependent",COUNTIFS($A$2:$A476,$A476,$S$2:$S476,$S476,$B$2:$B476,"",$O$2:$O476,"")=0),"Place the employee row before dependent rows for this plan; ","")&amp;IF(AND($X476="Dependent",COUNTIFS($A$2:$A$501,$A476,$S$2:$S$501,$S476,$B$2:$B$501,"",$O$2:$O$501,"")&gt;0,IFERROR(OR($P476&lt;&gt;LOOKUP(2,1/(($A$2:$A$501=$A476)*($S$2:$S$501=$S476)*($B$2:$B$501="")*($O$2:$O$501="")),$P$2:$P$501),$Q476&lt;&gt;LOOKUP(2,1/(($A$2:$A$501=$A476)*($S$2:$S$501=$S476)*($B$2:$B$501="")*($O$2:$O$501="")),$Q$2:$Q$501),$R476&lt;&gt;LOOKUP(2,1/(($A$2:$A$501=$A476)*($S$2:$S$501=$S476)*($B$2:$B$501="")*($O$2:$O$501="")),$R$2:$R$501),$T476&lt;&gt;LOOKUP(2,1/(($A$2:$A$501=$A476)*($S$2:$S$501=$S476)*($B$2:$B$501="")*($O$2:$O$501="")),$T$2:$T$501),$U476&lt;&gt;LOOKUP(2,1/(($A$2:$A$501=$A476)*($S$2:$S$501=$S476)*($B$2:$B$501="")*($O$2:$O$501="")),$U$2:$U$501)),FALSE)),"Dependent row does not match the employee row for eligibility, status, coverage level, or funding; ",""))</f>
        <v/>
      </c>
      <c r="AB476">
        <f>IF(COUNTA($A476:$U476)=0,"",IF($L476="","Birthdate is required; ","")&amp;IF(AND($L476&lt;&gt;"",OR(NOT(ISNUMBER($L476)),$L476&lt;=DATE(1900,1,1),$L476&gt;TODAY())),"Birthdate must be an exact valid past date; ","")&amp;IF($P476="","Eligibility Date is required; ","")&amp;IF(AND($P476&lt;&gt;"",OR(NOT(ISNUMBER($P476)),$P476&lt;=DATE(1900,1,1))),"Eligibility Date must be a valid date; ","")&amp;IF(AND($R476="Terminated",$Q476=""),"Termination Date is required when Status is Terminated; ","")&amp;IF(AND($Q476&lt;&gt;"",OR(NOT(ISNUMBER($Q476)),$Q476&lt;=DATE(1900,1,1))),"Termination Date must be a valid date; ","")&amp;IF(AND(ISNUMBER($P476),ISNUMBER($Q476),$Q476&lt;$P476),"Termination Date cannot be before Eligibility Date; ","")&amp;IF($R476="","Status is required; ","")&amp;IF(AND($R476&lt;&gt;"",$R476&lt;&gt;"Active",$R476&lt;&gt;"Terminated"),"Status must be Active or Terminated; ","")&amp;IF(AND('START HERE'!$C$8="Terminations Only",$R476&lt;&gt;"Terminated"),"Terminations Only files must contain terminated records; ",""))</f>
        <v/>
      </c>
      <c r="AC476">
        <f>IF(COUNTA($A476:$U476)=0,"",IF($S476="","Plan Name is required; ","")&amp;IF($T476="","Benefit Coverage Level is required; ","")&amp;IF(AND($U476&lt;&gt;"",OR(NOT(ISNUMBER($U476)),$U476&lt;0)),"Plan Funding Amount must be a nonnegative number; ","")&amp;IF(AND($A476&lt;&gt;"",$S476&lt;&gt;"",COUNTIFS($A$2:$A$501,$A476,$B$2:$B$501,$B476,$S$2:$S$501,$S476)&gt;1),"Duplicate participant and plan row; ",""))</f>
        <v/>
      </c>
      <c r="AD476">
        <f>IF(COUNTA($A476:$U476)=0,"",IF(AND($X476="Employee",$M476="",$N476=""),"No employee phone or email provided; ","")&amp;IF(AND($R476="Active",$Q476&lt;&gt;""),"Active record includes a Termination Date; confirm this is intentional; ","")&amp;IF(AND($B476&lt;&gt;"",$B476&amp;""&lt;&gt;$A476&amp;"",COUNTIF($A$2:$A$501,$B476)&gt;0),"Dependent SSN also appears as an Employee SSN elsewhere; confirm dual-employee coverage is intentional; ","")&amp;IF(AND($B476&lt;&gt;"",COUNTIF($B$2:$B$501,$B476)&gt;COUNTIFS($A$2:$A$501,$A476,$B$2:$B$501,$B476)),"Dependent SSN appears under more than one employee; confirm duplicate family coverage is intentional; ","")&amp;IF(AND(ROW()&gt;2,$A476&lt;&gt;"",$A476&lt;&gt;$A475,COUNTIF($A$2:$A475,$A476)&gt;0),"This household appears in more than one section of the census; keep the family together; ","")&amp;IF(OR(AND($C476&lt;&gt;"",LEN($C476&amp;"")&lt;&gt;LEN(TRIM($C476&amp;""))),AND($D476&lt;&gt;"",LEN($D476&amp;"")&lt;&gt;LEN(TRIM($D476&amp;""))),AND($E476&lt;&gt;"",LEN($E476&amp;"")&lt;&gt;LEN(TRIM($E476&amp;""))),AND($F476&lt;&gt;"",LEN($F476&amp;"")&lt;&gt;LEN(TRIM($F476&amp;""))),AND($G476&lt;&gt;"",LEN($G476&amp;"")&lt;&gt;LEN(TRIM($G476&amp;""))),AND($H476&lt;&gt;"",LEN($H476&amp;"")&lt;&gt;LEN(TRIM($H476&amp;""))),AND($I476&lt;&gt;"",LEN($I476&amp;"")&lt;&gt;LEN(TRIM($I476&amp;""))),AND($J476&lt;&gt;"",LEN($J476&amp;"")&lt;&gt;LEN(TRIM($J476&amp;""))),AND($K476&lt;&gt;"",LEN($K476&amp;"")&lt;&gt;LEN(TRIM($K476&amp;""))),AND($M476&lt;&gt;"",LEN($M476&amp;"")&lt;&gt;LEN(TRIM($M476&amp;""))),AND($N476&lt;&gt;"",LEN($N476&amp;"")&lt;&gt;LEN(TRIM($N476&amp;""))),AND($O476&lt;&gt;"",LEN($O476&amp;"")&lt;&gt;LEN(TRIM($O476&amp;""))),AND($R476&lt;&gt;"",LEN($R476&amp;"")&lt;&gt;LEN(TRIM($R476&amp;""))),AND($S476&lt;&gt;"",LEN($S476&amp;"")&lt;&gt;LEN(TRIM($S476&amp;""))),AND($T476&lt;&gt;"",LEN($T476&amp;"")&lt;&gt;LEN(TRIM($T476&amp;"")))),"Remove leading or trailing spaces from text fields; ","")&amp;IF(OR(AND(LEN($C476)&gt;1,OR(EXACT($C476,UPPER($C476)),EXACT($C476,LOWER($C476)))),AND(LEN($D476)&gt;1,OR(EXACT($D476,UPPER($D476)),EXACT($D476,LOWER($D476)))),AND(LEN($H476)&gt;1,OR(EXACT($H476,UPPER($H476)),EXACT($H476,LOWER($H476))))),"Review capitalization in First Name, Last Name, or City; ","")&amp;IF(AND($N476&lt;&gt;"",NOT(EXACT($N476,LOWER($N476)))),"Email will be standardized to lowercase in the clean output; ","")&amp;IF(AND(OR('START HERE'!$C$8="Initial Enrollment",'START HERE'!$C$8="Open Enrollment"),$R476="Terminated"),"A terminated row is included in an initial or open enrollment file; confirm this is intentional; ",""))</f>
        <v/>
      </c>
      <c r="AE476">
        <f>IF(COUNTA($A476:$U476)=0,"",IF(OR($A476="",AND($A476&lt;&gt;"",NOT(IFERROR(AND(LEN($A476&amp;"")=9,ISNUMBER(--($A476&amp;""))),FALSE))),AND($A476&lt;&gt;"",OR($A476="123456789",$A476="987654321",$A476="012345678",$A476=REPT(LEFT($A476&amp;"",1),9)))),"Employee SSN, ","")&amp;IF(OR(AND($O476&lt;&gt;"",$B476=""),AND($B476&lt;&gt;"",OR(NOT(IFERROR(AND(LEN($B476&amp;"")=9,ISNUMBER(--($B476&amp;""))),FALSE)),$B476=$A476,$B476="123456789",$B476="987654321",$B476="012345678",$B476=REPT(LEFT($B476&amp;"",1),9)))),"Dependent SSN, ","")&amp;IF(OR($C476="",LEN($C476)&gt;19,AND($C476&lt;&gt;"",SUMPRODUCT(--(ROW($1:$19)&lt;=LEN($C476&amp;"")),--ISERROR(FIND(MID($C476&amp;"",ROW($1:$19),1),"ABCDEFGHIJKLMNOPQRSTUVWXYZabcdefghijklmnopqrstuvwxyz .,")))&gt;0)),"First Name, ","")&amp;IF(OR($D476="",LEN($D476)&gt;26,AND($D476&lt;&gt;"",SUMPRODUCT(--(ROW($1:$26)&lt;=LEN($D476&amp;"")),--ISERROR(FIND(MID($D476&amp;"",ROW($1:$26),1),"ABCDEFGHIJKLMNOPQRSTUVWXYZabcdefghijklmnopqrstuvwxyz .,")))&gt;0)),"Last Name, ","")&amp;IF(OR(LEN($E476)&gt;1,AND($E476&lt;&gt;"",SUMPRODUCT(--(ROW($1:$1)&lt;=LEN($E476&amp;"")),--ISERROR(FIND(MID($E476&amp;"",ROW($1:$1),1),"ABCDEFGHIJKLMNOPQRSTUVWXYZabcdefghijklmnopqrstuvwxyz .,")))&gt;0)),"Middle Initial, ","")&amp;IF(OR($F476="",LEN($F476)&gt;75),"Address, ","")&amp;IF(OR($H476="",LEN($H476)&gt;30),"City, ","")&amp;IF(AND($K476="US",OR($I476="",LEN($I476)&lt;&gt;2)),"State, ","")&amp;IF($J476="","ZIP, ","")&amp;IF(OR($K476="",AND($K476&lt;&gt;"US",$K476&lt;&gt;"CA")),"Country, ","")&amp;IF(OR($L476="",AND($L476&lt;&gt;"",OR(NOT(ISNUMBER($L476)),$L476&lt;=DATE(1900,1,1),$L476&gt;TODAY()))),"Birthdate, ","")&amp;IF(AND($N476&lt;&gt;"",NOT(IFERROR(AND(ISNUMBER(SEARCH("@",$N476)),ISNUMBER(SEARCH(".",$N476,SEARCH("@",$N476)+2))),FALSE))),"Email, ","")&amp;IF(OR(AND($B476&lt;&gt;"",$O476=""),AND($O476&lt;&gt;"",$O476&lt;&gt;"Spouse or Common Law Spouse",$O476&lt;&gt;"Domestic Partner",$O476&lt;&gt;"Child",$O476&lt;&gt;"Other",$O476&lt;&gt;"Estate",$O476&lt;&gt;"Unknown")),"Dependent Relationship, ","")&amp;IF($AA476&lt;&gt;"","Household, ","")&amp;IF(OR($P476="",AND($P476&lt;&gt;"",OR(NOT(ISNUMBER($P476)),$P476&lt;=DATE(1900,1,1)))),"Eligibility Date, ","")&amp;IF(OR(AND($R476="Terminated",$Q476=""),AND($Q476&lt;&gt;"",OR(NOT(ISNUMBER($Q476)),$Q476&lt;=DATE(1900,1,1))),AND(ISNUMBER($P476),ISNUMBER($Q476),$Q476&lt;$P476)),"Termination Date, ","")&amp;IF(OR($R476="",AND($R476&lt;&gt;"Active",$R476&lt;&gt;"Terminated"),AND('START HERE'!$C$8="Terminations Only",$R476&lt;&gt;"Terminated")),"Status, ","")&amp;IF($S476="","Plan Name, ","")&amp;IF($T476="","Coverage Level, ","")&amp;IF(AND($U476&lt;&gt;"",OR(NOT(ISNUMBER($U476)),$U476&lt;0)),"Funding, ","")&amp;IF(AND($A476&lt;&gt;"",$S476&lt;&gt;"",COUNTIFS($A$2:$A$501,$A476,$B$2:$B$501,$B476,$S$2:$S$501,$S476)&gt;1),"Duplicate Row, ",""))</f>
        <v/>
      </c>
      <c r="AF476">
        <f>IF(COUNTA($A476:$U476)=0,"",$Y476&amp;$Z476&amp;$AA476&amp;$AB476&amp;$AC476)</f>
        <v/>
      </c>
      <c r="AG476">
        <f>IF($N476="","",LOWER(TRIM($N476)))</f>
        <v/>
      </c>
      <c r="AH476">
        <f>IF($A476="","",COUNTIFS($A$2:$A$501,$A476,$AI$2:$AI$501,1))</f>
        <v/>
      </c>
      <c r="AI476">
        <f>IF(COUNTA($A476:$U476)=0,"",--($AF476&lt;&gt;""))</f>
        <v/>
      </c>
      <c r="AJ476">
        <f>IF(COUNTA($A476:$U476)=0,"",--($AD476&lt;&gt;""))</f>
        <v/>
      </c>
    </row>
    <row r="477" ht="20" customHeight="1">
      <c r="A477" s="80" t="n"/>
      <c r="B477" s="80" t="n"/>
      <c r="C477" s="81" t="n"/>
      <c r="D477" s="81" t="n"/>
      <c r="E477" s="80" t="n"/>
      <c r="F477" s="81" t="n"/>
      <c r="G477" s="81" t="n"/>
      <c r="H477" s="81" t="n"/>
      <c r="I477" s="80" t="n"/>
      <c r="J477" s="80" t="n"/>
      <c r="K477" s="80" t="n"/>
      <c r="L477" s="82" t="n"/>
      <c r="M477" s="80" t="n"/>
      <c r="N477" s="80" t="n"/>
      <c r="O477" s="80" t="n"/>
      <c r="P477" s="82" t="n"/>
      <c r="Q477" s="82" t="n"/>
      <c r="R477" s="80" t="n"/>
      <c r="S477" s="80" t="n"/>
      <c r="T477" s="80" t="n"/>
      <c r="U477" s="83" t="n"/>
      <c r="V477">
        <f>IF($A477="","",IF($A477=$A476,$V476,IF($V476="",0,1-$V476)))</f>
        <v/>
      </c>
      <c r="W477">
        <f>IF($B477&lt;&gt;"",$B477,$A477)</f>
        <v/>
      </c>
      <c r="X477">
        <f>IF(COUNTA($A477:$U477)=0,"",IF(OR($B477&lt;&gt;"",$O477&lt;&gt;""),"Dependent","Employee"))</f>
        <v/>
      </c>
      <c r="Y477">
        <f>IF(COUNTA($A477:$U477)=0,"",IF($A477="","Employee SSN is required; ","")&amp;IF($C477="","First Name is required; ","")&amp;IF(LEN($C477&amp;"")&gt;19,"First Name exceeds 19 characters; ","")&amp;IF(AND($C477&lt;&gt;"",SUMPRODUCT(--(ROW($1:$19)&lt;=LEN($C477&amp;"")),--ISERROR(FIND(MID($C477&amp;"",ROW($1:$19),1),"ABCDEFGHIJKLMNOPQRSTUVWXYZabcdefghijklmnopqrstuvwxyz .,")))&gt;0),"First Name contains unsupported or encoded characters; use plain A-Z letters only; ","")&amp;IF($D477="","Last Name is required; ","")&amp;IF(LEN($D477&amp;"")&gt;26,"Last Name exceeds 26 characters; ","")&amp;IF(AND($D477&lt;&gt;"",SUMPRODUCT(--(ROW($1:$26)&lt;=LEN($D477&amp;"")),--ISERROR(FIND(MID($D477&amp;"",ROW($1:$26),1),"ABCDEFGHIJKLMNOPQRSTUVWXYZabcdefghijklmnopqrstuvwxyz .,")))&gt;0),"Last Name contains unsupported or encoded characters; use plain A-Z letters only; ","")&amp;IF(LEN($E477&amp;"")&gt;1,"Middle Initial may contain only one character; ","")&amp;IF(AND($E477&lt;&gt;"",SUMPRODUCT(--(ROW($1:$1)&lt;=LEN($E477&amp;"")),--ISERROR(FIND(MID($E477&amp;"",ROW($1:$1),1),"ABCDEFGHIJKLMNOPQRSTUVWXYZabcdefghijklmnopqrstuvwxyz .,")))&gt;0),"Middle Initial must be a plain A-Z letter; ","")&amp;IF($F477="","Address is required; ","")&amp;IF(LEN($F477&amp;"")&gt;75,"Address exceeds 75 characters; ","")&amp;IF(LEN($G477&amp;"")&gt;75,"Address 2 exceeds 75 characters; ","")&amp;IF($H477="","City is required; ","")&amp;IF(LEN($H477&amp;"")&gt;30,"City exceeds 30 characters; ","")&amp;IF($K477="","Country is required; ","")&amp;IF(AND($K477&lt;&gt;"",$K477&lt;&gt;"US",$K477&lt;&gt;"CA"),"Country must be US or CA; ","")&amp;IF(AND($K477="US",OR($I477="",LEN($I477&amp;"")&lt;&gt;2)),"Use a 2-letter state code; ","")&amp;IF($J477="","ZIP or postal code is required; ","")&amp;IF(AND($K477="US",$J477&lt;&gt;"",NOT(IFERROR(OR(AND(LEN($J477&amp;"")=5,ISNUMBER(--($J477&amp;""))),AND(LEN($J477&amp;"")=9,ISNUMBER(--($J477&amp;""))),AND(LEN($J477&amp;"")=10,MID($J477&amp;"",6,1)="-",ISNUMBER(--SUBSTITUTE($J477&amp;"","-","")))),FALSE))),"US ZIP must be 5 or 9 digits, with an optional ZIP+4 hyphen; ","")&amp;IF(AND($N477&lt;&gt;"",NOT(IFERROR(AND(ISNUMBER(SEARCH("@",$N477)),ISNUMBER(SEARCH(".",$N477,SEARCH("@",$N477)+2))),FALSE))),"Email format appears invalid; ","")&amp;IF(AND($O477&lt;&gt;"",$B477=""),"Dependent SSN is required for every dependent; ","")&amp;IF(AND($B477&lt;&gt;"",$O477=""),"Dependent Relationship is required when Dependent SSN is entered; ","")&amp;IF(AND($O477&lt;&gt;"",$O477&lt;&gt;"Spouse or Common Law Spouse",$O477&lt;&gt;"Domestic Partner",$O477&lt;&gt;"Child",$O477&lt;&gt;"Other",$O477&lt;&gt;"Estate",$O477&lt;&gt;"Unknown"),"Dependent Relationship must use one of the approved options; ",""))</f>
        <v/>
      </c>
      <c r="Z477">
        <f>IF(COUNTA($A477:$U477)=0,"",IF(AND($A477&lt;&gt;"",NOT(IFERROR(AND(LEN($A477&amp;"")=9,ISNUMBER(--($A477&amp;""))),FALSE))),"Employee SSN must contain exactly 9 digits; ","")&amp;IF(AND($A477&lt;&gt;"",OR($A477="123456789",$A477="987654321",$A477="012345678",$A477=REPT(LEFT($A477&amp;"",1),9))),"Employee SSN appears to be a placeholder; ","")&amp;IF(AND($B477&lt;&gt;"",NOT(IFERROR(AND(LEN($B477&amp;"")=9,ISNUMBER(--($B477&amp;""))),FALSE))),"Dependent SSN must contain exactly 9 digits; ","")&amp;IF(AND($B477&lt;&gt;"",OR($B477="123456789",$B477="987654321",$B477="012345678",$B477=REPT(LEFT($B477&amp;"",1),9))),"Dependent SSN appears to be a placeholder; ","")&amp;IF(AND($A477&lt;&gt;"",$B477&lt;&gt;"",$A477&amp;""=$B477&amp;""),"Dependent SSN cannot match Employee SSN; ","")&amp;IF(AND($W477&lt;&gt;"",OR(COUNTIFS($W$2:$W$501,$W477,$C$2:$C$501,"&lt;&gt;"&amp;$C477)&gt;0,COUNTIFS($W$2:$W$501,$W477,$D$2:$D$501,"&lt;&gt;"&amp;$D477)&gt;0,COUNTIFS($W$2:$W$501,$W477,$L$2:$L$501,"&lt;&gt;"&amp;$L477)&gt;0)),"The same SSN is associated with a different name or birthdate; ",""))</f>
        <v/>
      </c>
      <c r="AA477">
        <f>IF(COUNTA($A477:$U477)=0,"",IF(AND($A477&lt;&gt;"",$S477&lt;&gt;"",COUNTIFS($A$2:$A$501,$A477,$S$2:$S$501,$S477,$B$2:$B$501,"",$O$2:$O$501,"")=0),"Add an employee row for this household and plan; ","")&amp;IF(AND($X477="Dependent",COUNTIFS($A$2:$A477,$A477,$S$2:$S477,$S477,$B$2:$B477,"",$O$2:$O477,"")=0),"Place the employee row before dependent rows for this plan; ","")&amp;IF(AND($X477="Dependent",COUNTIFS($A$2:$A$501,$A477,$S$2:$S$501,$S477,$B$2:$B$501,"",$O$2:$O$501,"")&gt;0,IFERROR(OR($P477&lt;&gt;LOOKUP(2,1/(($A$2:$A$501=$A477)*($S$2:$S$501=$S477)*($B$2:$B$501="")*($O$2:$O$501="")),$P$2:$P$501),$Q477&lt;&gt;LOOKUP(2,1/(($A$2:$A$501=$A477)*($S$2:$S$501=$S477)*($B$2:$B$501="")*($O$2:$O$501="")),$Q$2:$Q$501),$R477&lt;&gt;LOOKUP(2,1/(($A$2:$A$501=$A477)*($S$2:$S$501=$S477)*($B$2:$B$501="")*($O$2:$O$501="")),$R$2:$R$501),$T477&lt;&gt;LOOKUP(2,1/(($A$2:$A$501=$A477)*($S$2:$S$501=$S477)*($B$2:$B$501="")*($O$2:$O$501="")),$T$2:$T$501),$U477&lt;&gt;LOOKUP(2,1/(($A$2:$A$501=$A477)*($S$2:$S$501=$S477)*($B$2:$B$501="")*($O$2:$O$501="")),$U$2:$U$501)),FALSE)),"Dependent row does not match the employee row for eligibility, status, coverage level, or funding; ",""))</f>
        <v/>
      </c>
      <c r="AB477">
        <f>IF(COUNTA($A477:$U477)=0,"",IF($L477="","Birthdate is required; ","")&amp;IF(AND($L477&lt;&gt;"",OR(NOT(ISNUMBER($L477)),$L477&lt;=DATE(1900,1,1),$L477&gt;TODAY())),"Birthdate must be an exact valid past date; ","")&amp;IF($P477="","Eligibility Date is required; ","")&amp;IF(AND($P477&lt;&gt;"",OR(NOT(ISNUMBER($P477)),$P477&lt;=DATE(1900,1,1))),"Eligibility Date must be a valid date; ","")&amp;IF(AND($R477="Terminated",$Q477=""),"Termination Date is required when Status is Terminated; ","")&amp;IF(AND($Q477&lt;&gt;"",OR(NOT(ISNUMBER($Q477)),$Q477&lt;=DATE(1900,1,1))),"Termination Date must be a valid date; ","")&amp;IF(AND(ISNUMBER($P477),ISNUMBER($Q477),$Q477&lt;$P477),"Termination Date cannot be before Eligibility Date; ","")&amp;IF($R477="","Status is required; ","")&amp;IF(AND($R477&lt;&gt;"",$R477&lt;&gt;"Active",$R477&lt;&gt;"Terminated"),"Status must be Active or Terminated; ","")&amp;IF(AND('START HERE'!$C$8="Terminations Only",$R477&lt;&gt;"Terminated"),"Terminations Only files must contain terminated records; ",""))</f>
        <v/>
      </c>
      <c r="AC477">
        <f>IF(COUNTA($A477:$U477)=0,"",IF($S477="","Plan Name is required; ","")&amp;IF($T477="","Benefit Coverage Level is required; ","")&amp;IF(AND($U477&lt;&gt;"",OR(NOT(ISNUMBER($U477)),$U477&lt;0)),"Plan Funding Amount must be a nonnegative number; ","")&amp;IF(AND($A477&lt;&gt;"",$S477&lt;&gt;"",COUNTIFS($A$2:$A$501,$A477,$B$2:$B$501,$B477,$S$2:$S$501,$S477)&gt;1),"Duplicate participant and plan row; ",""))</f>
        <v/>
      </c>
      <c r="AD477">
        <f>IF(COUNTA($A477:$U477)=0,"",IF(AND($X477="Employee",$M477="",$N477=""),"No employee phone or email provided; ","")&amp;IF(AND($R477="Active",$Q477&lt;&gt;""),"Active record includes a Termination Date; confirm this is intentional; ","")&amp;IF(AND($B477&lt;&gt;"",$B477&amp;""&lt;&gt;$A477&amp;"",COUNTIF($A$2:$A$501,$B477)&gt;0),"Dependent SSN also appears as an Employee SSN elsewhere; confirm dual-employee coverage is intentional; ","")&amp;IF(AND($B477&lt;&gt;"",COUNTIF($B$2:$B$501,$B477)&gt;COUNTIFS($A$2:$A$501,$A477,$B$2:$B$501,$B477)),"Dependent SSN appears under more than one employee; confirm duplicate family coverage is intentional; ","")&amp;IF(AND(ROW()&gt;2,$A477&lt;&gt;"",$A477&lt;&gt;$A476,COUNTIF($A$2:$A476,$A477)&gt;0),"This household appears in more than one section of the census; keep the family together; ","")&amp;IF(OR(AND($C477&lt;&gt;"",LEN($C477&amp;"")&lt;&gt;LEN(TRIM($C477&amp;""))),AND($D477&lt;&gt;"",LEN($D477&amp;"")&lt;&gt;LEN(TRIM($D477&amp;""))),AND($E477&lt;&gt;"",LEN($E477&amp;"")&lt;&gt;LEN(TRIM($E477&amp;""))),AND($F477&lt;&gt;"",LEN($F477&amp;"")&lt;&gt;LEN(TRIM($F477&amp;""))),AND($G477&lt;&gt;"",LEN($G477&amp;"")&lt;&gt;LEN(TRIM($G477&amp;""))),AND($H477&lt;&gt;"",LEN($H477&amp;"")&lt;&gt;LEN(TRIM($H477&amp;""))),AND($I477&lt;&gt;"",LEN($I477&amp;"")&lt;&gt;LEN(TRIM($I477&amp;""))),AND($J477&lt;&gt;"",LEN($J477&amp;"")&lt;&gt;LEN(TRIM($J477&amp;""))),AND($K477&lt;&gt;"",LEN($K477&amp;"")&lt;&gt;LEN(TRIM($K477&amp;""))),AND($M477&lt;&gt;"",LEN($M477&amp;"")&lt;&gt;LEN(TRIM($M477&amp;""))),AND($N477&lt;&gt;"",LEN($N477&amp;"")&lt;&gt;LEN(TRIM($N477&amp;""))),AND($O477&lt;&gt;"",LEN($O477&amp;"")&lt;&gt;LEN(TRIM($O477&amp;""))),AND($R477&lt;&gt;"",LEN($R477&amp;"")&lt;&gt;LEN(TRIM($R477&amp;""))),AND($S477&lt;&gt;"",LEN($S477&amp;"")&lt;&gt;LEN(TRIM($S477&amp;""))),AND($T477&lt;&gt;"",LEN($T477&amp;"")&lt;&gt;LEN(TRIM($T477&amp;"")))),"Remove leading or trailing spaces from text fields; ","")&amp;IF(OR(AND(LEN($C477)&gt;1,OR(EXACT($C477,UPPER($C477)),EXACT($C477,LOWER($C477)))),AND(LEN($D477)&gt;1,OR(EXACT($D477,UPPER($D477)),EXACT($D477,LOWER($D477)))),AND(LEN($H477)&gt;1,OR(EXACT($H477,UPPER($H477)),EXACT($H477,LOWER($H477))))),"Review capitalization in First Name, Last Name, or City; ","")&amp;IF(AND($N477&lt;&gt;"",NOT(EXACT($N477,LOWER($N477)))),"Email will be standardized to lowercase in the clean output; ","")&amp;IF(AND(OR('START HERE'!$C$8="Initial Enrollment",'START HERE'!$C$8="Open Enrollment"),$R477="Terminated"),"A terminated row is included in an initial or open enrollment file; confirm this is intentional; ",""))</f>
        <v/>
      </c>
      <c r="AE477">
        <f>IF(COUNTA($A477:$U477)=0,"",IF(OR($A477="",AND($A477&lt;&gt;"",NOT(IFERROR(AND(LEN($A477&amp;"")=9,ISNUMBER(--($A477&amp;""))),FALSE))),AND($A477&lt;&gt;"",OR($A477="123456789",$A477="987654321",$A477="012345678",$A477=REPT(LEFT($A477&amp;"",1),9)))),"Employee SSN, ","")&amp;IF(OR(AND($O477&lt;&gt;"",$B477=""),AND($B477&lt;&gt;"",OR(NOT(IFERROR(AND(LEN($B477&amp;"")=9,ISNUMBER(--($B477&amp;""))),FALSE)),$B477=$A477,$B477="123456789",$B477="987654321",$B477="012345678",$B477=REPT(LEFT($B477&amp;"",1),9)))),"Dependent SSN, ","")&amp;IF(OR($C477="",LEN($C477)&gt;19,AND($C477&lt;&gt;"",SUMPRODUCT(--(ROW($1:$19)&lt;=LEN($C477&amp;"")),--ISERROR(FIND(MID($C477&amp;"",ROW($1:$19),1),"ABCDEFGHIJKLMNOPQRSTUVWXYZabcdefghijklmnopqrstuvwxyz .,")))&gt;0)),"First Name, ","")&amp;IF(OR($D477="",LEN($D477)&gt;26,AND($D477&lt;&gt;"",SUMPRODUCT(--(ROW($1:$26)&lt;=LEN($D477&amp;"")),--ISERROR(FIND(MID($D477&amp;"",ROW($1:$26),1),"ABCDEFGHIJKLMNOPQRSTUVWXYZabcdefghijklmnopqrstuvwxyz .,")))&gt;0)),"Last Name, ","")&amp;IF(OR(LEN($E477)&gt;1,AND($E477&lt;&gt;"",SUMPRODUCT(--(ROW($1:$1)&lt;=LEN($E477&amp;"")),--ISERROR(FIND(MID($E477&amp;"",ROW($1:$1),1),"ABCDEFGHIJKLMNOPQRSTUVWXYZabcdefghijklmnopqrstuvwxyz .,")))&gt;0)),"Middle Initial, ","")&amp;IF(OR($F477="",LEN($F477)&gt;75),"Address, ","")&amp;IF(OR($H477="",LEN($H477)&gt;30),"City, ","")&amp;IF(AND($K477="US",OR($I477="",LEN($I477)&lt;&gt;2)),"State, ","")&amp;IF($J477="","ZIP, ","")&amp;IF(OR($K477="",AND($K477&lt;&gt;"US",$K477&lt;&gt;"CA")),"Country, ","")&amp;IF(OR($L477="",AND($L477&lt;&gt;"",OR(NOT(ISNUMBER($L477)),$L477&lt;=DATE(1900,1,1),$L477&gt;TODAY()))),"Birthdate, ","")&amp;IF(AND($N477&lt;&gt;"",NOT(IFERROR(AND(ISNUMBER(SEARCH("@",$N477)),ISNUMBER(SEARCH(".",$N477,SEARCH("@",$N477)+2))),FALSE))),"Email, ","")&amp;IF(OR(AND($B477&lt;&gt;"",$O477=""),AND($O477&lt;&gt;"",$O477&lt;&gt;"Spouse or Common Law Spouse",$O477&lt;&gt;"Domestic Partner",$O477&lt;&gt;"Child",$O477&lt;&gt;"Other",$O477&lt;&gt;"Estate",$O477&lt;&gt;"Unknown")),"Dependent Relationship, ","")&amp;IF($AA477&lt;&gt;"","Household, ","")&amp;IF(OR($P477="",AND($P477&lt;&gt;"",OR(NOT(ISNUMBER($P477)),$P477&lt;=DATE(1900,1,1)))),"Eligibility Date, ","")&amp;IF(OR(AND($R477="Terminated",$Q477=""),AND($Q477&lt;&gt;"",OR(NOT(ISNUMBER($Q477)),$Q477&lt;=DATE(1900,1,1))),AND(ISNUMBER($P477),ISNUMBER($Q477),$Q477&lt;$P477)),"Termination Date, ","")&amp;IF(OR($R477="",AND($R477&lt;&gt;"Active",$R477&lt;&gt;"Terminated"),AND('START HERE'!$C$8="Terminations Only",$R477&lt;&gt;"Terminated")),"Status, ","")&amp;IF($S477="","Plan Name, ","")&amp;IF($T477="","Coverage Level, ","")&amp;IF(AND($U477&lt;&gt;"",OR(NOT(ISNUMBER($U477)),$U477&lt;0)),"Funding, ","")&amp;IF(AND($A477&lt;&gt;"",$S477&lt;&gt;"",COUNTIFS($A$2:$A$501,$A477,$B$2:$B$501,$B477,$S$2:$S$501,$S477)&gt;1),"Duplicate Row, ",""))</f>
        <v/>
      </c>
      <c r="AF477">
        <f>IF(COUNTA($A477:$U477)=0,"",$Y477&amp;$Z477&amp;$AA477&amp;$AB477&amp;$AC477)</f>
        <v/>
      </c>
      <c r="AG477">
        <f>IF($N477="","",LOWER(TRIM($N477)))</f>
        <v/>
      </c>
      <c r="AH477">
        <f>IF($A477="","",COUNTIFS($A$2:$A$501,$A477,$AI$2:$AI$501,1))</f>
        <v/>
      </c>
      <c r="AI477">
        <f>IF(COUNTA($A477:$U477)=0,"",--($AF477&lt;&gt;""))</f>
        <v/>
      </c>
      <c r="AJ477">
        <f>IF(COUNTA($A477:$U477)=0,"",--($AD477&lt;&gt;""))</f>
        <v/>
      </c>
    </row>
    <row r="478" ht="20" customHeight="1">
      <c r="A478" s="80" t="n"/>
      <c r="B478" s="80" t="n"/>
      <c r="C478" s="81" t="n"/>
      <c r="D478" s="81" t="n"/>
      <c r="E478" s="80" t="n"/>
      <c r="F478" s="81" t="n"/>
      <c r="G478" s="81" t="n"/>
      <c r="H478" s="81" t="n"/>
      <c r="I478" s="80" t="n"/>
      <c r="J478" s="80" t="n"/>
      <c r="K478" s="80" t="n"/>
      <c r="L478" s="82" t="n"/>
      <c r="M478" s="80" t="n"/>
      <c r="N478" s="80" t="n"/>
      <c r="O478" s="80" t="n"/>
      <c r="P478" s="82" t="n"/>
      <c r="Q478" s="82" t="n"/>
      <c r="R478" s="80" t="n"/>
      <c r="S478" s="80" t="n"/>
      <c r="T478" s="80" t="n"/>
      <c r="U478" s="83" t="n"/>
      <c r="V478">
        <f>IF($A478="","",IF($A478=$A477,$V477,IF($V477="",0,1-$V477)))</f>
        <v/>
      </c>
      <c r="W478">
        <f>IF($B478&lt;&gt;"",$B478,$A478)</f>
        <v/>
      </c>
      <c r="X478">
        <f>IF(COUNTA($A478:$U478)=0,"",IF(OR($B478&lt;&gt;"",$O478&lt;&gt;""),"Dependent","Employee"))</f>
        <v/>
      </c>
      <c r="Y478">
        <f>IF(COUNTA($A478:$U478)=0,"",IF($A478="","Employee SSN is required; ","")&amp;IF($C478="","First Name is required; ","")&amp;IF(LEN($C478&amp;"")&gt;19,"First Name exceeds 19 characters; ","")&amp;IF(AND($C478&lt;&gt;"",SUMPRODUCT(--(ROW($1:$19)&lt;=LEN($C478&amp;"")),--ISERROR(FIND(MID($C478&amp;"",ROW($1:$19),1),"ABCDEFGHIJKLMNOPQRSTUVWXYZabcdefghijklmnopqrstuvwxyz .,")))&gt;0),"First Name contains unsupported or encoded characters; use plain A-Z letters only; ","")&amp;IF($D478="","Last Name is required; ","")&amp;IF(LEN($D478&amp;"")&gt;26,"Last Name exceeds 26 characters; ","")&amp;IF(AND($D478&lt;&gt;"",SUMPRODUCT(--(ROW($1:$26)&lt;=LEN($D478&amp;"")),--ISERROR(FIND(MID($D478&amp;"",ROW($1:$26),1),"ABCDEFGHIJKLMNOPQRSTUVWXYZabcdefghijklmnopqrstuvwxyz .,")))&gt;0),"Last Name contains unsupported or encoded characters; use plain A-Z letters only; ","")&amp;IF(LEN($E478&amp;"")&gt;1,"Middle Initial may contain only one character; ","")&amp;IF(AND($E478&lt;&gt;"",SUMPRODUCT(--(ROW($1:$1)&lt;=LEN($E478&amp;"")),--ISERROR(FIND(MID($E478&amp;"",ROW($1:$1),1),"ABCDEFGHIJKLMNOPQRSTUVWXYZabcdefghijklmnopqrstuvwxyz .,")))&gt;0),"Middle Initial must be a plain A-Z letter; ","")&amp;IF($F478="","Address is required; ","")&amp;IF(LEN($F478&amp;"")&gt;75,"Address exceeds 75 characters; ","")&amp;IF(LEN($G478&amp;"")&gt;75,"Address 2 exceeds 75 characters; ","")&amp;IF($H478="","City is required; ","")&amp;IF(LEN($H478&amp;"")&gt;30,"City exceeds 30 characters; ","")&amp;IF($K478="","Country is required; ","")&amp;IF(AND($K478&lt;&gt;"",$K478&lt;&gt;"US",$K478&lt;&gt;"CA"),"Country must be US or CA; ","")&amp;IF(AND($K478="US",OR($I478="",LEN($I478&amp;"")&lt;&gt;2)),"Use a 2-letter state code; ","")&amp;IF($J478="","ZIP or postal code is required; ","")&amp;IF(AND($K478="US",$J478&lt;&gt;"",NOT(IFERROR(OR(AND(LEN($J478&amp;"")=5,ISNUMBER(--($J478&amp;""))),AND(LEN($J478&amp;"")=9,ISNUMBER(--($J478&amp;""))),AND(LEN($J478&amp;"")=10,MID($J478&amp;"",6,1)="-",ISNUMBER(--SUBSTITUTE($J478&amp;"","-","")))),FALSE))),"US ZIP must be 5 or 9 digits, with an optional ZIP+4 hyphen; ","")&amp;IF(AND($N478&lt;&gt;"",NOT(IFERROR(AND(ISNUMBER(SEARCH("@",$N478)),ISNUMBER(SEARCH(".",$N478,SEARCH("@",$N478)+2))),FALSE))),"Email format appears invalid; ","")&amp;IF(AND($O478&lt;&gt;"",$B478=""),"Dependent SSN is required for every dependent; ","")&amp;IF(AND($B478&lt;&gt;"",$O478=""),"Dependent Relationship is required when Dependent SSN is entered; ","")&amp;IF(AND($O478&lt;&gt;"",$O478&lt;&gt;"Spouse or Common Law Spouse",$O478&lt;&gt;"Domestic Partner",$O478&lt;&gt;"Child",$O478&lt;&gt;"Other",$O478&lt;&gt;"Estate",$O478&lt;&gt;"Unknown"),"Dependent Relationship must use one of the approved options; ",""))</f>
        <v/>
      </c>
      <c r="Z478">
        <f>IF(COUNTA($A478:$U478)=0,"",IF(AND($A478&lt;&gt;"",NOT(IFERROR(AND(LEN($A478&amp;"")=9,ISNUMBER(--($A478&amp;""))),FALSE))),"Employee SSN must contain exactly 9 digits; ","")&amp;IF(AND($A478&lt;&gt;"",OR($A478="123456789",$A478="987654321",$A478="012345678",$A478=REPT(LEFT($A478&amp;"",1),9))),"Employee SSN appears to be a placeholder; ","")&amp;IF(AND($B478&lt;&gt;"",NOT(IFERROR(AND(LEN($B478&amp;"")=9,ISNUMBER(--($B478&amp;""))),FALSE))),"Dependent SSN must contain exactly 9 digits; ","")&amp;IF(AND($B478&lt;&gt;"",OR($B478="123456789",$B478="987654321",$B478="012345678",$B478=REPT(LEFT($B478&amp;"",1),9))),"Dependent SSN appears to be a placeholder; ","")&amp;IF(AND($A478&lt;&gt;"",$B478&lt;&gt;"",$A478&amp;""=$B478&amp;""),"Dependent SSN cannot match Employee SSN; ","")&amp;IF(AND($W478&lt;&gt;"",OR(COUNTIFS($W$2:$W$501,$W478,$C$2:$C$501,"&lt;&gt;"&amp;$C478)&gt;0,COUNTIFS($W$2:$W$501,$W478,$D$2:$D$501,"&lt;&gt;"&amp;$D478)&gt;0,COUNTIFS($W$2:$W$501,$W478,$L$2:$L$501,"&lt;&gt;"&amp;$L478)&gt;0)),"The same SSN is associated with a different name or birthdate; ",""))</f>
        <v/>
      </c>
      <c r="AA478">
        <f>IF(COUNTA($A478:$U478)=0,"",IF(AND($A478&lt;&gt;"",$S478&lt;&gt;"",COUNTIFS($A$2:$A$501,$A478,$S$2:$S$501,$S478,$B$2:$B$501,"",$O$2:$O$501,"")=0),"Add an employee row for this household and plan; ","")&amp;IF(AND($X478="Dependent",COUNTIFS($A$2:$A478,$A478,$S$2:$S478,$S478,$B$2:$B478,"",$O$2:$O478,"")=0),"Place the employee row before dependent rows for this plan; ","")&amp;IF(AND($X478="Dependent",COUNTIFS($A$2:$A$501,$A478,$S$2:$S$501,$S478,$B$2:$B$501,"",$O$2:$O$501,"")&gt;0,IFERROR(OR($P478&lt;&gt;LOOKUP(2,1/(($A$2:$A$501=$A478)*($S$2:$S$501=$S478)*($B$2:$B$501="")*($O$2:$O$501="")),$P$2:$P$501),$Q478&lt;&gt;LOOKUP(2,1/(($A$2:$A$501=$A478)*($S$2:$S$501=$S478)*($B$2:$B$501="")*($O$2:$O$501="")),$Q$2:$Q$501),$R478&lt;&gt;LOOKUP(2,1/(($A$2:$A$501=$A478)*($S$2:$S$501=$S478)*($B$2:$B$501="")*($O$2:$O$501="")),$R$2:$R$501),$T478&lt;&gt;LOOKUP(2,1/(($A$2:$A$501=$A478)*($S$2:$S$501=$S478)*($B$2:$B$501="")*($O$2:$O$501="")),$T$2:$T$501),$U478&lt;&gt;LOOKUP(2,1/(($A$2:$A$501=$A478)*($S$2:$S$501=$S478)*($B$2:$B$501="")*($O$2:$O$501="")),$U$2:$U$501)),FALSE)),"Dependent row does not match the employee row for eligibility, status, coverage level, or funding; ",""))</f>
        <v/>
      </c>
      <c r="AB478">
        <f>IF(COUNTA($A478:$U478)=0,"",IF($L478="","Birthdate is required; ","")&amp;IF(AND($L478&lt;&gt;"",OR(NOT(ISNUMBER($L478)),$L478&lt;=DATE(1900,1,1),$L478&gt;TODAY())),"Birthdate must be an exact valid past date; ","")&amp;IF($P478="","Eligibility Date is required; ","")&amp;IF(AND($P478&lt;&gt;"",OR(NOT(ISNUMBER($P478)),$P478&lt;=DATE(1900,1,1))),"Eligibility Date must be a valid date; ","")&amp;IF(AND($R478="Terminated",$Q478=""),"Termination Date is required when Status is Terminated; ","")&amp;IF(AND($Q478&lt;&gt;"",OR(NOT(ISNUMBER($Q478)),$Q478&lt;=DATE(1900,1,1))),"Termination Date must be a valid date; ","")&amp;IF(AND(ISNUMBER($P478),ISNUMBER($Q478),$Q478&lt;$P478),"Termination Date cannot be before Eligibility Date; ","")&amp;IF($R478="","Status is required; ","")&amp;IF(AND($R478&lt;&gt;"",$R478&lt;&gt;"Active",$R478&lt;&gt;"Terminated"),"Status must be Active or Terminated; ","")&amp;IF(AND('START HERE'!$C$8="Terminations Only",$R478&lt;&gt;"Terminated"),"Terminations Only files must contain terminated records; ",""))</f>
        <v/>
      </c>
      <c r="AC478">
        <f>IF(COUNTA($A478:$U478)=0,"",IF($S478="","Plan Name is required; ","")&amp;IF($T478="","Benefit Coverage Level is required; ","")&amp;IF(AND($U478&lt;&gt;"",OR(NOT(ISNUMBER($U478)),$U478&lt;0)),"Plan Funding Amount must be a nonnegative number; ","")&amp;IF(AND($A478&lt;&gt;"",$S478&lt;&gt;"",COUNTIFS($A$2:$A$501,$A478,$B$2:$B$501,$B478,$S$2:$S$501,$S478)&gt;1),"Duplicate participant and plan row; ",""))</f>
        <v/>
      </c>
      <c r="AD478">
        <f>IF(COUNTA($A478:$U478)=0,"",IF(AND($X478="Employee",$M478="",$N478=""),"No employee phone or email provided; ","")&amp;IF(AND($R478="Active",$Q478&lt;&gt;""),"Active record includes a Termination Date; confirm this is intentional; ","")&amp;IF(AND($B478&lt;&gt;"",$B478&amp;""&lt;&gt;$A478&amp;"",COUNTIF($A$2:$A$501,$B478)&gt;0),"Dependent SSN also appears as an Employee SSN elsewhere; confirm dual-employee coverage is intentional; ","")&amp;IF(AND($B478&lt;&gt;"",COUNTIF($B$2:$B$501,$B478)&gt;COUNTIFS($A$2:$A$501,$A478,$B$2:$B$501,$B478)),"Dependent SSN appears under more than one employee; confirm duplicate family coverage is intentional; ","")&amp;IF(AND(ROW()&gt;2,$A478&lt;&gt;"",$A478&lt;&gt;$A477,COUNTIF($A$2:$A477,$A478)&gt;0),"This household appears in more than one section of the census; keep the family together; ","")&amp;IF(OR(AND($C478&lt;&gt;"",LEN($C478&amp;"")&lt;&gt;LEN(TRIM($C478&amp;""))),AND($D478&lt;&gt;"",LEN($D478&amp;"")&lt;&gt;LEN(TRIM($D478&amp;""))),AND($E478&lt;&gt;"",LEN($E478&amp;"")&lt;&gt;LEN(TRIM($E478&amp;""))),AND($F478&lt;&gt;"",LEN($F478&amp;"")&lt;&gt;LEN(TRIM($F478&amp;""))),AND($G478&lt;&gt;"",LEN($G478&amp;"")&lt;&gt;LEN(TRIM($G478&amp;""))),AND($H478&lt;&gt;"",LEN($H478&amp;"")&lt;&gt;LEN(TRIM($H478&amp;""))),AND($I478&lt;&gt;"",LEN($I478&amp;"")&lt;&gt;LEN(TRIM($I478&amp;""))),AND($J478&lt;&gt;"",LEN($J478&amp;"")&lt;&gt;LEN(TRIM($J478&amp;""))),AND($K478&lt;&gt;"",LEN($K478&amp;"")&lt;&gt;LEN(TRIM($K478&amp;""))),AND($M478&lt;&gt;"",LEN($M478&amp;"")&lt;&gt;LEN(TRIM($M478&amp;""))),AND($N478&lt;&gt;"",LEN($N478&amp;"")&lt;&gt;LEN(TRIM($N478&amp;""))),AND($O478&lt;&gt;"",LEN($O478&amp;"")&lt;&gt;LEN(TRIM($O478&amp;""))),AND($R478&lt;&gt;"",LEN($R478&amp;"")&lt;&gt;LEN(TRIM($R478&amp;""))),AND($S478&lt;&gt;"",LEN($S478&amp;"")&lt;&gt;LEN(TRIM($S478&amp;""))),AND($T478&lt;&gt;"",LEN($T478&amp;"")&lt;&gt;LEN(TRIM($T478&amp;"")))),"Remove leading or trailing spaces from text fields; ","")&amp;IF(OR(AND(LEN($C478)&gt;1,OR(EXACT($C478,UPPER($C478)),EXACT($C478,LOWER($C478)))),AND(LEN($D478)&gt;1,OR(EXACT($D478,UPPER($D478)),EXACT($D478,LOWER($D478)))),AND(LEN($H478)&gt;1,OR(EXACT($H478,UPPER($H478)),EXACT($H478,LOWER($H478))))),"Review capitalization in First Name, Last Name, or City; ","")&amp;IF(AND($N478&lt;&gt;"",NOT(EXACT($N478,LOWER($N478)))),"Email will be standardized to lowercase in the clean output; ","")&amp;IF(AND(OR('START HERE'!$C$8="Initial Enrollment",'START HERE'!$C$8="Open Enrollment"),$R478="Terminated"),"A terminated row is included in an initial or open enrollment file; confirm this is intentional; ",""))</f>
        <v/>
      </c>
      <c r="AE478">
        <f>IF(COUNTA($A478:$U478)=0,"",IF(OR($A478="",AND($A478&lt;&gt;"",NOT(IFERROR(AND(LEN($A478&amp;"")=9,ISNUMBER(--($A478&amp;""))),FALSE))),AND($A478&lt;&gt;"",OR($A478="123456789",$A478="987654321",$A478="012345678",$A478=REPT(LEFT($A478&amp;"",1),9)))),"Employee SSN, ","")&amp;IF(OR(AND($O478&lt;&gt;"",$B478=""),AND($B478&lt;&gt;"",OR(NOT(IFERROR(AND(LEN($B478&amp;"")=9,ISNUMBER(--($B478&amp;""))),FALSE)),$B478=$A478,$B478="123456789",$B478="987654321",$B478="012345678",$B478=REPT(LEFT($B478&amp;"",1),9)))),"Dependent SSN, ","")&amp;IF(OR($C478="",LEN($C478)&gt;19,AND($C478&lt;&gt;"",SUMPRODUCT(--(ROW($1:$19)&lt;=LEN($C478&amp;"")),--ISERROR(FIND(MID($C478&amp;"",ROW($1:$19),1),"ABCDEFGHIJKLMNOPQRSTUVWXYZabcdefghijklmnopqrstuvwxyz .,")))&gt;0)),"First Name, ","")&amp;IF(OR($D478="",LEN($D478)&gt;26,AND($D478&lt;&gt;"",SUMPRODUCT(--(ROW($1:$26)&lt;=LEN($D478&amp;"")),--ISERROR(FIND(MID($D478&amp;"",ROW($1:$26),1),"ABCDEFGHIJKLMNOPQRSTUVWXYZabcdefghijklmnopqrstuvwxyz .,")))&gt;0)),"Last Name, ","")&amp;IF(OR(LEN($E478)&gt;1,AND($E478&lt;&gt;"",SUMPRODUCT(--(ROW($1:$1)&lt;=LEN($E478&amp;"")),--ISERROR(FIND(MID($E478&amp;"",ROW($1:$1),1),"ABCDEFGHIJKLMNOPQRSTUVWXYZabcdefghijklmnopqrstuvwxyz .,")))&gt;0)),"Middle Initial, ","")&amp;IF(OR($F478="",LEN($F478)&gt;75),"Address, ","")&amp;IF(OR($H478="",LEN($H478)&gt;30),"City, ","")&amp;IF(AND($K478="US",OR($I478="",LEN($I478)&lt;&gt;2)),"State, ","")&amp;IF($J478="","ZIP, ","")&amp;IF(OR($K478="",AND($K478&lt;&gt;"US",$K478&lt;&gt;"CA")),"Country, ","")&amp;IF(OR($L478="",AND($L478&lt;&gt;"",OR(NOT(ISNUMBER($L478)),$L478&lt;=DATE(1900,1,1),$L478&gt;TODAY()))),"Birthdate, ","")&amp;IF(AND($N478&lt;&gt;"",NOT(IFERROR(AND(ISNUMBER(SEARCH("@",$N478)),ISNUMBER(SEARCH(".",$N478,SEARCH("@",$N478)+2))),FALSE))),"Email, ","")&amp;IF(OR(AND($B478&lt;&gt;"",$O478=""),AND($O478&lt;&gt;"",$O478&lt;&gt;"Spouse or Common Law Spouse",$O478&lt;&gt;"Domestic Partner",$O478&lt;&gt;"Child",$O478&lt;&gt;"Other",$O478&lt;&gt;"Estate",$O478&lt;&gt;"Unknown")),"Dependent Relationship, ","")&amp;IF($AA478&lt;&gt;"","Household, ","")&amp;IF(OR($P478="",AND($P478&lt;&gt;"",OR(NOT(ISNUMBER($P478)),$P478&lt;=DATE(1900,1,1)))),"Eligibility Date, ","")&amp;IF(OR(AND($R478="Terminated",$Q478=""),AND($Q478&lt;&gt;"",OR(NOT(ISNUMBER($Q478)),$Q478&lt;=DATE(1900,1,1))),AND(ISNUMBER($P478),ISNUMBER($Q478),$Q478&lt;$P478)),"Termination Date, ","")&amp;IF(OR($R478="",AND($R478&lt;&gt;"Active",$R478&lt;&gt;"Terminated"),AND('START HERE'!$C$8="Terminations Only",$R478&lt;&gt;"Terminated")),"Status, ","")&amp;IF($S478="","Plan Name, ","")&amp;IF($T478="","Coverage Level, ","")&amp;IF(AND($U478&lt;&gt;"",OR(NOT(ISNUMBER($U478)),$U478&lt;0)),"Funding, ","")&amp;IF(AND($A478&lt;&gt;"",$S478&lt;&gt;"",COUNTIFS($A$2:$A$501,$A478,$B$2:$B$501,$B478,$S$2:$S$501,$S478)&gt;1),"Duplicate Row, ",""))</f>
        <v/>
      </c>
      <c r="AF478">
        <f>IF(COUNTA($A478:$U478)=0,"",$Y478&amp;$Z478&amp;$AA478&amp;$AB478&amp;$AC478)</f>
        <v/>
      </c>
      <c r="AG478">
        <f>IF($N478="","",LOWER(TRIM($N478)))</f>
        <v/>
      </c>
      <c r="AH478">
        <f>IF($A478="","",COUNTIFS($A$2:$A$501,$A478,$AI$2:$AI$501,1))</f>
        <v/>
      </c>
      <c r="AI478">
        <f>IF(COUNTA($A478:$U478)=0,"",--($AF478&lt;&gt;""))</f>
        <v/>
      </c>
      <c r="AJ478">
        <f>IF(COUNTA($A478:$U478)=0,"",--($AD478&lt;&gt;""))</f>
        <v/>
      </c>
    </row>
    <row r="479" ht="20" customHeight="1">
      <c r="A479" s="80" t="n"/>
      <c r="B479" s="80" t="n"/>
      <c r="C479" s="81" t="n"/>
      <c r="D479" s="81" t="n"/>
      <c r="E479" s="80" t="n"/>
      <c r="F479" s="81" t="n"/>
      <c r="G479" s="81" t="n"/>
      <c r="H479" s="81" t="n"/>
      <c r="I479" s="80" t="n"/>
      <c r="J479" s="80" t="n"/>
      <c r="K479" s="80" t="n"/>
      <c r="L479" s="82" t="n"/>
      <c r="M479" s="80" t="n"/>
      <c r="N479" s="80" t="n"/>
      <c r="O479" s="80" t="n"/>
      <c r="P479" s="82" t="n"/>
      <c r="Q479" s="82" t="n"/>
      <c r="R479" s="80" t="n"/>
      <c r="S479" s="80" t="n"/>
      <c r="T479" s="80" t="n"/>
      <c r="U479" s="83" t="n"/>
      <c r="V479">
        <f>IF($A479="","",IF($A479=$A478,$V478,IF($V478="",0,1-$V478)))</f>
        <v/>
      </c>
      <c r="W479">
        <f>IF($B479&lt;&gt;"",$B479,$A479)</f>
        <v/>
      </c>
      <c r="X479">
        <f>IF(COUNTA($A479:$U479)=0,"",IF(OR($B479&lt;&gt;"",$O479&lt;&gt;""),"Dependent","Employee"))</f>
        <v/>
      </c>
      <c r="Y479">
        <f>IF(COUNTA($A479:$U479)=0,"",IF($A479="","Employee SSN is required; ","")&amp;IF($C479="","First Name is required; ","")&amp;IF(LEN($C479&amp;"")&gt;19,"First Name exceeds 19 characters; ","")&amp;IF(AND($C479&lt;&gt;"",SUMPRODUCT(--(ROW($1:$19)&lt;=LEN($C479&amp;"")),--ISERROR(FIND(MID($C479&amp;"",ROW($1:$19),1),"ABCDEFGHIJKLMNOPQRSTUVWXYZabcdefghijklmnopqrstuvwxyz .,")))&gt;0),"First Name contains unsupported or encoded characters; use plain A-Z letters only; ","")&amp;IF($D479="","Last Name is required; ","")&amp;IF(LEN($D479&amp;"")&gt;26,"Last Name exceeds 26 characters; ","")&amp;IF(AND($D479&lt;&gt;"",SUMPRODUCT(--(ROW($1:$26)&lt;=LEN($D479&amp;"")),--ISERROR(FIND(MID($D479&amp;"",ROW($1:$26),1),"ABCDEFGHIJKLMNOPQRSTUVWXYZabcdefghijklmnopqrstuvwxyz .,")))&gt;0),"Last Name contains unsupported or encoded characters; use plain A-Z letters only; ","")&amp;IF(LEN($E479&amp;"")&gt;1,"Middle Initial may contain only one character; ","")&amp;IF(AND($E479&lt;&gt;"",SUMPRODUCT(--(ROW($1:$1)&lt;=LEN($E479&amp;"")),--ISERROR(FIND(MID($E479&amp;"",ROW($1:$1),1),"ABCDEFGHIJKLMNOPQRSTUVWXYZabcdefghijklmnopqrstuvwxyz .,")))&gt;0),"Middle Initial must be a plain A-Z letter; ","")&amp;IF($F479="","Address is required; ","")&amp;IF(LEN($F479&amp;"")&gt;75,"Address exceeds 75 characters; ","")&amp;IF(LEN($G479&amp;"")&gt;75,"Address 2 exceeds 75 characters; ","")&amp;IF($H479="","City is required; ","")&amp;IF(LEN($H479&amp;"")&gt;30,"City exceeds 30 characters; ","")&amp;IF($K479="","Country is required; ","")&amp;IF(AND($K479&lt;&gt;"",$K479&lt;&gt;"US",$K479&lt;&gt;"CA"),"Country must be US or CA; ","")&amp;IF(AND($K479="US",OR($I479="",LEN($I479&amp;"")&lt;&gt;2)),"Use a 2-letter state code; ","")&amp;IF($J479="","ZIP or postal code is required; ","")&amp;IF(AND($K479="US",$J479&lt;&gt;"",NOT(IFERROR(OR(AND(LEN($J479&amp;"")=5,ISNUMBER(--($J479&amp;""))),AND(LEN($J479&amp;"")=9,ISNUMBER(--($J479&amp;""))),AND(LEN($J479&amp;"")=10,MID($J479&amp;"",6,1)="-",ISNUMBER(--SUBSTITUTE($J479&amp;"","-","")))),FALSE))),"US ZIP must be 5 or 9 digits, with an optional ZIP+4 hyphen; ","")&amp;IF(AND($N479&lt;&gt;"",NOT(IFERROR(AND(ISNUMBER(SEARCH("@",$N479)),ISNUMBER(SEARCH(".",$N479,SEARCH("@",$N479)+2))),FALSE))),"Email format appears invalid; ","")&amp;IF(AND($O479&lt;&gt;"",$B479=""),"Dependent SSN is required for every dependent; ","")&amp;IF(AND($B479&lt;&gt;"",$O479=""),"Dependent Relationship is required when Dependent SSN is entered; ","")&amp;IF(AND($O479&lt;&gt;"",$O479&lt;&gt;"Spouse or Common Law Spouse",$O479&lt;&gt;"Domestic Partner",$O479&lt;&gt;"Child",$O479&lt;&gt;"Other",$O479&lt;&gt;"Estate",$O479&lt;&gt;"Unknown"),"Dependent Relationship must use one of the approved options; ",""))</f>
        <v/>
      </c>
      <c r="Z479">
        <f>IF(COUNTA($A479:$U479)=0,"",IF(AND($A479&lt;&gt;"",NOT(IFERROR(AND(LEN($A479&amp;"")=9,ISNUMBER(--($A479&amp;""))),FALSE))),"Employee SSN must contain exactly 9 digits; ","")&amp;IF(AND($A479&lt;&gt;"",OR($A479="123456789",$A479="987654321",$A479="012345678",$A479=REPT(LEFT($A479&amp;"",1),9))),"Employee SSN appears to be a placeholder; ","")&amp;IF(AND($B479&lt;&gt;"",NOT(IFERROR(AND(LEN($B479&amp;"")=9,ISNUMBER(--($B479&amp;""))),FALSE))),"Dependent SSN must contain exactly 9 digits; ","")&amp;IF(AND($B479&lt;&gt;"",OR($B479="123456789",$B479="987654321",$B479="012345678",$B479=REPT(LEFT($B479&amp;"",1),9))),"Dependent SSN appears to be a placeholder; ","")&amp;IF(AND($A479&lt;&gt;"",$B479&lt;&gt;"",$A479&amp;""=$B479&amp;""),"Dependent SSN cannot match Employee SSN; ","")&amp;IF(AND($W479&lt;&gt;"",OR(COUNTIFS($W$2:$W$501,$W479,$C$2:$C$501,"&lt;&gt;"&amp;$C479)&gt;0,COUNTIFS($W$2:$W$501,$W479,$D$2:$D$501,"&lt;&gt;"&amp;$D479)&gt;0,COUNTIFS($W$2:$W$501,$W479,$L$2:$L$501,"&lt;&gt;"&amp;$L479)&gt;0)),"The same SSN is associated with a different name or birthdate; ",""))</f>
        <v/>
      </c>
      <c r="AA479">
        <f>IF(COUNTA($A479:$U479)=0,"",IF(AND($A479&lt;&gt;"",$S479&lt;&gt;"",COUNTIFS($A$2:$A$501,$A479,$S$2:$S$501,$S479,$B$2:$B$501,"",$O$2:$O$501,"")=0),"Add an employee row for this household and plan; ","")&amp;IF(AND($X479="Dependent",COUNTIFS($A$2:$A479,$A479,$S$2:$S479,$S479,$B$2:$B479,"",$O$2:$O479,"")=0),"Place the employee row before dependent rows for this plan; ","")&amp;IF(AND($X479="Dependent",COUNTIFS($A$2:$A$501,$A479,$S$2:$S$501,$S479,$B$2:$B$501,"",$O$2:$O$501,"")&gt;0,IFERROR(OR($P479&lt;&gt;LOOKUP(2,1/(($A$2:$A$501=$A479)*($S$2:$S$501=$S479)*($B$2:$B$501="")*($O$2:$O$501="")),$P$2:$P$501),$Q479&lt;&gt;LOOKUP(2,1/(($A$2:$A$501=$A479)*($S$2:$S$501=$S479)*($B$2:$B$501="")*($O$2:$O$501="")),$Q$2:$Q$501),$R479&lt;&gt;LOOKUP(2,1/(($A$2:$A$501=$A479)*($S$2:$S$501=$S479)*($B$2:$B$501="")*($O$2:$O$501="")),$R$2:$R$501),$T479&lt;&gt;LOOKUP(2,1/(($A$2:$A$501=$A479)*($S$2:$S$501=$S479)*($B$2:$B$501="")*($O$2:$O$501="")),$T$2:$T$501),$U479&lt;&gt;LOOKUP(2,1/(($A$2:$A$501=$A479)*($S$2:$S$501=$S479)*($B$2:$B$501="")*($O$2:$O$501="")),$U$2:$U$501)),FALSE)),"Dependent row does not match the employee row for eligibility, status, coverage level, or funding; ",""))</f>
        <v/>
      </c>
      <c r="AB479">
        <f>IF(COUNTA($A479:$U479)=0,"",IF($L479="","Birthdate is required; ","")&amp;IF(AND($L479&lt;&gt;"",OR(NOT(ISNUMBER($L479)),$L479&lt;=DATE(1900,1,1),$L479&gt;TODAY())),"Birthdate must be an exact valid past date; ","")&amp;IF($P479="","Eligibility Date is required; ","")&amp;IF(AND($P479&lt;&gt;"",OR(NOT(ISNUMBER($P479)),$P479&lt;=DATE(1900,1,1))),"Eligibility Date must be a valid date; ","")&amp;IF(AND($R479="Terminated",$Q479=""),"Termination Date is required when Status is Terminated; ","")&amp;IF(AND($Q479&lt;&gt;"",OR(NOT(ISNUMBER($Q479)),$Q479&lt;=DATE(1900,1,1))),"Termination Date must be a valid date; ","")&amp;IF(AND(ISNUMBER($P479),ISNUMBER($Q479),$Q479&lt;$P479),"Termination Date cannot be before Eligibility Date; ","")&amp;IF($R479="","Status is required; ","")&amp;IF(AND($R479&lt;&gt;"",$R479&lt;&gt;"Active",$R479&lt;&gt;"Terminated"),"Status must be Active or Terminated; ","")&amp;IF(AND('START HERE'!$C$8="Terminations Only",$R479&lt;&gt;"Terminated"),"Terminations Only files must contain terminated records; ",""))</f>
        <v/>
      </c>
      <c r="AC479">
        <f>IF(COUNTA($A479:$U479)=0,"",IF($S479="","Plan Name is required; ","")&amp;IF($T479="","Benefit Coverage Level is required; ","")&amp;IF(AND($U479&lt;&gt;"",OR(NOT(ISNUMBER($U479)),$U479&lt;0)),"Plan Funding Amount must be a nonnegative number; ","")&amp;IF(AND($A479&lt;&gt;"",$S479&lt;&gt;"",COUNTIFS($A$2:$A$501,$A479,$B$2:$B$501,$B479,$S$2:$S$501,$S479)&gt;1),"Duplicate participant and plan row; ",""))</f>
        <v/>
      </c>
      <c r="AD479">
        <f>IF(COUNTA($A479:$U479)=0,"",IF(AND($X479="Employee",$M479="",$N479=""),"No employee phone or email provided; ","")&amp;IF(AND($R479="Active",$Q479&lt;&gt;""),"Active record includes a Termination Date; confirm this is intentional; ","")&amp;IF(AND($B479&lt;&gt;"",$B479&amp;""&lt;&gt;$A479&amp;"",COUNTIF($A$2:$A$501,$B479)&gt;0),"Dependent SSN also appears as an Employee SSN elsewhere; confirm dual-employee coverage is intentional; ","")&amp;IF(AND($B479&lt;&gt;"",COUNTIF($B$2:$B$501,$B479)&gt;COUNTIFS($A$2:$A$501,$A479,$B$2:$B$501,$B479)),"Dependent SSN appears under more than one employee; confirm duplicate family coverage is intentional; ","")&amp;IF(AND(ROW()&gt;2,$A479&lt;&gt;"",$A479&lt;&gt;$A478,COUNTIF($A$2:$A478,$A479)&gt;0),"This household appears in more than one section of the census; keep the family together; ","")&amp;IF(OR(AND($C479&lt;&gt;"",LEN($C479&amp;"")&lt;&gt;LEN(TRIM($C479&amp;""))),AND($D479&lt;&gt;"",LEN($D479&amp;"")&lt;&gt;LEN(TRIM($D479&amp;""))),AND($E479&lt;&gt;"",LEN($E479&amp;"")&lt;&gt;LEN(TRIM($E479&amp;""))),AND($F479&lt;&gt;"",LEN($F479&amp;"")&lt;&gt;LEN(TRIM($F479&amp;""))),AND($G479&lt;&gt;"",LEN($G479&amp;"")&lt;&gt;LEN(TRIM($G479&amp;""))),AND($H479&lt;&gt;"",LEN($H479&amp;"")&lt;&gt;LEN(TRIM($H479&amp;""))),AND($I479&lt;&gt;"",LEN($I479&amp;"")&lt;&gt;LEN(TRIM($I479&amp;""))),AND($J479&lt;&gt;"",LEN($J479&amp;"")&lt;&gt;LEN(TRIM($J479&amp;""))),AND($K479&lt;&gt;"",LEN($K479&amp;"")&lt;&gt;LEN(TRIM($K479&amp;""))),AND($M479&lt;&gt;"",LEN($M479&amp;"")&lt;&gt;LEN(TRIM($M479&amp;""))),AND($N479&lt;&gt;"",LEN($N479&amp;"")&lt;&gt;LEN(TRIM($N479&amp;""))),AND($O479&lt;&gt;"",LEN($O479&amp;"")&lt;&gt;LEN(TRIM($O479&amp;""))),AND($R479&lt;&gt;"",LEN($R479&amp;"")&lt;&gt;LEN(TRIM($R479&amp;""))),AND($S479&lt;&gt;"",LEN($S479&amp;"")&lt;&gt;LEN(TRIM($S479&amp;""))),AND($T479&lt;&gt;"",LEN($T479&amp;"")&lt;&gt;LEN(TRIM($T479&amp;"")))),"Remove leading or trailing spaces from text fields; ","")&amp;IF(OR(AND(LEN($C479)&gt;1,OR(EXACT($C479,UPPER($C479)),EXACT($C479,LOWER($C479)))),AND(LEN($D479)&gt;1,OR(EXACT($D479,UPPER($D479)),EXACT($D479,LOWER($D479)))),AND(LEN($H479)&gt;1,OR(EXACT($H479,UPPER($H479)),EXACT($H479,LOWER($H479))))),"Review capitalization in First Name, Last Name, or City; ","")&amp;IF(AND($N479&lt;&gt;"",NOT(EXACT($N479,LOWER($N479)))),"Email will be standardized to lowercase in the clean output; ","")&amp;IF(AND(OR('START HERE'!$C$8="Initial Enrollment",'START HERE'!$C$8="Open Enrollment"),$R479="Terminated"),"A terminated row is included in an initial or open enrollment file; confirm this is intentional; ",""))</f>
        <v/>
      </c>
      <c r="AE479">
        <f>IF(COUNTA($A479:$U479)=0,"",IF(OR($A479="",AND($A479&lt;&gt;"",NOT(IFERROR(AND(LEN($A479&amp;"")=9,ISNUMBER(--($A479&amp;""))),FALSE))),AND($A479&lt;&gt;"",OR($A479="123456789",$A479="987654321",$A479="012345678",$A479=REPT(LEFT($A479&amp;"",1),9)))),"Employee SSN, ","")&amp;IF(OR(AND($O479&lt;&gt;"",$B479=""),AND($B479&lt;&gt;"",OR(NOT(IFERROR(AND(LEN($B479&amp;"")=9,ISNUMBER(--($B479&amp;""))),FALSE)),$B479=$A479,$B479="123456789",$B479="987654321",$B479="012345678",$B479=REPT(LEFT($B479&amp;"",1),9)))),"Dependent SSN, ","")&amp;IF(OR($C479="",LEN($C479)&gt;19,AND($C479&lt;&gt;"",SUMPRODUCT(--(ROW($1:$19)&lt;=LEN($C479&amp;"")),--ISERROR(FIND(MID($C479&amp;"",ROW($1:$19),1),"ABCDEFGHIJKLMNOPQRSTUVWXYZabcdefghijklmnopqrstuvwxyz .,")))&gt;0)),"First Name, ","")&amp;IF(OR($D479="",LEN($D479)&gt;26,AND($D479&lt;&gt;"",SUMPRODUCT(--(ROW($1:$26)&lt;=LEN($D479&amp;"")),--ISERROR(FIND(MID($D479&amp;"",ROW($1:$26),1),"ABCDEFGHIJKLMNOPQRSTUVWXYZabcdefghijklmnopqrstuvwxyz .,")))&gt;0)),"Last Name, ","")&amp;IF(OR(LEN($E479)&gt;1,AND($E479&lt;&gt;"",SUMPRODUCT(--(ROW($1:$1)&lt;=LEN($E479&amp;"")),--ISERROR(FIND(MID($E479&amp;"",ROW($1:$1),1),"ABCDEFGHIJKLMNOPQRSTUVWXYZabcdefghijklmnopqrstuvwxyz .,")))&gt;0)),"Middle Initial, ","")&amp;IF(OR($F479="",LEN($F479)&gt;75),"Address, ","")&amp;IF(OR($H479="",LEN($H479)&gt;30),"City, ","")&amp;IF(AND($K479="US",OR($I479="",LEN($I479)&lt;&gt;2)),"State, ","")&amp;IF($J479="","ZIP, ","")&amp;IF(OR($K479="",AND($K479&lt;&gt;"US",$K479&lt;&gt;"CA")),"Country, ","")&amp;IF(OR($L479="",AND($L479&lt;&gt;"",OR(NOT(ISNUMBER($L479)),$L479&lt;=DATE(1900,1,1),$L479&gt;TODAY()))),"Birthdate, ","")&amp;IF(AND($N479&lt;&gt;"",NOT(IFERROR(AND(ISNUMBER(SEARCH("@",$N479)),ISNUMBER(SEARCH(".",$N479,SEARCH("@",$N479)+2))),FALSE))),"Email, ","")&amp;IF(OR(AND($B479&lt;&gt;"",$O479=""),AND($O479&lt;&gt;"",$O479&lt;&gt;"Spouse or Common Law Spouse",$O479&lt;&gt;"Domestic Partner",$O479&lt;&gt;"Child",$O479&lt;&gt;"Other",$O479&lt;&gt;"Estate",$O479&lt;&gt;"Unknown")),"Dependent Relationship, ","")&amp;IF($AA479&lt;&gt;"","Household, ","")&amp;IF(OR($P479="",AND($P479&lt;&gt;"",OR(NOT(ISNUMBER($P479)),$P479&lt;=DATE(1900,1,1)))),"Eligibility Date, ","")&amp;IF(OR(AND($R479="Terminated",$Q479=""),AND($Q479&lt;&gt;"",OR(NOT(ISNUMBER($Q479)),$Q479&lt;=DATE(1900,1,1))),AND(ISNUMBER($P479),ISNUMBER($Q479),$Q479&lt;$P479)),"Termination Date, ","")&amp;IF(OR($R479="",AND($R479&lt;&gt;"Active",$R479&lt;&gt;"Terminated"),AND('START HERE'!$C$8="Terminations Only",$R479&lt;&gt;"Terminated")),"Status, ","")&amp;IF($S479="","Plan Name, ","")&amp;IF($T479="","Coverage Level, ","")&amp;IF(AND($U479&lt;&gt;"",OR(NOT(ISNUMBER($U479)),$U479&lt;0)),"Funding, ","")&amp;IF(AND($A479&lt;&gt;"",$S479&lt;&gt;"",COUNTIFS($A$2:$A$501,$A479,$B$2:$B$501,$B479,$S$2:$S$501,$S479)&gt;1),"Duplicate Row, ",""))</f>
        <v/>
      </c>
      <c r="AF479">
        <f>IF(COUNTA($A479:$U479)=0,"",$Y479&amp;$Z479&amp;$AA479&amp;$AB479&amp;$AC479)</f>
        <v/>
      </c>
      <c r="AG479">
        <f>IF($N479="","",LOWER(TRIM($N479)))</f>
        <v/>
      </c>
      <c r="AH479">
        <f>IF($A479="","",COUNTIFS($A$2:$A$501,$A479,$AI$2:$AI$501,1))</f>
        <v/>
      </c>
      <c r="AI479">
        <f>IF(COUNTA($A479:$U479)=0,"",--($AF479&lt;&gt;""))</f>
        <v/>
      </c>
      <c r="AJ479">
        <f>IF(COUNTA($A479:$U479)=0,"",--($AD479&lt;&gt;""))</f>
        <v/>
      </c>
    </row>
    <row r="480" ht="20" customHeight="1">
      <c r="A480" s="80" t="n"/>
      <c r="B480" s="80" t="n"/>
      <c r="C480" s="81" t="n"/>
      <c r="D480" s="81" t="n"/>
      <c r="E480" s="80" t="n"/>
      <c r="F480" s="81" t="n"/>
      <c r="G480" s="81" t="n"/>
      <c r="H480" s="81" t="n"/>
      <c r="I480" s="80" t="n"/>
      <c r="J480" s="80" t="n"/>
      <c r="K480" s="80" t="n"/>
      <c r="L480" s="82" t="n"/>
      <c r="M480" s="80" t="n"/>
      <c r="N480" s="80" t="n"/>
      <c r="O480" s="80" t="n"/>
      <c r="P480" s="82" t="n"/>
      <c r="Q480" s="82" t="n"/>
      <c r="R480" s="80" t="n"/>
      <c r="S480" s="80" t="n"/>
      <c r="T480" s="80" t="n"/>
      <c r="U480" s="83" t="n"/>
      <c r="V480">
        <f>IF($A480="","",IF($A480=$A479,$V479,IF($V479="",0,1-$V479)))</f>
        <v/>
      </c>
      <c r="W480">
        <f>IF($B480&lt;&gt;"",$B480,$A480)</f>
        <v/>
      </c>
      <c r="X480">
        <f>IF(COUNTA($A480:$U480)=0,"",IF(OR($B480&lt;&gt;"",$O480&lt;&gt;""),"Dependent","Employee"))</f>
        <v/>
      </c>
      <c r="Y480">
        <f>IF(COUNTA($A480:$U480)=0,"",IF($A480="","Employee SSN is required; ","")&amp;IF($C480="","First Name is required; ","")&amp;IF(LEN($C480&amp;"")&gt;19,"First Name exceeds 19 characters; ","")&amp;IF(AND($C480&lt;&gt;"",SUMPRODUCT(--(ROW($1:$19)&lt;=LEN($C480&amp;"")),--ISERROR(FIND(MID($C480&amp;"",ROW($1:$19),1),"ABCDEFGHIJKLMNOPQRSTUVWXYZabcdefghijklmnopqrstuvwxyz .,")))&gt;0),"First Name contains unsupported or encoded characters; use plain A-Z letters only; ","")&amp;IF($D480="","Last Name is required; ","")&amp;IF(LEN($D480&amp;"")&gt;26,"Last Name exceeds 26 characters; ","")&amp;IF(AND($D480&lt;&gt;"",SUMPRODUCT(--(ROW($1:$26)&lt;=LEN($D480&amp;"")),--ISERROR(FIND(MID($D480&amp;"",ROW($1:$26),1),"ABCDEFGHIJKLMNOPQRSTUVWXYZabcdefghijklmnopqrstuvwxyz .,")))&gt;0),"Last Name contains unsupported or encoded characters; use plain A-Z letters only; ","")&amp;IF(LEN($E480&amp;"")&gt;1,"Middle Initial may contain only one character; ","")&amp;IF(AND($E480&lt;&gt;"",SUMPRODUCT(--(ROW($1:$1)&lt;=LEN($E480&amp;"")),--ISERROR(FIND(MID($E480&amp;"",ROW($1:$1),1),"ABCDEFGHIJKLMNOPQRSTUVWXYZabcdefghijklmnopqrstuvwxyz .,")))&gt;0),"Middle Initial must be a plain A-Z letter; ","")&amp;IF($F480="","Address is required; ","")&amp;IF(LEN($F480&amp;"")&gt;75,"Address exceeds 75 characters; ","")&amp;IF(LEN($G480&amp;"")&gt;75,"Address 2 exceeds 75 characters; ","")&amp;IF($H480="","City is required; ","")&amp;IF(LEN($H480&amp;"")&gt;30,"City exceeds 30 characters; ","")&amp;IF($K480="","Country is required; ","")&amp;IF(AND($K480&lt;&gt;"",$K480&lt;&gt;"US",$K480&lt;&gt;"CA"),"Country must be US or CA; ","")&amp;IF(AND($K480="US",OR($I480="",LEN($I480&amp;"")&lt;&gt;2)),"Use a 2-letter state code; ","")&amp;IF($J480="","ZIP or postal code is required; ","")&amp;IF(AND($K480="US",$J480&lt;&gt;"",NOT(IFERROR(OR(AND(LEN($J480&amp;"")=5,ISNUMBER(--($J480&amp;""))),AND(LEN($J480&amp;"")=9,ISNUMBER(--($J480&amp;""))),AND(LEN($J480&amp;"")=10,MID($J480&amp;"",6,1)="-",ISNUMBER(--SUBSTITUTE($J480&amp;"","-","")))),FALSE))),"US ZIP must be 5 or 9 digits, with an optional ZIP+4 hyphen; ","")&amp;IF(AND($N480&lt;&gt;"",NOT(IFERROR(AND(ISNUMBER(SEARCH("@",$N480)),ISNUMBER(SEARCH(".",$N480,SEARCH("@",$N480)+2))),FALSE))),"Email format appears invalid; ","")&amp;IF(AND($O480&lt;&gt;"",$B480=""),"Dependent SSN is required for every dependent; ","")&amp;IF(AND($B480&lt;&gt;"",$O480=""),"Dependent Relationship is required when Dependent SSN is entered; ","")&amp;IF(AND($O480&lt;&gt;"",$O480&lt;&gt;"Spouse or Common Law Spouse",$O480&lt;&gt;"Domestic Partner",$O480&lt;&gt;"Child",$O480&lt;&gt;"Other",$O480&lt;&gt;"Estate",$O480&lt;&gt;"Unknown"),"Dependent Relationship must use one of the approved options; ",""))</f>
        <v/>
      </c>
      <c r="Z480">
        <f>IF(COUNTA($A480:$U480)=0,"",IF(AND($A480&lt;&gt;"",NOT(IFERROR(AND(LEN($A480&amp;"")=9,ISNUMBER(--($A480&amp;""))),FALSE))),"Employee SSN must contain exactly 9 digits; ","")&amp;IF(AND($A480&lt;&gt;"",OR($A480="123456789",$A480="987654321",$A480="012345678",$A480=REPT(LEFT($A480&amp;"",1),9))),"Employee SSN appears to be a placeholder; ","")&amp;IF(AND($B480&lt;&gt;"",NOT(IFERROR(AND(LEN($B480&amp;"")=9,ISNUMBER(--($B480&amp;""))),FALSE))),"Dependent SSN must contain exactly 9 digits; ","")&amp;IF(AND($B480&lt;&gt;"",OR($B480="123456789",$B480="987654321",$B480="012345678",$B480=REPT(LEFT($B480&amp;"",1),9))),"Dependent SSN appears to be a placeholder; ","")&amp;IF(AND($A480&lt;&gt;"",$B480&lt;&gt;"",$A480&amp;""=$B480&amp;""),"Dependent SSN cannot match Employee SSN; ","")&amp;IF(AND($W480&lt;&gt;"",OR(COUNTIFS($W$2:$W$501,$W480,$C$2:$C$501,"&lt;&gt;"&amp;$C480)&gt;0,COUNTIFS($W$2:$W$501,$W480,$D$2:$D$501,"&lt;&gt;"&amp;$D480)&gt;0,COUNTIFS($W$2:$W$501,$W480,$L$2:$L$501,"&lt;&gt;"&amp;$L480)&gt;0)),"The same SSN is associated with a different name or birthdate; ",""))</f>
        <v/>
      </c>
      <c r="AA480">
        <f>IF(COUNTA($A480:$U480)=0,"",IF(AND($A480&lt;&gt;"",$S480&lt;&gt;"",COUNTIFS($A$2:$A$501,$A480,$S$2:$S$501,$S480,$B$2:$B$501,"",$O$2:$O$501,"")=0),"Add an employee row for this household and plan; ","")&amp;IF(AND($X480="Dependent",COUNTIFS($A$2:$A480,$A480,$S$2:$S480,$S480,$B$2:$B480,"",$O$2:$O480,"")=0),"Place the employee row before dependent rows for this plan; ","")&amp;IF(AND($X480="Dependent",COUNTIFS($A$2:$A$501,$A480,$S$2:$S$501,$S480,$B$2:$B$501,"",$O$2:$O$501,"")&gt;0,IFERROR(OR($P480&lt;&gt;LOOKUP(2,1/(($A$2:$A$501=$A480)*($S$2:$S$501=$S480)*($B$2:$B$501="")*($O$2:$O$501="")),$P$2:$P$501),$Q480&lt;&gt;LOOKUP(2,1/(($A$2:$A$501=$A480)*($S$2:$S$501=$S480)*($B$2:$B$501="")*($O$2:$O$501="")),$Q$2:$Q$501),$R480&lt;&gt;LOOKUP(2,1/(($A$2:$A$501=$A480)*($S$2:$S$501=$S480)*($B$2:$B$501="")*($O$2:$O$501="")),$R$2:$R$501),$T480&lt;&gt;LOOKUP(2,1/(($A$2:$A$501=$A480)*($S$2:$S$501=$S480)*($B$2:$B$501="")*($O$2:$O$501="")),$T$2:$T$501),$U480&lt;&gt;LOOKUP(2,1/(($A$2:$A$501=$A480)*($S$2:$S$501=$S480)*($B$2:$B$501="")*($O$2:$O$501="")),$U$2:$U$501)),FALSE)),"Dependent row does not match the employee row for eligibility, status, coverage level, or funding; ",""))</f>
        <v/>
      </c>
      <c r="AB480">
        <f>IF(COUNTA($A480:$U480)=0,"",IF($L480="","Birthdate is required; ","")&amp;IF(AND($L480&lt;&gt;"",OR(NOT(ISNUMBER($L480)),$L480&lt;=DATE(1900,1,1),$L480&gt;TODAY())),"Birthdate must be an exact valid past date; ","")&amp;IF($P480="","Eligibility Date is required; ","")&amp;IF(AND($P480&lt;&gt;"",OR(NOT(ISNUMBER($P480)),$P480&lt;=DATE(1900,1,1))),"Eligibility Date must be a valid date; ","")&amp;IF(AND($R480="Terminated",$Q480=""),"Termination Date is required when Status is Terminated; ","")&amp;IF(AND($Q480&lt;&gt;"",OR(NOT(ISNUMBER($Q480)),$Q480&lt;=DATE(1900,1,1))),"Termination Date must be a valid date; ","")&amp;IF(AND(ISNUMBER($P480),ISNUMBER($Q480),$Q480&lt;$P480),"Termination Date cannot be before Eligibility Date; ","")&amp;IF($R480="","Status is required; ","")&amp;IF(AND($R480&lt;&gt;"",$R480&lt;&gt;"Active",$R480&lt;&gt;"Terminated"),"Status must be Active or Terminated; ","")&amp;IF(AND('START HERE'!$C$8="Terminations Only",$R480&lt;&gt;"Terminated"),"Terminations Only files must contain terminated records; ",""))</f>
        <v/>
      </c>
      <c r="AC480">
        <f>IF(COUNTA($A480:$U480)=0,"",IF($S480="","Plan Name is required; ","")&amp;IF($T480="","Benefit Coverage Level is required; ","")&amp;IF(AND($U480&lt;&gt;"",OR(NOT(ISNUMBER($U480)),$U480&lt;0)),"Plan Funding Amount must be a nonnegative number; ","")&amp;IF(AND($A480&lt;&gt;"",$S480&lt;&gt;"",COUNTIFS($A$2:$A$501,$A480,$B$2:$B$501,$B480,$S$2:$S$501,$S480)&gt;1),"Duplicate participant and plan row; ",""))</f>
        <v/>
      </c>
      <c r="AD480">
        <f>IF(COUNTA($A480:$U480)=0,"",IF(AND($X480="Employee",$M480="",$N480=""),"No employee phone or email provided; ","")&amp;IF(AND($R480="Active",$Q480&lt;&gt;""),"Active record includes a Termination Date; confirm this is intentional; ","")&amp;IF(AND($B480&lt;&gt;"",$B480&amp;""&lt;&gt;$A480&amp;"",COUNTIF($A$2:$A$501,$B480)&gt;0),"Dependent SSN also appears as an Employee SSN elsewhere; confirm dual-employee coverage is intentional; ","")&amp;IF(AND($B480&lt;&gt;"",COUNTIF($B$2:$B$501,$B480)&gt;COUNTIFS($A$2:$A$501,$A480,$B$2:$B$501,$B480)),"Dependent SSN appears under more than one employee; confirm duplicate family coverage is intentional; ","")&amp;IF(AND(ROW()&gt;2,$A480&lt;&gt;"",$A480&lt;&gt;$A479,COUNTIF($A$2:$A479,$A480)&gt;0),"This household appears in more than one section of the census; keep the family together; ","")&amp;IF(OR(AND($C480&lt;&gt;"",LEN($C480&amp;"")&lt;&gt;LEN(TRIM($C480&amp;""))),AND($D480&lt;&gt;"",LEN($D480&amp;"")&lt;&gt;LEN(TRIM($D480&amp;""))),AND($E480&lt;&gt;"",LEN($E480&amp;"")&lt;&gt;LEN(TRIM($E480&amp;""))),AND($F480&lt;&gt;"",LEN($F480&amp;"")&lt;&gt;LEN(TRIM($F480&amp;""))),AND($G480&lt;&gt;"",LEN($G480&amp;"")&lt;&gt;LEN(TRIM($G480&amp;""))),AND($H480&lt;&gt;"",LEN($H480&amp;"")&lt;&gt;LEN(TRIM($H480&amp;""))),AND($I480&lt;&gt;"",LEN($I480&amp;"")&lt;&gt;LEN(TRIM($I480&amp;""))),AND($J480&lt;&gt;"",LEN($J480&amp;"")&lt;&gt;LEN(TRIM($J480&amp;""))),AND($K480&lt;&gt;"",LEN($K480&amp;"")&lt;&gt;LEN(TRIM($K480&amp;""))),AND($M480&lt;&gt;"",LEN($M480&amp;"")&lt;&gt;LEN(TRIM($M480&amp;""))),AND($N480&lt;&gt;"",LEN($N480&amp;"")&lt;&gt;LEN(TRIM($N480&amp;""))),AND($O480&lt;&gt;"",LEN($O480&amp;"")&lt;&gt;LEN(TRIM($O480&amp;""))),AND($R480&lt;&gt;"",LEN($R480&amp;"")&lt;&gt;LEN(TRIM($R480&amp;""))),AND($S480&lt;&gt;"",LEN($S480&amp;"")&lt;&gt;LEN(TRIM($S480&amp;""))),AND($T480&lt;&gt;"",LEN($T480&amp;"")&lt;&gt;LEN(TRIM($T480&amp;"")))),"Remove leading or trailing spaces from text fields; ","")&amp;IF(OR(AND(LEN($C480)&gt;1,OR(EXACT($C480,UPPER($C480)),EXACT($C480,LOWER($C480)))),AND(LEN($D480)&gt;1,OR(EXACT($D480,UPPER($D480)),EXACT($D480,LOWER($D480)))),AND(LEN($H480)&gt;1,OR(EXACT($H480,UPPER($H480)),EXACT($H480,LOWER($H480))))),"Review capitalization in First Name, Last Name, or City; ","")&amp;IF(AND($N480&lt;&gt;"",NOT(EXACT($N480,LOWER($N480)))),"Email will be standardized to lowercase in the clean output; ","")&amp;IF(AND(OR('START HERE'!$C$8="Initial Enrollment",'START HERE'!$C$8="Open Enrollment"),$R480="Terminated"),"A terminated row is included in an initial or open enrollment file; confirm this is intentional; ",""))</f>
        <v/>
      </c>
      <c r="AE480">
        <f>IF(COUNTA($A480:$U480)=0,"",IF(OR($A480="",AND($A480&lt;&gt;"",NOT(IFERROR(AND(LEN($A480&amp;"")=9,ISNUMBER(--($A480&amp;""))),FALSE))),AND($A480&lt;&gt;"",OR($A480="123456789",$A480="987654321",$A480="012345678",$A480=REPT(LEFT($A480&amp;"",1),9)))),"Employee SSN, ","")&amp;IF(OR(AND($O480&lt;&gt;"",$B480=""),AND($B480&lt;&gt;"",OR(NOT(IFERROR(AND(LEN($B480&amp;"")=9,ISNUMBER(--($B480&amp;""))),FALSE)),$B480=$A480,$B480="123456789",$B480="987654321",$B480="012345678",$B480=REPT(LEFT($B480&amp;"",1),9)))),"Dependent SSN, ","")&amp;IF(OR($C480="",LEN($C480)&gt;19,AND($C480&lt;&gt;"",SUMPRODUCT(--(ROW($1:$19)&lt;=LEN($C480&amp;"")),--ISERROR(FIND(MID($C480&amp;"",ROW($1:$19),1),"ABCDEFGHIJKLMNOPQRSTUVWXYZabcdefghijklmnopqrstuvwxyz .,")))&gt;0)),"First Name, ","")&amp;IF(OR($D480="",LEN($D480)&gt;26,AND($D480&lt;&gt;"",SUMPRODUCT(--(ROW($1:$26)&lt;=LEN($D480&amp;"")),--ISERROR(FIND(MID($D480&amp;"",ROW($1:$26),1),"ABCDEFGHIJKLMNOPQRSTUVWXYZabcdefghijklmnopqrstuvwxyz .,")))&gt;0)),"Last Name, ","")&amp;IF(OR(LEN($E480)&gt;1,AND($E480&lt;&gt;"",SUMPRODUCT(--(ROW($1:$1)&lt;=LEN($E480&amp;"")),--ISERROR(FIND(MID($E480&amp;"",ROW($1:$1),1),"ABCDEFGHIJKLMNOPQRSTUVWXYZabcdefghijklmnopqrstuvwxyz .,")))&gt;0)),"Middle Initial, ","")&amp;IF(OR($F480="",LEN($F480)&gt;75),"Address, ","")&amp;IF(OR($H480="",LEN($H480)&gt;30),"City, ","")&amp;IF(AND($K480="US",OR($I480="",LEN($I480)&lt;&gt;2)),"State, ","")&amp;IF($J480="","ZIP, ","")&amp;IF(OR($K480="",AND($K480&lt;&gt;"US",$K480&lt;&gt;"CA")),"Country, ","")&amp;IF(OR($L480="",AND($L480&lt;&gt;"",OR(NOT(ISNUMBER($L480)),$L480&lt;=DATE(1900,1,1),$L480&gt;TODAY()))),"Birthdate, ","")&amp;IF(AND($N480&lt;&gt;"",NOT(IFERROR(AND(ISNUMBER(SEARCH("@",$N480)),ISNUMBER(SEARCH(".",$N480,SEARCH("@",$N480)+2))),FALSE))),"Email, ","")&amp;IF(OR(AND($B480&lt;&gt;"",$O480=""),AND($O480&lt;&gt;"",$O480&lt;&gt;"Spouse or Common Law Spouse",$O480&lt;&gt;"Domestic Partner",$O480&lt;&gt;"Child",$O480&lt;&gt;"Other",$O480&lt;&gt;"Estate",$O480&lt;&gt;"Unknown")),"Dependent Relationship, ","")&amp;IF($AA480&lt;&gt;"","Household, ","")&amp;IF(OR($P480="",AND($P480&lt;&gt;"",OR(NOT(ISNUMBER($P480)),$P480&lt;=DATE(1900,1,1)))),"Eligibility Date, ","")&amp;IF(OR(AND($R480="Terminated",$Q480=""),AND($Q480&lt;&gt;"",OR(NOT(ISNUMBER($Q480)),$Q480&lt;=DATE(1900,1,1))),AND(ISNUMBER($P480),ISNUMBER($Q480),$Q480&lt;$P480)),"Termination Date, ","")&amp;IF(OR($R480="",AND($R480&lt;&gt;"Active",$R480&lt;&gt;"Terminated"),AND('START HERE'!$C$8="Terminations Only",$R480&lt;&gt;"Terminated")),"Status, ","")&amp;IF($S480="","Plan Name, ","")&amp;IF($T480="","Coverage Level, ","")&amp;IF(AND($U480&lt;&gt;"",OR(NOT(ISNUMBER($U480)),$U480&lt;0)),"Funding, ","")&amp;IF(AND($A480&lt;&gt;"",$S480&lt;&gt;"",COUNTIFS($A$2:$A$501,$A480,$B$2:$B$501,$B480,$S$2:$S$501,$S480)&gt;1),"Duplicate Row, ",""))</f>
        <v/>
      </c>
      <c r="AF480">
        <f>IF(COUNTA($A480:$U480)=0,"",$Y480&amp;$Z480&amp;$AA480&amp;$AB480&amp;$AC480)</f>
        <v/>
      </c>
      <c r="AG480">
        <f>IF($N480="","",LOWER(TRIM($N480)))</f>
        <v/>
      </c>
      <c r="AH480">
        <f>IF($A480="","",COUNTIFS($A$2:$A$501,$A480,$AI$2:$AI$501,1))</f>
        <v/>
      </c>
      <c r="AI480">
        <f>IF(COUNTA($A480:$U480)=0,"",--($AF480&lt;&gt;""))</f>
        <v/>
      </c>
      <c r="AJ480">
        <f>IF(COUNTA($A480:$U480)=0,"",--($AD480&lt;&gt;""))</f>
        <v/>
      </c>
    </row>
    <row r="481" ht="20" customHeight="1">
      <c r="A481" s="80" t="n"/>
      <c r="B481" s="80" t="n"/>
      <c r="C481" s="81" t="n"/>
      <c r="D481" s="81" t="n"/>
      <c r="E481" s="80" t="n"/>
      <c r="F481" s="81" t="n"/>
      <c r="G481" s="81" t="n"/>
      <c r="H481" s="81" t="n"/>
      <c r="I481" s="80" t="n"/>
      <c r="J481" s="80" t="n"/>
      <c r="K481" s="80" t="n"/>
      <c r="L481" s="82" t="n"/>
      <c r="M481" s="80" t="n"/>
      <c r="N481" s="80" t="n"/>
      <c r="O481" s="80" t="n"/>
      <c r="P481" s="82" t="n"/>
      <c r="Q481" s="82" t="n"/>
      <c r="R481" s="80" t="n"/>
      <c r="S481" s="80" t="n"/>
      <c r="T481" s="80" t="n"/>
      <c r="U481" s="83" t="n"/>
      <c r="V481">
        <f>IF($A481="","",IF($A481=$A480,$V480,IF($V480="",0,1-$V480)))</f>
        <v/>
      </c>
      <c r="W481">
        <f>IF($B481&lt;&gt;"",$B481,$A481)</f>
        <v/>
      </c>
      <c r="X481">
        <f>IF(COUNTA($A481:$U481)=0,"",IF(OR($B481&lt;&gt;"",$O481&lt;&gt;""),"Dependent","Employee"))</f>
        <v/>
      </c>
      <c r="Y481">
        <f>IF(COUNTA($A481:$U481)=0,"",IF($A481="","Employee SSN is required; ","")&amp;IF($C481="","First Name is required; ","")&amp;IF(LEN($C481&amp;"")&gt;19,"First Name exceeds 19 characters; ","")&amp;IF(AND($C481&lt;&gt;"",SUMPRODUCT(--(ROW($1:$19)&lt;=LEN($C481&amp;"")),--ISERROR(FIND(MID($C481&amp;"",ROW($1:$19),1),"ABCDEFGHIJKLMNOPQRSTUVWXYZabcdefghijklmnopqrstuvwxyz .,")))&gt;0),"First Name contains unsupported or encoded characters; use plain A-Z letters only; ","")&amp;IF($D481="","Last Name is required; ","")&amp;IF(LEN($D481&amp;"")&gt;26,"Last Name exceeds 26 characters; ","")&amp;IF(AND($D481&lt;&gt;"",SUMPRODUCT(--(ROW($1:$26)&lt;=LEN($D481&amp;"")),--ISERROR(FIND(MID($D481&amp;"",ROW($1:$26),1),"ABCDEFGHIJKLMNOPQRSTUVWXYZabcdefghijklmnopqrstuvwxyz .,")))&gt;0),"Last Name contains unsupported or encoded characters; use plain A-Z letters only; ","")&amp;IF(LEN($E481&amp;"")&gt;1,"Middle Initial may contain only one character; ","")&amp;IF(AND($E481&lt;&gt;"",SUMPRODUCT(--(ROW($1:$1)&lt;=LEN($E481&amp;"")),--ISERROR(FIND(MID($E481&amp;"",ROW($1:$1),1),"ABCDEFGHIJKLMNOPQRSTUVWXYZabcdefghijklmnopqrstuvwxyz .,")))&gt;0),"Middle Initial must be a plain A-Z letter; ","")&amp;IF($F481="","Address is required; ","")&amp;IF(LEN($F481&amp;"")&gt;75,"Address exceeds 75 characters; ","")&amp;IF(LEN($G481&amp;"")&gt;75,"Address 2 exceeds 75 characters; ","")&amp;IF($H481="","City is required; ","")&amp;IF(LEN($H481&amp;"")&gt;30,"City exceeds 30 characters; ","")&amp;IF($K481="","Country is required; ","")&amp;IF(AND($K481&lt;&gt;"",$K481&lt;&gt;"US",$K481&lt;&gt;"CA"),"Country must be US or CA; ","")&amp;IF(AND($K481="US",OR($I481="",LEN($I481&amp;"")&lt;&gt;2)),"Use a 2-letter state code; ","")&amp;IF($J481="","ZIP or postal code is required; ","")&amp;IF(AND($K481="US",$J481&lt;&gt;"",NOT(IFERROR(OR(AND(LEN($J481&amp;"")=5,ISNUMBER(--($J481&amp;""))),AND(LEN($J481&amp;"")=9,ISNUMBER(--($J481&amp;""))),AND(LEN($J481&amp;"")=10,MID($J481&amp;"",6,1)="-",ISNUMBER(--SUBSTITUTE($J481&amp;"","-","")))),FALSE))),"US ZIP must be 5 or 9 digits, with an optional ZIP+4 hyphen; ","")&amp;IF(AND($N481&lt;&gt;"",NOT(IFERROR(AND(ISNUMBER(SEARCH("@",$N481)),ISNUMBER(SEARCH(".",$N481,SEARCH("@",$N481)+2))),FALSE))),"Email format appears invalid; ","")&amp;IF(AND($O481&lt;&gt;"",$B481=""),"Dependent SSN is required for every dependent; ","")&amp;IF(AND($B481&lt;&gt;"",$O481=""),"Dependent Relationship is required when Dependent SSN is entered; ","")&amp;IF(AND($O481&lt;&gt;"",$O481&lt;&gt;"Spouse or Common Law Spouse",$O481&lt;&gt;"Domestic Partner",$O481&lt;&gt;"Child",$O481&lt;&gt;"Other",$O481&lt;&gt;"Estate",$O481&lt;&gt;"Unknown"),"Dependent Relationship must use one of the approved options; ",""))</f>
        <v/>
      </c>
      <c r="Z481">
        <f>IF(COUNTA($A481:$U481)=0,"",IF(AND($A481&lt;&gt;"",NOT(IFERROR(AND(LEN($A481&amp;"")=9,ISNUMBER(--($A481&amp;""))),FALSE))),"Employee SSN must contain exactly 9 digits; ","")&amp;IF(AND($A481&lt;&gt;"",OR($A481="123456789",$A481="987654321",$A481="012345678",$A481=REPT(LEFT($A481&amp;"",1),9))),"Employee SSN appears to be a placeholder; ","")&amp;IF(AND($B481&lt;&gt;"",NOT(IFERROR(AND(LEN($B481&amp;"")=9,ISNUMBER(--($B481&amp;""))),FALSE))),"Dependent SSN must contain exactly 9 digits; ","")&amp;IF(AND($B481&lt;&gt;"",OR($B481="123456789",$B481="987654321",$B481="012345678",$B481=REPT(LEFT($B481&amp;"",1),9))),"Dependent SSN appears to be a placeholder; ","")&amp;IF(AND($A481&lt;&gt;"",$B481&lt;&gt;"",$A481&amp;""=$B481&amp;""),"Dependent SSN cannot match Employee SSN; ","")&amp;IF(AND($W481&lt;&gt;"",OR(COUNTIFS($W$2:$W$501,$W481,$C$2:$C$501,"&lt;&gt;"&amp;$C481)&gt;0,COUNTIFS($W$2:$W$501,$W481,$D$2:$D$501,"&lt;&gt;"&amp;$D481)&gt;0,COUNTIFS($W$2:$W$501,$W481,$L$2:$L$501,"&lt;&gt;"&amp;$L481)&gt;0)),"The same SSN is associated with a different name or birthdate; ",""))</f>
        <v/>
      </c>
      <c r="AA481">
        <f>IF(COUNTA($A481:$U481)=0,"",IF(AND($A481&lt;&gt;"",$S481&lt;&gt;"",COUNTIFS($A$2:$A$501,$A481,$S$2:$S$501,$S481,$B$2:$B$501,"",$O$2:$O$501,"")=0),"Add an employee row for this household and plan; ","")&amp;IF(AND($X481="Dependent",COUNTIFS($A$2:$A481,$A481,$S$2:$S481,$S481,$B$2:$B481,"",$O$2:$O481,"")=0),"Place the employee row before dependent rows for this plan; ","")&amp;IF(AND($X481="Dependent",COUNTIFS($A$2:$A$501,$A481,$S$2:$S$501,$S481,$B$2:$B$501,"",$O$2:$O$501,"")&gt;0,IFERROR(OR($P481&lt;&gt;LOOKUP(2,1/(($A$2:$A$501=$A481)*($S$2:$S$501=$S481)*($B$2:$B$501="")*($O$2:$O$501="")),$P$2:$P$501),$Q481&lt;&gt;LOOKUP(2,1/(($A$2:$A$501=$A481)*($S$2:$S$501=$S481)*($B$2:$B$501="")*($O$2:$O$501="")),$Q$2:$Q$501),$R481&lt;&gt;LOOKUP(2,1/(($A$2:$A$501=$A481)*($S$2:$S$501=$S481)*($B$2:$B$501="")*($O$2:$O$501="")),$R$2:$R$501),$T481&lt;&gt;LOOKUP(2,1/(($A$2:$A$501=$A481)*($S$2:$S$501=$S481)*($B$2:$B$501="")*($O$2:$O$501="")),$T$2:$T$501),$U481&lt;&gt;LOOKUP(2,1/(($A$2:$A$501=$A481)*($S$2:$S$501=$S481)*($B$2:$B$501="")*($O$2:$O$501="")),$U$2:$U$501)),FALSE)),"Dependent row does not match the employee row for eligibility, status, coverage level, or funding; ",""))</f>
        <v/>
      </c>
      <c r="AB481">
        <f>IF(COUNTA($A481:$U481)=0,"",IF($L481="","Birthdate is required; ","")&amp;IF(AND($L481&lt;&gt;"",OR(NOT(ISNUMBER($L481)),$L481&lt;=DATE(1900,1,1),$L481&gt;TODAY())),"Birthdate must be an exact valid past date; ","")&amp;IF($P481="","Eligibility Date is required; ","")&amp;IF(AND($P481&lt;&gt;"",OR(NOT(ISNUMBER($P481)),$P481&lt;=DATE(1900,1,1))),"Eligibility Date must be a valid date; ","")&amp;IF(AND($R481="Terminated",$Q481=""),"Termination Date is required when Status is Terminated; ","")&amp;IF(AND($Q481&lt;&gt;"",OR(NOT(ISNUMBER($Q481)),$Q481&lt;=DATE(1900,1,1))),"Termination Date must be a valid date; ","")&amp;IF(AND(ISNUMBER($P481),ISNUMBER($Q481),$Q481&lt;$P481),"Termination Date cannot be before Eligibility Date; ","")&amp;IF($R481="","Status is required; ","")&amp;IF(AND($R481&lt;&gt;"",$R481&lt;&gt;"Active",$R481&lt;&gt;"Terminated"),"Status must be Active or Terminated; ","")&amp;IF(AND('START HERE'!$C$8="Terminations Only",$R481&lt;&gt;"Terminated"),"Terminations Only files must contain terminated records; ",""))</f>
        <v/>
      </c>
      <c r="AC481">
        <f>IF(COUNTA($A481:$U481)=0,"",IF($S481="","Plan Name is required; ","")&amp;IF($T481="","Benefit Coverage Level is required; ","")&amp;IF(AND($U481&lt;&gt;"",OR(NOT(ISNUMBER($U481)),$U481&lt;0)),"Plan Funding Amount must be a nonnegative number; ","")&amp;IF(AND($A481&lt;&gt;"",$S481&lt;&gt;"",COUNTIFS($A$2:$A$501,$A481,$B$2:$B$501,$B481,$S$2:$S$501,$S481)&gt;1),"Duplicate participant and plan row; ",""))</f>
        <v/>
      </c>
      <c r="AD481">
        <f>IF(COUNTA($A481:$U481)=0,"",IF(AND($X481="Employee",$M481="",$N481=""),"No employee phone or email provided; ","")&amp;IF(AND($R481="Active",$Q481&lt;&gt;""),"Active record includes a Termination Date; confirm this is intentional; ","")&amp;IF(AND($B481&lt;&gt;"",$B481&amp;""&lt;&gt;$A481&amp;"",COUNTIF($A$2:$A$501,$B481)&gt;0),"Dependent SSN also appears as an Employee SSN elsewhere; confirm dual-employee coverage is intentional; ","")&amp;IF(AND($B481&lt;&gt;"",COUNTIF($B$2:$B$501,$B481)&gt;COUNTIFS($A$2:$A$501,$A481,$B$2:$B$501,$B481)),"Dependent SSN appears under more than one employee; confirm duplicate family coverage is intentional; ","")&amp;IF(AND(ROW()&gt;2,$A481&lt;&gt;"",$A481&lt;&gt;$A480,COUNTIF($A$2:$A480,$A481)&gt;0),"This household appears in more than one section of the census; keep the family together; ","")&amp;IF(OR(AND($C481&lt;&gt;"",LEN($C481&amp;"")&lt;&gt;LEN(TRIM($C481&amp;""))),AND($D481&lt;&gt;"",LEN($D481&amp;"")&lt;&gt;LEN(TRIM($D481&amp;""))),AND($E481&lt;&gt;"",LEN($E481&amp;"")&lt;&gt;LEN(TRIM($E481&amp;""))),AND($F481&lt;&gt;"",LEN($F481&amp;"")&lt;&gt;LEN(TRIM($F481&amp;""))),AND($G481&lt;&gt;"",LEN($G481&amp;"")&lt;&gt;LEN(TRIM($G481&amp;""))),AND($H481&lt;&gt;"",LEN($H481&amp;"")&lt;&gt;LEN(TRIM($H481&amp;""))),AND($I481&lt;&gt;"",LEN($I481&amp;"")&lt;&gt;LEN(TRIM($I481&amp;""))),AND($J481&lt;&gt;"",LEN($J481&amp;"")&lt;&gt;LEN(TRIM($J481&amp;""))),AND($K481&lt;&gt;"",LEN($K481&amp;"")&lt;&gt;LEN(TRIM($K481&amp;""))),AND($M481&lt;&gt;"",LEN($M481&amp;"")&lt;&gt;LEN(TRIM($M481&amp;""))),AND($N481&lt;&gt;"",LEN($N481&amp;"")&lt;&gt;LEN(TRIM($N481&amp;""))),AND($O481&lt;&gt;"",LEN($O481&amp;"")&lt;&gt;LEN(TRIM($O481&amp;""))),AND($R481&lt;&gt;"",LEN($R481&amp;"")&lt;&gt;LEN(TRIM($R481&amp;""))),AND($S481&lt;&gt;"",LEN($S481&amp;"")&lt;&gt;LEN(TRIM($S481&amp;""))),AND($T481&lt;&gt;"",LEN($T481&amp;"")&lt;&gt;LEN(TRIM($T481&amp;"")))),"Remove leading or trailing spaces from text fields; ","")&amp;IF(OR(AND(LEN($C481)&gt;1,OR(EXACT($C481,UPPER($C481)),EXACT($C481,LOWER($C481)))),AND(LEN($D481)&gt;1,OR(EXACT($D481,UPPER($D481)),EXACT($D481,LOWER($D481)))),AND(LEN($H481)&gt;1,OR(EXACT($H481,UPPER($H481)),EXACT($H481,LOWER($H481))))),"Review capitalization in First Name, Last Name, or City; ","")&amp;IF(AND($N481&lt;&gt;"",NOT(EXACT($N481,LOWER($N481)))),"Email will be standardized to lowercase in the clean output; ","")&amp;IF(AND(OR('START HERE'!$C$8="Initial Enrollment",'START HERE'!$C$8="Open Enrollment"),$R481="Terminated"),"A terminated row is included in an initial or open enrollment file; confirm this is intentional; ",""))</f>
        <v/>
      </c>
      <c r="AE481">
        <f>IF(COUNTA($A481:$U481)=0,"",IF(OR($A481="",AND($A481&lt;&gt;"",NOT(IFERROR(AND(LEN($A481&amp;"")=9,ISNUMBER(--($A481&amp;""))),FALSE))),AND($A481&lt;&gt;"",OR($A481="123456789",$A481="987654321",$A481="012345678",$A481=REPT(LEFT($A481&amp;"",1),9)))),"Employee SSN, ","")&amp;IF(OR(AND($O481&lt;&gt;"",$B481=""),AND($B481&lt;&gt;"",OR(NOT(IFERROR(AND(LEN($B481&amp;"")=9,ISNUMBER(--($B481&amp;""))),FALSE)),$B481=$A481,$B481="123456789",$B481="987654321",$B481="012345678",$B481=REPT(LEFT($B481&amp;"",1),9)))),"Dependent SSN, ","")&amp;IF(OR($C481="",LEN($C481)&gt;19,AND($C481&lt;&gt;"",SUMPRODUCT(--(ROW($1:$19)&lt;=LEN($C481&amp;"")),--ISERROR(FIND(MID($C481&amp;"",ROW($1:$19),1),"ABCDEFGHIJKLMNOPQRSTUVWXYZabcdefghijklmnopqrstuvwxyz .,")))&gt;0)),"First Name, ","")&amp;IF(OR($D481="",LEN($D481)&gt;26,AND($D481&lt;&gt;"",SUMPRODUCT(--(ROW($1:$26)&lt;=LEN($D481&amp;"")),--ISERROR(FIND(MID($D481&amp;"",ROW($1:$26),1),"ABCDEFGHIJKLMNOPQRSTUVWXYZabcdefghijklmnopqrstuvwxyz .,")))&gt;0)),"Last Name, ","")&amp;IF(OR(LEN($E481)&gt;1,AND($E481&lt;&gt;"",SUMPRODUCT(--(ROW($1:$1)&lt;=LEN($E481&amp;"")),--ISERROR(FIND(MID($E481&amp;"",ROW($1:$1),1),"ABCDEFGHIJKLMNOPQRSTUVWXYZabcdefghijklmnopqrstuvwxyz .,")))&gt;0)),"Middle Initial, ","")&amp;IF(OR($F481="",LEN($F481)&gt;75),"Address, ","")&amp;IF(OR($H481="",LEN($H481)&gt;30),"City, ","")&amp;IF(AND($K481="US",OR($I481="",LEN($I481)&lt;&gt;2)),"State, ","")&amp;IF($J481="","ZIP, ","")&amp;IF(OR($K481="",AND($K481&lt;&gt;"US",$K481&lt;&gt;"CA")),"Country, ","")&amp;IF(OR($L481="",AND($L481&lt;&gt;"",OR(NOT(ISNUMBER($L481)),$L481&lt;=DATE(1900,1,1),$L481&gt;TODAY()))),"Birthdate, ","")&amp;IF(AND($N481&lt;&gt;"",NOT(IFERROR(AND(ISNUMBER(SEARCH("@",$N481)),ISNUMBER(SEARCH(".",$N481,SEARCH("@",$N481)+2))),FALSE))),"Email, ","")&amp;IF(OR(AND($B481&lt;&gt;"",$O481=""),AND($O481&lt;&gt;"",$O481&lt;&gt;"Spouse or Common Law Spouse",$O481&lt;&gt;"Domestic Partner",$O481&lt;&gt;"Child",$O481&lt;&gt;"Other",$O481&lt;&gt;"Estate",$O481&lt;&gt;"Unknown")),"Dependent Relationship, ","")&amp;IF($AA481&lt;&gt;"","Household, ","")&amp;IF(OR($P481="",AND($P481&lt;&gt;"",OR(NOT(ISNUMBER($P481)),$P481&lt;=DATE(1900,1,1)))),"Eligibility Date, ","")&amp;IF(OR(AND($R481="Terminated",$Q481=""),AND($Q481&lt;&gt;"",OR(NOT(ISNUMBER($Q481)),$Q481&lt;=DATE(1900,1,1))),AND(ISNUMBER($P481),ISNUMBER($Q481),$Q481&lt;$P481)),"Termination Date, ","")&amp;IF(OR($R481="",AND($R481&lt;&gt;"Active",$R481&lt;&gt;"Terminated"),AND('START HERE'!$C$8="Terminations Only",$R481&lt;&gt;"Terminated")),"Status, ","")&amp;IF($S481="","Plan Name, ","")&amp;IF($T481="","Coverage Level, ","")&amp;IF(AND($U481&lt;&gt;"",OR(NOT(ISNUMBER($U481)),$U481&lt;0)),"Funding, ","")&amp;IF(AND($A481&lt;&gt;"",$S481&lt;&gt;"",COUNTIFS($A$2:$A$501,$A481,$B$2:$B$501,$B481,$S$2:$S$501,$S481)&gt;1),"Duplicate Row, ",""))</f>
        <v/>
      </c>
      <c r="AF481">
        <f>IF(COUNTA($A481:$U481)=0,"",$Y481&amp;$Z481&amp;$AA481&amp;$AB481&amp;$AC481)</f>
        <v/>
      </c>
      <c r="AG481">
        <f>IF($N481="","",LOWER(TRIM($N481)))</f>
        <v/>
      </c>
      <c r="AH481">
        <f>IF($A481="","",COUNTIFS($A$2:$A$501,$A481,$AI$2:$AI$501,1))</f>
        <v/>
      </c>
      <c r="AI481">
        <f>IF(COUNTA($A481:$U481)=0,"",--($AF481&lt;&gt;""))</f>
        <v/>
      </c>
      <c r="AJ481">
        <f>IF(COUNTA($A481:$U481)=0,"",--($AD481&lt;&gt;""))</f>
        <v/>
      </c>
    </row>
    <row r="482" ht="20" customHeight="1">
      <c r="A482" s="80" t="n"/>
      <c r="B482" s="80" t="n"/>
      <c r="C482" s="81" t="n"/>
      <c r="D482" s="81" t="n"/>
      <c r="E482" s="80" t="n"/>
      <c r="F482" s="81" t="n"/>
      <c r="G482" s="81" t="n"/>
      <c r="H482" s="81" t="n"/>
      <c r="I482" s="80" t="n"/>
      <c r="J482" s="80" t="n"/>
      <c r="K482" s="80" t="n"/>
      <c r="L482" s="82" t="n"/>
      <c r="M482" s="80" t="n"/>
      <c r="N482" s="80" t="n"/>
      <c r="O482" s="80" t="n"/>
      <c r="P482" s="82" t="n"/>
      <c r="Q482" s="82" t="n"/>
      <c r="R482" s="80" t="n"/>
      <c r="S482" s="80" t="n"/>
      <c r="T482" s="80" t="n"/>
      <c r="U482" s="83" t="n"/>
      <c r="V482">
        <f>IF($A482="","",IF($A482=$A481,$V481,IF($V481="",0,1-$V481)))</f>
        <v/>
      </c>
      <c r="W482">
        <f>IF($B482&lt;&gt;"",$B482,$A482)</f>
        <v/>
      </c>
      <c r="X482">
        <f>IF(COUNTA($A482:$U482)=0,"",IF(OR($B482&lt;&gt;"",$O482&lt;&gt;""),"Dependent","Employee"))</f>
        <v/>
      </c>
      <c r="Y482">
        <f>IF(COUNTA($A482:$U482)=0,"",IF($A482="","Employee SSN is required; ","")&amp;IF($C482="","First Name is required; ","")&amp;IF(LEN($C482&amp;"")&gt;19,"First Name exceeds 19 characters; ","")&amp;IF(AND($C482&lt;&gt;"",SUMPRODUCT(--(ROW($1:$19)&lt;=LEN($C482&amp;"")),--ISERROR(FIND(MID($C482&amp;"",ROW($1:$19),1),"ABCDEFGHIJKLMNOPQRSTUVWXYZabcdefghijklmnopqrstuvwxyz .,")))&gt;0),"First Name contains unsupported or encoded characters; use plain A-Z letters only; ","")&amp;IF($D482="","Last Name is required; ","")&amp;IF(LEN($D482&amp;"")&gt;26,"Last Name exceeds 26 characters; ","")&amp;IF(AND($D482&lt;&gt;"",SUMPRODUCT(--(ROW($1:$26)&lt;=LEN($D482&amp;"")),--ISERROR(FIND(MID($D482&amp;"",ROW($1:$26),1),"ABCDEFGHIJKLMNOPQRSTUVWXYZabcdefghijklmnopqrstuvwxyz .,")))&gt;0),"Last Name contains unsupported or encoded characters; use plain A-Z letters only; ","")&amp;IF(LEN($E482&amp;"")&gt;1,"Middle Initial may contain only one character; ","")&amp;IF(AND($E482&lt;&gt;"",SUMPRODUCT(--(ROW($1:$1)&lt;=LEN($E482&amp;"")),--ISERROR(FIND(MID($E482&amp;"",ROW($1:$1),1),"ABCDEFGHIJKLMNOPQRSTUVWXYZabcdefghijklmnopqrstuvwxyz .,")))&gt;0),"Middle Initial must be a plain A-Z letter; ","")&amp;IF($F482="","Address is required; ","")&amp;IF(LEN($F482&amp;"")&gt;75,"Address exceeds 75 characters; ","")&amp;IF(LEN($G482&amp;"")&gt;75,"Address 2 exceeds 75 characters; ","")&amp;IF($H482="","City is required; ","")&amp;IF(LEN($H482&amp;"")&gt;30,"City exceeds 30 characters; ","")&amp;IF($K482="","Country is required; ","")&amp;IF(AND($K482&lt;&gt;"",$K482&lt;&gt;"US",$K482&lt;&gt;"CA"),"Country must be US or CA; ","")&amp;IF(AND($K482="US",OR($I482="",LEN($I482&amp;"")&lt;&gt;2)),"Use a 2-letter state code; ","")&amp;IF($J482="","ZIP or postal code is required; ","")&amp;IF(AND($K482="US",$J482&lt;&gt;"",NOT(IFERROR(OR(AND(LEN($J482&amp;"")=5,ISNUMBER(--($J482&amp;""))),AND(LEN($J482&amp;"")=9,ISNUMBER(--($J482&amp;""))),AND(LEN($J482&amp;"")=10,MID($J482&amp;"",6,1)="-",ISNUMBER(--SUBSTITUTE($J482&amp;"","-","")))),FALSE))),"US ZIP must be 5 or 9 digits, with an optional ZIP+4 hyphen; ","")&amp;IF(AND($N482&lt;&gt;"",NOT(IFERROR(AND(ISNUMBER(SEARCH("@",$N482)),ISNUMBER(SEARCH(".",$N482,SEARCH("@",$N482)+2))),FALSE))),"Email format appears invalid; ","")&amp;IF(AND($O482&lt;&gt;"",$B482=""),"Dependent SSN is required for every dependent; ","")&amp;IF(AND($B482&lt;&gt;"",$O482=""),"Dependent Relationship is required when Dependent SSN is entered; ","")&amp;IF(AND($O482&lt;&gt;"",$O482&lt;&gt;"Spouse or Common Law Spouse",$O482&lt;&gt;"Domestic Partner",$O482&lt;&gt;"Child",$O482&lt;&gt;"Other",$O482&lt;&gt;"Estate",$O482&lt;&gt;"Unknown"),"Dependent Relationship must use one of the approved options; ",""))</f>
        <v/>
      </c>
      <c r="Z482">
        <f>IF(COUNTA($A482:$U482)=0,"",IF(AND($A482&lt;&gt;"",NOT(IFERROR(AND(LEN($A482&amp;"")=9,ISNUMBER(--($A482&amp;""))),FALSE))),"Employee SSN must contain exactly 9 digits; ","")&amp;IF(AND($A482&lt;&gt;"",OR($A482="123456789",$A482="987654321",$A482="012345678",$A482=REPT(LEFT($A482&amp;"",1),9))),"Employee SSN appears to be a placeholder; ","")&amp;IF(AND($B482&lt;&gt;"",NOT(IFERROR(AND(LEN($B482&amp;"")=9,ISNUMBER(--($B482&amp;""))),FALSE))),"Dependent SSN must contain exactly 9 digits; ","")&amp;IF(AND($B482&lt;&gt;"",OR($B482="123456789",$B482="987654321",$B482="012345678",$B482=REPT(LEFT($B482&amp;"",1),9))),"Dependent SSN appears to be a placeholder; ","")&amp;IF(AND($A482&lt;&gt;"",$B482&lt;&gt;"",$A482&amp;""=$B482&amp;""),"Dependent SSN cannot match Employee SSN; ","")&amp;IF(AND($W482&lt;&gt;"",OR(COUNTIFS($W$2:$W$501,$W482,$C$2:$C$501,"&lt;&gt;"&amp;$C482)&gt;0,COUNTIFS($W$2:$W$501,$W482,$D$2:$D$501,"&lt;&gt;"&amp;$D482)&gt;0,COUNTIFS($W$2:$W$501,$W482,$L$2:$L$501,"&lt;&gt;"&amp;$L482)&gt;0)),"The same SSN is associated with a different name or birthdate; ",""))</f>
        <v/>
      </c>
      <c r="AA482">
        <f>IF(COUNTA($A482:$U482)=0,"",IF(AND($A482&lt;&gt;"",$S482&lt;&gt;"",COUNTIFS($A$2:$A$501,$A482,$S$2:$S$501,$S482,$B$2:$B$501,"",$O$2:$O$501,"")=0),"Add an employee row for this household and plan; ","")&amp;IF(AND($X482="Dependent",COUNTIFS($A$2:$A482,$A482,$S$2:$S482,$S482,$B$2:$B482,"",$O$2:$O482,"")=0),"Place the employee row before dependent rows for this plan; ","")&amp;IF(AND($X482="Dependent",COUNTIFS($A$2:$A$501,$A482,$S$2:$S$501,$S482,$B$2:$B$501,"",$O$2:$O$501,"")&gt;0,IFERROR(OR($P482&lt;&gt;LOOKUP(2,1/(($A$2:$A$501=$A482)*($S$2:$S$501=$S482)*($B$2:$B$501="")*($O$2:$O$501="")),$P$2:$P$501),$Q482&lt;&gt;LOOKUP(2,1/(($A$2:$A$501=$A482)*($S$2:$S$501=$S482)*($B$2:$B$501="")*($O$2:$O$501="")),$Q$2:$Q$501),$R482&lt;&gt;LOOKUP(2,1/(($A$2:$A$501=$A482)*($S$2:$S$501=$S482)*($B$2:$B$501="")*($O$2:$O$501="")),$R$2:$R$501),$T482&lt;&gt;LOOKUP(2,1/(($A$2:$A$501=$A482)*($S$2:$S$501=$S482)*($B$2:$B$501="")*($O$2:$O$501="")),$T$2:$T$501),$U482&lt;&gt;LOOKUP(2,1/(($A$2:$A$501=$A482)*($S$2:$S$501=$S482)*($B$2:$B$501="")*($O$2:$O$501="")),$U$2:$U$501)),FALSE)),"Dependent row does not match the employee row for eligibility, status, coverage level, or funding; ",""))</f>
        <v/>
      </c>
      <c r="AB482">
        <f>IF(COUNTA($A482:$U482)=0,"",IF($L482="","Birthdate is required; ","")&amp;IF(AND($L482&lt;&gt;"",OR(NOT(ISNUMBER($L482)),$L482&lt;=DATE(1900,1,1),$L482&gt;TODAY())),"Birthdate must be an exact valid past date; ","")&amp;IF($P482="","Eligibility Date is required; ","")&amp;IF(AND($P482&lt;&gt;"",OR(NOT(ISNUMBER($P482)),$P482&lt;=DATE(1900,1,1))),"Eligibility Date must be a valid date; ","")&amp;IF(AND($R482="Terminated",$Q482=""),"Termination Date is required when Status is Terminated; ","")&amp;IF(AND($Q482&lt;&gt;"",OR(NOT(ISNUMBER($Q482)),$Q482&lt;=DATE(1900,1,1))),"Termination Date must be a valid date; ","")&amp;IF(AND(ISNUMBER($P482),ISNUMBER($Q482),$Q482&lt;$P482),"Termination Date cannot be before Eligibility Date; ","")&amp;IF($R482="","Status is required; ","")&amp;IF(AND($R482&lt;&gt;"",$R482&lt;&gt;"Active",$R482&lt;&gt;"Terminated"),"Status must be Active or Terminated; ","")&amp;IF(AND('START HERE'!$C$8="Terminations Only",$R482&lt;&gt;"Terminated"),"Terminations Only files must contain terminated records; ",""))</f>
        <v/>
      </c>
      <c r="AC482">
        <f>IF(COUNTA($A482:$U482)=0,"",IF($S482="","Plan Name is required; ","")&amp;IF($T482="","Benefit Coverage Level is required; ","")&amp;IF(AND($U482&lt;&gt;"",OR(NOT(ISNUMBER($U482)),$U482&lt;0)),"Plan Funding Amount must be a nonnegative number; ","")&amp;IF(AND($A482&lt;&gt;"",$S482&lt;&gt;"",COUNTIFS($A$2:$A$501,$A482,$B$2:$B$501,$B482,$S$2:$S$501,$S482)&gt;1),"Duplicate participant and plan row; ",""))</f>
        <v/>
      </c>
      <c r="AD482">
        <f>IF(COUNTA($A482:$U482)=0,"",IF(AND($X482="Employee",$M482="",$N482=""),"No employee phone or email provided; ","")&amp;IF(AND($R482="Active",$Q482&lt;&gt;""),"Active record includes a Termination Date; confirm this is intentional; ","")&amp;IF(AND($B482&lt;&gt;"",$B482&amp;""&lt;&gt;$A482&amp;"",COUNTIF($A$2:$A$501,$B482)&gt;0),"Dependent SSN also appears as an Employee SSN elsewhere; confirm dual-employee coverage is intentional; ","")&amp;IF(AND($B482&lt;&gt;"",COUNTIF($B$2:$B$501,$B482)&gt;COUNTIFS($A$2:$A$501,$A482,$B$2:$B$501,$B482)),"Dependent SSN appears under more than one employee; confirm duplicate family coverage is intentional; ","")&amp;IF(AND(ROW()&gt;2,$A482&lt;&gt;"",$A482&lt;&gt;$A481,COUNTIF($A$2:$A481,$A482)&gt;0),"This household appears in more than one section of the census; keep the family together; ","")&amp;IF(OR(AND($C482&lt;&gt;"",LEN($C482&amp;"")&lt;&gt;LEN(TRIM($C482&amp;""))),AND($D482&lt;&gt;"",LEN($D482&amp;"")&lt;&gt;LEN(TRIM($D482&amp;""))),AND($E482&lt;&gt;"",LEN($E482&amp;"")&lt;&gt;LEN(TRIM($E482&amp;""))),AND($F482&lt;&gt;"",LEN($F482&amp;"")&lt;&gt;LEN(TRIM($F482&amp;""))),AND($G482&lt;&gt;"",LEN($G482&amp;"")&lt;&gt;LEN(TRIM($G482&amp;""))),AND($H482&lt;&gt;"",LEN($H482&amp;"")&lt;&gt;LEN(TRIM($H482&amp;""))),AND($I482&lt;&gt;"",LEN($I482&amp;"")&lt;&gt;LEN(TRIM($I482&amp;""))),AND($J482&lt;&gt;"",LEN($J482&amp;"")&lt;&gt;LEN(TRIM($J482&amp;""))),AND($K482&lt;&gt;"",LEN($K482&amp;"")&lt;&gt;LEN(TRIM($K482&amp;""))),AND($M482&lt;&gt;"",LEN($M482&amp;"")&lt;&gt;LEN(TRIM($M482&amp;""))),AND($N482&lt;&gt;"",LEN($N482&amp;"")&lt;&gt;LEN(TRIM($N482&amp;""))),AND($O482&lt;&gt;"",LEN($O482&amp;"")&lt;&gt;LEN(TRIM($O482&amp;""))),AND($R482&lt;&gt;"",LEN($R482&amp;"")&lt;&gt;LEN(TRIM($R482&amp;""))),AND($S482&lt;&gt;"",LEN($S482&amp;"")&lt;&gt;LEN(TRIM($S482&amp;""))),AND($T482&lt;&gt;"",LEN($T482&amp;"")&lt;&gt;LEN(TRIM($T482&amp;"")))),"Remove leading or trailing spaces from text fields; ","")&amp;IF(OR(AND(LEN($C482)&gt;1,OR(EXACT($C482,UPPER($C482)),EXACT($C482,LOWER($C482)))),AND(LEN($D482)&gt;1,OR(EXACT($D482,UPPER($D482)),EXACT($D482,LOWER($D482)))),AND(LEN($H482)&gt;1,OR(EXACT($H482,UPPER($H482)),EXACT($H482,LOWER($H482))))),"Review capitalization in First Name, Last Name, or City; ","")&amp;IF(AND($N482&lt;&gt;"",NOT(EXACT($N482,LOWER($N482)))),"Email will be standardized to lowercase in the clean output; ","")&amp;IF(AND(OR('START HERE'!$C$8="Initial Enrollment",'START HERE'!$C$8="Open Enrollment"),$R482="Terminated"),"A terminated row is included in an initial or open enrollment file; confirm this is intentional; ",""))</f>
        <v/>
      </c>
      <c r="AE482">
        <f>IF(COUNTA($A482:$U482)=0,"",IF(OR($A482="",AND($A482&lt;&gt;"",NOT(IFERROR(AND(LEN($A482&amp;"")=9,ISNUMBER(--($A482&amp;""))),FALSE))),AND($A482&lt;&gt;"",OR($A482="123456789",$A482="987654321",$A482="012345678",$A482=REPT(LEFT($A482&amp;"",1),9)))),"Employee SSN, ","")&amp;IF(OR(AND($O482&lt;&gt;"",$B482=""),AND($B482&lt;&gt;"",OR(NOT(IFERROR(AND(LEN($B482&amp;"")=9,ISNUMBER(--($B482&amp;""))),FALSE)),$B482=$A482,$B482="123456789",$B482="987654321",$B482="012345678",$B482=REPT(LEFT($B482&amp;"",1),9)))),"Dependent SSN, ","")&amp;IF(OR($C482="",LEN($C482)&gt;19,AND($C482&lt;&gt;"",SUMPRODUCT(--(ROW($1:$19)&lt;=LEN($C482&amp;"")),--ISERROR(FIND(MID($C482&amp;"",ROW($1:$19),1),"ABCDEFGHIJKLMNOPQRSTUVWXYZabcdefghijklmnopqrstuvwxyz .,")))&gt;0)),"First Name, ","")&amp;IF(OR($D482="",LEN($D482)&gt;26,AND($D482&lt;&gt;"",SUMPRODUCT(--(ROW($1:$26)&lt;=LEN($D482&amp;"")),--ISERROR(FIND(MID($D482&amp;"",ROW($1:$26),1),"ABCDEFGHIJKLMNOPQRSTUVWXYZabcdefghijklmnopqrstuvwxyz .,")))&gt;0)),"Last Name, ","")&amp;IF(OR(LEN($E482)&gt;1,AND($E482&lt;&gt;"",SUMPRODUCT(--(ROW($1:$1)&lt;=LEN($E482&amp;"")),--ISERROR(FIND(MID($E482&amp;"",ROW($1:$1),1),"ABCDEFGHIJKLMNOPQRSTUVWXYZabcdefghijklmnopqrstuvwxyz .,")))&gt;0)),"Middle Initial, ","")&amp;IF(OR($F482="",LEN($F482)&gt;75),"Address, ","")&amp;IF(OR($H482="",LEN($H482)&gt;30),"City, ","")&amp;IF(AND($K482="US",OR($I482="",LEN($I482)&lt;&gt;2)),"State, ","")&amp;IF($J482="","ZIP, ","")&amp;IF(OR($K482="",AND($K482&lt;&gt;"US",$K482&lt;&gt;"CA")),"Country, ","")&amp;IF(OR($L482="",AND($L482&lt;&gt;"",OR(NOT(ISNUMBER($L482)),$L482&lt;=DATE(1900,1,1),$L482&gt;TODAY()))),"Birthdate, ","")&amp;IF(AND($N482&lt;&gt;"",NOT(IFERROR(AND(ISNUMBER(SEARCH("@",$N482)),ISNUMBER(SEARCH(".",$N482,SEARCH("@",$N482)+2))),FALSE))),"Email, ","")&amp;IF(OR(AND($B482&lt;&gt;"",$O482=""),AND($O482&lt;&gt;"",$O482&lt;&gt;"Spouse or Common Law Spouse",$O482&lt;&gt;"Domestic Partner",$O482&lt;&gt;"Child",$O482&lt;&gt;"Other",$O482&lt;&gt;"Estate",$O482&lt;&gt;"Unknown")),"Dependent Relationship, ","")&amp;IF($AA482&lt;&gt;"","Household, ","")&amp;IF(OR($P482="",AND($P482&lt;&gt;"",OR(NOT(ISNUMBER($P482)),$P482&lt;=DATE(1900,1,1)))),"Eligibility Date, ","")&amp;IF(OR(AND($R482="Terminated",$Q482=""),AND($Q482&lt;&gt;"",OR(NOT(ISNUMBER($Q482)),$Q482&lt;=DATE(1900,1,1))),AND(ISNUMBER($P482),ISNUMBER($Q482),$Q482&lt;$P482)),"Termination Date, ","")&amp;IF(OR($R482="",AND($R482&lt;&gt;"Active",$R482&lt;&gt;"Terminated"),AND('START HERE'!$C$8="Terminations Only",$R482&lt;&gt;"Terminated")),"Status, ","")&amp;IF($S482="","Plan Name, ","")&amp;IF($T482="","Coverage Level, ","")&amp;IF(AND($U482&lt;&gt;"",OR(NOT(ISNUMBER($U482)),$U482&lt;0)),"Funding, ","")&amp;IF(AND($A482&lt;&gt;"",$S482&lt;&gt;"",COUNTIFS($A$2:$A$501,$A482,$B$2:$B$501,$B482,$S$2:$S$501,$S482)&gt;1),"Duplicate Row, ",""))</f>
        <v/>
      </c>
      <c r="AF482">
        <f>IF(COUNTA($A482:$U482)=0,"",$Y482&amp;$Z482&amp;$AA482&amp;$AB482&amp;$AC482)</f>
        <v/>
      </c>
      <c r="AG482">
        <f>IF($N482="","",LOWER(TRIM($N482)))</f>
        <v/>
      </c>
      <c r="AH482">
        <f>IF($A482="","",COUNTIFS($A$2:$A$501,$A482,$AI$2:$AI$501,1))</f>
        <v/>
      </c>
      <c r="AI482">
        <f>IF(COUNTA($A482:$U482)=0,"",--($AF482&lt;&gt;""))</f>
        <v/>
      </c>
      <c r="AJ482">
        <f>IF(COUNTA($A482:$U482)=0,"",--($AD482&lt;&gt;""))</f>
        <v/>
      </c>
    </row>
    <row r="483" ht="20" customHeight="1">
      <c r="A483" s="80" t="n"/>
      <c r="B483" s="80" t="n"/>
      <c r="C483" s="81" t="n"/>
      <c r="D483" s="81" t="n"/>
      <c r="E483" s="80" t="n"/>
      <c r="F483" s="81" t="n"/>
      <c r="G483" s="81" t="n"/>
      <c r="H483" s="81" t="n"/>
      <c r="I483" s="80" t="n"/>
      <c r="J483" s="80" t="n"/>
      <c r="K483" s="80" t="n"/>
      <c r="L483" s="82" t="n"/>
      <c r="M483" s="80" t="n"/>
      <c r="N483" s="80" t="n"/>
      <c r="O483" s="80" t="n"/>
      <c r="P483" s="82" t="n"/>
      <c r="Q483" s="82" t="n"/>
      <c r="R483" s="80" t="n"/>
      <c r="S483" s="80" t="n"/>
      <c r="T483" s="80" t="n"/>
      <c r="U483" s="83" t="n"/>
      <c r="V483">
        <f>IF($A483="","",IF($A483=$A482,$V482,IF($V482="",0,1-$V482)))</f>
        <v/>
      </c>
      <c r="W483">
        <f>IF($B483&lt;&gt;"",$B483,$A483)</f>
        <v/>
      </c>
      <c r="X483">
        <f>IF(COUNTA($A483:$U483)=0,"",IF(OR($B483&lt;&gt;"",$O483&lt;&gt;""),"Dependent","Employee"))</f>
        <v/>
      </c>
      <c r="Y483">
        <f>IF(COUNTA($A483:$U483)=0,"",IF($A483="","Employee SSN is required; ","")&amp;IF($C483="","First Name is required; ","")&amp;IF(LEN($C483&amp;"")&gt;19,"First Name exceeds 19 characters; ","")&amp;IF(AND($C483&lt;&gt;"",SUMPRODUCT(--(ROW($1:$19)&lt;=LEN($C483&amp;"")),--ISERROR(FIND(MID($C483&amp;"",ROW($1:$19),1),"ABCDEFGHIJKLMNOPQRSTUVWXYZabcdefghijklmnopqrstuvwxyz .,")))&gt;0),"First Name contains unsupported or encoded characters; use plain A-Z letters only; ","")&amp;IF($D483="","Last Name is required; ","")&amp;IF(LEN($D483&amp;"")&gt;26,"Last Name exceeds 26 characters; ","")&amp;IF(AND($D483&lt;&gt;"",SUMPRODUCT(--(ROW($1:$26)&lt;=LEN($D483&amp;"")),--ISERROR(FIND(MID($D483&amp;"",ROW($1:$26),1),"ABCDEFGHIJKLMNOPQRSTUVWXYZabcdefghijklmnopqrstuvwxyz .,")))&gt;0),"Last Name contains unsupported or encoded characters; use plain A-Z letters only; ","")&amp;IF(LEN($E483&amp;"")&gt;1,"Middle Initial may contain only one character; ","")&amp;IF(AND($E483&lt;&gt;"",SUMPRODUCT(--(ROW($1:$1)&lt;=LEN($E483&amp;"")),--ISERROR(FIND(MID($E483&amp;"",ROW($1:$1),1),"ABCDEFGHIJKLMNOPQRSTUVWXYZabcdefghijklmnopqrstuvwxyz .,")))&gt;0),"Middle Initial must be a plain A-Z letter; ","")&amp;IF($F483="","Address is required; ","")&amp;IF(LEN($F483&amp;"")&gt;75,"Address exceeds 75 characters; ","")&amp;IF(LEN($G483&amp;"")&gt;75,"Address 2 exceeds 75 characters; ","")&amp;IF($H483="","City is required; ","")&amp;IF(LEN($H483&amp;"")&gt;30,"City exceeds 30 characters; ","")&amp;IF($K483="","Country is required; ","")&amp;IF(AND($K483&lt;&gt;"",$K483&lt;&gt;"US",$K483&lt;&gt;"CA"),"Country must be US or CA; ","")&amp;IF(AND($K483="US",OR($I483="",LEN($I483&amp;"")&lt;&gt;2)),"Use a 2-letter state code; ","")&amp;IF($J483="","ZIP or postal code is required; ","")&amp;IF(AND($K483="US",$J483&lt;&gt;"",NOT(IFERROR(OR(AND(LEN($J483&amp;"")=5,ISNUMBER(--($J483&amp;""))),AND(LEN($J483&amp;"")=9,ISNUMBER(--($J483&amp;""))),AND(LEN($J483&amp;"")=10,MID($J483&amp;"",6,1)="-",ISNUMBER(--SUBSTITUTE($J483&amp;"","-","")))),FALSE))),"US ZIP must be 5 or 9 digits, with an optional ZIP+4 hyphen; ","")&amp;IF(AND($N483&lt;&gt;"",NOT(IFERROR(AND(ISNUMBER(SEARCH("@",$N483)),ISNUMBER(SEARCH(".",$N483,SEARCH("@",$N483)+2))),FALSE))),"Email format appears invalid; ","")&amp;IF(AND($O483&lt;&gt;"",$B483=""),"Dependent SSN is required for every dependent; ","")&amp;IF(AND($B483&lt;&gt;"",$O483=""),"Dependent Relationship is required when Dependent SSN is entered; ","")&amp;IF(AND($O483&lt;&gt;"",$O483&lt;&gt;"Spouse or Common Law Spouse",$O483&lt;&gt;"Domestic Partner",$O483&lt;&gt;"Child",$O483&lt;&gt;"Other",$O483&lt;&gt;"Estate",$O483&lt;&gt;"Unknown"),"Dependent Relationship must use one of the approved options; ",""))</f>
        <v/>
      </c>
      <c r="Z483">
        <f>IF(COUNTA($A483:$U483)=0,"",IF(AND($A483&lt;&gt;"",NOT(IFERROR(AND(LEN($A483&amp;"")=9,ISNUMBER(--($A483&amp;""))),FALSE))),"Employee SSN must contain exactly 9 digits; ","")&amp;IF(AND($A483&lt;&gt;"",OR($A483="123456789",$A483="987654321",$A483="012345678",$A483=REPT(LEFT($A483&amp;"",1),9))),"Employee SSN appears to be a placeholder; ","")&amp;IF(AND($B483&lt;&gt;"",NOT(IFERROR(AND(LEN($B483&amp;"")=9,ISNUMBER(--($B483&amp;""))),FALSE))),"Dependent SSN must contain exactly 9 digits; ","")&amp;IF(AND($B483&lt;&gt;"",OR($B483="123456789",$B483="987654321",$B483="012345678",$B483=REPT(LEFT($B483&amp;"",1),9))),"Dependent SSN appears to be a placeholder; ","")&amp;IF(AND($A483&lt;&gt;"",$B483&lt;&gt;"",$A483&amp;""=$B483&amp;""),"Dependent SSN cannot match Employee SSN; ","")&amp;IF(AND($W483&lt;&gt;"",OR(COUNTIFS($W$2:$W$501,$W483,$C$2:$C$501,"&lt;&gt;"&amp;$C483)&gt;0,COUNTIFS($W$2:$W$501,$W483,$D$2:$D$501,"&lt;&gt;"&amp;$D483)&gt;0,COUNTIFS($W$2:$W$501,$W483,$L$2:$L$501,"&lt;&gt;"&amp;$L483)&gt;0)),"The same SSN is associated with a different name or birthdate; ",""))</f>
        <v/>
      </c>
      <c r="AA483">
        <f>IF(COUNTA($A483:$U483)=0,"",IF(AND($A483&lt;&gt;"",$S483&lt;&gt;"",COUNTIFS($A$2:$A$501,$A483,$S$2:$S$501,$S483,$B$2:$B$501,"",$O$2:$O$501,"")=0),"Add an employee row for this household and plan; ","")&amp;IF(AND($X483="Dependent",COUNTIFS($A$2:$A483,$A483,$S$2:$S483,$S483,$B$2:$B483,"",$O$2:$O483,"")=0),"Place the employee row before dependent rows for this plan; ","")&amp;IF(AND($X483="Dependent",COUNTIFS($A$2:$A$501,$A483,$S$2:$S$501,$S483,$B$2:$B$501,"",$O$2:$O$501,"")&gt;0,IFERROR(OR($P483&lt;&gt;LOOKUP(2,1/(($A$2:$A$501=$A483)*($S$2:$S$501=$S483)*($B$2:$B$501="")*($O$2:$O$501="")),$P$2:$P$501),$Q483&lt;&gt;LOOKUP(2,1/(($A$2:$A$501=$A483)*($S$2:$S$501=$S483)*($B$2:$B$501="")*($O$2:$O$501="")),$Q$2:$Q$501),$R483&lt;&gt;LOOKUP(2,1/(($A$2:$A$501=$A483)*($S$2:$S$501=$S483)*($B$2:$B$501="")*($O$2:$O$501="")),$R$2:$R$501),$T483&lt;&gt;LOOKUP(2,1/(($A$2:$A$501=$A483)*($S$2:$S$501=$S483)*($B$2:$B$501="")*($O$2:$O$501="")),$T$2:$T$501),$U483&lt;&gt;LOOKUP(2,1/(($A$2:$A$501=$A483)*($S$2:$S$501=$S483)*($B$2:$B$501="")*($O$2:$O$501="")),$U$2:$U$501)),FALSE)),"Dependent row does not match the employee row for eligibility, status, coverage level, or funding; ",""))</f>
        <v/>
      </c>
      <c r="AB483">
        <f>IF(COUNTA($A483:$U483)=0,"",IF($L483="","Birthdate is required; ","")&amp;IF(AND($L483&lt;&gt;"",OR(NOT(ISNUMBER($L483)),$L483&lt;=DATE(1900,1,1),$L483&gt;TODAY())),"Birthdate must be an exact valid past date; ","")&amp;IF($P483="","Eligibility Date is required; ","")&amp;IF(AND($P483&lt;&gt;"",OR(NOT(ISNUMBER($P483)),$P483&lt;=DATE(1900,1,1))),"Eligibility Date must be a valid date; ","")&amp;IF(AND($R483="Terminated",$Q483=""),"Termination Date is required when Status is Terminated; ","")&amp;IF(AND($Q483&lt;&gt;"",OR(NOT(ISNUMBER($Q483)),$Q483&lt;=DATE(1900,1,1))),"Termination Date must be a valid date; ","")&amp;IF(AND(ISNUMBER($P483),ISNUMBER($Q483),$Q483&lt;$P483),"Termination Date cannot be before Eligibility Date; ","")&amp;IF($R483="","Status is required; ","")&amp;IF(AND($R483&lt;&gt;"",$R483&lt;&gt;"Active",$R483&lt;&gt;"Terminated"),"Status must be Active or Terminated; ","")&amp;IF(AND('START HERE'!$C$8="Terminations Only",$R483&lt;&gt;"Terminated"),"Terminations Only files must contain terminated records; ",""))</f>
        <v/>
      </c>
      <c r="AC483">
        <f>IF(COUNTA($A483:$U483)=0,"",IF($S483="","Plan Name is required; ","")&amp;IF($T483="","Benefit Coverage Level is required; ","")&amp;IF(AND($U483&lt;&gt;"",OR(NOT(ISNUMBER($U483)),$U483&lt;0)),"Plan Funding Amount must be a nonnegative number; ","")&amp;IF(AND($A483&lt;&gt;"",$S483&lt;&gt;"",COUNTIFS($A$2:$A$501,$A483,$B$2:$B$501,$B483,$S$2:$S$501,$S483)&gt;1),"Duplicate participant and plan row; ",""))</f>
        <v/>
      </c>
      <c r="AD483">
        <f>IF(COUNTA($A483:$U483)=0,"",IF(AND($X483="Employee",$M483="",$N483=""),"No employee phone or email provided; ","")&amp;IF(AND($R483="Active",$Q483&lt;&gt;""),"Active record includes a Termination Date; confirm this is intentional; ","")&amp;IF(AND($B483&lt;&gt;"",$B483&amp;""&lt;&gt;$A483&amp;"",COUNTIF($A$2:$A$501,$B483)&gt;0),"Dependent SSN also appears as an Employee SSN elsewhere; confirm dual-employee coverage is intentional; ","")&amp;IF(AND($B483&lt;&gt;"",COUNTIF($B$2:$B$501,$B483)&gt;COUNTIFS($A$2:$A$501,$A483,$B$2:$B$501,$B483)),"Dependent SSN appears under more than one employee; confirm duplicate family coverage is intentional; ","")&amp;IF(AND(ROW()&gt;2,$A483&lt;&gt;"",$A483&lt;&gt;$A482,COUNTIF($A$2:$A482,$A483)&gt;0),"This household appears in more than one section of the census; keep the family together; ","")&amp;IF(OR(AND($C483&lt;&gt;"",LEN($C483&amp;"")&lt;&gt;LEN(TRIM($C483&amp;""))),AND($D483&lt;&gt;"",LEN($D483&amp;"")&lt;&gt;LEN(TRIM($D483&amp;""))),AND($E483&lt;&gt;"",LEN($E483&amp;"")&lt;&gt;LEN(TRIM($E483&amp;""))),AND($F483&lt;&gt;"",LEN($F483&amp;"")&lt;&gt;LEN(TRIM($F483&amp;""))),AND($G483&lt;&gt;"",LEN($G483&amp;"")&lt;&gt;LEN(TRIM($G483&amp;""))),AND($H483&lt;&gt;"",LEN($H483&amp;"")&lt;&gt;LEN(TRIM($H483&amp;""))),AND($I483&lt;&gt;"",LEN($I483&amp;"")&lt;&gt;LEN(TRIM($I483&amp;""))),AND($J483&lt;&gt;"",LEN($J483&amp;"")&lt;&gt;LEN(TRIM($J483&amp;""))),AND($K483&lt;&gt;"",LEN($K483&amp;"")&lt;&gt;LEN(TRIM($K483&amp;""))),AND($M483&lt;&gt;"",LEN($M483&amp;"")&lt;&gt;LEN(TRIM($M483&amp;""))),AND($N483&lt;&gt;"",LEN($N483&amp;"")&lt;&gt;LEN(TRIM($N483&amp;""))),AND($O483&lt;&gt;"",LEN($O483&amp;"")&lt;&gt;LEN(TRIM($O483&amp;""))),AND($R483&lt;&gt;"",LEN($R483&amp;"")&lt;&gt;LEN(TRIM($R483&amp;""))),AND($S483&lt;&gt;"",LEN($S483&amp;"")&lt;&gt;LEN(TRIM($S483&amp;""))),AND($T483&lt;&gt;"",LEN($T483&amp;"")&lt;&gt;LEN(TRIM($T483&amp;"")))),"Remove leading or trailing spaces from text fields; ","")&amp;IF(OR(AND(LEN($C483)&gt;1,OR(EXACT($C483,UPPER($C483)),EXACT($C483,LOWER($C483)))),AND(LEN($D483)&gt;1,OR(EXACT($D483,UPPER($D483)),EXACT($D483,LOWER($D483)))),AND(LEN($H483)&gt;1,OR(EXACT($H483,UPPER($H483)),EXACT($H483,LOWER($H483))))),"Review capitalization in First Name, Last Name, or City; ","")&amp;IF(AND($N483&lt;&gt;"",NOT(EXACT($N483,LOWER($N483)))),"Email will be standardized to lowercase in the clean output; ","")&amp;IF(AND(OR('START HERE'!$C$8="Initial Enrollment",'START HERE'!$C$8="Open Enrollment"),$R483="Terminated"),"A terminated row is included in an initial or open enrollment file; confirm this is intentional; ",""))</f>
        <v/>
      </c>
      <c r="AE483">
        <f>IF(COUNTA($A483:$U483)=0,"",IF(OR($A483="",AND($A483&lt;&gt;"",NOT(IFERROR(AND(LEN($A483&amp;"")=9,ISNUMBER(--($A483&amp;""))),FALSE))),AND($A483&lt;&gt;"",OR($A483="123456789",$A483="987654321",$A483="012345678",$A483=REPT(LEFT($A483&amp;"",1),9)))),"Employee SSN, ","")&amp;IF(OR(AND($O483&lt;&gt;"",$B483=""),AND($B483&lt;&gt;"",OR(NOT(IFERROR(AND(LEN($B483&amp;"")=9,ISNUMBER(--($B483&amp;""))),FALSE)),$B483=$A483,$B483="123456789",$B483="987654321",$B483="012345678",$B483=REPT(LEFT($B483&amp;"",1),9)))),"Dependent SSN, ","")&amp;IF(OR($C483="",LEN($C483)&gt;19,AND($C483&lt;&gt;"",SUMPRODUCT(--(ROW($1:$19)&lt;=LEN($C483&amp;"")),--ISERROR(FIND(MID($C483&amp;"",ROW($1:$19),1),"ABCDEFGHIJKLMNOPQRSTUVWXYZabcdefghijklmnopqrstuvwxyz .,")))&gt;0)),"First Name, ","")&amp;IF(OR($D483="",LEN($D483)&gt;26,AND($D483&lt;&gt;"",SUMPRODUCT(--(ROW($1:$26)&lt;=LEN($D483&amp;"")),--ISERROR(FIND(MID($D483&amp;"",ROW($1:$26),1),"ABCDEFGHIJKLMNOPQRSTUVWXYZabcdefghijklmnopqrstuvwxyz .,")))&gt;0)),"Last Name, ","")&amp;IF(OR(LEN($E483)&gt;1,AND($E483&lt;&gt;"",SUMPRODUCT(--(ROW($1:$1)&lt;=LEN($E483&amp;"")),--ISERROR(FIND(MID($E483&amp;"",ROW($1:$1),1),"ABCDEFGHIJKLMNOPQRSTUVWXYZabcdefghijklmnopqrstuvwxyz .,")))&gt;0)),"Middle Initial, ","")&amp;IF(OR($F483="",LEN($F483)&gt;75),"Address, ","")&amp;IF(OR($H483="",LEN($H483)&gt;30),"City, ","")&amp;IF(AND($K483="US",OR($I483="",LEN($I483)&lt;&gt;2)),"State, ","")&amp;IF($J483="","ZIP, ","")&amp;IF(OR($K483="",AND($K483&lt;&gt;"US",$K483&lt;&gt;"CA")),"Country, ","")&amp;IF(OR($L483="",AND($L483&lt;&gt;"",OR(NOT(ISNUMBER($L483)),$L483&lt;=DATE(1900,1,1),$L483&gt;TODAY()))),"Birthdate, ","")&amp;IF(AND($N483&lt;&gt;"",NOT(IFERROR(AND(ISNUMBER(SEARCH("@",$N483)),ISNUMBER(SEARCH(".",$N483,SEARCH("@",$N483)+2))),FALSE))),"Email, ","")&amp;IF(OR(AND($B483&lt;&gt;"",$O483=""),AND($O483&lt;&gt;"",$O483&lt;&gt;"Spouse or Common Law Spouse",$O483&lt;&gt;"Domestic Partner",$O483&lt;&gt;"Child",$O483&lt;&gt;"Other",$O483&lt;&gt;"Estate",$O483&lt;&gt;"Unknown")),"Dependent Relationship, ","")&amp;IF($AA483&lt;&gt;"","Household, ","")&amp;IF(OR($P483="",AND($P483&lt;&gt;"",OR(NOT(ISNUMBER($P483)),$P483&lt;=DATE(1900,1,1)))),"Eligibility Date, ","")&amp;IF(OR(AND($R483="Terminated",$Q483=""),AND($Q483&lt;&gt;"",OR(NOT(ISNUMBER($Q483)),$Q483&lt;=DATE(1900,1,1))),AND(ISNUMBER($P483),ISNUMBER($Q483),$Q483&lt;$P483)),"Termination Date, ","")&amp;IF(OR($R483="",AND($R483&lt;&gt;"Active",$R483&lt;&gt;"Terminated"),AND('START HERE'!$C$8="Terminations Only",$R483&lt;&gt;"Terminated")),"Status, ","")&amp;IF($S483="","Plan Name, ","")&amp;IF($T483="","Coverage Level, ","")&amp;IF(AND($U483&lt;&gt;"",OR(NOT(ISNUMBER($U483)),$U483&lt;0)),"Funding, ","")&amp;IF(AND($A483&lt;&gt;"",$S483&lt;&gt;"",COUNTIFS($A$2:$A$501,$A483,$B$2:$B$501,$B483,$S$2:$S$501,$S483)&gt;1),"Duplicate Row, ",""))</f>
        <v/>
      </c>
      <c r="AF483">
        <f>IF(COUNTA($A483:$U483)=0,"",$Y483&amp;$Z483&amp;$AA483&amp;$AB483&amp;$AC483)</f>
        <v/>
      </c>
      <c r="AG483">
        <f>IF($N483="","",LOWER(TRIM($N483)))</f>
        <v/>
      </c>
      <c r="AH483">
        <f>IF($A483="","",COUNTIFS($A$2:$A$501,$A483,$AI$2:$AI$501,1))</f>
        <v/>
      </c>
      <c r="AI483">
        <f>IF(COUNTA($A483:$U483)=0,"",--($AF483&lt;&gt;""))</f>
        <v/>
      </c>
      <c r="AJ483">
        <f>IF(COUNTA($A483:$U483)=0,"",--($AD483&lt;&gt;""))</f>
        <v/>
      </c>
    </row>
    <row r="484" ht="20" customHeight="1">
      <c r="A484" s="80" t="n"/>
      <c r="B484" s="80" t="n"/>
      <c r="C484" s="81" t="n"/>
      <c r="D484" s="81" t="n"/>
      <c r="E484" s="80" t="n"/>
      <c r="F484" s="81" t="n"/>
      <c r="G484" s="81" t="n"/>
      <c r="H484" s="81" t="n"/>
      <c r="I484" s="80" t="n"/>
      <c r="J484" s="80" t="n"/>
      <c r="K484" s="80" t="n"/>
      <c r="L484" s="82" t="n"/>
      <c r="M484" s="80" t="n"/>
      <c r="N484" s="80" t="n"/>
      <c r="O484" s="80" t="n"/>
      <c r="P484" s="82" t="n"/>
      <c r="Q484" s="82" t="n"/>
      <c r="R484" s="80" t="n"/>
      <c r="S484" s="80" t="n"/>
      <c r="T484" s="80" t="n"/>
      <c r="U484" s="83" t="n"/>
      <c r="V484">
        <f>IF($A484="","",IF($A484=$A483,$V483,IF($V483="",0,1-$V483)))</f>
        <v/>
      </c>
      <c r="W484">
        <f>IF($B484&lt;&gt;"",$B484,$A484)</f>
        <v/>
      </c>
      <c r="X484">
        <f>IF(COUNTA($A484:$U484)=0,"",IF(OR($B484&lt;&gt;"",$O484&lt;&gt;""),"Dependent","Employee"))</f>
        <v/>
      </c>
      <c r="Y484">
        <f>IF(COUNTA($A484:$U484)=0,"",IF($A484="","Employee SSN is required; ","")&amp;IF($C484="","First Name is required; ","")&amp;IF(LEN($C484&amp;"")&gt;19,"First Name exceeds 19 characters; ","")&amp;IF(AND($C484&lt;&gt;"",SUMPRODUCT(--(ROW($1:$19)&lt;=LEN($C484&amp;"")),--ISERROR(FIND(MID($C484&amp;"",ROW($1:$19),1),"ABCDEFGHIJKLMNOPQRSTUVWXYZabcdefghijklmnopqrstuvwxyz .,")))&gt;0),"First Name contains unsupported or encoded characters; use plain A-Z letters only; ","")&amp;IF($D484="","Last Name is required; ","")&amp;IF(LEN($D484&amp;"")&gt;26,"Last Name exceeds 26 characters; ","")&amp;IF(AND($D484&lt;&gt;"",SUMPRODUCT(--(ROW($1:$26)&lt;=LEN($D484&amp;"")),--ISERROR(FIND(MID($D484&amp;"",ROW($1:$26),1),"ABCDEFGHIJKLMNOPQRSTUVWXYZabcdefghijklmnopqrstuvwxyz .,")))&gt;0),"Last Name contains unsupported or encoded characters; use plain A-Z letters only; ","")&amp;IF(LEN($E484&amp;"")&gt;1,"Middle Initial may contain only one character; ","")&amp;IF(AND($E484&lt;&gt;"",SUMPRODUCT(--(ROW($1:$1)&lt;=LEN($E484&amp;"")),--ISERROR(FIND(MID($E484&amp;"",ROW($1:$1),1),"ABCDEFGHIJKLMNOPQRSTUVWXYZabcdefghijklmnopqrstuvwxyz .,")))&gt;0),"Middle Initial must be a plain A-Z letter; ","")&amp;IF($F484="","Address is required; ","")&amp;IF(LEN($F484&amp;"")&gt;75,"Address exceeds 75 characters; ","")&amp;IF(LEN($G484&amp;"")&gt;75,"Address 2 exceeds 75 characters; ","")&amp;IF($H484="","City is required; ","")&amp;IF(LEN($H484&amp;"")&gt;30,"City exceeds 30 characters; ","")&amp;IF($K484="","Country is required; ","")&amp;IF(AND($K484&lt;&gt;"",$K484&lt;&gt;"US",$K484&lt;&gt;"CA"),"Country must be US or CA; ","")&amp;IF(AND($K484="US",OR($I484="",LEN($I484&amp;"")&lt;&gt;2)),"Use a 2-letter state code; ","")&amp;IF($J484="","ZIP or postal code is required; ","")&amp;IF(AND($K484="US",$J484&lt;&gt;"",NOT(IFERROR(OR(AND(LEN($J484&amp;"")=5,ISNUMBER(--($J484&amp;""))),AND(LEN($J484&amp;"")=9,ISNUMBER(--($J484&amp;""))),AND(LEN($J484&amp;"")=10,MID($J484&amp;"",6,1)="-",ISNUMBER(--SUBSTITUTE($J484&amp;"","-","")))),FALSE))),"US ZIP must be 5 or 9 digits, with an optional ZIP+4 hyphen; ","")&amp;IF(AND($N484&lt;&gt;"",NOT(IFERROR(AND(ISNUMBER(SEARCH("@",$N484)),ISNUMBER(SEARCH(".",$N484,SEARCH("@",$N484)+2))),FALSE))),"Email format appears invalid; ","")&amp;IF(AND($O484&lt;&gt;"",$B484=""),"Dependent SSN is required for every dependent; ","")&amp;IF(AND($B484&lt;&gt;"",$O484=""),"Dependent Relationship is required when Dependent SSN is entered; ","")&amp;IF(AND($O484&lt;&gt;"",$O484&lt;&gt;"Spouse or Common Law Spouse",$O484&lt;&gt;"Domestic Partner",$O484&lt;&gt;"Child",$O484&lt;&gt;"Other",$O484&lt;&gt;"Estate",$O484&lt;&gt;"Unknown"),"Dependent Relationship must use one of the approved options; ",""))</f>
        <v/>
      </c>
      <c r="Z484">
        <f>IF(COUNTA($A484:$U484)=0,"",IF(AND($A484&lt;&gt;"",NOT(IFERROR(AND(LEN($A484&amp;"")=9,ISNUMBER(--($A484&amp;""))),FALSE))),"Employee SSN must contain exactly 9 digits; ","")&amp;IF(AND($A484&lt;&gt;"",OR($A484="123456789",$A484="987654321",$A484="012345678",$A484=REPT(LEFT($A484&amp;"",1),9))),"Employee SSN appears to be a placeholder; ","")&amp;IF(AND($B484&lt;&gt;"",NOT(IFERROR(AND(LEN($B484&amp;"")=9,ISNUMBER(--($B484&amp;""))),FALSE))),"Dependent SSN must contain exactly 9 digits; ","")&amp;IF(AND($B484&lt;&gt;"",OR($B484="123456789",$B484="987654321",$B484="012345678",$B484=REPT(LEFT($B484&amp;"",1),9))),"Dependent SSN appears to be a placeholder; ","")&amp;IF(AND($A484&lt;&gt;"",$B484&lt;&gt;"",$A484&amp;""=$B484&amp;""),"Dependent SSN cannot match Employee SSN; ","")&amp;IF(AND($W484&lt;&gt;"",OR(COUNTIFS($W$2:$W$501,$W484,$C$2:$C$501,"&lt;&gt;"&amp;$C484)&gt;0,COUNTIFS($W$2:$W$501,$W484,$D$2:$D$501,"&lt;&gt;"&amp;$D484)&gt;0,COUNTIFS($W$2:$W$501,$W484,$L$2:$L$501,"&lt;&gt;"&amp;$L484)&gt;0)),"The same SSN is associated with a different name or birthdate; ",""))</f>
        <v/>
      </c>
      <c r="AA484">
        <f>IF(COUNTA($A484:$U484)=0,"",IF(AND($A484&lt;&gt;"",$S484&lt;&gt;"",COUNTIFS($A$2:$A$501,$A484,$S$2:$S$501,$S484,$B$2:$B$501,"",$O$2:$O$501,"")=0),"Add an employee row for this household and plan; ","")&amp;IF(AND($X484="Dependent",COUNTIFS($A$2:$A484,$A484,$S$2:$S484,$S484,$B$2:$B484,"",$O$2:$O484,"")=0),"Place the employee row before dependent rows for this plan; ","")&amp;IF(AND($X484="Dependent",COUNTIFS($A$2:$A$501,$A484,$S$2:$S$501,$S484,$B$2:$B$501,"",$O$2:$O$501,"")&gt;0,IFERROR(OR($P484&lt;&gt;LOOKUP(2,1/(($A$2:$A$501=$A484)*($S$2:$S$501=$S484)*($B$2:$B$501="")*($O$2:$O$501="")),$P$2:$P$501),$Q484&lt;&gt;LOOKUP(2,1/(($A$2:$A$501=$A484)*($S$2:$S$501=$S484)*($B$2:$B$501="")*($O$2:$O$501="")),$Q$2:$Q$501),$R484&lt;&gt;LOOKUP(2,1/(($A$2:$A$501=$A484)*($S$2:$S$501=$S484)*($B$2:$B$501="")*($O$2:$O$501="")),$R$2:$R$501),$T484&lt;&gt;LOOKUP(2,1/(($A$2:$A$501=$A484)*($S$2:$S$501=$S484)*($B$2:$B$501="")*($O$2:$O$501="")),$T$2:$T$501),$U484&lt;&gt;LOOKUP(2,1/(($A$2:$A$501=$A484)*($S$2:$S$501=$S484)*($B$2:$B$501="")*($O$2:$O$501="")),$U$2:$U$501)),FALSE)),"Dependent row does not match the employee row for eligibility, status, coverage level, or funding; ",""))</f>
        <v/>
      </c>
      <c r="AB484">
        <f>IF(COUNTA($A484:$U484)=0,"",IF($L484="","Birthdate is required; ","")&amp;IF(AND($L484&lt;&gt;"",OR(NOT(ISNUMBER($L484)),$L484&lt;=DATE(1900,1,1),$L484&gt;TODAY())),"Birthdate must be an exact valid past date; ","")&amp;IF($P484="","Eligibility Date is required; ","")&amp;IF(AND($P484&lt;&gt;"",OR(NOT(ISNUMBER($P484)),$P484&lt;=DATE(1900,1,1))),"Eligibility Date must be a valid date; ","")&amp;IF(AND($R484="Terminated",$Q484=""),"Termination Date is required when Status is Terminated; ","")&amp;IF(AND($Q484&lt;&gt;"",OR(NOT(ISNUMBER($Q484)),$Q484&lt;=DATE(1900,1,1))),"Termination Date must be a valid date; ","")&amp;IF(AND(ISNUMBER($P484),ISNUMBER($Q484),$Q484&lt;$P484),"Termination Date cannot be before Eligibility Date; ","")&amp;IF($R484="","Status is required; ","")&amp;IF(AND($R484&lt;&gt;"",$R484&lt;&gt;"Active",$R484&lt;&gt;"Terminated"),"Status must be Active or Terminated; ","")&amp;IF(AND('START HERE'!$C$8="Terminations Only",$R484&lt;&gt;"Terminated"),"Terminations Only files must contain terminated records; ",""))</f>
        <v/>
      </c>
      <c r="AC484">
        <f>IF(COUNTA($A484:$U484)=0,"",IF($S484="","Plan Name is required; ","")&amp;IF($T484="","Benefit Coverage Level is required; ","")&amp;IF(AND($U484&lt;&gt;"",OR(NOT(ISNUMBER($U484)),$U484&lt;0)),"Plan Funding Amount must be a nonnegative number; ","")&amp;IF(AND($A484&lt;&gt;"",$S484&lt;&gt;"",COUNTIFS($A$2:$A$501,$A484,$B$2:$B$501,$B484,$S$2:$S$501,$S484)&gt;1),"Duplicate participant and plan row; ",""))</f>
        <v/>
      </c>
      <c r="AD484">
        <f>IF(COUNTA($A484:$U484)=0,"",IF(AND($X484="Employee",$M484="",$N484=""),"No employee phone or email provided; ","")&amp;IF(AND($R484="Active",$Q484&lt;&gt;""),"Active record includes a Termination Date; confirm this is intentional; ","")&amp;IF(AND($B484&lt;&gt;"",$B484&amp;""&lt;&gt;$A484&amp;"",COUNTIF($A$2:$A$501,$B484)&gt;0),"Dependent SSN also appears as an Employee SSN elsewhere; confirm dual-employee coverage is intentional; ","")&amp;IF(AND($B484&lt;&gt;"",COUNTIF($B$2:$B$501,$B484)&gt;COUNTIFS($A$2:$A$501,$A484,$B$2:$B$501,$B484)),"Dependent SSN appears under more than one employee; confirm duplicate family coverage is intentional; ","")&amp;IF(AND(ROW()&gt;2,$A484&lt;&gt;"",$A484&lt;&gt;$A483,COUNTIF($A$2:$A483,$A484)&gt;0),"This household appears in more than one section of the census; keep the family together; ","")&amp;IF(OR(AND($C484&lt;&gt;"",LEN($C484&amp;"")&lt;&gt;LEN(TRIM($C484&amp;""))),AND($D484&lt;&gt;"",LEN($D484&amp;"")&lt;&gt;LEN(TRIM($D484&amp;""))),AND($E484&lt;&gt;"",LEN($E484&amp;"")&lt;&gt;LEN(TRIM($E484&amp;""))),AND($F484&lt;&gt;"",LEN($F484&amp;"")&lt;&gt;LEN(TRIM($F484&amp;""))),AND($G484&lt;&gt;"",LEN($G484&amp;"")&lt;&gt;LEN(TRIM($G484&amp;""))),AND($H484&lt;&gt;"",LEN($H484&amp;"")&lt;&gt;LEN(TRIM($H484&amp;""))),AND($I484&lt;&gt;"",LEN($I484&amp;"")&lt;&gt;LEN(TRIM($I484&amp;""))),AND($J484&lt;&gt;"",LEN($J484&amp;"")&lt;&gt;LEN(TRIM($J484&amp;""))),AND($K484&lt;&gt;"",LEN($K484&amp;"")&lt;&gt;LEN(TRIM($K484&amp;""))),AND($M484&lt;&gt;"",LEN($M484&amp;"")&lt;&gt;LEN(TRIM($M484&amp;""))),AND($N484&lt;&gt;"",LEN($N484&amp;"")&lt;&gt;LEN(TRIM($N484&amp;""))),AND($O484&lt;&gt;"",LEN($O484&amp;"")&lt;&gt;LEN(TRIM($O484&amp;""))),AND($R484&lt;&gt;"",LEN($R484&amp;"")&lt;&gt;LEN(TRIM($R484&amp;""))),AND($S484&lt;&gt;"",LEN($S484&amp;"")&lt;&gt;LEN(TRIM($S484&amp;""))),AND($T484&lt;&gt;"",LEN($T484&amp;"")&lt;&gt;LEN(TRIM($T484&amp;"")))),"Remove leading or trailing spaces from text fields; ","")&amp;IF(OR(AND(LEN($C484)&gt;1,OR(EXACT($C484,UPPER($C484)),EXACT($C484,LOWER($C484)))),AND(LEN($D484)&gt;1,OR(EXACT($D484,UPPER($D484)),EXACT($D484,LOWER($D484)))),AND(LEN($H484)&gt;1,OR(EXACT($H484,UPPER($H484)),EXACT($H484,LOWER($H484))))),"Review capitalization in First Name, Last Name, or City; ","")&amp;IF(AND($N484&lt;&gt;"",NOT(EXACT($N484,LOWER($N484)))),"Email will be standardized to lowercase in the clean output; ","")&amp;IF(AND(OR('START HERE'!$C$8="Initial Enrollment",'START HERE'!$C$8="Open Enrollment"),$R484="Terminated"),"A terminated row is included in an initial or open enrollment file; confirm this is intentional; ",""))</f>
        <v/>
      </c>
      <c r="AE484">
        <f>IF(COUNTA($A484:$U484)=0,"",IF(OR($A484="",AND($A484&lt;&gt;"",NOT(IFERROR(AND(LEN($A484&amp;"")=9,ISNUMBER(--($A484&amp;""))),FALSE))),AND($A484&lt;&gt;"",OR($A484="123456789",$A484="987654321",$A484="012345678",$A484=REPT(LEFT($A484&amp;"",1),9)))),"Employee SSN, ","")&amp;IF(OR(AND($O484&lt;&gt;"",$B484=""),AND($B484&lt;&gt;"",OR(NOT(IFERROR(AND(LEN($B484&amp;"")=9,ISNUMBER(--($B484&amp;""))),FALSE)),$B484=$A484,$B484="123456789",$B484="987654321",$B484="012345678",$B484=REPT(LEFT($B484&amp;"",1),9)))),"Dependent SSN, ","")&amp;IF(OR($C484="",LEN($C484)&gt;19,AND($C484&lt;&gt;"",SUMPRODUCT(--(ROW($1:$19)&lt;=LEN($C484&amp;"")),--ISERROR(FIND(MID($C484&amp;"",ROW($1:$19),1),"ABCDEFGHIJKLMNOPQRSTUVWXYZabcdefghijklmnopqrstuvwxyz .,")))&gt;0)),"First Name, ","")&amp;IF(OR($D484="",LEN($D484)&gt;26,AND($D484&lt;&gt;"",SUMPRODUCT(--(ROW($1:$26)&lt;=LEN($D484&amp;"")),--ISERROR(FIND(MID($D484&amp;"",ROW($1:$26),1),"ABCDEFGHIJKLMNOPQRSTUVWXYZabcdefghijklmnopqrstuvwxyz .,")))&gt;0)),"Last Name, ","")&amp;IF(OR(LEN($E484)&gt;1,AND($E484&lt;&gt;"",SUMPRODUCT(--(ROW($1:$1)&lt;=LEN($E484&amp;"")),--ISERROR(FIND(MID($E484&amp;"",ROW($1:$1),1),"ABCDEFGHIJKLMNOPQRSTUVWXYZabcdefghijklmnopqrstuvwxyz .,")))&gt;0)),"Middle Initial, ","")&amp;IF(OR($F484="",LEN($F484)&gt;75),"Address, ","")&amp;IF(OR($H484="",LEN($H484)&gt;30),"City, ","")&amp;IF(AND($K484="US",OR($I484="",LEN($I484)&lt;&gt;2)),"State, ","")&amp;IF($J484="","ZIP, ","")&amp;IF(OR($K484="",AND($K484&lt;&gt;"US",$K484&lt;&gt;"CA")),"Country, ","")&amp;IF(OR($L484="",AND($L484&lt;&gt;"",OR(NOT(ISNUMBER($L484)),$L484&lt;=DATE(1900,1,1),$L484&gt;TODAY()))),"Birthdate, ","")&amp;IF(AND($N484&lt;&gt;"",NOT(IFERROR(AND(ISNUMBER(SEARCH("@",$N484)),ISNUMBER(SEARCH(".",$N484,SEARCH("@",$N484)+2))),FALSE))),"Email, ","")&amp;IF(OR(AND($B484&lt;&gt;"",$O484=""),AND($O484&lt;&gt;"",$O484&lt;&gt;"Spouse or Common Law Spouse",$O484&lt;&gt;"Domestic Partner",$O484&lt;&gt;"Child",$O484&lt;&gt;"Other",$O484&lt;&gt;"Estate",$O484&lt;&gt;"Unknown")),"Dependent Relationship, ","")&amp;IF($AA484&lt;&gt;"","Household, ","")&amp;IF(OR($P484="",AND($P484&lt;&gt;"",OR(NOT(ISNUMBER($P484)),$P484&lt;=DATE(1900,1,1)))),"Eligibility Date, ","")&amp;IF(OR(AND($R484="Terminated",$Q484=""),AND($Q484&lt;&gt;"",OR(NOT(ISNUMBER($Q484)),$Q484&lt;=DATE(1900,1,1))),AND(ISNUMBER($P484),ISNUMBER($Q484),$Q484&lt;$P484)),"Termination Date, ","")&amp;IF(OR($R484="",AND($R484&lt;&gt;"Active",$R484&lt;&gt;"Terminated"),AND('START HERE'!$C$8="Terminations Only",$R484&lt;&gt;"Terminated")),"Status, ","")&amp;IF($S484="","Plan Name, ","")&amp;IF($T484="","Coverage Level, ","")&amp;IF(AND($U484&lt;&gt;"",OR(NOT(ISNUMBER($U484)),$U484&lt;0)),"Funding, ","")&amp;IF(AND($A484&lt;&gt;"",$S484&lt;&gt;"",COUNTIFS($A$2:$A$501,$A484,$B$2:$B$501,$B484,$S$2:$S$501,$S484)&gt;1),"Duplicate Row, ",""))</f>
        <v/>
      </c>
      <c r="AF484">
        <f>IF(COUNTA($A484:$U484)=0,"",$Y484&amp;$Z484&amp;$AA484&amp;$AB484&amp;$AC484)</f>
        <v/>
      </c>
      <c r="AG484">
        <f>IF($N484="","",LOWER(TRIM($N484)))</f>
        <v/>
      </c>
      <c r="AH484">
        <f>IF($A484="","",COUNTIFS($A$2:$A$501,$A484,$AI$2:$AI$501,1))</f>
        <v/>
      </c>
      <c r="AI484">
        <f>IF(COUNTA($A484:$U484)=0,"",--($AF484&lt;&gt;""))</f>
        <v/>
      </c>
      <c r="AJ484">
        <f>IF(COUNTA($A484:$U484)=0,"",--($AD484&lt;&gt;""))</f>
        <v/>
      </c>
    </row>
    <row r="485" ht="20" customHeight="1">
      <c r="A485" s="80" t="n"/>
      <c r="B485" s="80" t="n"/>
      <c r="C485" s="81" t="n"/>
      <c r="D485" s="81" t="n"/>
      <c r="E485" s="80" t="n"/>
      <c r="F485" s="81" t="n"/>
      <c r="G485" s="81" t="n"/>
      <c r="H485" s="81" t="n"/>
      <c r="I485" s="80" t="n"/>
      <c r="J485" s="80" t="n"/>
      <c r="K485" s="80" t="n"/>
      <c r="L485" s="82" t="n"/>
      <c r="M485" s="80" t="n"/>
      <c r="N485" s="80" t="n"/>
      <c r="O485" s="80" t="n"/>
      <c r="P485" s="82" t="n"/>
      <c r="Q485" s="82" t="n"/>
      <c r="R485" s="80" t="n"/>
      <c r="S485" s="80" t="n"/>
      <c r="T485" s="80" t="n"/>
      <c r="U485" s="83" t="n"/>
      <c r="V485">
        <f>IF($A485="","",IF($A485=$A484,$V484,IF($V484="",0,1-$V484)))</f>
        <v/>
      </c>
      <c r="W485">
        <f>IF($B485&lt;&gt;"",$B485,$A485)</f>
        <v/>
      </c>
      <c r="X485">
        <f>IF(COUNTA($A485:$U485)=0,"",IF(OR($B485&lt;&gt;"",$O485&lt;&gt;""),"Dependent","Employee"))</f>
        <v/>
      </c>
      <c r="Y485">
        <f>IF(COUNTA($A485:$U485)=0,"",IF($A485="","Employee SSN is required; ","")&amp;IF($C485="","First Name is required; ","")&amp;IF(LEN($C485&amp;"")&gt;19,"First Name exceeds 19 characters; ","")&amp;IF(AND($C485&lt;&gt;"",SUMPRODUCT(--(ROW($1:$19)&lt;=LEN($C485&amp;"")),--ISERROR(FIND(MID($C485&amp;"",ROW($1:$19),1),"ABCDEFGHIJKLMNOPQRSTUVWXYZabcdefghijklmnopqrstuvwxyz .,")))&gt;0),"First Name contains unsupported or encoded characters; use plain A-Z letters only; ","")&amp;IF($D485="","Last Name is required; ","")&amp;IF(LEN($D485&amp;"")&gt;26,"Last Name exceeds 26 characters; ","")&amp;IF(AND($D485&lt;&gt;"",SUMPRODUCT(--(ROW($1:$26)&lt;=LEN($D485&amp;"")),--ISERROR(FIND(MID($D485&amp;"",ROW($1:$26),1),"ABCDEFGHIJKLMNOPQRSTUVWXYZabcdefghijklmnopqrstuvwxyz .,")))&gt;0),"Last Name contains unsupported or encoded characters; use plain A-Z letters only; ","")&amp;IF(LEN($E485&amp;"")&gt;1,"Middle Initial may contain only one character; ","")&amp;IF(AND($E485&lt;&gt;"",SUMPRODUCT(--(ROW($1:$1)&lt;=LEN($E485&amp;"")),--ISERROR(FIND(MID($E485&amp;"",ROW($1:$1),1),"ABCDEFGHIJKLMNOPQRSTUVWXYZabcdefghijklmnopqrstuvwxyz .,")))&gt;0),"Middle Initial must be a plain A-Z letter; ","")&amp;IF($F485="","Address is required; ","")&amp;IF(LEN($F485&amp;"")&gt;75,"Address exceeds 75 characters; ","")&amp;IF(LEN($G485&amp;"")&gt;75,"Address 2 exceeds 75 characters; ","")&amp;IF($H485="","City is required; ","")&amp;IF(LEN($H485&amp;"")&gt;30,"City exceeds 30 characters; ","")&amp;IF($K485="","Country is required; ","")&amp;IF(AND($K485&lt;&gt;"",$K485&lt;&gt;"US",$K485&lt;&gt;"CA"),"Country must be US or CA; ","")&amp;IF(AND($K485="US",OR($I485="",LEN($I485&amp;"")&lt;&gt;2)),"Use a 2-letter state code; ","")&amp;IF($J485="","ZIP or postal code is required; ","")&amp;IF(AND($K485="US",$J485&lt;&gt;"",NOT(IFERROR(OR(AND(LEN($J485&amp;"")=5,ISNUMBER(--($J485&amp;""))),AND(LEN($J485&amp;"")=9,ISNUMBER(--($J485&amp;""))),AND(LEN($J485&amp;"")=10,MID($J485&amp;"",6,1)="-",ISNUMBER(--SUBSTITUTE($J485&amp;"","-","")))),FALSE))),"US ZIP must be 5 or 9 digits, with an optional ZIP+4 hyphen; ","")&amp;IF(AND($N485&lt;&gt;"",NOT(IFERROR(AND(ISNUMBER(SEARCH("@",$N485)),ISNUMBER(SEARCH(".",$N485,SEARCH("@",$N485)+2))),FALSE))),"Email format appears invalid; ","")&amp;IF(AND($O485&lt;&gt;"",$B485=""),"Dependent SSN is required for every dependent; ","")&amp;IF(AND($B485&lt;&gt;"",$O485=""),"Dependent Relationship is required when Dependent SSN is entered; ","")&amp;IF(AND($O485&lt;&gt;"",$O485&lt;&gt;"Spouse or Common Law Spouse",$O485&lt;&gt;"Domestic Partner",$O485&lt;&gt;"Child",$O485&lt;&gt;"Other",$O485&lt;&gt;"Estate",$O485&lt;&gt;"Unknown"),"Dependent Relationship must use one of the approved options; ",""))</f>
        <v/>
      </c>
      <c r="Z485">
        <f>IF(COUNTA($A485:$U485)=0,"",IF(AND($A485&lt;&gt;"",NOT(IFERROR(AND(LEN($A485&amp;"")=9,ISNUMBER(--($A485&amp;""))),FALSE))),"Employee SSN must contain exactly 9 digits; ","")&amp;IF(AND($A485&lt;&gt;"",OR($A485="123456789",$A485="987654321",$A485="012345678",$A485=REPT(LEFT($A485&amp;"",1),9))),"Employee SSN appears to be a placeholder; ","")&amp;IF(AND($B485&lt;&gt;"",NOT(IFERROR(AND(LEN($B485&amp;"")=9,ISNUMBER(--($B485&amp;""))),FALSE))),"Dependent SSN must contain exactly 9 digits; ","")&amp;IF(AND($B485&lt;&gt;"",OR($B485="123456789",$B485="987654321",$B485="012345678",$B485=REPT(LEFT($B485&amp;"",1),9))),"Dependent SSN appears to be a placeholder; ","")&amp;IF(AND($A485&lt;&gt;"",$B485&lt;&gt;"",$A485&amp;""=$B485&amp;""),"Dependent SSN cannot match Employee SSN; ","")&amp;IF(AND($W485&lt;&gt;"",OR(COUNTIFS($W$2:$W$501,$W485,$C$2:$C$501,"&lt;&gt;"&amp;$C485)&gt;0,COUNTIFS($W$2:$W$501,$W485,$D$2:$D$501,"&lt;&gt;"&amp;$D485)&gt;0,COUNTIFS($W$2:$W$501,$W485,$L$2:$L$501,"&lt;&gt;"&amp;$L485)&gt;0)),"The same SSN is associated with a different name or birthdate; ",""))</f>
        <v/>
      </c>
      <c r="AA485">
        <f>IF(COUNTA($A485:$U485)=0,"",IF(AND($A485&lt;&gt;"",$S485&lt;&gt;"",COUNTIFS($A$2:$A$501,$A485,$S$2:$S$501,$S485,$B$2:$B$501,"",$O$2:$O$501,"")=0),"Add an employee row for this household and plan; ","")&amp;IF(AND($X485="Dependent",COUNTIFS($A$2:$A485,$A485,$S$2:$S485,$S485,$B$2:$B485,"",$O$2:$O485,"")=0),"Place the employee row before dependent rows for this plan; ","")&amp;IF(AND($X485="Dependent",COUNTIFS($A$2:$A$501,$A485,$S$2:$S$501,$S485,$B$2:$B$501,"",$O$2:$O$501,"")&gt;0,IFERROR(OR($P485&lt;&gt;LOOKUP(2,1/(($A$2:$A$501=$A485)*($S$2:$S$501=$S485)*($B$2:$B$501="")*($O$2:$O$501="")),$P$2:$P$501),$Q485&lt;&gt;LOOKUP(2,1/(($A$2:$A$501=$A485)*($S$2:$S$501=$S485)*($B$2:$B$501="")*($O$2:$O$501="")),$Q$2:$Q$501),$R485&lt;&gt;LOOKUP(2,1/(($A$2:$A$501=$A485)*($S$2:$S$501=$S485)*($B$2:$B$501="")*($O$2:$O$501="")),$R$2:$R$501),$T485&lt;&gt;LOOKUP(2,1/(($A$2:$A$501=$A485)*($S$2:$S$501=$S485)*($B$2:$B$501="")*($O$2:$O$501="")),$T$2:$T$501),$U485&lt;&gt;LOOKUP(2,1/(($A$2:$A$501=$A485)*($S$2:$S$501=$S485)*($B$2:$B$501="")*($O$2:$O$501="")),$U$2:$U$501)),FALSE)),"Dependent row does not match the employee row for eligibility, status, coverage level, or funding; ",""))</f>
        <v/>
      </c>
      <c r="AB485">
        <f>IF(COUNTA($A485:$U485)=0,"",IF($L485="","Birthdate is required; ","")&amp;IF(AND($L485&lt;&gt;"",OR(NOT(ISNUMBER($L485)),$L485&lt;=DATE(1900,1,1),$L485&gt;TODAY())),"Birthdate must be an exact valid past date; ","")&amp;IF($P485="","Eligibility Date is required; ","")&amp;IF(AND($P485&lt;&gt;"",OR(NOT(ISNUMBER($P485)),$P485&lt;=DATE(1900,1,1))),"Eligibility Date must be a valid date; ","")&amp;IF(AND($R485="Terminated",$Q485=""),"Termination Date is required when Status is Terminated; ","")&amp;IF(AND($Q485&lt;&gt;"",OR(NOT(ISNUMBER($Q485)),$Q485&lt;=DATE(1900,1,1))),"Termination Date must be a valid date; ","")&amp;IF(AND(ISNUMBER($P485),ISNUMBER($Q485),$Q485&lt;$P485),"Termination Date cannot be before Eligibility Date; ","")&amp;IF($R485="","Status is required; ","")&amp;IF(AND($R485&lt;&gt;"",$R485&lt;&gt;"Active",$R485&lt;&gt;"Terminated"),"Status must be Active or Terminated; ","")&amp;IF(AND('START HERE'!$C$8="Terminations Only",$R485&lt;&gt;"Terminated"),"Terminations Only files must contain terminated records; ",""))</f>
        <v/>
      </c>
      <c r="AC485">
        <f>IF(COUNTA($A485:$U485)=0,"",IF($S485="","Plan Name is required; ","")&amp;IF($T485="","Benefit Coverage Level is required; ","")&amp;IF(AND($U485&lt;&gt;"",OR(NOT(ISNUMBER($U485)),$U485&lt;0)),"Plan Funding Amount must be a nonnegative number; ","")&amp;IF(AND($A485&lt;&gt;"",$S485&lt;&gt;"",COUNTIFS($A$2:$A$501,$A485,$B$2:$B$501,$B485,$S$2:$S$501,$S485)&gt;1),"Duplicate participant and plan row; ",""))</f>
        <v/>
      </c>
      <c r="AD485">
        <f>IF(COUNTA($A485:$U485)=0,"",IF(AND($X485="Employee",$M485="",$N485=""),"No employee phone or email provided; ","")&amp;IF(AND($R485="Active",$Q485&lt;&gt;""),"Active record includes a Termination Date; confirm this is intentional; ","")&amp;IF(AND($B485&lt;&gt;"",$B485&amp;""&lt;&gt;$A485&amp;"",COUNTIF($A$2:$A$501,$B485)&gt;0),"Dependent SSN also appears as an Employee SSN elsewhere; confirm dual-employee coverage is intentional; ","")&amp;IF(AND($B485&lt;&gt;"",COUNTIF($B$2:$B$501,$B485)&gt;COUNTIFS($A$2:$A$501,$A485,$B$2:$B$501,$B485)),"Dependent SSN appears under more than one employee; confirm duplicate family coverage is intentional; ","")&amp;IF(AND(ROW()&gt;2,$A485&lt;&gt;"",$A485&lt;&gt;$A484,COUNTIF($A$2:$A484,$A485)&gt;0),"This household appears in more than one section of the census; keep the family together; ","")&amp;IF(OR(AND($C485&lt;&gt;"",LEN($C485&amp;"")&lt;&gt;LEN(TRIM($C485&amp;""))),AND($D485&lt;&gt;"",LEN($D485&amp;"")&lt;&gt;LEN(TRIM($D485&amp;""))),AND($E485&lt;&gt;"",LEN($E485&amp;"")&lt;&gt;LEN(TRIM($E485&amp;""))),AND($F485&lt;&gt;"",LEN($F485&amp;"")&lt;&gt;LEN(TRIM($F485&amp;""))),AND($G485&lt;&gt;"",LEN($G485&amp;"")&lt;&gt;LEN(TRIM($G485&amp;""))),AND($H485&lt;&gt;"",LEN($H485&amp;"")&lt;&gt;LEN(TRIM($H485&amp;""))),AND($I485&lt;&gt;"",LEN($I485&amp;"")&lt;&gt;LEN(TRIM($I485&amp;""))),AND($J485&lt;&gt;"",LEN($J485&amp;"")&lt;&gt;LEN(TRIM($J485&amp;""))),AND($K485&lt;&gt;"",LEN($K485&amp;"")&lt;&gt;LEN(TRIM($K485&amp;""))),AND($M485&lt;&gt;"",LEN($M485&amp;"")&lt;&gt;LEN(TRIM($M485&amp;""))),AND($N485&lt;&gt;"",LEN($N485&amp;"")&lt;&gt;LEN(TRIM($N485&amp;""))),AND($O485&lt;&gt;"",LEN($O485&amp;"")&lt;&gt;LEN(TRIM($O485&amp;""))),AND($R485&lt;&gt;"",LEN($R485&amp;"")&lt;&gt;LEN(TRIM($R485&amp;""))),AND($S485&lt;&gt;"",LEN($S485&amp;"")&lt;&gt;LEN(TRIM($S485&amp;""))),AND($T485&lt;&gt;"",LEN($T485&amp;"")&lt;&gt;LEN(TRIM($T485&amp;"")))),"Remove leading or trailing spaces from text fields; ","")&amp;IF(OR(AND(LEN($C485)&gt;1,OR(EXACT($C485,UPPER($C485)),EXACT($C485,LOWER($C485)))),AND(LEN($D485)&gt;1,OR(EXACT($D485,UPPER($D485)),EXACT($D485,LOWER($D485)))),AND(LEN($H485)&gt;1,OR(EXACT($H485,UPPER($H485)),EXACT($H485,LOWER($H485))))),"Review capitalization in First Name, Last Name, or City; ","")&amp;IF(AND($N485&lt;&gt;"",NOT(EXACT($N485,LOWER($N485)))),"Email will be standardized to lowercase in the clean output; ","")&amp;IF(AND(OR('START HERE'!$C$8="Initial Enrollment",'START HERE'!$C$8="Open Enrollment"),$R485="Terminated"),"A terminated row is included in an initial or open enrollment file; confirm this is intentional; ",""))</f>
        <v/>
      </c>
      <c r="AE485">
        <f>IF(COUNTA($A485:$U485)=0,"",IF(OR($A485="",AND($A485&lt;&gt;"",NOT(IFERROR(AND(LEN($A485&amp;"")=9,ISNUMBER(--($A485&amp;""))),FALSE))),AND($A485&lt;&gt;"",OR($A485="123456789",$A485="987654321",$A485="012345678",$A485=REPT(LEFT($A485&amp;"",1),9)))),"Employee SSN, ","")&amp;IF(OR(AND($O485&lt;&gt;"",$B485=""),AND($B485&lt;&gt;"",OR(NOT(IFERROR(AND(LEN($B485&amp;"")=9,ISNUMBER(--($B485&amp;""))),FALSE)),$B485=$A485,$B485="123456789",$B485="987654321",$B485="012345678",$B485=REPT(LEFT($B485&amp;"",1),9)))),"Dependent SSN, ","")&amp;IF(OR($C485="",LEN($C485)&gt;19,AND($C485&lt;&gt;"",SUMPRODUCT(--(ROW($1:$19)&lt;=LEN($C485&amp;"")),--ISERROR(FIND(MID($C485&amp;"",ROW($1:$19),1),"ABCDEFGHIJKLMNOPQRSTUVWXYZabcdefghijklmnopqrstuvwxyz .,")))&gt;0)),"First Name, ","")&amp;IF(OR($D485="",LEN($D485)&gt;26,AND($D485&lt;&gt;"",SUMPRODUCT(--(ROW($1:$26)&lt;=LEN($D485&amp;"")),--ISERROR(FIND(MID($D485&amp;"",ROW($1:$26),1),"ABCDEFGHIJKLMNOPQRSTUVWXYZabcdefghijklmnopqrstuvwxyz .,")))&gt;0)),"Last Name, ","")&amp;IF(OR(LEN($E485)&gt;1,AND($E485&lt;&gt;"",SUMPRODUCT(--(ROW($1:$1)&lt;=LEN($E485&amp;"")),--ISERROR(FIND(MID($E485&amp;"",ROW($1:$1),1),"ABCDEFGHIJKLMNOPQRSTUVWXYZabcdefghijklmnopqrstuvwxyz .,")))&gt;0)),"Middle Initial, ","")&amp;IF(OR($F485="",LEN($F485)&gt;75),"Address, ","")&amp;IF(OR($H485="",LEN($H485)&gt;30),"City, ","")&amp;IF(AND($K485="US",OR($I485="",LEN($I485)&lt;&gt;2)),"State, ","")&amp;IF($J485="","ZIP, ","")&amp;IF(OR($K485="",AND($K485&lt;&gt;"US",$K485&lt;&gt;"CA")),"Country, ","")&amp;IF(OR($L485="",AND($L485&lt;&gt;"",OR(NOT(ISNUMBER($L485)),$L485&lt;=DATE(1900,1,1),$L485&gt;TODAY()))),"Birthdate, ","")&amp;IF(AND($N485&lt;&gt;"",NOT(IFERROR(AND(ISNUMBER(SEARCH("@",$N485)),ISNUMBER(SEARCH(".",$N485,SEARCH("@",$N485)+2))),FALSE))),"Email, ","")&amp;IF(OR(AND($B485&lt;&gt;"",$O485=""),AND($O485&lt;&gt;"",$O485&lt;&gt;"Spouse or Common Law Spouse",$O485&lt;&gt;"Domestic Partner",$O485&lt;&gt;"Child",$O485&lt;&gt;"Other",$O485&lt;&gt;"Estate",$O485&lt;&gt;"Unknown")),"Dependent Relationship, ","")&amp;IF($AA485&lt;&gt;"","Household, ","")&amp;IF(OR($P485="",AND($P485&lt;&gt;"",OR(NOT(ISNUMBER($P485)),$P485&lt;=DATE(1900,1,1)))),"Eligibility Date, ","")&amp;IF(OR(AND($R485="Terminated",$Q485=""),AND($Q485&lt;&gt;"",OR(NOT(ISNUMBER($Q485)),$Q485&lt;=DATE(1900,1,1))),AND(ISNUMBER($P485),ISNUMBER($Q485),$Q485&lt;$P485)),"Termination Date, ","")&amp;IF(OR($R485="",AND($R485&lt;&gt;"Active",$R485&lt;&gt;"Terminated"),AND('START HERE'!$C$8="Terminations Only",$R485&lt;&gt;"Terminated")),"Status, ","")&amp;IF($S485="","Plan Name, ","")&amp;IF($T485="","Coverage Level, ","")&amp;IF(AND($U485&lt;&gt;"",OR(NOT(ISNUMBER($U485)),$U485&lt;0)),"Funding, ","")&amp;IF(AND($A485&lt;&gt;"",$S485&lt;&gt;"",COUNTIFS($A$2:$A$501,$A485,$B$2:$B$501,$B485,$S$2:$S$501,$S485)&gt;1),"Duplicate Row, ",""))</f>
        <v/>
      </c>
      <c r="AF485">
        <f>IF(COUNTA($A485:$U485)=0,"",$Y485&amp;$Z485&amp;$AA485&amp;$AB485&amp;$AC485)</f>
        <v/>
      </c>
      <c r="AG485">
        <f>IF($N485="","",LOWER(TRIM($N485)))</f>
        <v/>
      </c>
      <c r="AH485">
        <f>IF($A485="","",COUNTIFS($A$2:$A$501,$A485,$AI$2:$AI$501,1))</f>
        <v/>
      </c>
      <c r="AI485">
        <f>IF(COUNTA($A485:$U485)=0,"",--($AF485&lt;&gt;""))</f>
        <v/>
      </c>
      <c r="AJ485">
        <f>IF(COUNTA($A485:$U485)=0,"",--($AD485&lt;&gt;""))</f>
        <v/>
      </c>
    </row>
    <row r="486" ht="20" customHeight="1">
      <c r="A486" s="80" t="n"/>
      <c r="B486" s="80" t="n"/>
      <c r="C486" s="81" t="n"/>
      <c r="D486" s="81" t="n"/>
      <c r="E486" s="80" t="n"/>
      <c r="F486" s="81" t="n"/>
      <c r="G486" s="81" t="n"/>
      <c r="H486" s="81" t="n"/>
      <c r="I486" s="80" t="n"/>
      <c r="J486" s="80" t="n"/>
      <c r="K486" s="80" t="n"/>
      <c r="L486" s="82" t="n"/>
      <c r="M486" s="80" t="n"/>
      <c r="N486" s="80" t="n"/>
      <c r="O486" s="80" t="n"/>
      <c r="P486" s="82" t="n"/>
      <c r="Q486" s="82" t="n"/>
      <c r="R486" s="80" t="n"/>
      <c r="S486" s="80" t="n"/>
      <c r="T486" s="80" t="n"/>
      <c r="U486" s="83" t="n"/>
      <c r="V486">
        <f>IF($A486="","",IF($A486=$A485,$V485,IF($V485="",0,1-$V485)))</f>
        <v/>
      </c>
      <c r="W486">
        <f>IF($B486&lt;&gt;"",$B486,$A486)</f>
        <v/>
      </c>
      <c r="X486">
        <f>IF(COUNTA($A486:$U486)=0,"",IF(OR($B486&lt;&gt;"",$O486&lt;&gt;""),"Dependent","Employee"))</f>
        <v/>
      </c>
      <c r="Y486">
        <f>IF(COUNTA($A486:$U486)=0,"",IF($A486="","Employee SSN is required; ","")&amp;IF($C486="","First Name is required; ","")&amp;IF(LEN($C486&amp;"")&gt;19,"First Name exceeds 19 characters; ","")&amp;IF(AND($C486&lt;&gt;"",SUMPRODUCT(--(ROW($1:$19)&lt;=LEN($C486&amp;"")),--ISERROR(FIND(MID($C486&amp;"",ROW($1:$19),1),"ABCDEFGHIJKLMNOPQRSTUVWXYZabcdefghijklmnopqrstuvwxyz .,")))&gt;0),"First Name contains unsupported or encoded characters; use plain A-Z letters only; ","")&amp;IF($D486="","Last Name is required; ","")&amp;IF(LEN($D486&amp;"")&gt;26,"Last Name exceeds 26 characters; ","")&amp;IF(AND($D486&lt;&gt;"",SUMPRODUCT(--(ROW($1:$26)&lt;=LEN($D486&amp;"")),--ISERROR(FIND(MID($D486&amp;"",ROW($1:$26),1),"ABCDEFGHIJKLMNOPQRSTUVWXYZabcdefghijklmnopqrstuvwxyz .,")))&gt;0),"Last Name contains unsupported or encoded characters; use plain A-Z letters only; ","")&amp;IF(LEN($E486&amp;"")&gt;1,"Middle Initial may contain only one character; ","")&amp;IF(AND($E486&lt;&gt;"",SUMPRODUCT(--(ROW($1:$1)&lt;=LEN($E486&amp;"")),--ISERROR(FIND(MID($E486&amp;"",ROW($1:$1),1),"ABCDEFGHIJKLMNOPQRSTUVWXYZabcdefghijklmnopqrstuvwxyz .,")))&gt;0),"Middle Initial must be a plain A-Z letter; ","")&amp;IF($F486="","Address is required; ","")&amp;IF(LEN($F486&amp;"")&gt;75,"Address exceeds 75 characters; ","")&amp;IF(LEN($G486&amp;"")&gt;75,"Address 2 exceeds 75 characters; ","")&amp;IF($H486="","City is required; ","")&amp;IF(LEN($H486&amp;"")&gt;30,"City exceeds 30 characters; ","")&amp;IF($K486="","Country is required; ","")&amp;IF(AND($K486&lt;&gt;"",$K486&lt;&gt;"US",$K486&lt;&gt;"CA"),"Country must be US or CA; ","")&amp;IF(AND($K486="US",OR($I486="",LEN($I486&amp;"")&lt;&gt;2)),"Use a 2-letter state code; ","")&amp;IF($J486="","ZIP or postal code is required; ","")&amp;IF(AND($K486="US",$J486&lt;&gt;"",NOT(IFERROR(OR(AND(LEN($J486&amp;"")=5,ISNUMBER(--($J486&amp;""))),AND(LEN($J486&amp;"")=9,ISNUMBER(--($J486&amp;""))),AND(LEN($J486&amp;"")=10,MID($J486&amp;"",6,1)="-",ISNUMBER(--SUBSTITUTE($J486&amp;"","-","")))),FALSE))),"US ZIP must be 5 or 9 digits, with an optional ZIP+4 hyphen; ","")&amp;IF(AND($N486&lt;&gt;"",NOT(IFERROR(AND(ISNUMBER(SEARCH("@",$N486)),ISNUMBER(SEARCH(".",$N486,SEARCH("@",$N486)+2))),FALSE))),"Email format appears invalid; ","")&amp;IF(AND($O486&lt;&gt;"",$B486=""),"Dependent SSN is required for every dependent; ","")&amp;IF(AND($B486&lt;&gt;"",$O486=""),"Dependent Relationship is required when Dependent SSN is entered; ","")&amp;IF(AND($O486&lt;&gt;"",$O486&lt;&gt;"Spouse or Common Law Spouse",$O486&lt;&gt;"Domestic Partner",$O486&lt;&gt;"Child",$O486&lt;&gt;"Other",$O486&lt;&gt;"Estate",$O486&lt;&gt;"Unknown"),"Dependent Relationship must use one of the approved options; ",""))</f>
        <v/>
      </c>
      <c r="Z486">
        <f>IF(COUNTA($A486:$U486)=0,"",IF(AND($A486&lt;&gt;"",NOT(IFERROR(AND(LEN($A486&amp;"")=9,ISNUMBER(--($A486&amp;""))),FALSE))),"Employee SSN must contain exactly 9 digits; ","")&amp;IF(AND($A486&lt;&gt;"",OR($A486="123456789",$A486="987654321",$A486="012345678",$A486=REPT(LEFT($A486&amp;"",1),9))),"Employee SSN appears to be a placeholder; ","")&amp;IF(AND($B486&lt;&gt;"",NOT(IFERROR(AND(LEN($B486&amp;"")=9,ISNUMBER(--($B486&amp;""))),FALSE))),"Dependent SSN must contain exactly 9 digits; ","")&amp;IF(AND($B486&lt;&gt;"",OR($B486="123456789",$B486="987654321",$B486="012345678",$B486=REPT(LEFT($B486&amp;"",1),9))),"Dependent SSN appears to be a placeholder; ","")&amp;IF(AND($A486&lt;&gt;"",$B486&lt;&gt;"",$A486&amp;""=$B486&amp;""),"Dependent SSN cannot match Employee SSN; ","")&amp;IF(AND($W486&lt;&gt;"",OR(COUNTIFS($W$2:$W$501,$W486,$C$2:$C$501,"&lt;&gt;"&amp;$C486)&gt;0,COUNTIFS($W$2:$W$501,$W486,$D$2:$D$501,"&lt;&gt;"&amp;$D486)&gt;0,COUNTIFS($W$2:$W$501,$W486,$L$2:$L$501,"&lt;&gt;"&amp;$L486)&gt;0)),"The same SSN is associated with a different name or birthdate; ",""))</f>
        <v/>
      </c>
      <c r="AA486">
        <f>IF(COUNTA($A486:$U486)=0,"",IF(AND($A486&lt;&gt;"",$S486&lt;&gt;"",COUNTIFS($A$2:$A$501,$A486,$S$2:$S$501,$S486,$B$2:$B$501,"",$O$2:$O$501,"")=0),"Add an employee row for this household and plan; ","")&amp;IF(AND($X486="Dependent",COUNTIFS($A$2:$A486,$A486,$S$2:$S486,$S486,$B$2:$B486,"",$O$2:$O486,"")=0),"Place the employee row before dependent rows for this plan; ","")&amp;IF(AND($X486="Dependent",COUNTIFS($A$2:$A$501,$A486,$S$2:$S$501,$S486,$B$2:$B$501,"",$O$2:$O$501,"")&gt;0,IFERROR(OR($P486&lt;&gt;LOOKUP(2,1/(($A$2:$A$501=$A486)*($S$2:$S$501=$S486)*($B$2:$B$501="")*($O$2:$O$501="")),$P$2:$P$501),$Q486&lt;&gt;LOOKUP(2,1/(($A$2:$A$501=$A486)*($S$2:$S$501=$S486)*($B$2:$B$501="")*($O$2:$O$501="")),$Q$2:$Q$501),$R486&lt;&gt;LOOKUP(2,1/(($A$2:$A$501=$A486)*($S$2:$S$501=$S486)*($B$2:$B$501="")*($O$2:$O$501="")),$R$2:$R$501),$T486&lt;&gt;LOOKUP(2,1/(($A$2:$A$501=$A486)*($S$2:$S$501=$S486)*($B$2:$B$501="")*($O$2:$O$501="")),$T$2:$T$501),$U486&lt;&gt;LOOKUP(2,1/(($A$2:$A$501=$A486)*($S$2:$S$501=$S486)*($B$2:$B$501="")*($O$2:$O$501="")),$U$2:$U$501)),FALSE)),"Dependent row does not match the employee row for eligibility, status, coverage level, or funding; ",""))</f>
        <v/>
      </c>
      <c r="AB486">
        <f>IF(COUNTA($A486:$U486)=0,"",IF($L486="","Birthdate is required; ","")&amp;IF(AND($L486&lt;&gt;"",OR(NOT(ISNUMBER($L486)),$L486&lt;=DATE(1900,1,1),$L486&gt;TODAY())),"Birthdate must be an exact valid past date; ","")&amp;IF($P486="","Eligibility Date is required; ","")&amp;IF(AND($P486&lt;&gt;"",OR(NOT(ISNUMBER($P486)),$P486&lt;=DATE(1900,1,1))),"Eligibility Date must be a valid date; ","")&amp;IF(AND($R486="Terminated",$Q486=""),"Termination Date is required when Status is Terminated; ","")&amp;IF(AND($Q486&lt;&gt;"",OR(NOT(ISNUMBER($Q486)),$Q486&lt;=DATE(1900,1,1))),"Termination Date must be a valid date; ","")&amp;IF(AND(ISNUMBER($P486),ISNUMBER($Q486),$Q486&lt;$P486),"Termination Date cannot be before Eligibility Date; ","")&amp;IF($R486="","Status is required; ","")&amp;IF(AND($R486&lt;&gt;"",$R486&lt;&gt;"Active",$R486&lt;&gt;"Terminated"),"Status must be Active or Terminated; ","")&amp;IF(AND('START HERE'!$C$8="Terminations Only",$R486&lt;&gt;"Terminated"),"Terminations Only files must contain terminated records; ",""))</f>
        <v/>
      </c>
      <c r="AC486">
        <f>IF(COUNTA($A486:$U486)=0,"",IF($S486="","Plan Name is required; ","")&amp;IF($T486="","Benefit Coverage Level is required; ","")&amp;IF(AND($U486&lt;&gt;"",OR(NOT(ISNUMBER($U486)),$U486&lt;0)),"Plan Funding Amount must be a nonnegative number; ","")&amp;IF(AND($A486&lt;&gt;"",$S486&lt;&gt;"",COUNTIFS($A$2:$A$501,$A486,$B$2:$B$501,$B486,$S$2:$S$501,$S486)&gt;1),"Duplicate participant and plan row; ",""))</f>
        <v/>
      </c>
      <c r="AD486">
        <f>IF(COUNTA($A486:$U486)=0,"",IF(AND($X486="Employee",$M486="",$N486=""),"No employee phone or email provided; ","")&amp;IF(AND($R486="Active",$Q486&lt;&gt;""),"Active record includes a Termination Date; confirm this is intentional; ","")&amp;IF(AND($B486&lt;&gt;"",$B486&amp;""&lt;&gt;$A486&amp;"",COUNTIF($A$2:$A$501,$B486)&gt;0),"Dependent SSN also appears as an Employee SSN elsewhere; confirm dual-employee coverage is intentional; ","")&amp;IF(AND($B486&lt;&gt;"",COUNTIF($B$2:$B$501,$B486)&gt;COUNTIFS($A$2:$A$501,$A486,$B$2:$B$501,$B486)),"Dependent SSN appears under more than one employee; confirm duplicate family coverage is intentional; ","")&amp;IF(AND(ROW()&gt;2,$A486&lt;&gt;"",$A486&lt;&gt;$A485,COUNTIF($A$2:$A485,$A486)&gt;0),"This household appears in more than one section of the census; keep the family together; ","")&amp;IF(OR(AND($C486&lt;&gt;"",LEN($C486&amp;"")&lt;&gt;LEN(TRIM($C486&amp;""))),AND($D486&lt;&gt;"",LEN($D486&amp;"")&lt;&gt;LEN(TRIM($D486&amp;""))),AND($E486&lt;&gt;"",LEN($E486&amp;"")&lt;&gt;LEN(TRIM($E486&amp;""))),AND($F486&lt;&gt;"",LEN($F486&amp;"")&lt;&gt;LEN(TRIM($F486&amp;""))),AND($G486&lt;&gt;"",LEN($G486&amp;"")&lt;&gt;LEN(TRIM($G486&amp;""))),AND($H486&lt;&gt;"",LEN($H486&amp;"")&lt;&gt;LEN(TRIM($H486&amp;""))),AND($I486&lt;&gt;"",LEN($I486&amp;"")&lt;&gt;LEN(TRIM($I486&amp;""))),AND($J486&lt;&gt;"",LEN($J486&amp;"")&lt;&gt;LEN(TRIM($J486&amp;""))),AND($K486&lt;&gt;"",LEN($K486&amp;"")&lt;&gt;LEN(TRIM($K486&amp;""))),AND($M486&lt;&gt;"",LEN($M486&amp;"")&lt;&gt;LEN(TRIM($M486&amp;""))),AND($N486&lt;&gt;"",LEN($N486&amp;"")&lt;&gt;LEN(TRIM($N486&amp;""))),AND($O486&lt;&gt;"",LEN($O486&amp;"")&lt;&gt;LEN(TRIM($O486&amp;""))),AND($R486&lt;&gt;"",LEN($R486&amp;"")&lt;&gt;LEN(TRIM($R486&amp;""))),AND($S486&lt;&gt;"",LEN($S486&amp;"")&lt;&gt;LEN(TRIM($S486&amp;""))),AND($T486&lt;&gt;"",LEN($T486&amp;"")&lt;&gt;LEN(TRIM($T486&amp;"")))),"Remove leading or trailing spaces from text fields; ","")&amp;IF(OR(AND(LEN($C486)&gt;1,OR(EXACT($C486,UPPER($C486)),EXACT($C486,LOWER($C486)))),AND(LEN($D486)&gt;1,OR(EXACT($D486,UPPER($D486)),EXACT($D486,LOWER($D486)))),AND(LEN($H486)&gt;1,OR(EXACT($H486,UPPER($H486)),EXACT($H486,LOWER($H486))))),"Review capitalization in First Name, Last Name, or City; ","")&amp;IF(AND($N486&lt;&gt;"",NOT(EXACT($N486,LOWER($N486)))),"Email will be standardized to lowercase in the clean output; ","")&amp;IF(AND(OR('START HERE'!$C$8="Initial Enrollment",'START HERE'!$C$8="Open Enrollment"),$R486="Terminated"),"A terminated row is included in an initial or open enrollment file; confirm this is intentional; ",""))</f>
        <v/>
      </c>
      <c r="AE486">
        <f>IF(COUNTA($A486:$U486)=0,"",IF(OR($A486="",AND($A486&lt;&gt;"",NOT(IFERROR(AND(LEN($A486&amp;"")=9,ISNUMBER(--($A486&amp;""))),FALSE))),AND($A486&lt;&gt;"",OR($A486="123456789",$A486="987654321",$A486="012345678",$A486=REPT(LEFT($A486&amp;"",1),9)))),"Employee SSN, ","")&amp;IF(OR(AND($O486&lt;&gt;"",$B486=""),AND($B486&lt;&gt;"",OR(NOT(IFERROR(AND(LEN($B486&amp;"")=9,ISNUMBER(--($B486&amp;""))),FALSE)),$B486=$A486,$B486="123456789",$B486="987654321",$B486="012345678",$B486=REPT(LEFT($B486&amp;"",1),9)))),"Dependent SSN, ","")&amp;IF(OR($C486="",LEN($C486)&gt;19,AND($C486&lt;&gt;"",SUMPRODUCT(--(ROW($1:$19)&lt;=LEN($C486&amp;"")),--ISERROR(FIND(MID($C486&amp;"",ROW($1:$19),1),"ABCDEFGHIJKLMNOPQRSTUVWXYZabcdefghijklmnopqrstuvwxyz .,")))&gt;0)),"First Name, ","")&amp;IF(OR($D486="",LEN($D486)&gt;26,AND($D486&lt;&gt;"",SUMPRODUCT(--(ROW($1:$26)&lt;=LEN($D486&amp;"")),--ISERROR(FIND(MID($D486&amp;"",ROW($1:$26),1),"ABCDEFGHIJKLMNOPQRSTUVWXYZabcdefghijklmnopqrstuvwxyz .,")))&gt;0)),"Last Name, ","")&amp;IF(OR(LEN($E486)&gt;1,AND($E486&lt;&gt;"",SUMPRODUCT(--(ROW($1:$1)&lt;=LEN($E486&amp;"")),--ISERROR(FIND(MID($E486&amp;"",ROW($1:$1),1),"ABCDEFGHIJKLMNOPQRSTUVWXYZabcdefghijklmnopqrstuvwxyz .,")))&gt;0)),"Middle Initial, ","")&amp;IF(OR($F486="",LEN($F486)&gt;75),"Address, ","")&amp;IF(OR($H486="",LEN($H486)&gt;30),"City, ","")&amp;IF(AND($K486="US",OR($I486="",LEN($I486)&lt;&gt;2)),"State, ","")&amp;IF($J486="","ZIP, ","")&amp;IF(OR($K486="",AND($K486&lt;&gt;"US",$K486&lt;&gt;"CA")),"Country, ","")&amp;IF(OR($L486="",AND($L486&lt;&gt;"",OR(NOT(ISNUMBER($L486)),$L486&lt;=DATE(1900,1,1),$L486&gt;TODAY()))),"Birthdate, ","")&amp;IF(AND($N486&lt;&gt;"",NOT(IFERROR(AND(ISNUMBER(SEARCH("@",$N486)),ISNUMBER(SEARCH(".",$N486,SEARCH("@",$N486)+2))),FALSE))),"Email, ","")&amp;IF(OR(AND($B486&lt;&gt;"",$O486=""),AND($O486&lt;&gt;"",$O486&lt;&gt;"Spouse or Common Law Spouse",$O486&lt;&gt;"Domestic Partner",$O486&lt;&gt;"Child",$O486&lt;&gt;"Other",$O486&lt;&gt;"Estate",$O486&lt;&gt;"Unknown")),"Dependent Relationship, ","")&amp;IF($AA486&lt;&gt;"","Household, ","")&amp;IF(OR($P486="",AND($P486&lt;&gt;"",OR(NOT(ISNUMBER($P486)),$P486&lt;=DATE(1900,1,1)))),"Eligibility Date, ","")&amp;IF(OR(AND($R486="Terminated",$Q486=""),AND($Q486&lt;&gt;"",OR(NOT(ISNUMBER($Q486)),$Q486&lt;=DATE(1900,1,1))),AND(ISNUMBER($P486),ISNUMBER($Q486),$Q486&lt;$P486)),"Termination Date, ","")&amp;IF(OR($R486="",AND($R486&lt;&gt;"Active",$R486&lt;&gt;"Terminated"),AND('START HERE'!$C$8="Terminations Only",$R486&lt;&gt;"Terminated")),"Status, ","")&amp;IF($S486="","Plan Name, ","")&amp;IF($T486="","Coverage Level, ","")&amp;IF(AND($U486&lt;&gt;"",OR(NOT(ISNUMBER($U486)),$U486&lt;0)),"Funding, ","")&amp;IF(AND($A486&lt;&gt;"",$S486&lt;&gt;"",COUNTIFS($A$2:$A$501,$A486,$B$2:$B$501,$B486,$S$2:$S$501,$S486)&gt;1),"Duplicate Row, ",""))</f>
        <v/>
      </c>
      <c r="AF486">
        <f>IF(COUNTA($A486:$U486)=0,"",$Y486&amp;$Z486&amp;$AA486&amp;$AB486&amp;$AC486)</f>
        <v/>
      </c>
      <c r="AG486">
        <f>IF($N486="","",LOWER(TRIM($N486)))</f>
        <v/>
      </c>
      <c r="AH486">
        <f>IF($A486="","",COUNTIFS($A$2:$A$501,$A486,$AI$2:$AI$501,1))</f>
        <v/>
      </c>
      <c r="AI486">
        <f>IF(COUNTA($A486:$U486)=0,"",--($AF486&lt;&gt;""))</f>
        <v/>
      </c>
      <c r="AJ486">
        <f>IF(COUNTA($A486:$U486)=0,"",--($AD486&lt;&gt;""))</f>
        <v/>
      </c>
    </row>
    <row r="487" ht="20" customHeight="1">
      <c r="A487" s="80" t="n"/>
      <c r="B487" s="80" t="n"/>
      <c r="C487" s="81" t="n"/>
      <c r="D487" s="81" t="n"/>
      <c r="E487" s="80" t="n"/>
      <c r="F487" s="81" t="n"/>
      <c r="G487" s="81" t="n"/>
      <c r="H487" s="81" t="n"/>
      <c r="I487" s="80" t="n"/>
      <c r="J487" s="80" t="n"/>
      <c r="K487" s="80" t="n"/>
      <c r="L487" s="82" t="n"/>
      <c r="M487" s="80" t="n"/>
      <c r="N487" s="80" t="n"/>
      <c r="O487" s="80" t="n"/>
      <c r="P487" s="82" t="n"/>
      <c r="Q487" s="82" t="n"/>
      <c r="R487" s="80" t="n"/>
      <c r="S487" s="80" t="n"/>
      <c r="T487" s="80" t="n"/>
      <c r="U487" s="83" t="n"/>
      <c r="V487">
        <f>IF($A487="","",IF($A487=$A486,$V486,IF($V486="",0,1-$V486)))</f>
        <v/>
      </c>
      <c r="W487">
        <f>IF($B487&lt;&gt;"",$B487,$A487)</f>
        <v/>
      </c>
      <c r="X487">
        <f>IF(COUNTA($A487:$U487)=0,"",IF(OR($B487&lt;&gt;"",$O487&lt;&gt;""),"Dependent","Employee"))</f>
        <v/>
      </c>
      <c r="Y487">
        <f>IF(COUNTA($A487:$U487)=0,"",IF($A487="","Employee SSN is required; ","")&amp;IF($C487="","First Name is required; ","")&amp;IF(LEN($C487&amp;"")&gt;19,"First Name exceeds 19 characters; ","")&amp;IF(AND($C487&lt;&gt;"",SUMPRODUCT(--(ROW($1:$19)&lt;=LEN($C487&amp;"")),--ISERROR(FIND(MID($C487&amp;"",ROW($1:$19),1),"ABCDEFGHIJKLMNOPQRSTUVWXYZabcdefghijklmnopqrstuvwxyz .,")))&gt;0),"First Name contains unsupported or encoded characters; use plain A-Z letters only; ","")&amp;IF($D487="","Last Name is required; ","")&amp;IF(LEN($D487&amp;"")&gt;26,"Last Name exceeds 26 characters; ","")&amp;IF(AND($D487&lt;&gt;"",SUMPRODUCT(--(ROW($1:$26)&lt;=LEN($D487&amp;"")),--ISERROR(FIND(MID($D487&amp;"",ROW($1:$26),1),"ABCDEFGHIJKLMNOPQRSTUVWXYZabcdefghijklmnopqrstuvwxyz .,")))&gt;0),"Last Name contains unsupported or encoded characters; use plain A-Z letters only; ","")&amp;IF(LEN($E487&amp;"")&gt;1,"Middle Initial may contain only one character; ","")&amp;IF(AND($E487&lt;&gt;"",SUMPRODUCT(--(ROW($1:$1)&lt;=LEN($E487&amp;"")),--ISERROR(FIND(MID($E487&amp;"",ROW($1:$1),1),"ABCDEFGHIJKLMNOPQRSTUVWXYZabcdefghijklmnopqrstuvwxyz .,")))&gt;0),"Middle Initial must be a plain A-Z letter; ","")&amp;IF($F487="","Address is required; ","")&amp;IF(LEN($F487&amp;"")&gt;75,"Address exceeds 75 characters; ","")&amp;IF(LEN($G487&amp;"")&gt;75,"Address 2 exceeds 75 characters; ","")&amp;IF($H487="","City is required; ","")&amp;IF(LEN($H487&amp;"")&gt;30,"City exceeds 30 characters; ","")&amp;IF($K487="","Country is required; ","")&amp;IF(AND($K487&lt;&gt;"",$K487&lt;&gt;"US",$K487&lt;&gt;"CA"),"Country must be US or CA; ","")&amp;IF(AND($K487="US",OR($I487="",LEN($I487&amp;"")&lt;&gt;2)),"Use a 2-letter state code; ","")&amp;IF($J487="","ZIP or postal code is required; ","")&amp;IF(AND($K487="US",$J487&lt;&gt;"",NOT(IFERROR(OR(AND(LEN($J487&amp;"")=5,ISNUMBER(--($J487&amp;""))),AND(LEN($J487&amp;"")=9,ISNUMBER(--($J487&amp;""))),AND(LEN($J487&amp;"")=10,MID($J487&amp;"",6,1)="-",ISNUMBER(--SUBSTITUTE($J487&amp;"","-","")))),FALSE))),"US ZIP must be 5 or 9 digits, with an optional ZIP+4 hyphen; ","")&amp;IF(AND($N487&lt;&gt;"",NOT(IFERROR(AND(ISNUMBER(SEARCH("@",$N487)),ISNUMBER(SEARCH(".",$N487,SEARCH("@",$N487)+2))),FALSE))),"Email format appears invalid; ","")&amp;IF(AND($O487&lt;&gt;"",$B487=""),"Dependent SSN is required for every dependent; ","")&amp;IF(AND($B487&lt;&gt;"",$O487=""),"Dependent Relationship is required when Dependent SSN is entered; ","")&amp;IF(AND($O487&lt;&gt;"",$O487&lt;&gt;"Spouse or Common Law Spouse",$O487&lt;&gt;"Domestic Partner",$O487&lt;&gt;"Child",$O487&lt;&gt;"Other",$O487&lt;&gt;"Estate",$O487&lt;&gt;"Unknown"),"Dependent Relationship must use one of the approved options; ",""))</f>
        <v/>
      </c>
      <c r="Z487">
        <f>IF(COUNTA($A487:$U487)=0,"",IF(AND($A487&lt;&gt;"",NOT(IFERROR(AND(LEN($A487&amp;"")=9,ISNUMBER(--($A487&amp;""))),FALSE))),"Employee SSN must contain exactly 9 digits; ","")&amp;IF(AND($A487&lt;&gt;"",OR($A487="123456789",$A487="987654321",$A487="012345678",$A487=REPT(LEFT($A487&amp;"",1),9))),"Employee SSN appears to be a placeholder; ","")&amp;IF(AND($B487&lt;&gt;"",NOT(IFERROR(AND(LEN($B487&amp;"")=9,ISNUMBER(--($B487&amp;""))),FALSE))),"Dependent SSN must contain exactly 9 digits; ","")&amp;IF(AND($B487&lt;&gt;"",OR($B487="123456789",$B487="987654321",$B487="012345678",$B487=REPT(LEFT($B487&amp;"",1),9))),"Dependent SSN appears to be a placeholder; ","")&amp;IF(AND($A487&lt;&gt;"",$B487&lt;&gt;"",$A487&amp;""=$B487&amp;""),"Dependent SSN cannot match Employee SSN; ","")&amp;IF(AND($W487&lt;&gt;"",OR(COUNTIFS($W$2:$W$501,$W487,$C$2:$C$501,"&lt;&gt;"&amp;$C487)&gt;0,COUNTIFS($W$2:$W$501,$W487,$D$2:$D$501,"&lt;&gt;"&amp;$D487)&gt;0,COUNTIFS($W$2:$W$501,$W487,$L$2:$L$501,"&lt;&gt;"&amp;$L487)&gt;0)),"The same SSN is associated with a different name or birthdate; ",""))</f>
        <v/>
      </c>
      <c r="AA487">
        <f>IF(COUNTA($A487:$U487)=0,"",IF(AND($A487&lt;&gt;"",$S487&lt;&gt;"",COUNTIFS($A$2:$A$501,$A487,$S$2:$S$501,$S487,$B$2:$B$501,"",$O$2:$O$501,"")=0),"Add an employee row for this household and plan; ","")&amp;IF(AND($X487="Dependent",COUNTIFS($A$2:$A487,$A487,$S$2:$S487,$S487,$B$2:$B487,"",$O$2:$O487,"")=0),"Place the employee row before dependent rows for this plan; ","")&amp;IF(AND($X487="Dependent",COUNTIFS($A$2:$A$501,$A487,$S$2:$S$501,$S487,$B$2:$B$501,"",$O$2:$O$501,"")&gt;0,IFERROR(OR($P487&lt;&gt;LOOKUP(2,1/(($A$2:$A$501=$A487)*($S$2:$S$501=$S487)*($B$2:$B$501="")*($O$2:$O$501="")),$P$2:$P$501),$Q487&lt;&gt;LOOKUP(2,1/(($A$2:$A$501=$A487)*($S$2:$S$501=$S487)*($B$2:$B$501="")*($O$2:$O$501="")),$Q$2:$Q$501),$R487&lt;&gt;LOOKUP(2,1/(($A$2:$A$501=$A487)*($S$2:$S$501=$S487)*($B$2:$B$501="")*($O$2:$O$501="")),$R$2:$R$501),$T487&lt;&gt;LOOKUP(2,1/(($A$2:$A$501=$A487)*($S$2:$S$501=$S487)*($B$2:$B$501="")*($O$2:$O$501="")),$T$2:$T$501),$U487&lt;&gt;LOOKUP(2,1/(($A$2:$A$501=$A487)*($S$2:$S$501=$S487)*($B$2:$B$501="")*($O$2:$O$501="")),$U$2:$U$501)),FALSE)),"Dependent row does not match the employee row for eligibility, status, coverage level, or funding; ",""))</f>
        <v/>
      </c>
      <c r="AB487">
        <f>IF(COUNTA($A487:$U487)=0,"",IF($L487="","Birthdate is required; ","")&amp;IF(AND($L487&lt;&gt;"",OR(NOT(ISNUMBER($L487)),$L487&lt;=DATE(1900,1,1),$L487&gt;TODAY())),"Birthdate must be an exact valid past date; ","")&amp;IF($P487="","Eligibility Date is required; ","")&amp;IF(AND($P487&lt;&gt;"",OR(NOT(ISNUMBER($P487)),$P487&lt;=DATE(1900,1,1))),"Eligibility Date must be a valid date; ","")&amp;IF(AND($R487="Terminated",$Q487=""),"Termination Date is required when Status is Terminated; ","")&amp;IF(AND($Q487&lt;&gt;"",OR(NOT(ISNUMBER($Q487)),$Q487&lt;=DATE(1900,1,1))),"Termination Date must be a valid date; ","")&amp;IF(AND(ISNUMBER($P487),ISNUMBER($Q487),$Q487&lt;$P487),"Termination Date cannot be before Eligibility Date; ","")&amp;IF($R487="","Status is required; ","")&amp;IF(AND($R487&lt;&gt;"",$R487&lt;&gt;"Active",$R487&lt;&gt;"Terminated"),"Status must be Active or Terminated; ","")&amp;IF(AND('START HERE'!$C$8="Terminations Only",$R487&lt;&gt;"Terminated"),"Terminations Only files must contain terminated records; ",""))</f>
        <v/>
      </c>
      <c r="AC487">
        <f>IF(COUNTA($A487:$U487)=0,"",IF($S487="","Plan Name is required; ","")&amp;IF($T487="","Benefit Coverage Level is required; ","")&amp;IF(AND($U487&lt;&gt;"",OR(NOT(ISNUMBER($U487)),$U487&lt;0)),"Plan Funding Amount must be a nonnegative number; ","")&amp;IF(AND($A487&lt;&gt;"",$S487&lt;&gt;"",COUNTIFS($A$2:$A$501,$A487,$B$2:$B$501,$B487,$S$2:$S$501,$S487)&gt;1),"Duplicate participant and plan row; ",""))</f>
        <v/>
      </c>
      <c r="AD487">
        <f>IF(COUNTA($A487:$U487)=0,"",IF(AND($X487="Employee",$M487="",$N487=""),"No employee phone or email provided; ","")&amp;IF(AND($R487="Active",$Q487&lt;&gt;""),"Active record includes a Termination Date; confirm this is intentional; ","")&amp;IF(AND($B487&lt;&gt;"",$B487&amp;""&lt;&gt;$A487&amp;"",COUNTIF($A$2:$A$501,$B487)&gt;0),"Dependent SSN also appears as an Employee SSN elsewhere; confirm dual-employee coverage is intentional; ","")&amp;IF(AND($B487&lt;&gt;"",COUNTIF($B$2:$B$501,$B487)&gt;COUNTIFS($A$2:$A$501,$A487,$B$2:$B$501,$B487)),"Dependent SSN appears under more than one employee; confirm duplicate family coverage is intentional; ","")&amp;IF(AND(ROW()&gt;2,$A487&lt;&gt;"",$A487&lt;&gt;$A486,COUNTIF($A$2:$A486,$A487)&gt;0),"This household appears in more than one section of the census; keep the family together; ","")&amp;IF(OR(AND($C487&lt;&gt;"",LEN($C487&amp;"")&lt;&gt;LEN(TRIM($C487&amp;""))),AND($D487&lt;&gt;"",LEN($D487&amp;"")&lt;&gt;LEN(TRIM($D487&amp;""))),AND($E487&lt;&gt;"",LEN($E487&amp;"")&lt;&gt;LEN(TRIM($E487&amp;""))),AND($F487&lt;&gt;"",LEN($F487&amp;"")&lt;&gt;LEN(TRIM($F487&amp;""))),AND($G487&lt;&gt;"",LEN($G487&amp;"")&lt;&gt;LEN(TRIM($G487&amp;""))),AND($H487&lt;&gt;"",LEN($H487&amp;"")&lt;&gt;LEN(TRIM($H487&amp;""))),AND($I487&lt;&gt;"",LEN($I487&amp;"")&lt;&gt;LEN(TRIM($I487&amp;""))),AND($J487&lt;&gt;"",LEN($J487&amp;"")&lt;&gt;LEN(TRIM($J487&amp;""))),AND($K487&lt;&gt;"",LEN($K487&amp;"")&lt;&gt;LEN(TRIM($K487&amp;""))),AND($M487&lt;&gt;"",LEN($M487&amp;"")&lt;&gt;LEN(TRIM($M487&amp;""))),AND($N487&lt;&gt;"",LEN($N487&amp;"")&lt;&gt;LEN(TRIM($N487&amp;""))),AND($O487&lt;&gt;"",LEN($O487&amp;"")&lt;&gt;LEN(TRIM($O487&amp;""))),AND($R487&lt;&gt;"",LEN($R487&amp;"")&lt;&gt;LEN(TRIM($R487&amp;""))),AND($S487&lt;&gt;"",LEN($S487&amp;"")&lt;&gt;LEN(TRIM($S487&amp;""))),AND($T487&lt;&gt;"",LEN($T487&amp;"")&lt;&gt;LEN(TRIM($T487&amp;"")))),"Remove leading or trailing spaces from text fields; ","")&amp;IF(OR(AND(LEN($C487)&gt;1,OR(EXACT($C487,UPPER($C487)),EXACT($C487,LOWER($C487)))),AND(LEN($D487)&gt;1,OR(EXACT($D487,UPPER($D487)),EXACT($D487,LOWER($D487)))),AND(LEN($H487)&gt;1,OR(EXACT($H487,UPPER($H487)),EXACT($H487,LOWER($H487))))),"Review capitalization in First Name, Last Name, or City; ","")&amp;IF(AND($N487&lt;&gt;"",NOT(EXACT($N487,LOWER($N487)))),"Email will be standardized to lowercase in the clean output; ","")&amp;IF(AND(OR('START HERE'!$C$8="Initial Enrollment",'START HERE'!$C$8="Open Enrollment"),$R487="Terminated"),"A terminated row is included in an initial or open enrollment file; confirm this is intentional; ",""))</f>
        <v/>
      </c>
      <c r="AE487">
        <f>IF(COUNTA($A487:$U487)=0,"",IF(OR($A487="",AND($A487&lt;&gt;"",NOT(IFERROR(AND(LEN($A487&amp;"")=9,ISNUMBER(--($A487&amp;""))),FALSE))),AND($A487&lt;&gt;"",OR($A487="123456789",$A487="987654321",$A487="012345678",$A487=REPT(LEFT($A487&amp;"",1),9)))),"Employee SSN, ","")&amp;IF(OR(AND($O487&lt;&gt;"",$B487=""),AND($B487&lt;&gt;"",OR(NOT(IFERROR(AND(LEN($B487&amp;"")=9,ISNUMBER(--($B487&amp;""))),FALSE)),$B487=$A487,$B487="123456789",$B487="987654321",$B487="012345678",$B487=REPT(LEFT($B487&amp;"",1),9)))),"Dependent SSN, ","")&amp;IF(OR($C487="",LEN($C487)&gt;19,AND($C487&lt;&gt;"",SUMPRODUCT(--(ROW($1:$19)&lt;=LEN($C487&amp;"")),--ISERROR(FIND(MID($C487&amp;"",ROW($1:$19),1),"ABCDEFGHIJKLMNOPQRSTUVWXYZabcdefghijklmnopqrstuvwxyz .,")))&gt;0)),"First Name, ","")&amp;IF(OR($D487="",LEN($D487)&gt;26,AND($D487&lt;&gt;"",SUMPRODUCT(--(ROW($1:$26)&lt;=LEN($D487&amp;"")),--ISERROR(FIND(MID($D487&amp;"",ROW($1:$26),1),"ABCDEFGHIJKLMNOPQRSTUVWXYZabcdefghijklmnopqrstuvwxyz .,")))&gt;0)),"Last Name, ","")&amp;IF(OR(LEN($E487)&gt;1,AND($E487&lt;&gt;"",SUMPRODUCT(--(ROW($1:$1)&lt;=LEN($E487&amp;"")),--ISERROR(FIND(MID($E487&amp;"",ROW($1:$1),1),"ABCDEFGHIJKLMNOPQRSTUVWXYZabcdefghijklmnopqrstuvwxyz .,")))&gt;0)),"Middle Initial, ","")&amp;IF(OR($F487="",LEN($F487)&gt;75),"Address, ","")&amp;IF(OR($H487="",LEN($H487)&gt;30),"City, ","")&amp;IF(AND($K487="US",OR($I487="",LEN($I487)&lt;&gt;2)),"State, ","")&amp;IF($J487="","ZIP, ","")&amp;IF(OR($K487="",AND($K487&lt;&gt;"US",$K487&lt;&gt;"CA")),"Country, ","")&amp;IF(OR($L487="",AND($L487&lt;&gt;"",OR(NOT(ISNUMBER($L487)),$L487&lt;=DATE(1900,1,1),$L487&gt;TODAY()))),"Birthdate, ","")&amp;IF(AND($N487&lt;&gt;"",NOT(IFERROR(AND(ISNUMBER(SEARCH("@",$N487)),ISNUMBER(SEARCH(".",$N487,SEARCH("@",$N487)+2))),FALSE))),"Email, ","")&amp;IF(OR(AND($B487&lt;&gt;"",$O487=""),AND($O487&lt;&gt;"",$O487&lt;&gt;"Spouse or Common Law Spouse",$O487&lt;&gt;"Domestic Partner",$O487&lt;&gt;"Child",$O487&lt;&gt;"Other",$O487&lt;&gt;"Estate",$O487&lt;&gt;"Unknown")),"Dependent Relationship, ","")&amp;IF($AA487&lt;&gt;"","Household, ","")&amp;IF(OR($P487="",AND($P487&lt;&gt;"",OR(NOT(ISNUMBER($P487)),$P487&lt;=DATE(1900,1,1)))),"Eligibility Date, ","")&amp;IF(OR(AND($R487="Terminated",$Q487=""),AND($Q487&lt;&gt;"",OR(NOT(ISNUMBER($Q487)),$Q487&lt;=DATE(1900,1,1))),AND(ISNUMBER($P487),ISNUMBER($Q487),$Q487&lt;$P487)),"Termination Date, ","")&amp;IF(OR($R487="",AND($R487&lt;&gt;"Active",$R487&lt;&gt;"Terminated"),AND('START HERE'!$C$8="Terminations Only",$R487&lt;&gt;"Terminated")),"Status, ","")&amp;IF($S487="","Plan Name, ","")&amp;IF($T487="","Coverage Level, ","")&amp;IF(AND($U487&lt;&gt;"",OR(NOT(ISNUMBER($U487)),$U487&lt;0)),"Funding, ","")&amp;IF(AND($A487&lt;&gt;"",$S487&lt;&gt;"",COUNTIFS($A$2:$A$501,$A487,$B$2:$B$501,$B487,$S$2:$S$501,$S487)&gt;1),"Duplicate Row, ",""))</f>
        <v/>
      </c>
      <c r="AF487">
        <f>IF(COUNTA($A487:$U487)=0,"",$Y487&amp;$Z487&amp;$AA487&amp;$AB487&amp;$AC487)</f>
        <v/>
      </c>
      <c r="AG487">
        <f>IF($N487="","",LOWER(TRIM($N487)))</f>
        <v/>
      </c>
      <c r="AH487">
        <f>IF($A487="","",COUNTIFS($A$2:$A$501,$A487,$AI$2:$AI$501,1))</f>
        <v/>
      </c>
      <c r="AI487">
        <f>IF(COUNTA($A487:$U487)=0,"",--($AF487&lt;&gt;""))</f>
        <v/>
      </c>
      <c r="AJ487">
        <f>IF(COUNTA($A487:$U487)=0,"",--($AD487&lt;&gt;""))</f>
        <v/>
      </c>
    </row>
    <row r="488" ht="20" customHeight="1">
      <c r="A488" s="80" t="n"/>
      <c r="B488" s="80" t="n"/>
      <c r="C488" s="81" t="n"/>
      <c r="D488" s="81" t="n"/>
      <c r="E488" s="80" t="n"/>
      <c r="F488" s="81" t="n"/>
      <c r="G488" s="81" t="n"/>
      <c r="H488" s="81" t="n"/>
      <c r="I488" s="80" t="n"/>
      <c r="J488" s="80" t="n"/>
      <c r="K488" s="80" t="n"/>
      <c r="L488" s="82" t="n"/>
      <c r="M488" s="80" t="n"/>
      <c r="N488" s="80" t="n"/>
      <c r="O488" s="80" t="n"/>
      <c r="P488" s="82" t="n"/>
      <c r="Q488" s="82" t="n"/>
      <c r="R488" s="80" t="n"/>
      <c r="S488" s="80" t="n"/>
      <c r="T488" s="80" t="n"/>
      <c r="U488" s="83" t="n"/>
      <c r="V488">
        <f>IF($A488="","",IF($A488=$A487,$V487,IF($V487="",0,1-$V487)))</f>
        <v/>
      </c>
      <c r="W488">
        <f>IF($B488&lt;&gt;"",$B488,$A488)</f>
        <v/>
      </c>
      <c r="X488">
        <f>IF(COUNTA($A488:$U488)=0,"",IF(OR($B488&lt;&gt;"",$O488&lt;&gt;""),"Dependent","Employee"))</f>
        <v/>
      </c>
      <c r="Y488">
        <f>IF(COUNTA($A488:$U488)=0,"",IF($A488="","Employee SSN is required; ","")&amp;IF($C488="","First Name is required; ","")&amp;IF(LEN($C488&amp;"")&gt;19,"First Name exceeds 19 characters; ","")&amp;IF(AND($C488&lt;&gt;"",SUMPRODUCT(--(ROW($1:$19)&lt;=LEN($C488&amp;"")),--ISERROR(FIND(MID($C488&amp;"",ROW($1:$19),1),"ABCDEFGHIJKLMNOPQRSTUVWXYZabcdefghijklmnopqrstuvwxyz .,")))&gt;0),"First Name contains unsupported or encoded characters; use plain A-Z letters only; ","")&amp;IF($D488="","Last Name is required; ","")&amp;IF(LEN($D488&amp;"")&gt;26,"Last Name exceeds 26 characters; ","")&amp;IF(AND($D488&lt;&gt;"",SUMPRODUCT(--(ROW($1:$26)&lt;=LEN($D488&amp;"")),--ISERROR(FIND(MID($D488&amp;"",ROW($1:$26),1),"ABCDEFGHIJKLMNOPQRSTUVWXYZabcdefghijklmnopqrstuvwxyz .,")))&gt;0),"Last Name contains unsupported or encoded characters; use plain A-Z letters only; ","")&amp;IF(LEN($E488&amp;"")&gt;1,"Middle Initial may contain only one character; ","")&amp;IF(AND($E488&lt;&gt;"",SUMPRODUCT(--(ROW($1:$1)&lt;=LEN($E488&amp;"")),--ISERROR(FIND(MID($E488&amp;"",ROW($1:$1),1),"ABCDEFGHIJKLMNOPQRSTUVWXYZabcdefghijklmnopqrstuvwxyz .,")))&gt;0),"Middle Initial must be a plain A-Z letter; ","")&amp;IF($F488="","Address is required; ","")&amp;IF(LEN($F488&amp;"")&gt;75,"Address exceeds 75 characters; ","")&amp;IF(LEN($G488&amp;"")&gt;75,"Address 2 exceeds 75 characters; ","")&amp;IF($H488="","City is required; ","")&amp;IF(LEN($H488&amp;"")&gt;30,"City exceeds 30 characters; ","")&amp;IF($K488="","Country is required; ","")&amp;IF(AND($K488&lt;&gt;"",$K488&lt;&gt;"US",$K488&lt;&gt;"CA"),"Country must be US or CA; ","")&amp;IF(AND($K488="US",OR($I488="",LEN($I488&amp;"")&lt;&gt;2)),"Use a 2-letter state code; ","")&amp;IF($J488="","ZIP or postal code is required; ","")&amp;IF(AND($K488="US",$J488&lt;&gt;"",NOT(IFERROR(OR(AND(LEN($J488&amp;"")=5,ISNUMBER(--($J488&amp;""))),AND(LEN($J488&amp;"")=9,ISNUMBER(--($J488&amp;""))),AND(LEN($J488&amp;"")=10,MID($J488&amp;"",6,1)="-",ISNUMBER(--SUBSTITUTE($J488&amp;"","-","")))),FALSE))),"US ZIP must be 5 or 9 digits, with an optional ZIP+4 hyphen; ","")&amp;IF(AND($N488&lt;&gt;"",NOT(IFERROR(AND(ISNUMBER(SEARCH("@",$N488)),ISNUMBER(SEARCH(".",$N488,SEARCH("@",$N488)+2))),FALSE))),"Email format appears invalid; ","")&amp;IF(AND($O488&lt;&gt;"",$B488=""),"Dependent SSN is required for every dependent; ","")&amp;IF(AND($B488&lt;&gt;"",$O488=""),"Dependent Relationship is required when Dependent SSN is entered; ","")&amp;IF(AND($O488&lt;&gt;"",$O488&lt;&gt;"Spouse or Common Law Spouse",$O488&lt;&gt;"Domestic Partner",$O488&lt;&gt;"Child",$O488&lt;&gt;"Other",$O488&lt;&gt;"Estate",$O488&lt;&gt;"Unknown"),"Dependent Relationship must use one of the approved options; ",""))</f>
        <v/>
      </c>
      <c r="Z488">
        <f>IF(COUNTA($A488:$U488)=0,"",IF(AND($A488&lt;&gt;"",NOT(IFERROR(AND(LEN($A488&amp;"")=9,ISNUMBER(--($A488&amp;""))),FALSE))),"Employee SSN must contain exactly 9 digits; ","")&amp;IF(AND($A488&lt;&gt;"",OR($A488="123456789",$A488="987654321",$A488="012345678",$A488=REPT(LEFT($A488&amp;"",1),9))),"Employee SSN appears to be a placeholder; ","")&amp;IF(AND($B488&lt;&gt;"",NOT(IFERROR(AND(LEN($B488&amp;"")=9,ISNUMBER(--($B488&amp;""))),FALSE))),"Dependent SSN must contain exactly 9 digits; ","")&amp;IF(AND($B488&lt;&gt;"",OR($B488="123456789",$B488="987654321",$B488="012345678",$B488=REPT(LEFT($B488&amp;"",1),9))),"Dependent SSN appears to be a placeholder; ","")&amp;IF(AND($A488&lt;&gt;"",$B488&lt;&gt;"",$A488&amp;""=$B488&amp;""),"Dependent SSN cannot match Employee SSN; ","")&amp;IF(AND($W488&lt;&gt;"",OR(COUNTIFS($W$2:$W$501,$W488,$C$2:$C$501,"&lt;&gt;"&amp;$C488)&gt;0,COUNTIFS($W$2:$W$501,$W488,$D$2:$D$501,"&lt;&gt;"&amp;$D488)&gt;0,COUNTIFS($W$2:$W$501,$W488,$L$2:$L$501,"&lt;&gt;"&amp;$L488)&gt;0)),"The same SSN is associated with a different name or birthdate; ",""))</f>
        <v/>
      </c>
      <c r="AA488">
        <f>IF(COUNTA($A488:$U488)=0,"",IF(AND($A488&lt;&gt;"",$S488&lt;&gt;"",COUNTIFS($A$2:$A$501,$A488,$S$2:$S$501,$S488,$B$2:$B$501,"",$O$2:$O$501,"")=0),"Add an employee row for this household and plan; ","")&amp;IF(AND($X488="Dependent",COUNTIFS($A$2:$A488,$A488,$S$2:$S488,$S488,$B$2:$B488,"",$O$2:$O488,"")=0),"Place the employee row before dependent rows for this plan; ","")&amp;IF(AND($X488="Dependent",COUNTIFS($A$2:$A$501,$A488,$S$2:$S$501,$S488,$B$2:$B$501,"",$O$2:$O$501,"")&gt;0,IFERROR(OR($P488&lt;&gt;LOOKUP(2,1/(($A$2:$A$501=$A488)*($S$2:$S$501=$S488)*($B$2:$B$501="")*($O$2:$O$501="")),$P$2:$P$501),$Q488&lt;&gt;LOOKUP(2,1/(($A$2:$A$501=$A488)*($S$2:$S$501=$S488)*($B$2:$B$501="")*($O$2:$O$501="")),$Q$2:$Q$501),$R488&lt;&gt;LOOKUP(2,1/(($A$2:$A$501=$A488)*($S$2:$S$501=$S488)*($B$2:$B$501="")*($O$2:$O$501="")),$R$2:$R$501),$T488&lt;&gt;LOOKUP(2,1/(($A$2:$A$501=$A488)*($S$2:$S$501=$S488)*($B$2:$B$501="")*($O$2:$O$501="")),$T$2:$T$501),$U488&lt;&gt;LOOKUP(2,1/(($A$2:$A$501=$A488)*($S$2:$S$501=$S488)*($B$2:$B$501="")*($O$2:$O$501="")),$U$2:$U$501)),FALSE)),"Dependent row does not match the employee row for eligibility, status, coverage level, or funding; ",""))</f>
        <v/>
      </c>
      <c r="AB488">
        <f>IF(COUNTA($A488:$U488)=0,"",IF($L488="","Birthdate is required; ","")&amp;IF(AND($L488&lt;&gt;"",OR(NOT(ISNUMBER($L488)),$L488&lt;=DATE(1900,1,1),$L488&gt;TODAY())),"Birthdate must be an exact valid past date; ","")&amp;IF($P488="","Eligibility Date is required; ","")&amp;IF(AND($P488&lt;&gt;"",OR(NOT(ISNUMBER($P488)),$P488&lt;=DATE(1900,1,1))),"Eligibility Date must be a valid date; ","")&amp;IF(AND($R488="Terminated",$Q488=""),"Termination Date is required when Status is Terminated; ","")&amp;IF(AND($Q488&lt;&gt;"",OR(NOT(ISNUMBER($Q488)),$Q488&lt;=DATE(1900,1,1))),"Termination Date must be a valid date; ","")&amp;IF(AND(ISNUMBER($P488),ISNUMBER($Q488),$Q488&lt;$P488),"Termination Date cannot be before Eligibility Date; ","")&amp;IF($R488="","Status is required; ","")&amp;IF(AND($R488&lt;&gt;"",$R488&lt;&gt;"Active",$R488&lt;&gt;"Terminated"),"Status must be Active or Terminated; ","")&amp;IF(AND('START HERE'!$C$8="Terminations Only",$R488&lt;&gt;"Terminated"),"Terminations Only files must contain terminated records; ",""))</f>
        <v/>
      </c>
      <c r="AC488">
        <f>IF(COUNTA($A488:$U488)=0,"",IF($S488="","Plan Name is required; ","")&amp;IF($T488="","Benefit Coverage Level is required; ","")&amp;IF(AND($U488&lt;&gt;"",OR(NOT(ISNUMBER($U488)),$U488&lt;0)),"Plan Funding Amount must be a nonnegative number; ","")&amp;IF(AND($A488&lt;&gt;"",$S488&lt;&gt;"",COUNTIFS($A$2:$A$501,$A488,$B$2:$B$501,$B488,$S$2:$S$501,$S488)&gt;1),"Duplicate participant and plan row; ",""))</f>
        <v/>
      </c>
      <c r="AD488">
        <f>IF(COUNTA($A488:$U488)=0,"",IF(AND($X488="Employee",$M488="",$N488=""),"No employee phone or email provided; ","")&amp;IF(AND($R488="Active",$Q488&lt;&gt;""),"Active record includes a Termination Date; confirm this is intentional; ","")&amp;IF(AND($B488&lt;&gt;"",$B488&amp;""&lt;&gt;$A488&amp;"",COUNTIF($A$2:$A$501,$B488)&gt;0),"Dependent SSN also appears as an Employee SSN elsewhere; confirm dual-employee coverage is intentional; ","")&amp;IF(AND($B488&lt;&gt;"",COUNTIF($B$2:$B$501,$B488)&gt;COUNTIFS($A$2:$A$501,$A488,$B$2:$B$501,$B488)),"Dependent SSN appears under more than one employee; confirm duplicate family coverage is intentional; ","")&amp;IF(AND(ROW()&gt;2,$A488&lt;&gt;"",$A488&lt;&gt;$A487,COUNTIF($A$2:$A487,$A488)&gt;0),"This household appears in more than one section of the census; keep the family together; ","")&amp;IF(OR(AND($C488&lt;&gt;"",LEN($C488&amp;"")&lt;&gt;LEN(TRIM($C488&amp;""))),AND($D488&lt;&gt;"",LEN($D488&amp;"")&lt;&gt;LEN(TRIM($D488&amp;""))),AND($E488&lt;&gt;"",LEN($E488&amp;"")&lt;&gt;LEN(TRIM($E488&amp;""))),AND($F488&lt;&gt;"",LEN($F488&amp;"")&lt;&gt;LEN(TRIM($F488&amp;""))),AND($G488&lt;&gt;"",LEN($G488&amp;"")&lt;&gt;LEN(TRIM($G488&amp;""))),AND($H488&lt;&gt;"",LEN($H488&amp;"")&lt;&gt;LEN(TRIM($H488&amp;""))),AND($I488&lt;&gt;"",LEN($I488&amp;"")&lt;&gt;LEN(TRIM($I488&amp;""))),AND($J488&lt;&gt;"",LEN($J488&amp;"")&lt;&gt;LEN(TRIM($J488&amp;""))),AND($K488&lt;&gt;"",LEN($K488&amp;"")&lt;&gt;LEN(TRIM($K488&amp;""))),AND($M488&lt;&gt;"",LEN($M488&amp;"")&lt;&gt;LEN(TRIM($M488&amp;""))),AND($N488&lt;&gt;"",LEN($N488&amp;"")&lt;&gt;LEN(TRIM($N488&amp;""))),AND($O488&lt;&gt;"",LEN($O488&amp;"")&lt;&gt;LEN(TRIM($O488&amp;""))),AND($R488&lt;&gt;"",LEN($R488&amp;"")&lt;&gt;LEN(TRIM($R488&amp;""))),AND($S488&lt;&gt;"",LEN($S488&amp;"")&lt;&gt;LEN(TRIM($S488&amp;""))),AND($T488&lt;&gt;"",LEN($T488&amp;"")&lt;&gt;LEN(TRIM($T488&amp;"")))),"Remove leading or trailing spaces from text fields; ","")&amp;IF(OR(AND(LEN($C488)&gt;1,OR(EXACT($C488,UPPER($C488)),EXACT($C488,LOWER($C488)))),AND(LEN($D488)&gt;1,OR(EXACT($D488,UPPER($D488)),EXACT($D488,LOWER($D488)))),AND(LEN($H488)&gt;1,OR(EXACT($H488,UPPER($H488)),EXACT($H488,LOWER($H488))))),"Review capitalization in First Name, Last Name, or City; ","")&amp;IF(AND($N488&lt;&gt;"",NOT(EXACT($N488,LOWER($N488)))),"Email will be standardized to lowercase in the clean output; ","")&amp;IF(AND(OR('START HERE'!$C$8="Initial Enrollment",'START HERE'!$C$8="Open Enrollment"),$R488="Terminated"),"A terminated row is included in an initial or open enrollment file; confirm this is intentional; ",""))</f>
        <v/>
      </c>
      <c r="AE488">
        <f>IF(COUNTA($A488:$U488)=0,"",IF(OR($A488="",AND($A488&lt;&gt;"",NOT(IFERROR(AND(LEN($A488&amp;"")=9,ISNUMBER(--($A488&amp;""))),FALSE))),AND($A488&lt;&gt;"",OR($A488="123456789",$A488="987654321",$A488="012345678",$A488=REPT(LEFT($A488&amp;"",1),9)))),"Employee SSN, ","")&amp;IF(OR(AND($O488&lt;&gt;"",$B488=""),AND($B488&lt;&gt;"",OR(NOT(IFERROR(AND(LEN($B488&amp;"")=9,ISNUMBER(--($B488&amp;""))),FALSE)),$B488=$A488,$B488="123456789",$B488="987654321",$B488="012345678",$B488=REPT(LEFT($B488&amp;"",1),9)))),"Dependent SSN, ","")&amp;IF(OR($C488="",LEN($C488)&gt;19,AND($C488&lt;&gt;"",SUMPRODUCT(--(ROW($1:$19)&lt;=LEN($C488&amp;"")),--ISERROR(FIND(MID($C488&amp;"",ROW($1:$19),1),"ABCDEFGHIJKLMNOPQRSTUVWXYZabcdefghijklmnopqrstuvwxyz .,")))&gt;0)),"First Name, ","")&amp;IF(OR($D488="",LEN($D488)&gt;26,AND($D488&lt;&gt;"",SUMPRODUCT(--(ROW($1:$26)&lt;=LEN($D488&amp;"")),--ISERROR(FIND(MID($D488&amp;"",ROW($1:$26),1),"ABCDEFGHIJKLMNOPQRSTUVWXYZabcdefghijklmnopqrstuvwxyz .,")))&gt;0)),"Last Name, ","")&amp;IF(OR(LEN($E488)&gt;1,AND($E488&lt;&gt;"",SUMPRODUCT(--(ROW($1:$1)&lt;=LEN($E488&amp;"")),--ISERROR(FIND(MID($E488&amp;"",ROW($1:$1),1),"ABCDEFGHIJKLMNOPQRSTUVWXYZabcdefghijklmnopqrstuvwxyz .,")))&gt;0)),"Middle Initial, ","")&amp;IF(OR($F488="",LEN($F488)&gt;75),"Address, ","")&amp;IF(OR($H488="",LEN($H488)&gt;30),"City, ","")&amp;IF(AND($K488="US",OR($I488="",LEN($I488)&lt;&gt;2)),"State, ","")&amp;IF($J488="","ZIP, ","")&amp;IF(OR($K488="",AND($K488&lt;&gt;"US",$K488&lt;&gt;"CA")),"Country, ","")&amp;IF(OR($L488="",AND($L488&lt;&gt;"",OR(NOT(ISNUMBER($L488)),$L488&lt;=DATE(1900,1,1),$L488&gt;TODAY()))),"Birthdate, ","")&amp;IF(AND($N488&lt;&gt;"",NOT(IFERROR(AND(ISNUMBER(SEARCH("@",$N488)),ISNUMBER(SEARCH(".",$N488,SEARCH("@",$N488)+2))),FALSE))),"Email, ","")&amp;IF(OR(AND($B488&lt;&gt;"",$O488=""),AND($O488&lt;&gt;"",$O488&lt;&gt;"Spouse or Common Law Spouse",$O488&lt;&gt;"Domestic Partner",$O488&lt;&gt;"Child",$O488&lt;&gt;"Other",$O488&lt;&gt;"Estate",$O488&lt;&gt;"Unknown")),"Dependent Relationship, ","")&amp;IF($AA488&lt;&gt;"","Household, ","")&amp;IF(OR($P488="",AND($P488&lt;&gt;"",OR(NOT(ISNUMBER($P488)),$P488&lt;=DATE(1900,1,1)))),"Eligibility Date, ","")&amp;IF(OR(AND($R488="Terminated",$Q488=""),AND($Q488&lt;&gt;"",OR(NOT(ISNUMBER($Q488)),$Q488&lt;=DATE(1900,1,1))),AND(ISNUMBER($P488),ISNUMBER($Q488),$Q488&lt;$P488)),"Termination Date, ","")&amp;IF(OR($R488="",AND($R488&lt;&gt;"Active",$R488&lt;&gt;"Terminated"),AND('START HERE'!$C$8="Terminations Only",$R488&lt;&gt;"Terminated")),"Status, ","")&amp;IF($S488="","Plan Name, ","")&amp;IF($T488="","Coverage Level, ","")&amp;IF(AND($U488&lt;&gt;"",OR(NOT(ISNUMBER($U488)),$U488&lt;0)),"Funding, ","")&amp;IF(AND($A488&lt;&gt;"",$S488&lt;&gt;"",COUNTIFS($A$2:$A$501,$A488,$B$2:$B$501,$B488,$S$2:$S$501,$S488)&gt;1),"Duplicate Row, ",""))</f>
        <v/>
      </c>
      <c r="AF488">
        <f>IF(COUNTA($A488:$U488)=0,"",$Y488&amp;$Z488&amp;$AA488&amp;$AB488&amp;$AC488)</f>
        <v/>
      </c>
      <c r="AG488">
        <f>IF($N488="","",LOWER(TRIM($N488)))</f>
        <v/>
      </c>
      <c r="AH488">
        <f>IF($A488="","",COUNTIFS($A$2:$A$501,$A488,$AI$2:$AI$501,1))</f>
        <v/>
      </c>
      <c r="AI488">
        <f>IF(COUNTA($A488:$U488)=0,"",--($AF488&lt;&gt;""))</f>
        <v/>
      </c>
      <c r="AJ488">
        <f>IF(COUNTA($A488:$U488)=0,"",--($AD488&lt;&gt;""))</f>
        <v/>
      </c>
    </row>
    <row r="489" ht="20" customHeight="1">
      <c r="A489" s="80" t="n"/>
      <c r="B489" s="80" t="n"/>
      <c r="C489" s="81" t="n"/>
      <c r="D489" s="81" t="n"/>
      <c r="E489" s="80" t="n"/>
      <c r="F489" s="81" t="n"/>
      <c r="G489" s="81" t="n"/>
      <c r="H489" s="81" t="n"/>
      <c r="I489" s="80" t="n"/>
      <c r="J489" s="80" t="n"/>
      <c r="K489" s="80" t="n"/>
      <c r="L489" s="82" t="n"/>
      <c r="M489" s="80" t="n"/>
      <c r="N489" s="80" t="n"/>
      <c r="O489" s="80" t="n"/>
      <c r="P489" s="82" t="n"/>
      <c r="Q489" s="82" t="n"/>
      <c r="R489" s="80" t="n"/>
      <c r="S489" s="80" t="n"/>
      <c r="T489" s="80" t="n"/>
      <c r="U489" s="83" t="n"/>
      <c r="V489">
        <f>IF($A489="","",IF($A489=$A488,$V488,IF($V488="",0,1-$V488)))</f>
        <v/>
      </c>
      <c r="W489">
        <f>IF($B489&lt;&gt;"",$B489,$A489)</f>
        <v/>
      </c>
      <c r="X489">
        <f>IF(COUNTA($A489:$U489)=0,"",IF(OR($B489&lt;&gt;"",$O489&lt;&gt;""),"Dependent","Employee"))</f>
        <v/>
      </c>
      <c r="Y489">
        <f>IF(COUNTA($A489:$U489)=0,"",IF($A489="","Employee SSN is required; ","")&amp;IF($C489="","First Name is required; ","")&amp;IF(LEN($C489&amp;"")&gt;19,"First Name exceeds 19 characters; ","")&amp;IF(AND($C489&lt;&gt;"",SUMPRODUCT(--(ROW($1:$19)&lt;=LEN($C489&amp;"")),--ISERROR(FIND(MID($C489&amp;"",ROW($1:$19),1),"ABCDEFGHIJKLMNOPQRSTUVWXYZabcdefghijklmnopqrstuvwxyz .,")))&gt;0),"First Name contains unsupported or encoded characters; use plain A-Z letters only; ","")&amp;IF($D489="","Last Name is required; ","")&amp;IF(LEN($D489&amp;"")&gt;26,"Last Name exceeds 26 characters; ","")&amp;IF(AND($D489&lt;&gt;"",SUMPRODUCT(--(ROW($1:$26)&lt;=LEN($D489&amp;"")),--ISERROR(FIND(MID($D489&amp;"",ROW($1:$26),1),"ABCDEFGHIJKLMNOPQRSTUVWXYZabcdefghijklmnopqrstuvwxyz .,")))&gt;0),"Last Name contains unsupported or encoded characters; use plain A-Z letters only; ","")&amp;IF(LEN($E489&amp;"")&gt;1,"Middle Initial may contain only one character; ","")&amp;IF(AND($E489&lt;&gt;"",SUMPRODUCT(--(ROW($1:$1)&lt;=LEN($E489&amp;"")),--ISERROR(FIND(MID($E489&amp;"",ROW($1:$1),1),"ABCDEFGHIJKLMNOPQRSTUVWXYZabcdefghijklmnopqrstuvwxyz .,")))&gt;0),"Middle Initial must be a plain A-Z letter; ","")&amp;IF($F489="","Address is required; ","")&amp;IF(LEN($F489&amp;"")&gt;75,"Address exceeds 75 characters; ","")&amp;IF(LEN($G489&amp;"")&gt;75,"Address 2 exceeds 75 characters; ","")&amp;IF($H489="","City is required; ","")&amp;IF(LEN($H489&amp;"")&gt;30,"City exceeds 30 characters; ","")&amp;IF($K489="","Country is required; ","")&amp;IF(AND($K489&lt;&gt;"",$K489&lt;&gt;"US",$K489&lt;&gt;"CA"),"Country must be US or CA; ","")&amp;IF(AND($K489="US",OR($I489="",LEN($I489&amp;"")&lt;&gt;2)),"Use a 2-letter state code; ","")&amp;IF($J489="","ZIP or postal code is required; ","")&amp;IF(AND($K489="US",$J489&lt;&gt;"",NOT(IFERROR(OR(AND(LEN($J489&amp;"")=5,ISNUMBER(--($J489&amp;""))),AND(LEN($J489&amp;"")=9,ISNUMBER(--($J489&amp;""))),AND(LEN($J489&amp;"")=10,MID($J489&amp;"",6,1)="-",ISNUMBER(--SUBSTITUTE($J489&amp;"","-","")))),FALSE))),"US ZIP must be 5 or 9 digits, with an optional ZIP+4 hyphen; ","")&amp;IF(AND($N489&lt;&gt;"",NOT(IFERROR(AND(ISNUMBER(SEARCH("@",$N489)),ISNUMBER(SEARCH(".",$N489,SEARCH("@",$N489)+2))),FALSE))),"Email format appears invalid; ","")&amp;IF(AND($O489&lt;&gt;"",$B489=""),"Dependent SSN is required for every dependent; ","")&amp;IF(AND($B489&lt;&gt;"",$O489=""),"Dependent Relationship is required when Dependent SSN is entered; ","")&amp;IF(AND($O489&lt;&gt;"",$O489&lt;&gt;"Spouse or Common Law Spouse",$O489&lt;&gt;"Domestic Partner",$O489&lt;&gt;"Child",$O489&lt;&gt;"Other",$O489&lt;&gt;"Estate",$O489&lt;&gt;"Unknown"),"Dependent Relationship must use one of the approved options; ",""))</f>
        <v/>
      </c>
      <c r="Z489">
        <f>IF(COUNTA($A489:$U489)=0,"",IF(AND($A489&lt;&gt;"",NOT(IFERROR(AND(LEN($A489&amp;"")=9,ISNUMBER(--($A489&amp;""))),FALSE))),"Employee SSN must contain exactly 9 digits; ","")&amp;IF(AND($A489&lt;&gt;"",OR($A489="123456789",$A489="987654321",$A489="012345678",$A489=REPT(LEFT($A489&amp;"",1),9))),"Employee SSN appears to be a placeholder; ","")&amp;IF(AND($B489&lt;&gt;"",NOT(IFERROR(AND(LEN($B489&amp;"")=9,ISNUMBER(--($B489&amp;""))),FALSE))),"Dependent SSN must contain exactly 9 digits; ","")&amp;IF(AND($B489&lt;&gt;"",OR($B489="123456789",$B489="987654321",$B489="012345678",$B489=REPT(LEFT($B489&amp;"",1),9))),"Dependent SSN appears to be a placeholder; ","")&amp;IF(AND($A489&lt;&gt;"",$B489&lt;&gt;"",$A489&amp;""=$B489&amp;""),"Dependent SSN cannot match Employee SSN; ","")&amp;IF(AND($W489&lt;&gt;"",OR(COUNTIFS($W$2:$W$501,$W489,$C$2:$C$501,"&lt;&gt;"&amp;$C489)&gt;0,COUNTIFS($W$2:$W$501,$W489,$D$2:$D$501,"&lt;&gt;"&amp;$D489)&gt;0,COUNTIFS($W$2:$W$501,$W489,$L$2:$L$501,"&lt;&gt;"&amp;$L489)&gt;0)),"The same SSN is associated with a different name or birthdate; ",""))</f>
        <v/>
      </c>
      <c r="AA489">
        <f>IF(COUNTA($A489:$U489)=0,"",IF(AND($A489&lt;&gt;"",$S489&lt;&gt;"",COUNTIFS($A$2:$A$501,$A489,$S$2:$S$501,$S489,$B$2:$B$501,"",$O$2:$O$501,"")=0),"Add an employee row for this household and plan; ","")&amp;IF(AND($X489="Dependent",COUNTIFS($A$2:$A489,$A489,$S$2:$S489,$S489,$B$2:$B489,"",$O$2:$O489,"")=0),"Place the employee row before dependent rows for this plan; ","")&amp;IF(AND($X489="Dependent",COUNTIFS($A$2:$A$501,$A489,$S$2:$S$501,$S489,$B$2:$B$501,"",$O$2:$O$501,"")&gt;0,IFERROR(OR($P489&lt;&gt;LOOKUP(2,1/(($A$2:$A$501=$A489)*($S$2:$S$501=$S489)*($B$2:$B$501="")*($O$2:$O$501="")),$P$2:$P$501),$Q489&lt;&gt;LOOKUP(2,1/(($A$2:$A$501=$A489)*($S$2:$S$501=$S489)*($B$2:$B$501="")*($O$2:$O$501="")),$Q$2:$Q$501),$R489&lt;&gt;LOOKUP(2,1/(($A$2:$A$501=$A489)*($S$2:$S$501=$S489)*($B$2:$B$501="")*($O$2:$O$501="")),$R$2:$R$501),$T489&lt;&gt;LOOKUP(2,1/(($A$2:$A$501=$A489)*($S$2:$S$501=$S489)*($B$2:$B$501="")*($O$2:$O$501="")),$T$2:$T$501),$U489&lt;&gt;LOOKUP(2,1/(($A$2:$A$501=$A489)*($S$2:$S$501=$S489)*($B$2:$B$501="")*($O$2:$O$501="")),$U$2:$U$501)),FALSE)),"Dependent row does not match the employee row for eligibility, status, coverage level, or funding; ",""))</f>
        <v/>
      </c>
      <c r="AB489">
        <f>IF(COUNTA($A489:$U489)=0,"",IF($L489="","Birthdate is required; ","")&amp;IF(AND($L489&lt;&gt;"",OR(NOT(ISNUMBER($L489)),$L489&lt;=DATE(1900,1,1),$L489&gt;TODAY())),"Birthdate must be an exact valid past date; ","")&amp;IF($P489="","Eligibility Date is required; ","")&amp;IF(AND($P489&lt;&gt;"",OR(NOT(ISNUMBER($P489)),$P489&lt;=DATE(1900,1,1))),"Eligibility Date must be a valid date; ","")&amp;IF(AND($R489="Terminated",$Q489=""),"Termination Date is required when Status is Terminated; ","")&amp;IF(AND($Q489&lt;&gt;"",OR(NOT(ISNUMBER($Q489)),$Q489&lt;=DATE(1900,1,1))),"Termination Date must be a valid date; ","")&amp;IF(AND(ISNUMBER($P489),ISNUMBER($Q489),$Q489&lt;$P489),"Termination Date cannot be before Eligibility Date; ","")&amp;IF($R489="","Status is required; ","")&amp;IF(AND($R489&lt;&gt;"",$R489&lt;&gt;"Active",$R489&lt;&gt;"Terminated"),"Status must be Active or Terminated; ","")&amp;IF(AND('START HERE'!$C$8="Terminations Only",$R489&lt;&gt;"Terminated"),"Terminations Only files must contain terminated records; ",""))</f>
        <v/>
      </c>
      <c r="AC489">
        <f>IF(COUNTA($A489:$U489)=0,"",IF($S489="","Plan Name is required; ","")&amp;IF($T489="","Benefit Coverage Level is required; ","")&amp;IF(AND($U489&lt;&gt;"",OR(NOT(ISNUMBER($U489)),$U489&lt;0)),"Plan Funding Amount must be a nonnegative number; ","")&amp;IF(AND($A489&lt;&gt;"",$S489&lt;&gt;"",COUNTIFS($A$2:$A$501,$A489,$B$2:$B$501,$B489,$S$2:$S$501,$S489)&gt;1),"Duplicate participant and plan row; ",""))</f>
        <v/>
      </c>
      <c r="AD489">
        <f>IF(COUNTA($A489:$U489)=0,"",IF(AND($X489="Employee",$M489="",$N489=""),"No employee phone or email provided; ","")&amp;IF(AND($R489="Active",$Q489&lt;&gt;""),"Active record includes a Termination Date; confirm this is intentional; ","")&amp;IF(AND($B489&lt;&gt;"",$B489&amp;""&lt;&gt;$A489&amp;"",COUNTIF($A$2:$A$501,$B489)&gt;0),"Dependent SSN also appears as an Employee SSN elsewhere; confirm dual-employee coverage is intentional; ","")&amp;IF(AND($B489&lt;&gt;"",COUNTIF($B$2:$B$501,$B489)&gt;COUNTIFS($A$2:$A$501,$A489,$B$2:$B$501,$B489)),"Dependent SSN appears under more than one employee; confirm duplicate family coverage is intentional; ","")&amp;IF(AND(ROW()&gt;2,$A489&lt;&gt;"",$A489&lt;&gt;$A488,COUNTIF($A$2:$A488,$A489)&gt;0),"This household appears in more than one section of the census; keep the family together; ","")&amp;IF(OR(AND($C489&lt;&gt;"",LEN($C489&amp;"")&lt;&gt;LEN(TRIM($C489&amp;""))),AND($D489&lt;&gt;"",LEN($D489&amp;"")&lt;&gt;LEN(TRIM($D489&amp;""))),AND($E489&lt;&gt;"",LEN($E489&amp;"")&lt;&gt;LEN(TRIM($E489&amp;""))),AND($F489&lt;&gt;"",LEN($F489&amp;"")&lt;&gt;LEN(TRIM($F489&amp;""))),AND($G489&lt;&gt;"",LEN($G489&amp;"")&lt;&gt;LEN(TRIM($G489&amp;""))),AND($H489&lt;&gt;"",LEN($H489&amp;"")&lt;&gt;LEN(TRIM($H489&amp;""))),AND($I489&lt;&gt;"",LEN($I489&amp;"")&lt;&gt;LEN(TRIM($I489&amp;""))),AND($J489&lt;&gt;"",LEN($J489&amp;"")&lt;&gt;LEN(TRIM($J489&amp;""))),AND($K489&lt;&gt;"",LEN($K489&amp;"")&lt;&gt;LEN(TRIM($K489&amp;""))),AND($M489&lt;&gt;"",LEN($M489&amp;"")&lt;&gt;LEN(TRIM($M489&amp;""))),AND($N489&lt;&gt;"",LEN($N489&amp;"")&lt;&gt;LEN(TRIM($N489&amp;""))),AND($O489&lt;&gt;"",LEN($O489&amp;"")&lt;&gt;LEN(TRIM($O489&amp;""))),AND($R489&lt;&gt;"",LEN($R489&amp;"")&lt;&gt;LEN(TRIM($R489&amp;""))),AND($S489&lt;&gt;"",LEN($S489&amp;"")&lt;&gt;LEN(TRIM($S489&amp;""))),AND($T489&lt;&gt;"",LEN($T489&amp;"")&lt;&gt;LEN(TRIM($T489&amp;"")))),"Remove leading or trailing spaces from text fields; ","")&amp;IF(OR(AND(LEN($C489)&gt;1,OR(EXACT($C489,UPPER($C489)),EXACT($C489,LOWER($C489)))),AND(LEN($D489)&gt;1,OR(EXACT($D489,UPPER($D489)),EXACT($D489,LOWER($D489)))),AND(LEN($H489)&gt;1,OR(EXACT($H489,UPPER($H489)),EXACT($H489,LOWER($H489))))),"Review capitalization in First Name, Last Name, or City; ","")&amp;IF(AND($N489&lt;&gt;"",NOT(EXACT($N489,LOWER($N489)))),"Email will be standardized to lowercase in the clean output; ","")&amp;IF(AND(OR('START HERE'!$C$8="Initial Enrollment",'START HERE'!$C$8="Open Enrollment"),$R489="Terminated"),"A terminated row is included in an initial or open enrollment file; confirm this is intentional; ",""))</f>
        <v/>
      </c>
      <c r="AE489">
        <f>IF(COUNTA($A489:$U489)=0,"",IF(OR($A489="",AND($A489&lt;&gt;"",NOT(IFERROR(AND(LEN($A489&amp;"")=9,ISNUMBER(--($A489&amp;""))),FALSE))),AND($A489&lt;&gt;"",OR($A489="123456789",$A489="987654321",$A489="012345678",$A489=REPT(LEFT($A489&amp;"",1),9)))),"Employee SSN, ","")&amp;IF(OR(AND($O489&lt;&gt;"",$B489=""),AND($B489&lt;&gt;"",OR(NOT(IFERROR(AND(LEN($B489&amp;"")=9,ISNUMBER(--($B489&amp;""))),FALSE)),$B489=$A489,$B489="123456789",$B489="987654321",$B489="012345678",$B489=REPT(LEFT($B489&amp;"",1),9)))),"Dependent SSN, ","")&amp;IF(OR($C489="",LEN($C489)&gt;19,AND($C489&lt;&gt;"",SUMPRODUCT(--(ROW($1:$19)&lt;=LEN($C489&amp;"")),--ISERROR(FIND(MID($C489&amp;"",ROW($1:$19),1),"ABCDEFGHIJKLMNOPQRSTUVWXYZabcdefghijklmnopqrstuvwxyz .,")))&gt;0)),"First Name, ","")&amp;IF(OR($D489="",LEN($D489)&gt;26,AND($D489&lt;&gt;"",SUMPRODUCT(--(ROW($1:$26)&lt;=LEN($D489&amp;"")),--ISERROR(FIND(MID($D489&amp;"",ROW($1:$26),1),"ABCDEFGHIJKLMNOPQRSTUVWXYZabcdefghijklmnopqrstuvwxyz .,")))&gt;0)),"Last Name, ","")&amp;IF(OR(LEN($E489)&gt;1,AND($E489&lt;&gt;"",SUMPRODUCT(--(ROW($1:$1)&lt;=LEN($E489&amp;"")),--ISERROR(FIND(MID($E489&amp;"",ROW($1:$1),1),"ABCDEFGHIJKLMNOPQRSTUVWXYZabcdefghijklmnopqrstuvwxyz .,")))&gt;0)),"Middle Initial, ","")&amp;IF(OR($F489="",LEN($F489)&gt;75),"Address, ","")&amp;IF(OR($H489="",LEN($H489)&gt;30),"City, ","")&amp;IF(AND($K489="US",OR($I489="",LEN($I489)&lt;&gt;2)),"State, ","")&amp;IF($J489="","ZIP, ","")&amp;IF(OR($K489="",AND($K489&lt;&gt;"US",$K489&lt;&gt;"CA")),"Country, ","")&amp;IF(OR($L489="",AND($L489&lt;&gt;"",OR(NOT(ISNUMBER($L489)),$L489&lt;=DATE(1900,1,1),$L489&gt;TODAY()))),"Birthdate, ","")&amp;IF(AND($N489&lt;&gt;"",NOT(IFERROR(AND(ISNUMBER(SEARCH("@",$N489)),ISNUMBER(SEARCH(".",$N489,SEARCH("@",$N489)+2))),FALSE))),"Email, ","")&amp;IF(OR(AND($B489&lt;&gt;"",$O489=""),AND($O489&lt;&gt;"",$O489&lt;&gt;"Spouse or Common Law Spouse",$O489&lt;&gt;"Domestic Partner",$O489&lt;&gt;"Child",$O489&lt;&gt;"Other",$O489&lt;&gt;"Estate",$O489&lt;&gt;"Unknown")),"Dependent Relationship, ","")&amp;IF($AA489&lt;&gt;"","Household, ","")&amp;IF(OR($P489="",AND($P489&lt;&gt;"",OR(NOT(ISNUMBER($P489)),$P489&lt;=DATE(1900,1,1)))),"Eligibility Date, ","")&amp;IF(OR(AND($R489="Terminated",$Q489=""),AND($Q489&lt;&gt;"",OR(NOT(ISNUMBER($Q489)),$Q489&lt;=DATE(1900,1,1))),AND(ISNUMBER($P489),ISNUMBER($Q489),$Q489&lt;$P489)),"Termination Date, ","")&amp;IF(OR($R489="",AND($R489&lt;&gt;"Active",$R489&lt;&gt;"Terminated"),AND('START HERE'!$C$8="Terminations Only",$R489&lt;&gt;"Terminated")),"Status, ","")&amp;IF($S489="","Plan Name, ","")&amp;IF($T489="","Coverage Level, ","")&amp;IF(AND($U489&lt;&gt;"",OR(NOT(ISNUMBER($U489)),$U489&lt;0)),"Funding, ","")&amp;IF(AND($A489&lt;&gt;"",$S489&lt;&gt;"",COUNTIFS($A$2:$A$501,$A489,$B$2:$B$501,$B489,$S$2:$S$501,$S489)&gt;1),"Duplicate Row, ",""))</f>
        <v/>
      </c>
      <c r="AF489">
        <f>IF(COUNTA($A489:$U489)=0,"",$Y489&amp;$Z489&amp;$AA489&amp;$AB489&amp;$AC489)</f>
        <v/>
      </c>
      <c r="AG489">
        <f>IF($N489="","",LOWER(TRIM($N489)))</f>
        <v/>
      </c>
      <c r="AH489">
        <f>IF($A489="","",COUNTIFS($A$2:$A$501,$A489,$AI$2:$AI$501,1))</f>
        <v/>
      </c>
      <c r="AI489">
        <f>IF(COUNTA($A489:$U489)=0,"",--($AF489&lt;&gt;""))</f>
        <v/>
      </c>
      <c r="AJ489">
        <f>IF(COUNTA($A489:$U489)=0,"",--($AD489&lt;&gt;""))</f>
        <v/>
      </c>
    </row>
    <row r="490" ht="20" customHeight="1">
      <c r="A490" s="80" t="n"/>
      <c r="B490" s="80" t="n"/>
      <c r="C490" s="81" t="n"/>
      <c r="D490" s="81" t="n"/>
      <c r="E490" s="80" t="n"/>
      <c r="F490" s="81" t="n"/>
      <c r="G490" s="81" t="n"/>
      <c r="H490" s="81" t="n"/>
      <c r="I490" s="80" t="n"/>
      <c r="J490" s="80" t="n"/>
      <c r="K490" s="80" t="n"/>
      <c r="L490" s="82" t="n"/>
      <c r="M490" s="80" t="n"/>
      <c r="N490" s="80" t="n"/>
      <c r="O490" s="80" t="n"/>
      <c r="P490" s="82" t="n"/>
      <c r="Q490" s="82" t="n"/>
      <c r="R490" s="80" t="n"/>
      <c r="S490" s="80" t="n"/>
      <c r="T490" s="80" t="n"/>
      <c r="U490" s="83" t="n"/>
      <c r="V490">
        <f>IF($A490="","",IF($A490=$A489,$V489,IF($V489="",0,1-$V489)))</f>
        <v/>
      </c>
      <c r="W490">
        <f>IF($B490&lt;&gt;"",$B490,$A490)</f>
        <v/>
      </c>
      <c r="X490">
        <f>IF(COUNTA($A490:$U490)=0,"",IF(OR($B490&lt;&gt;"",$O490&lt;&gt;""),"Dependent","Employee"))</f>
        <v/>
      </c>
      <c r="Y490">
        <f>IF(COUNTA($A490:$U490)=0,"",IF($A490="","Employee SSN is required; ","")&amp;IF($C490="","First Name is required; ","")&amp;IF(LEN($C490&amp;"")&gt;19,"First Name exceeds 19 characters; ","")&amp;IF(AND($C490&lt;&gt;"",SUMPRODUCT(--(ROW($1:$19)&lt;=LEN($C490&amp;"")),--ISERROR(FIND(MID($C490&amp;"",ROW($1:$19),1),"ABCDEFGHIJKLMNOPQRSTUVWXYZabcdefghijklmnopqrstuvwxyz .,")))&gt;0),"First Name contains unsupported or encoded characters; use plain A-Z letters only; ","")&amp;IF($D490="","Last Name is required; ","")&amp;IF(LEN($D490&amp;"")&gt;26,"Last Name exceeds 26 characters; ","")&amp;IF(AND($D490&lt;&gt;"",SUMPRODUCT(--(ROW($1:$26)&lt;=LEN($D490&amp;"")),--ISERROR(FIND(MID($D490&amp;"",ROW($1:$26),1),"ABCDEFGHIJKLMNOPQRSTUVWXYZabcdefghijklmnopqrstuvwxyz .,")))&gt;0),"Last Name contains unsupported or encoded characters; use plain A-Z letters only; ","")&amp;IF(LEN($E490&amp;"")&gt;1,"Middle Initial may contain only one character; ","")&amp;IF(AND($E490&lt;&gt;"",SUMPRODUCT(--(ROW($1:$1)&lt;=LEN($E490&amp;"")),--ISERROR(FIND(MID($E490&amp;"",ROW($1:$1),1),"ABCDEFGHIJKLMNOPQRSTUVWXYZabcdefghijklmnopqrstuvwxyz .,")))&gt;0),"Middle Initial must be a plain A-Z letter; ","")&amp;IF($F490="","Address is required; ","")&amp;IF(LEN($F490&amp;"")&gt;75,"Address exceeds 75 characters; ","")&amp;IF(LEN($G490&amp;"")&gt;75,"Address 2 exceeds 75 characters; ","")&amp;IF($H490="","City is required; ","")&amp;IF(LEN($H490&amp;"")&gt;30,"City exceeds 30 characters; ","")&amp;IF($K490="","Country is required; ","")&amp;IF(AND($K490&lt;&gt;"",$K490&lt;&gt;"US",$K490&lt;&gt;"CA"),"Country must be US or CA; ","")&amp;IF(AND($K490="US",OR($I490="",LEN($I490&amp;"")&lt;&gt;2)),"Use a 2-letter state code; ","")&amp;IF($J490="","ZIP or postal code is required; ","")&amp;IF(AND($K490="US",$J490&lt;&gt;"",NOT(IFERROR(OR(AND(LEN($J490&amp;"")=5,ISNUMBER(--($J490&amp;""))),AND(LEN($J490&amp;"")=9,ISNUMBER(--($J490&amp;""))),AND(LEN($J490&amp;"")=10,MID($J490&amp;"",6,1)="-",ISNUMBER(--SUBSTITUTE($J490&amp;"","-","")))),FALSE))),"US ZIP must be 5 or 9 digits, with an optional ZIP+4 hyphen; ","")&amp;IF(AND($N490&lt;&gt;"",NOT(IFERROR(AND(ISNUMBER(SEARCH("@",$N490)),ISNUMBER(SEARCH(".",$N490,SEARCH("@",$N490)+2))),FALSE))),"Email format appears invalid; ","")&amp;IF(AND($O490&lt;&gt;"",$B490=""),"Dependent SSN is required for every dependent; ","")&amp;IF(AND($B490&lt;&gt;"",$O490=""),"Dependent Relationship is required when Dependent SSN is entered; ","")&amp;IF(AND($O490&lt;&gt;"",$O490&lt;&gt;"Spouse or Common Law Spouse",$O490&lt;&gt;"Domestic Partner",$O490&lt;&gt;"Child",$O490&lt;&gt;"Other",$O490&lt;&gt;"Estate",$O490&lt;&gt;"Unknown"),"Dependent Relationship must use one of the approved options; ",""))</f>
        <v/>
      </c>
      <c r="Z490">
        <f>IF(COUNTA($A490:$U490)=0,"",IF(AND($A490&lt;&gt;"",NOT(IFERROR(AND(LEN($A490&amp;"")=9,ISNUMBER(--($A490&amp;""))),FALSE))),"Employee SSN must contain exactly 9 digits; ","")&amp;IF(AND($A490&lt;&gt;"",OR($A490="123456789",$A490="987654321",$A490="012345678",$A490=REPT(LEFT($A490&amp;"",1),9))),"Employee SSN appears to be a placeholder; ","")&amp;IF(AND($B490&lt;&gt;"",NOT(IFERROR(AND(LEN($B490&amp;"")=9,ISNUMBER(--($B490&amp;""))),FALSE))),"Dependent SSN must contain exactly 9 digits; ","")&amp;IF(AND($B490&lt;&gt;"",OR($B490="123456789",$B490="987654321",$B490="012345678",$B490=REPT(LEFT($B490&amp;"",1),9))),"Dependent SSN appears to be a placeholder; ","")&amp;IF(AND($A490&lt;&gt;"",$B490&lt;&gt;"",$A490&amp;""=$B490&amp;""),"Dependent SSN cannot match Employee SSN; ","")&amp;IF(AND($W490&lt;&gt;"",OR(COUNTIFS($W$2:$W$501,$W490,$C$2:$C$501,"&lt;&gt;"&amp;$C490)&gt;0,COUNTIFS($W$2:$W$501,$W490,$D$2:$D$501,"&lt;&gt;"&amp;$D490)&gt;0,COUNTIFS($W$2:$W$501,$W490,$L$2:$L$501,"&lt;&gt;"&amp;$L490)&gt;0)),"The same SSN is associated with a different name or birthdate; ",""))</f>
        <v/>
      </c>
      <c r="AA490">
        <f>IF(COUNTA($A490:$U490)=0,"",IF(AND($A490&lt;&gt;"",$S490&lt;&gt;"",COUNTIFS($A$2:$A$501,$A490,$S$2:$S$501,$S490,$B$2:$B$501,"",$O$2:$O$501,"")=0),"Add an employee row for this household and plan; ","")&amp;IF(AND($X490="Dependent",COUNTIFS($A$2:$A490,$A490,$S$2:$S490,$S490,$B$2:$B490,"",$O$2:$O490,"")=0),"Place the employee row before dependent rows for this plan; ","")&amp;IF(AND($X490="Dependent",COUNTIFS($A$2:$A$501,$A490,$S$2:$S$501,$S490,$B$2:$B$501,"",$O$2:$O$501,"")&gt;0,IFERROR(OR($P490&lt;&gt;LOOKUP(2,1/(($A$2:$A$501=$A490)*($S$2:$S$501=$S490)*($B$2:$B$501="")*($O$2:$O$501="")),$P$2:$P$501),$Q490&lt;&gt;LOOKUP(2,1/(($A$2:$A$501=$A490)*($S$2:$S$501=$S490)*($B$2:$B$501="")*($O$2:$O$501="")),$Q$2:$Q$501),$R490&lt;&gt;LOOKUP(2,1/(($A$2:$A$501=$A490)*($S$2:$S$501=$S490)*($B$2:$B$501="")*($O$2:$O$501="")),$R$2:$R$501),$T490&lt;&gt;LOOKUP(2,1/(($A$2:$A$501=$A490)*($S$2:$S$501=$S490)*($B$2:$B$501="")*($O$2:$O$501="")),$T$2:$T$501),$U490&lt;&gt;LOOKUP(2,1/(($A$2:$A$501=$A490)*($S$2:$S$501=$S490)*($B$2:$B$501="")*($O$2:$O$501="")),$U$2:$U$501)),FALSE)),"Dependent row does not match the employee row for eligibility, status, coverage level, or funding; ",""))</f>
        <v/>
      </c>
      <c r="AB490">
        <f>IF(COUNTA($A490:$U490)=0,"",IF($L490="","Birthdate is required; ","")&amp;IF(AND($L490&lt;&gt;"",OR(NOT(ISNUMBER($L490)),$L490&lt;=DATE(1900,1,1),$L490&gt;TODAY())),"Birthdate must be an exact valid past date; ","")&amp;IF($P490="","Eligibility Date is required; ","")&amp;IF(AND($P490&lt;&gt;"",OR(NOT(ISNUMBER($P490)),$P490&lt;=DATE(1900,1,1))),"Eligibility Date must be a valid date; ","")&amp;IF(AND($R490="Terminated",$Q490=""),"Termination Date is required when Status is Terminated; ","")&amp;IF(AND($Q490&lt;&gt;"",OR(NOT(ISNUMBER($Q490)),$Q490&lt;=DATE(1900,1,1))),"Termination Date must be a valid date; ","")&amp;IF(AND(ISNUMBER($P490),ISNUMBER($Q490),$Q490&lt;$P490),"Termination Date cannot be before Eligibility Date; ","")&amp;IF($R490="","Status is required; ","")&amp;IF(AND($R490&lt;&gt;"",$R490&lt;&gt;"Active",$R490&lt;&gt;"Terminated"),"Status must be Active or Terminated; ","")&amp;IF(AND('START HERE'!$C$8="Terminations Only",$R490&lt;&gt;"Terminated"),"Terminations Only files must contain terminated records; ",""))</f>
        <v/>
      </c>
      <c r="AC490">
        <f>IF(COUNTA($A490:$U490)=0,"",IF($S490="","Plan Name is required; ","")&amp;IF($T490="","Benefit Coverage Level is required; ","")&amp;IF(AND($U490&lt;&gt;"",OR(NOT(ISNUMBER($U490)),$U490&lt;0)),"Plan Funding Amount must be a nonnegative number; ","")&amp;IF(AND($A490&lt;&gt;"",$S490&lt;&gt;"",COUNTIFS($A$2:$A$501,$A490,$B$2:$B$501,$B490,$S$2:$S$501,$S490)&gt;1),"Duplicate participant and plan row; ",""))</f>
        <v/>
      </c>
      <c r="AD490">
        <f>IF(COUNTA($A490:$U490)=0,"",IF(AND($X490="Employee",$M490="",$N490=""),"No employee phone or email provided; ","")&amp;IF(AND($R490="Active",$Q490&lt;&gt;""),"Active record includes a Termination Date; confirm this is intentional; ","")&amp;IF(AND($B490&lt;&gt;"",$B490&amp;""&lt;&gt;$A490&amp;"",COUNTIF($A$2:$A$501,$B490)&gt;0),"Dependent SSN also appears as an Employee SSN elsewhere; confirm dual-employee coverage is intentional; ","")&amp;IF(AND($B490&lt;&gt;"",COUNTIF($B$2:$B$501,$B490)&gt;COUNTIFS($A$2:$A$501,$A490,$B$2:$B$501,$B490)),"Dependent SSN appears under more than one employee; confirm duplicate family coverage is intentional; ","")&amp;IF(AND(ROW()&gt;2,$A490&lt;&gt;"",$A490&lt;&gt;$A489,COUNTIF($A$2:$A489,$A490)&gt;0),"This household appears in more than one section of the census; keep the family together; ","")&amp;IF(OR(AND($C490&lt;&gt;"",LEN($C490&amp;"")&lt;&gt;LEN(TRIM($C490&amp;""))),AND($D490&lt;&gt;"",LEN($D490&amp;"")&lt;&gt;LEN(TRIM($D490&amp;""))),AND($E490&lt;&gt;"",LEN($E490&amp;"")&lt;&gt;LEN(TRIM($E490&amp;""))),AND($F490&lt;&gt;"",LEN($F490&amp;"")&lt;&gt;LEN(TRIM($F490&amp;""))),AND($G490&lt;&gt;"",LEN($G490&amp;"")&lt;&gt;LEN(TRIM($G490&amp;""))),AND($H490&lt;&gt;"",LEN($H490&amp;"")&lt;&gt;LEN(TRIM($H490&amp;""))),AND($I490&lt;&gt;"",LEN($I490&amp;"")&lt;&gt;LEN(TRIM($I490&amp;""))),AND($J490&lt;&gt;"",LEN($J490&amp;"")&lt;&gt;LEN(TRIM($J490&amp;""))),AND($K490&lt;&gt;"",LEN($K490&amp;"")&lt;&gt;LEN(TRIM($K490&amp;""))),AND($M490&lt;&gt;"",LEN($M490&amp;"")&lt;&gt;LEN(TRIM($M490&amp;""))),AND($N490&lt;&gt;"",LEN($N490&amp;"")&lt;&gt;LEN(TRIM($N490&amp;""))),AND($O490&lt;&gt;"",LEN($O490&amp;"")&lt;&gt;LEN(TRIM($O490&amp;""))),AND($R490&lt;&gt;"",LEN($R490&amp;"")&lt;&gt;LEN(TRIM($R490&amp;""))),AND($S490&lt;&gt;"",LEN($S490&amp;"")&lt;&gt;LEN(TRIM($S490&amp;""))),AND($T490&lt;&gt;"",LEN($T490&amp;"")&lt;&gt;LEN(TRIM($T490&amp;"")))),"Remove leading or trailing spaces from text fields; ","")&amp;IF(OR(AND(LEN($C490)&gt;1,OR(EXACT($C490,UPPER($C490)),EXACT($C490,LOWER($C490)))),AND(LEN($D490)&gt;1,OR(EXACT($D490,UPPER($D490)),EXACT($D490,LOWER($D490)))),AND(LEN($H490)&gt;1,OR(EXACT($H490,UPPER($H490)),EXACT($H490,LOWER($H490))))),"Review capitalization in First Name, Last Name, or City; ","")&amp;IF(AND($N490&lt;&gt;"",NOT(EXACT($N490,LOWER($N490)))),"Email will be standardized to lowercase in the clean output; ","")&amp;IF(AND(OR('START HERE'!$C$8="Initial Enrollment",'START HERE'!$C$8="Open Enrollment"),$R490="Terminated"),"A terminated row is included in an initial or open enrollment file; confirm this is intentional; ",""))</f>
        <v/>
      </c>
      <c r="AE490">
        <f>IF(COUNTA($A490:$U490)=0,"",IF(OR($A490="",AND($A490&lt;&gt;"",NOT(IFERROR(AND(LEN($A490&amp;"")=9,ISNUMBER(--($A490&amp;""))),FALSE))),AND($A490&lt;&gt;"",OR($A490="123456789",$A490="987654321",$A490="012345678",$A490=REPT(LEFT($A490&amp;"",1),9)))),"Employee SSN, ","")&amp;IF(OR(AND($O490&lt;&gt;"",$B490=""),AND($B490&lt;&gt;"",OR(NOT(IFERROR(AND(LEN($B490&amp;"")=9,ISNUMBER(--($B490&amp;""))),FALSE)),$B490=$A490,$B490="123456789",$B490="987654321",$B490="012345678",$B490=REPT(LEFT($B490&amp;"",1),9)))),"Dependent SSN, ","")&amp;IF(OR($C490="",LEN($C490)&gt;19,AND($C490&lt;&gt;"",SUMPRODUCT(--(ROW($1:$19)&lt;=LEN($C490&amp;"")),--ISERROR(FIND(MID($C490&amp;"",ROW($1:$19),1),"ABCDEFGHIJKLMNOPQRSTUVWXYZabcdefghijklmnopqrstuvwxyz .,")))&gt;0)),"First Name, ","")&amp;IF(OR($D490="",LEN($D490)&gt;26,AND($D490&lt;&gt;"",SUMPRODUCT(--(ROW($1:$26)&lt;=LEN($D490&amp;"")),--ISERROR(FIND(MID($D490&amp;"",ROW($1:$26),1),"ABCDEFGHIJKLMNOPQRSTUVWXYZabcdefghijklmnopqrstuvwxyz .,")))&gt;0)),"Last Name, ","")&amp;IF(OR(LEN($E490)&gt;1,AND($E490&lt;&gt;"",SUMPRODUCT(--(ROW($1:$1)&lt;=LEN($E490&amp;"")),--ISERROR(FIND(MID($E490&amp;"",ROW($1:$1),1),"ABCDEFGHIJKLMNOPQRSTUVWXYZabcdefghijklmnopqrstuvwxyz .,")))&gt;0)),"Middle Initial, ","")&amp;IF(OR($F490="",LEN($F490)&gt;75),"Address, ","")&amp;IF(OR($H490="",LEN($H490)&gt;30),"City, ","")&amp;IF(AND($K490="US",OR($I490="",LEN($I490)&lt;&gt;2)),"State, ","")&amp;IF($J490="","ZIP, ","")&amp;IF(OR($K490="",AND($K490&lt;&gt;"US",$K490&lt;&gt;"CA")),"Country, ","")&amp;IF(OR($L490="",AND($L490&lt;&gt;"",OR(NOT(ISNUMBER($L490)),$L490&lt;=DATE(1900,1,1),$L490&gt;TODAY()))),"Birthdate, ","")&amp;IF(AND($N490&lt;&gt;"",NOT(IFERROR(AND(ISNUMBER(SEARCH("@",$N490)),ISNUMBER(SEARCH(".",$N490,SEARCH("@",$N490)+2))),FALSE))),"Email, ","")&amp;IF(OR(AND($B490&lt;&gt;"",$O490=""),AND($O490&lt;&gt;"",$O490&lt;&gt;"Spouse or Common Law Spouse",$O490&lt;&gt;"Domestic Partner",$O490&lt;&gt;"Child",$O490&lt;&gt;"Other",$O490&lt;&gt;"Estate",$O490&lt;&gt;"Unknown")),"Dependent Relationship, ","")&amp;IF($AA490&lt;&gt;"","Household, ","")&amp;IF(OR($P490="",AND($P490&lt;&gt;"",OR(NOT(ISNUMBER($P490)),$P490&lt;=DATE(1900,1,1)))),"Eligibility Date, ","")&amp;IF(OR(AND($R490="Terminated",$Q490=""),AND($Q490&lt;&gt;"",OR(NOT(ISNUMBER($Q490)),$Q490&lt;=DATE(1900,1,1))),AND(ISNUMBER($P490),ISNUMBER($Q490),$Q490&lt;$P490)),"Termination Date, ","")&amp;IF(OR($R490="",AND($R490&lt;&gt;"Active",$R490&lt;&gt;"Terminated"),AND('START HERE'!$C$8="Terminations Only",$R490&lt;&gt;"Terminated")),"Status, ","")&amp;IF($S490="","Plan Name, ","")&amp;IF($T490="","Coverage Level, ","")&amp;IF(AND($U490&lt;&gt;"",OR(NOT(ISNUMBER($U490)),$U490&lt;0)),"Funding, ","")&amp;IF(AND($A490&lt;&gt;"",$S490&lt;&gt;"",COUNTIFS($A$2:$A$501,$A490,$B$2:$B$501,$B490,$S$2:$S$501,$S490)&gt;1),"Duplicate Row, ",""))</f>
        <v/>
      </c>
      <c r="AF490">
        <f>IF(COUNTA($A490:$U490)=0,"",$Y490&amp;$Z490&amp;$AA490&amp;$AB490&amp;$AC490)</f>
        <v/>
      </c>
      <c r="AG490">
        <f>IF($N490="","",LOWER(TRIM($N490)))</f>
        <v/>
      </c>
      <c r="AH490">
        <f>IF($A490="","",COUNTIFS($A$2:$A$501,$A490,$AI$2:$AI$501,1))</f>
        <v/>
      </c>
      <c r="AI490">
        <f>IF(COUNTA($A490:$U490)=0,"",--($AF490&lt;&gt;""))</f>
        <v/>
      </c>
      <c r="AJ490">
        <f>IF(COUNTA($A490:$U490)=0,"",--($AD490&lt;&gt;""))</f>
        <v/>
      </c>
    </row>
    <row r="491" ht="20" customHeight="1">
      <c r="A491" s="80" t="n"/>
      <c r="B491" s="80" t="n"/>
      <c r="C491" s="81" t="n"/>
      <c r="D491" s="81" t="n"/>
      <c r="E491" s="80" t="n"/>
      <c r="F491" s="81" t="n"/>
      <c r="G491" s="81" t="n"/>
      <c r="H491" s="81" t="n"/>
      <c r="I491" s="80" t="n"/>
      <c r="J491" s="80" t="n"/>
      <c r="K491" s="80" t="n"/>
      <c r="L491" s="82" t="n"/>
      <c r="M491" s="80" t="n"/>
      <c r="N491" s="80" t="n"/>
      <c r="O491" s="80" t="n"/>
      <c r="P491" s="82" t="n"/>
      <c r="Q491" s="82" t="n"/>
      <c r="R491" s="80" t="n"/>
      <c r="S491" s="80" t="n"/>
      <c r="T491" s="80" t="n"/>
      <c r="U491" s="83" t="n"/>
      <c r="V491">
        <f>IF($A491="","",IF($A491=$A490,$V490,IF($V490="",0,1-$V490)))</f>
        <v/>
      </c>
      <c r="W491">
        <f>IF($B491&lt;&gt;"",$B491,$A491)</f>
        <v/>
      </c>
      <c r="X491">
        <f>IF(COUNTA($A491:$U491)=0,"",IF(OR($B491&lt;&gt;"",$O491&lt;&gt;""),"Dependent","Employee"))</f>
        <v/>
      </c>
      <c r="Y491">
        <f>IF(COUNTA($A491:$U491)=0,"",IF($A491="","Employee SSN is required; ","")&amp;IF($C491="","First Name is required; ","")&amp;IF(LEN($C491&amp;"")&gt;19,"First Name exceeds 19 characters; ","")&amp;IF(AND($C491&lt;&gt;"",SUMPRODUCT(--(ROW($1:$19)&lt;=LEN($C491&amp;"")),--ISERROR(FIND(MID($C491&amp;"",ROW($1:$19),1),"ABCDEFGHIJKLMNOPQRSTUVWXYZabcdefghijklmnopqrstuvwxyz .,")))&gt;0),"First Name contains unsupported or encoded characters; use plain A-Z letters only; ","")&amp;IF($D491="","Last Name is required; ","")&amp;IF(LEN($D491&amp;"")&gt;26,"Last Name exceeds 26 characters; ","")&amp;IF(AND($D491&lt;&gt;"",SUMPRODUCT(--(ROW($1:$26)&lt;=LEN($D491&amp;"")),--ISERROR(FIND(MID($D491&amp;"",ROW($1:$26),1),"ABCDEFGHIJKLMNOPQRSTUVWXYZabcdefghijklmnopqrstuvwxyz .,")))&gt;0),"Last Name contains unsupported or encoded characters; use plain A-Z letters only; ","")&amp;IF(LEN($E491&amp;"")&gt;1,"Middle Initial may contain only one character; ","")&amp;IF(AND($E491&lt;&gt;"",SUMPRODUCT(--(ROW($1:$1)&lt;=LEN($E491&amp;"")),--ISERROR(FIND(MID($E491&amp;"",ROW($1:$1),1),"ABCDEFGHIJKLMNOPQRSTUVWXYZabcdefghijklmnopqrstuvwxyz .,")))&gt;0),"Middle Initial must be a plain A-Z letter; ","")&amp;IF($F491="","Address is required; ","")&amp;IF(LEN($F491&amp;"")&gt;75,"Address exceeds 75 characters; ","")&amp;IF(LEN($G491&amp;"")&gt;75,"Address 2 exceeds 75 characters; ","")&amp;IF($H491="","City is required; ","")&amp;IF(LEN($H491&amp;"")&gt;30,"City exceeds 30 characters; ","")&amp;IF($K491="","Country is required; ","")&amp;IF(AND($K491&lt;&gt;"",$K491&lt;&gt;"US",$K491&lt;&gt;"CA"),"Country must be US or CA; ","")&amp;IF(AND($K491="US",OR($I491="",LEN($I491&amp;"")&lt;&gt;2)),"Use a 2-letter state code; ","")&amp;IF($J491="","ZIP or postal code is required; ","")&amp;IF(AND($K491="US",$J491&lt;&gt;"",NOT(IFERROR(OR(AND(LEN($J491&amp;"")=5,ISNUMBER(--($J491&amp;""))),AND(LEN($J491&amp;"")=9,ISNUMBER(--($J491&amp;""))),AND(LEN($J491&amp;"")=10,MID($J491&amp;"",6,1)="-",ISNUMBER(--SUBSTITUTE($J491&amp;"","-","")))),FALSE))),"US ZIP must be 5 or 9 digits, with an optional ZIP+4 hyphen; ","")&amp;IF(AND($N491&lt;&gt;"",NOT(IFERROR(AND(ISNUMBER(SEARCH("@",$N491)),ISNUMBER(SEARCH(".",$N491,SEARCH("@",$N491)+2))),FALSE))),"Email format appears invalid; ","")&amp;IF(AND($O491&lt;&gt;"",$B491=""),"Dependent SSN is required for every dependent; ","")&amp;IF(AND($B491&lt;&gt;"",$O491=""),"Dependent Relationship is required when Dependent SSN is entered; ","")&amp;IF(AND($O491&lt;&gt;"",$O491&lt;&gt;"Spouse or Common Law Spouse",$O491&lt;&gt;"Domestic Partner",$O491&lt;&gt;"Child",$O491&lt;&gt;"Other",$O491&lt;&gt;"Estate",$O491&lt;&gt;"Unknown"),"Dependent Relationship must use one of the approved options; ",""))</f>
        <v/>
      </c>
      <c r="Z491">
        <f>IF(COUNTA($A491:$U491)=0,"",IF(AND($A491&lt;&gt;"",NOT(IFERROR(AND(LEN($A491&amp;"")=9,ISNUMBER(--($A491&amp;""))),FALSE))),"Employee SSN must contain exactly 9 digits; ","")&amp;IF(AND($A491&lt;&gt;"",OR($A491="123456789",$A491="987654321",$A491="012345678",$A491=REPT(LEFT($A491&amp;"",1),9))),"Employee SSN appears to be a placeholder; ","")&amp;IF(AND($B491&lt;&gt;"",NOT(IFERROR(AND(LEN($B491&amp;"")=9,ISNUMBER(--($B491&amp;""))),FALSE))),"Dependent SSN must contain exactly 9 digits; ","")&amp;IF(AND($B491&lt;&gt;"",OR($B491="123456789",$B491="987654321",$B491="012345678",$B491=REPT(LEFT($B491&amp;"",1),9))),"Dependent SSN appears to be a placeholder; ","")&amp;IF(AND($A491&lt;&gt;"",$B491&lt;&gt;"",$A491&amp;""=$B491&amp;""),"Dependent SSN cannot match Employee SSN; ","")&amp;IF(AND($W491&lt;&gt;"",OR(COUNTIFS($W$2:$W$501,$W491,$C$2:$C$501,"&lt;&gt;"&amp;$C491)&gt;0,COUNTIFS($W$2:$W$501,$W491,$D$2:$D$501,"&lt;&gt;"&amp;$D491)&gt;0,COUNTIFS($W$2:$W$501,$W491,$L$2:$L$501,"&lt;&gt;"&amp;$L491)&gt;0)),"The same SSN is associated with a different name or birthdate; ",""))</f>
        <v/>
      </c>
      <c r="AA491">
        <f>IF(COUNTA($A491:$U491)=0,"",IF(AND($A491&lt;&gt;"",$S491&lt;&gt;"",COUNTIFS($A$2:$A$501,$A491,$S$2:$S$501,$S491,$B$2:$B$501,"",$O$2:$O$501,"")=0),"Add an employee row for this household and plan; ","")&amp;IF(AND($X491="Dependent",COUNTIFS($A$2:$A491,$A491,$S$2:$S491,$S491,$B$2:$B491,"",$O$2:$O491,"")=0),"Place the employee row before dependent rows for this plan; ","")&amp;IF(AND($X491="Dependent",COUNTIFS($A$2:$A$501,$A491,$S$2:$S$501,$S491,$B$2:$B$501,"",$O$2:$O$501,"")&gt;0,IFERROR(OR($P491&lt;&gt;LOOKUP(2,1/(($A$2:$A$501=$A491)*($S$2:$S$501=$S491)*($B$2:$B$501="")*($O$2:$O$501="")),$P$2:$P$501),$Q491&lt;&gt;LOOKUP(2,1/(($A$2:$A$501=$A491)*($S$2:$S$501=$S491)*($B$2:$B$501="")*($O$2:$O$501="")),$Q$2:$Q$501),$R491&lt;&gt;LOOKUP(2,1/(($A$2:$A$501=$A491)*($S$2:$S$501=$S491)*($B$2:$B$501="")*($O$2:$O$501="")),$R$2:$R$501),$T491&lt;&gt;LOOKUP(2,1/(($A$2:$A$501=$A491)*($S$2:$S$501=$S491)*($B$2:$B$501="")*($O$2:$O$501="")),$T$2:$T$501),$U491&lt;&gt;LOOKUP(2,1/(($A$2:$A$501=$A491)*($S$2:$S$501=$S491)*($B$2:$B$501="")*($O$2:$O$501="")),$U$2:$U$501)),FALSE)),"Dependent row does not match the employee row for eligibility, status, coverage level, or funding; ",""))</f>
        <v/>
      </c>
      <c r="AB491">
        <f>IF(COUNTA($A491:$U491)=0,"",IF($L491="","Birthdate is required; ","")&amp;IF(AND($L491&lt;&gt;"",OR(NOT(ISNUMBER($L491)),$L491&lt;=DATE(1900,1,1),$L491&gt;TODAY())),"Birthdate must be an exact valid past date; ","")&amp;IF($P491="","Eligibility Date is required; ","")&amp;IF(AND($P491&lt;&gt;"",OR(NOT(ISNUMBER($P491)),$P491&lt;=DATE(1900,1,1))),"Eligibility Date must be a valid date; ","")&amp;IF(AND($R491="Terminated",$Q491=""),"Termination Date is required when Status is Terminated; ","")&amp;IF(AND($Q491&lt;&gt;"",OR(NOT(ISNUMBER($Q491)),$Q491&lt;=DATE(1900,1,1))),"Termination Date must be a valid date; ","")&amp;IF(AND(ISNUMBER($P491),ISNUMBER($Q491),$Q491&lt;$P491),"Termination Date cannot be before Eligibility Date; ","")&amp;IF($R491="","Status is required; ","")&amp;IF(AND($R491&lt;&gt;"",$R491&lt;&gt;"Active",$R491&lt;&gt;"Terminated"),"Status must be Active or Terminated; ","")&amp;IF(AND('START HERE'!$C$8="Terminations Only",$R491&lt;&gt;"Terminated"),"Terminations Only files must contain terminated records; ",""))</f>
        <v/>
      </c>
      <c r="AC491">
        <f>IF(COUNTA($A491:$U491)=0,"",IF($S491="","Plan Name is required; ","")&amp;IF($T491="","Benefit Coverage Level is required; ","")&amp;IF(AND($U491&lt;&gt;"",OR(NOT(ISNUMBER($U491)),$U491&lt;0)),"Plan Funding Amount must be a nonnegative number; ","")&amp;IF(AND($A491&lt;&gt;"",$S491&lt;&gt;"",COUNTIFS($A$2:$A$501,$A491,$B$2:$B$501,$B491,$S$2:$S$501,$S491)&gt;1),"Duplicate participant and plan row; ",""))</f>
        <v/>
      </c>
      <c r="AD491">
        <f>IF(COUNTA($A491:$U491)=0,"",IF(AND($X491="Employee",$M491="",$N491=""),"No employee phone or email provided; ","")&amp;IF(AND($R491="Active",$Q491&lt;&gt;""),"Active record includes a Termination Date; confirm this is intentional; ","")&amp;IF(AND($B491&lt;&gt;"",$B491&amp;""&lt;&gt;$A491&amp;"",COUNTIF($A$2:$A$501,$B491)&gt;0),"Dependent SSN also appears as an Employee SSN elsewhere; confirm dual-employee coverage is intentional; ","")&amp;IF(AND($B491&lt;&gt;"",COUNTIF($B$2:$B$501,$B491)&gt;COUNTIFS($A$2:$A$501,$A491,$B$2:$B$501,$B491)),"Dependent SSN appears under more than one employee; confirm duplicate family coverage is intentional; ","")&amp;IF(AND(ROW()&gt;2,$A491&lt;&gt;"",$A491&lt;&gt;$A490,COUNTIF($A$2:$A490,$A491)&gt;0),"This household appears in more than one section of the census; keep the family together; ","")&amp;IF(OR(AND($C491&lt;&gt;"",LEN($C491&amp;"")&lt;&gt;LEN(TRIM($C491&amp;""))),AND($D491&lt;&gt;"",LEN($D491&amp;"")&lt;&gt;LEN(TRIM($D491&amp;""))),AND($E491&lt;&gt;"",LEN($E491&amp;"")&lt;&gt;LEN(TRIM($E491&amp;""))),AND($F491&lt;&gt;"",LEN($F491&amp;"")&lt;&gt;LEN(TRIM($F491&amp;""))),AND($G491&lt;&gt;"",LEN($G491&amp;"")&lt;&gt;LEN(TRIM($G491&amp;""))),AND($H491&lt;&gt;"",LEN($H491&amp;"")&lt;&gt;LEN(TRIM($H491&amp;""))),AND($I491&lt;&gt;"",LEN($I491&amp;"")&lt;&gt;LEN(TRIM($I491&amp;""))),AND($J491&lt;&gt;"",LEN($J491&amp;"")&lt;&gt;LEN(TRIM($J491&amp;""))),AND($K491&lt;&gt;"",LEN($K491&amp;"")&lt;&gt;LEN(TRIM($K491&amp;""))),AND($M491&lt;&gt;"",LEN($M491&amp;"")&lt;&gt;LEN(TRIM($M491&amp;""))),AND($N491&lt;&gt;"",LEN($N491&amp;"")&lt;&gt;LEN(TRIM($N491&amp;""))),AND($O491&lt;&gt;"",LEN($O491&amp;"")&lt;&gt;LEN(TRIM($O491&amp;""))),AND($R491&lt;&gt;"",LEN($R491&amp;"")&lt;&gt;LEN(TRIM($R491&amp;""))),AND($S491&lt;&gt;"",LEN($S491&amp;"")&lt;&gt;LEN(TRIM($S491&amp;""))),AND($T491&lt;&gt;"",LEN($T491&amp;"")&lt;&gt;LEN(TRIM($T491&amp;"")))),"Remove leading or trailing spaces from text fields; ","")&amp;IF(OR(AND(LEN($C491)&gt;1,OR(EXACT($C491,UPPER($C491)),EXACT($C491,LOWER($C491)))),AND(LEN($D491)&gt;1,OR(EXACT($D491,UPPER($D491)),EXACT($D491,LOWER($D491)))),AND(LEN($H491)&gt;1,OR(EXACT($H491,UPPER($H491)),EXACT($H491,LOWER($H491))))),"Review capitalization in First Name, Last Name, or City; ","")&amp;IF(AND($N491&lt;&gt;"",NOT(EXACT($N491,LOWER($N491)))),"Email will be standardized to lowercase in the clean output; ","")&amp;IF(AND(OR('START HERE'!$C$8="Initial Enrollment",'START HERE'!$C$8="Open Enrollment"),$R491="Terminated"),"A terminated row is included in an initial or open enrollment file; confirm this is intentional; ",""))</f>
        <v/>
      </c>
      <c r="AE491">
        <f>IF(COUNTA($A491:$U491)=0,"",IF(OR($A491="",AND($A491&lt;&gt;"",NOT(IFERROR(AND(LEN($A491&amp;"")=9,ISNUMBER(--($A491&amp;""))),FALSE))),AND($A491&lt;&gt;"",OR($A491="123456789",$A491="987654321",$A491="012345678",$A491=REPT(LEFT($A491&amp;"",1),9)))),"Employee SSN, ","")&amp;IF(OR(AND($O491&lt;&gt;"",$B491=""),AND($B491&lt;&gt;"",OR(NOT(IFERROR(AND(LEN($B491&amp;"")=9,ISNUMBER(--($B491&amp;""))),FALSE)),$B491=$A491,$B491="123456789",$B491="987654321",$B491="012345678",$B491=REPT(LEFT($B491&amp;"",1),9)))),"Dependent SSN, ","")&amp;IF(OR($C491="",LEN($C491)&gt;19,AND($C491&lt;&gt;"",SUMPRODUCT(--(ROW($1:$19)&lt;=LEN($C491&amp;"")),--ISERROR(FIND(MID($C491&amp;"",ROW($1:$19),1),"ABCDEFGHIJKLMNOPQRSTUVWXYZabcdefghijklmnopqrstuvwxyz .,")))&gt;0)),"First Name, ","")&amp;IF(OR($D491="",LEN($D491)&gt;26,AND($D491&lt;&gt;"",SUMPRODUCT(--(ROW($1:$26)&lt;=LEN($D491&amp;"")),--ISERROR(FIND(MID($D491&amp;"",ROW($1:$26),1),"ABCDEFGHIJKLMNOPQRSTUVWXYZabcdefghijklmnopqrstuvwxyz .,")))&gt;0)),"Last Name, ","")&amp;IF(OR(LEN($E491)&gt;1,AND($E491&lt;&gt;"",SUMPRODUCT(--(ROW($1:$1)&lt;=LEN($E491&amp;"")),--ISERROR(FIND(MID($E491&amp;"",ROW($1:$1),1),"ABCDEFGHIJKLMNOPQRSTUVWXYZabcdefghijklmnopqrstuvwxyz .,")))&gt;0)),"Middle Initial, ","")&amp;IF(OR($F491="",LEN($F491)&gt;75),"Address, ","")&amp;IF(OR($H491="",LEN($H491)&gt;30),"City, ","")&amp;IF(AND($K491="US",OR($I491="",LEN($I491)&lt;&gt;2)),"State, ","")&amp;IF($J491="","ZIP, ","")&amp;IF(OR($K491="",AND($K491&lt;&gt;"US",$K491&lt;&gt;"CA")),"Country, ","")&amp;IF(OR($L491="",AND($L491&lt;&gt;"",OR(NOT(ISNUMBER($L491)),$L491&lt;=DATE(1900,1,1),$L491&gt;TODAY()))),"Birthdate, ","")&amp;IF(AND($N491&lt;&gt;"",NOT(IFERROR(AND(ISNUMBER(SEARCH("@",$N491)),ISNUMBER(SEARCH(".",$N491,SEARCH("@",$N491)+2))),FALSE))),"Email, ","")&amp;IF(OR(AND($B491&lt;&gt;"",$O491=""),AND($O491&lt;&gt;"",$O491&lt;&gt;"Spouse or Common Law Spouse",$O491&lt;&gt;"Domestic Partner",$O491&lt;&gt;"Child",$O491&lt;&gt;"Other",$O491&lt;&gt;"Estate",$O491&lt;&gt;"Unknown")),"Dependent Relationship, ","")&amp;IF($AA491&lt;&gt;"","Household, ","")&amp;IF(OR($P491="",AND($P491&lt;&gt;"",OR(NOT(ISNUMBER($P491)),$P491&lt;=DATE(1900,1,1)))),"Eligibility Date, ","")&amp;IF(OR(AND($R491="Terminated",$Q491=""),AND($Q491&lt;&gt;"",OR(NOT(ISNUMBER($Q491)),$Q491&lt;=DATE(1900,1,1))),AND(ISNUMBER($P491),ISNUMBER($Q491),$Q491&lt;$P491)),"Termination Date, ","")&amp;IF(OR($R491="",AND($R491&lt;&gt;"Active",$R491&lt;&gt;"Terminated"),AND('START HERE'!$C$8="Terminations Only",$R491&lt;&gt;"Terminated")),"Status, ","")&amp;IF($S491="","Plan Name, ","")&amp;IF($T491="","Coverage Level, ","")&amp;IF(AND($U491&lt;&gt;"",OR(NOT(ISNUMBER($U491)),$U491&lt;0)),"Funding, ","")&amp;IF(AND($A491&lt;&gt;"",$S491&lt;&gt;"",COUNTIFS($A$2:$A$501,$A491,$B$2:$B$501,$B491,$S$2:$S$501,$S491)&gt;1),"Duplicate Row, ",""))</f>
        <v/>
      </c>
      <c r="AF491">
        <f>IF(COUNTA($A491:$U491)=0,"",$Y491&amp;$Z491&amp;$AA491&amp;$AB491&amp;$AC491)</f>
        <v/>
      </c>
      <c r="AG491">
        <f>IF($N491="","",LOWER(TRIM($N491)))</f>
        <v/>
      </c>
      <c r="AH491">
        <f>IF($A491="","",COUNTIFS($A$2:$A$501,$A491,$AI$2:$AI$501,1))</f>
        <v/>
      </c>
      <c r="AI491">
        <f>IF(COUNTA($A491:$U491)=0,"",--($AF491&lt;&gt;""))</f>
        <v/>
      </c>
      <c r="AJ491">
        <f>IF(COUNTA($A491:$U491)=0,"",--($AD491&lt;&gt;""))</f>
        <v/>
      </c>
    </row>
    <row r="492" ht="20" customHeight="1">
      <c r="A492" s="80" t="n"/>
      <c r="B492" s="80" t="n"/>
      <c r="C492" s="81" t="n"/>
      <c r="D492" s="81" t="n"/>
      <c r="E492" s="80" t="n"/>
      <c r="F492" s="81" t="n"/>
      <c r="G492" s="81" t="n"/>
      <c r="H492" s="81" t="n"/>
      <c r="I492" s="80" t="n"/>
      <c r="J492" s="80" t="n"/>
      <c r="K492" s="80" t="n"/>
      <c r="L492" s="82" t="n"/>
      <c r="M492" s="80" t="n"/>
      <c r="N492" s="80" t="n"/>
      <c r="O492" s="80" t="n"/>
      <c r="P492" s="82" t="n"/>
      <c r="Q492" s="82" t="n"/>
      <c r="R492" s="80" t="n"/>
      <c r="S492" s="80" t="n"/>
      <c r="T492" s="80" t="n"/>
      <c r="U492" s="83" t="n"/>
      <c r="V492">
        <f>IF($A492="","",IF($A492=$A491,$V491,IF($V491="",0,1-$V491)))</f>
        <v/>
      </c>
      <c r="W492">
        <f>IF($B492&lt;&gt;"",$B492,$A492)</f>
        <v/>
      </c>
      <c r="X492">
        <f>IF(COUNTA($A492:$U492)=0,"",IF(OR($B492&lt;&gt;"",$O492&lt;&gt;""),"Dependent","Employee"))</f>
        <v/>
      </c>
      <c r="Y492">
        <f>IF(COUNTA($A492:$U492)=0,"",IF($A492="","Employee SSN is required; ","")&amp;IF($C492="","First Name is required; ","")&amp;IF(LEN($C492&amp;"")&gt;19,"First Name exceeds 19 characters; ","")&amp;IF(AND($C492&lt;&gt;"",SUMPRODUCT(--(ROW($1:$19)&lt;=LEN($C492&amp;"")),--ISERROR(FIND(MID($C492&amp;"",ROW($1:$19),1),"ABCDEFGHIJKLMNOPQRSTUVWXYZabcdefghijklmnopqrstuvwxyz .,")))&gt;0),"First Name contains unsupported or encoded characters; use plain A-Z letters only; ","")&amp;IF($D492="","Last Name is required; ","")&amp;IF(LEN($D492&amp;"")&gt;26,"Last Name exceeds 26 characters; ","")&amp;IF(AND($D492&lt;&gt;"",SUMPRODUCT(--(ROW($1:$26)&lt;=LEN($D492&amp;"")),--ISERROR(FIND(MID($D492&amp;"",ROW($1:$26),1),"ABCDEFGHIJKLMNOPQRSTUVWXYZabcdefghijklmnopqrstuvwxyz .,")))&gt;0),"Last Name contains unsupported or encoded characters; use plain A-Z letters only; ","")&amp;IF(LEN($E492&amp;"")&gt;1,"Middle Initial may contain only one character; ","")&amp;IF(AND($E492&lt;&gt;"",SUMPRODUCT(--(ROW($1:$1)&lt;=LEN($E492&amp;"")),--ISERROR(FIND(MID($E492&amp;"",ROW($1:$1),1),"ABCDEFGHIJKLMNOPQRSTUVWXYZabcdefghijklmnopqrstuvwxyz .,")))&gt;0),"Middle Initial must be a plain A-Z letter; ","")&amp;IF($F492="","Address is required; ","")&amp;IF(LEN($F492&amp;"")&gt;75,"Address exceeds 75 characters; ","")&amp;IF(LEN($G492&amp;"")&gt;75,"Address 2 exceeds 75 characters; ","")&amp;IF($H492="","City is required; ","")&amp;IF(LEN($H492&amp;"")&gt;30,"City exceeds 30 characters; ","")&amp;IF($K492="","Country is required; ","")&amp;IF(AND($K492&lt;&gt;"",$K492&lt;&gt;"US",$K492&lt;&gt;"CA"),"Country must be US or CA; ","")&amp;IF(AND($K492="US",OR($I492="",LEN($I492&amp;"")&lt;&gt;2)),"Use a 2-letter state code; ","")&amp;IF($J492="","ZIP or postal code is required; ","")&amp;IF(AND($K492="US",$J492&lt;&gt;"",NOT(IFERROR(OR(AND(LEN($J492&amp;"")=5,ISNUMBER(--($J492&amp;""))),AND(LEN($J492&amp;"")=9,ISNUMBER(--($J492&amp;""))),AND(LEN($J492&amp;"")=10,MID($J492&amp;"",6,1)="-",ISNUMBER(--SUBSTITUTE($J492&amp;"","-","")))),FALSE))),"US ZIP must be 5 or 9 digits, with an optional ZIP+4 hyphen; ","")&amp;IF(AND($N492&lt;&gt;"",NOT(IFERROR(AND(ISNUMBER(SEARCH("@",$N492)),ISNUMBER(SEARCH(".",$N492,SEARCH("@",$N492)+2))),FALSE))),"Email format appears invalid; ","")&amp;IF(AND($O492&lt;&gt;"",$B492=""),"Dependent SSN is required for every dependent; ","")&amp;IF(AND($B492&lt;&gt;"",$O492=""),"Dependent Relationship is required when Dependent SSN is entered; ","")&amp;IF(AND($O492&lt;&gt;"",$O492&lt;&gt;"Spouse or Common Law Spouse",$O492&lt;&gt;"Domestic Partner",$O492&lt;&gt;"Child",$O492&lt;&gt;"Other",$O492&lt;&gt;"Estate",$O492&lt;&gt;"Unknown"),"Dependent Relationship must use one of the approved options; ",""))</f>
        <v/>
      </c>
      <c r="Z492">
        <f>IF(COUNTA($A492:$U492)=0,"",IF(AND($A492&lt;&gt;"",NOT(IFERROR(AND(LEN($A492&amp;"")=9,ISNUMBER(--($A492&amp;""))),FALSE))),"Employee SSN must contain exactly 9 digits; ","")&amp;IF(AND($A492&lt;&gt;"",OR($A492="123456789",$A492="987654321",$A492="012345678",$A492=REPT(LEFT($A492&amp;"",1),9))),"Employee SSN appears to be a placeholder; ","")&amp;IF(AND($B492&lt;&gt;"",NOT(IFERROR(AND(LEN($B492&amp;"")=9,ISNUMBER(--($B492&amp;""))),FALSE))),"Dependent SSN must contain exactly 9 digits; ","")&amp;IF(AND($B492&lt;&gt;"",OR($B492="123456789",$B492="987654321",$B492="012345678",$B492=REPT(LEFT($B492&amp;"",1),9))),"Dependent SSN appears to be a placeholder; ","")&amp;IF(AND($A492&lt;&gt;"",$B492&lt;&gt;"",$A492&amp;""=$B492&amp;""),"Dependent SSN cannot match Employee SSN; ","")&amp;IF(AND($W492&lt;&gt;"",OR(COUNTIFS($W$2:$W$501,$W492,$C$2:$C$501,"&lt;&gt;"&amp;$C492)&gt;0,COUNTIFS($W$2:$W$501,$W492,$D$2:$D$501,"&lt;&gt;"&amp;$D492)&gt;0,COUNTIFS($W$2:$W$501,$W492,$L$2:$L$501,"&lt;&gt;"&amp;$L492)&gt;0)),"The same SSN is associated with a different name or birthdate; ",""))</f>
        <v/>
      </c>
      <c r="AA492">
        <f>IF(COUNTA($A492:$U492)=0,"",IF(AND($A492&lt;&gt;"",$S492&lt;&gt;"",COUNTIFS($A$2:$A$501,$A492,$S$2:$S$501,$S492,$B$2:$B$501,"",$O$2:$O$501,"")=0),"Add an employee row for this household and plan; ","")&amp;IF(AND($X492="Dependent",COUNTIFS($A$2:$A492,$A492,$S$2:$S492,$S492,$B$2:$B492,"",$O$2:$O492,"")=0),"Place the employee row before dependent rows for this plan; ","")&amp;IF(AND($X492="Dependent",COUNTIFS($A$2:$A$501,$A492,$S$2:$S$501,$S492,$B$2:$B$501,"",$O$2:$O$501,"")&gt;0,IFERROR(OR($P492&lt;&gt;LOOKUP(2,1/(($A$2:$A$501=$A492)*($S$2:$S$501=$S492)*($B$2:$B$501="")*($O$2:$O$501="")),$P$2:$P$501),$Q492&lt;&gt;LOOKUP(2,1/(($A$2:$A$501=$A492)*($S$2:$S$501=$S492)*($B$2:$B$501="")*($O$2:$O$501="")),$Q$2:$Q$501),$R492&lt;&gt;LOOKUP(2,1/(($A$2:$A$501=$A492)*($S$2:$S$501=$S492)*($B$2:$B$501="")*($O$2:$O$501="")),$R$2:$R$501),$T492&lt;&gt;LOOKUP(2,1/(($A$2:$A$501=$A492)*($S$2:$S$501=$S492)*($B$2:$B$501="")*($O$2:$O$501="")),$T$2:$T$501),$U492&lt;&gt;LOOKUP(2,1/(($A$2:$A$501=$A492)*($S$2:$S$501=$S492)*($B$2:$B$501="")*($O$2:$O$501="")),$U$2:$U$501)),FALSE)),"Dependent row does not match the employee row for eligibility, status, coverage level, or funding; ",""))</f>
        <v/>
      </c>
      <c r="AB492">
        <f>IF(COUNTA($A492:$U492)=0,"",IF($L492="","Birthdate is required; ","")&amp;IF(AND($L492&lt;&gt;"",OR(NOT(ISNUMBER($L492)),$L492&lt;=DATE(1900,1,1),$L492&gt;TODAY())),"Birthdate must be an exact valid past date; ","")&amp;IF($P492="","Eligibility Date is required; ","")&amp;IF(AND($P492&lt;&gt;"",OR(NOT(ISNUMBER($P492)),$P492&lt;=DATE(1900,1,1))),"Eligibility Date must be a valid date; ","")&amp;IF(AND($R492="Terminated",$Q492=""),"Termination Date is required when Status is Terminated; ","")&amp;IF(AND($Q492&lt;&gt;"",OR(NOT(ISNUMBER($Q492)),$Q492&lt;=DATE(1900,1,1))),"Termination Date must be a valid date; ","")&amp;IF(AND(ISNUMBER($P492),ISNUMBER($Q492),$Q492&lt;$P492),"Termination Date cannot be before Eligibility Date; ","")&amp;IF($R492="","Status is required; ","")&amp;IF(AND($R492&lt;&gt;"",$R492&lt;&gt;"Active",$R492&lt;&gt;"Terminated"),"Status must be Active or Terminated; ","")&amp;IF(AND('START HERE'!$C$8="Terminations Only",$R492&lt;&gt;"Terminated"),"Terminations Only files must contain terminated records; ",""))</f>
        <v/>
      </c>
      <c r="AC492">
        <f>IF(COUNTA($A492:$U492)=0,"",IF($S492="","Plan Name is required; ","")&amp;IF($T492="","Benefit Coverage Level is required; ","")&amp;IF(AND($U492&lt;&gt;"",OR(NOT(ISNUMBER($U492)),$U492&lt;0)),"Plan Funding Amount must be a nonnegative number; ","")&amp;IF(AND($A492&lt;&gt;"",$S492&lt;&gt;"",COUNTIFS($A$2:$A$501,$A492,$B$2:$B$501,$B492,$S$2:$S$501,$S492)&gt;1),"Duplicate participant and plan row; ",""))</f>
        <v/>
      </c>
      <c r="AD492">
        <f>IF(COUNTA($A492:$U492)=0,"",IF(AND($X492="Employee",$M492="",$N492=""),"No employee phone or email provided; ","")&amp;IF(AND($R492="Active",$Q492&lt;&gt;""),"Active record includes a Termination Date; confirm this is intentional; ","")&amp;IF(AND($B492&lt;&gt;"",$B492&amp;""&lt;&gt;$A492&amp;"",COUNTIF($A$2:$A$501,$B492)&gt;0),"Dependent SSN also appears as an Employee SSN elsewhere; confirm dual-employee coverage is intentional; ","")&amp;IF(AND($B492&lt;&gt;"",COUNTIF($B$2:$B$501,$B492)&gt;COUNTIFS($A$2:$A$501,$A492,$B$2:$B$501,$B492)),"Dependent SSN appears under more than one employee; confirm duplicate family coverage is intentional; ","")&amp;IF(AND(ROW()&gt;2,$A492&lt;&gt;"",$A492&lt;&gt;$A491,COUNTIF($A$2:$A491,$A492)&gt;0),"This household appears in more than one section of the census; keep the family together; ","")&amp;IF(OR(AND($C492&lt;&gt;"",LEN($C492&amp;"")&lt;&gt;LEN(TRIM($C492&amp;""))),AND($D492&lt;&gt;"",LEN($D492&amp;"")&lt;&gt;LEN(TRIM($D492&amp;""))),AND($E492&lt;&gt;"",LEN($E492&amp;"")&lt;&gt;LEN(TRIM($E492&amp;""))),AND($F492&lt;&gt;"",LEN($F492&amp;"")&lt;&gt;LEN(TRIM($F492&amp;""))),AND($G492&lt;&gt;"",LEN($G492&amp;"")&lt;&gt;LEN(TRIM($G492&amp;""))),AND($H492&lt;&gt;"",LEN($H492&amp;"")&lt;&gt;LEN(TRIM($H492&amp;""))),AND($I492&lt;&gt;"",LEN($I492&amp;"")&lt;&gt;LEN(TRIM($I492&amp;""))),AND($J492&lt;&gt;"",LEN($J492&amp;"")&lt;&gt;LEN(TRIM($J492&amp;""))),AND($K492&lt;&gt;"",LEN($K492&amp;"")&lt;&gt;LEN(TRIM($K492&amp;""))),AND($M492&lt;&gt;"",LEN($M492&amp;"")&lt;&gt;LEN(TRIM($M492&amp;""))),AND($N492&lt;&gt;"",LEN($N492&amp;"")&lt;&gt;LEN(TRIM($N492&amp;""))),AND($O492&lt;&gt;"",LEN($O492&amp;"")&lt;&gt;LEN(TRIM($O492&amp;""))),AND($R492&lt;&gt;"",LEN($R492&amp;"")&lt;&gt;LEN(TRIM($R492&amp;""))),AND($S492&lt;&gt;"",LEN($S492&amp;"")&lt;&gt;LEN(TRIM($S492&amp;""))),AND($T492&lt;&gt;"",LEN($T492&amp;"")&lt;&gt;LEN(TRIM($T492&amp;"")))),"Remove leading or trailing spaces from text fields; ","")&amp;IF(OR(AND(LEN($C492)&gt;1,OR(EXACT($C492,UPPER($C492)),EXACT($C492,LOWER($C492)))),AND(LEN($D492)&gt;1,OR(EXACT($D492,UPPER($D492)),EXACT($D492,LOWER($D492)))),AND(LEN($H492)&gt;1,OR(EXACT($H492,UPPER($H492)),EXACT($H492,LOWER($H492))))),"Review capitalization in First Name, Last Name, or City; ","")&amp;IF(AND($N492&lt;&gt;"",NOT(EXACT($N492,LOWER($N492)))),"Email will be standardized to lowercase in the clean output; ","")&amp;IF(AND(OR('START HERE'!$C$8="Initial Enrollment",'START HERE'!$C$8="Open Enrollment"),$R492="Terminated"),"A terminated row is included in an initial or open enrollment file; confirm this is intentional; ",""))</f>
        <v/>
      </c>
      <c r="AE492">
        <f>IF(COUNTA($A492:$U492)=0,"",IF(OR($A492="",AND($A492&lt;&gt;"",NOT(IFERROR(AND(LEN($A492&amp;"")=9,ISNUMBER(--($A492&amp;""))),FALSE))),AND($A492&lt;&gt;"",OR($A492="123456789",$A492="987654321",$A492="012345678",$A492=REPT(LEFT($A492&amp;"",1),9)))),"Employee SSN, ","")&amp;IF(OR(AND($O492&lt;&gt;"",$B492=""),AND($B492&lt;&gt;"",OR(NOT(IFERROR(AND(LEN($B492&amp;"")=9,ISNUMBER(--($B492&amp;""))),FALSE)),$B492=$A492,$B492="123456789",$B492="987654321",$B492="012345678",$B492=REPT(LEFT($B492&amp;"",1),9)))),"Dependent SSN, ","")&amp;IF(OR($C492="",LEN($C492)&gt;19,AND($C492&lt;&gt;"",SUMPRODUCT(--(ROW($1:$19)&lt;=LEN($C492&amp;"")),--ISERROR(FIND(MID($C492&amp;"",ROW($1:$19),1),"ABCDEFGHIJKLMNOPQRSTUVWXYZabcdefghijklmnopqrstuvwxyz .,")))&gt;0)),"First Name, ","")&amp;IF(OR($D492="",LEN($D492)&gt;26,AND($D492&lt;&gt;"",SUMPRODUCT(--(ROW($1:$26)&lt;=LEN($D492&amp;"")),--ISERROR(FIND(MID($D492&amp;"",ROW($1:$26),1),"ABCDEFGHIJKLMNOPQRSTUVWXYZabcdefghijklmnopqrstuvwxyz .,")))&gt;0)),"Last Name, ","")&amp;IF(OR(LEN($E492)&gt;1,AND($E492&lt;&gt;"",SUMPRODUCT(--(ROW($1:$1)&lt;=LEN($E492&amp;"")),--ISERROR(FIND(MID($E492&amp;"",ROW($1:$1),1),"ABCDEFGHIJKLMNOPQRSTUVWXYZabcdefghijklmnopqrstuvwxyz .,")))&gt;0)),"Middle Initial, ","")&amp;IF(OR($F492="",LEN($F492)&gt;75),"Address, ","")&amp;IF(OR($H492="",LEN($H492)&gt;30),"City, ","")&amp;IF(AND($K492="US",OR($I492="",LEN($I492)&lt;&gt;2)),"State, ","")&amp;IF($J492="","ZIP, ","")&amp;IF(OR($K492="",AND($K492&lt;&gt;"US",$K492&lt;&gt;"CA")),"Country, ","")&amp;IF(OR($L492="",AND($L492&lt;&gt;"",OR(NOT(ISNUMBER($L492)),$L492&lt;=DATE(1900,1,1),$L492&gt;TODAY()))),"Birthdate, ","")&amp;IF(AND($N492&lt;&gt;"",NOT(IFERROR(AND(ISNUMBER(SEARCH("@",$N492)),ISNUMBER(SEARCH(".",$N492,SEARCH("@",$N492)+2))),FALSE))),"Email, ","")&amp;IF(OR(AND($B492&lt;&gt;"",$O492=""),AND($O492&lt;&gt;"",$O492&lt;&gt;"Spouse or Common Law Spouse",$O492&lt;&gt;"Domestic Partner",$O492&lt;&gt;"Child",$O492&lt;&gt;"Other",$O492&lt;&gt;"Estate",$O492&lt;&gt;"Unknown")),"Dependent Relationship, ","")&amp;IF($AA492&lt;&gt;"","Household, ","")&amp;IF(OR($P492="",AND($P492&lt;&gt;"",OR(NOT(ISNUMBER($P492)),$P492&lt;=DATE(1900,1,1)))),"Eligibility Date, ","")&amp;IF(OR(AND($R492="Terminated",$Q492=""),AND($Q492&lt;&gt;"",OR(NOT(ISNUMBER($Q492)),$Q492&lt;=DATE(1900,1,1))),AND(ISNUMBER($P492),ISNUMBER($Q492),$Q492&lt;$P492)),"Termination Date, ","")&amp;IF(OR($R492="",AND($R492&lt;&gt;"Active",$R492&lt;&gt;"Terminated"),AND('START HERE'!$C$8="Terminations Only",$R492&lt;&gt;"Terminated")),"Status, ","")&amp;IF($S492="","Plan Name, ","")&amp;IF($T492="","Coverage Level, ","")&amp;IF(AND($U492&lt;&gt;"",OR(NOT(ISNUMBER($U492)),$U492&lt;0)),"Funding, ","")&amp;IF(AND($A492&lt;&gt;"",$S492&lt;&gt;"",COUNTIFS($A$2:$A$501,$A492,$B$2:$B$501,$B492,$S$2:$S$501,$S492)&gt;1),"Duplicate Row, ",""))</f>
        <v/>
      </c>
      <c r="AF492">
        <f>IF(COUNTA($A492:$U492)=0,"",$Y492&amp;$Z492&amp;$AA492&amp;$AB492&amp;$AC492)</f>
        <v/>
      </c>
      <c r="AG492">
        <f>IF($N492="","",LOWER(TRIM($N492)))</f>
        <v/>
      </c>
      <c r="AH492">
        <f>IF($A492="","",COUNTIFS($A$2:$A$501,$A492,$AI$2:$AI$501,1))</f>
        <v/>
      </c>
      <c r="AI492">
        <f>IF(COUNTA($A492:$U492)=0,"",--($AF492&lt;&gt;""))</f>
        <v/>
      </c>
      <c r="AJ492">
        <f>IF(COUNTA($A492:$U492)=0,"",--($AD492&lt;&gt;""))</f>
        <v/>
      </c>
    </row>
    <row r="493" ht="20" customHeight="1">
      <c r="A493" s="80" t="n"/>
      <c r="B493" s="80" t="n"/>
      <c r="C493" s="81" t="n"/>
      <c r="D493" s="81" t="n"/>
      <c r="E493" s="80" t="n"/>
      <c r="F493" s="81" t="n"/>
      <c r="G493" s="81" t="n"/>
      <c r="H493" s="81" t="n"/>
      <c r="I493" s="80" t="n"/>
      <c r="J493" s="80" t="n"/>
      <c r="K493" s="80" t="n"/>
      <c r="L493" s="82" t="n"/>
      <c r="M493" s="80" t="n"/>
      <c r="N493" s="80" t="n"/>
      <c r="O493" s="80" t="n"/>
      <c r="P493" s="82" t="n"/>
      <c r="Q493" s="82" t="n"/>
      <c r="R493" s="80" t="n"/>
      <c r="S493" s="80" t="n"/>
      <c r="T493" s="80" t="n"/>
      <c r="U493" s="83" t="n"/>
      <c r="V493">
        <f>IF($A493="","",IF($A493=$A492,$V492,IF($V492="",0,1-$V492)))</f>
        <v/>
      </c>
      <c r="W493">
        <f>IF($B493&lt;&gt;"",$B493,$A493)</f>
        <v/>
      </c>
      <c r="X493">
        <f>IF(COUNTA($A493:$U493)=0,"",IF(OR($B493&lt;&gt;"",$O493&lt;&gt;""),"Dependent","Employee"))</f>
        <v/>
      </c>
      <c r="Y493">
        <f>IF(COUNTA($A493:$U493)=0,"",IF($A493="","Employee SSN is required; ","")&amp;IF($C493="","First Name is required; ","")&amp;IF(LEN($C493&amp;"")&gt;19,"First Name exceeds 19 characters; ","")&amp;IF(AND($C493&lt;&gt;"",SUMPRODUCT(--(ROW($1:$19)&lt;=LEN($C493&amp;"")),--ISERROR(FIND(MID($C493&amp;"",ROW($1:$19),1),"ABCDEFGHIJKLMNOPQRSTUVWXYZabcdefghijklmnopqrstuvwxyz .,")))&gt;0),"First Name contains unsupported or encoded characters; use plain A-Z letters only; ","")&amp;IF($D493="","Last Name is required; ","")&amp;IF(LEN($D493&amp;"")&gt;26,"Last Name exceeds 26 characters; ","")&amp;IF(AND($D493&lt;&gt;"",SUMPRODUCT(--(ROW($1:$26)&lt;=LEN($D493&amp;"")),--ISERROR(FIND(MID($D493&amp;"",ROW($1:$26),1),"ABCDEFGHIJKLMNOPQRSTUVWXYZabcdefghijklmnopqrstuvwxyz .,")))&gt;0),"Last Name contains unsupported or encoded characters; use plain A-Z letters only; ","")&amp;IF(LEN($E493&amp;"")&gt;1,"Middle Initial may contain only one character; ","")&amp;IF(AND($E493&lt;&gt;"",SUMPRODUCT(--(ROW($1:$1)&lt;=LEN($E493&amp;"")),--ISERROR(FIND(MID($E493&amp;"",ROW($1:$1),1),"ABCDEFGHIJKLMNOPQRSTUVWXYZabcdefghijklmnopqrstuvwxyz .,")))&gt;0),"Middle Initial must be a plain A-Z letter; ","")&amp;IF($F493="","Address is required; ","")&amp;IF(LEN($F493&amp;"")&gt;75,"Address exceeds 75 characters; ","")&amp;IF(LEN($G493&amp;"")&gt;75,"Address 2 exceeds 75 characters; ","")&amp;IF($H493="","City is required; ","")&amp;IF(LEN($H493&amp;"")&gt;30,"City exceeds 30 characters; ","")&amp;IF($K493="","Country is required; ","")&amp;IF(AND($K493&lt;&gt;"",$K493&lt;&gt;"US",$K493&lt;&gt;"CA"),"Country must be US or CA; ","")&amp;IF(AND($K493="US",OR($I493="",LEN($I493&amp;"")&lt;&gt;2)),"Use a 2-letter state code; ","")&amp;IF($J493="","ZIP or postal code is required; ","")&amp;IF(AND($K493="US",$J493&lt;&gt;"",NOT(IFERROR(OR(AND(LEN($J493&amp;"")=5,ISNUMBER(--($J493&amp;""))),AND(LEN($J493&amp;"")=9,ISNUMBER(--($J493&amp;""))),AND(LEN($J493&amp;"")=10,MID($J493&amp;"",6,1)="-",ISNUMBER(--SUBSTITUTE($J493&amp;"","-","")))),FALSE))),"US ZIP must be 5 or 9 digits, with an optional ZIP+4 hyphen; ","")&amp;IF(AND($N493&lt;&gt;"",NOT(IFERROR(AND(ISNUMBER(SEARCH("@",$N493)),ISNUMBER(SEARCH(".",$N493,SEARCH("@",$N493)+2))),FALSE))),"Email format appears invalid; ","")&amp;IF(AND($O493&lt;&gt;"",$B493=""),"Dependent SSN is required for every dependent; ","")&amp;IF(AND($B493&lt;&gt;"",$O493=""),"Dependent Relationship is required when Dependent SSN is entered; ","")&amp;IF(AND($O493&lt;&gt;"",$O493&lt;&gt;"Spouse or Common Law Spouse",$O493&lt;&gt;"Domestic Partner",$O493&lt;&gt;"Child",$O493&lt;&gt;"Other",$O493&lt;&gt;"Estate",$O493&lt;&gt;"Unknown"),"Dependent Relationship must use one of the approved options; ",""))</f>
        <v/>
      </c>
      <c r="Z493">
        <f>IF(COUNTA($A493:$U493)=0,"",IF(AND($A493&lt;&gt;"",NOT(IFERROR(AND(LEN($A493&amp;"")=9,ISNUMBER(--($A493&amp;""))),FALSE))),"Employee SSN must contain exactly 9 digits; ","")&amp;IF(AND($A493&lt;&gt;"",OR($A493="123456789",$A493="987654321",$A493="012345678",$A493=REPT(LEFT($A493&amp;"",1),9))),"Employee SSN appears to be a placeholder; ","")&amp;IF(AND($B493&lt;&gt;"",NOT(IFERROR(AND(LEN($B493&amp;"")=9,ISNUMBER(--($B493&amp;""))),FALSE))),"Dependent SSN must contain exactly 9 digits; ","")&amp;IF(AND($B493&lt;&gt;"",OR($B493="123456789",$B493="987654321",$B493="012345678",$B493=REPT(LEFT($B493&amp;"",1),9))),"Dependent SSN appears to be a placeholder; ","")&amp;IF(AND($A493&lt;&gt;"",$B493&lt;&gt;"",$A493&amp;""=$B493&amp;""),"Dependent SSN cannot match Employee SSN; ","")&amp;IF(AND($W493&lt;&gt;"",OR(COUNTIFS($W$2:$W$501,$W493,$C$2:$C$501,"&lt;&gt;"&amp;$C493)&gt;0,COUNTIFS($W$2:$W$501,$W493,$D$2:$D$501,"&lt;&gt;"&amp;$D493)&gt;0,COUNTIFS($W$2:$W$501,$W493,$L$2:$L$501,"&lt;&gt;"&amp;$L493)&gt;0)),"The same SSN is associated with a different name or birthdate; ",""))</f>
        <v/>
      </c>
      <c r="AA493">
        <f>IF(COUNTA($A493:$U493)=0,"",IF(AND($A493&lt;&gt;"",$S493&lt;&gt;"",COUNTIFS($A$2:$A$501,$A493,$S$2:$S$501,$S493,$B$2:$B$501,"",$O$2:$O$501,"")=0),"Add an employee row for this household and plan; ","")&amp;IF(AND($X493="Dependent",COUNTIFS($A$2:$A493,$A493,$S$2:$S493,$S493,$B$2:$B493,"",$O$2:$O493,"")=0),"Place the employee row before dependent rows for this plan; ","")&amp;IF(AND($X493="Dependent",COUNTIFS($A$2:$A$501,$A493,$S$2:$S$501,$S493,$B$2:$B$501,"",$O$2:$O$501,"")&gt;0,IFERROR(OR($P493&lt;&gt;LOOKUP(2,1/(($A$2:$A$501=$A493)*($S$2:$S$501=$S493)*($B$2:$B$501="")*($O$2:$O$501="")),$P$2:$P$501),$Q493&lt;&gt;LOOKUP(2,1/(($A$2:$A$501=$A493)*($S$2:$S$501=$S493)*($B$2:$B$501="")*($O$2:$O$501="")),$Q$2:$Q$501),$R493&lt;&gt;LOOKUP(2,1/(($A$2:$A$501=$A493)*($S$2:$S$501=$S493)*($B$2:$B$501="")*($O$2:$O$501="")),$R$2:$R$501),$T493&lt;&gt;LOOKUP(2,1/(($A$2:$A$501=$A493)*($S$2:$S$501=$S493)*($B$2:$B$501="")*($O$2:$O$501="")),$T$2:$T$501),$U493&lt;&gt;LOOKUP(2,1/(($A$2:$A$501=$A493)*($S$2:$S$501=$S493)*($B$2:$B$501="")*($O$2:$O$501="")),$U$2:$U$501)),FALSE)),"Dependent row does not match the employee row for eligibility, status, coverage level, or funding; ",""))</f>
        <v/>
      </c>
      <c r="AB493">
        <f>IF(COUNTA($A493:$U493)=0,"",IF($L493="","Birthdate is required; ","")&amp;IF(AND($L493&lt;&gt;"",OR(NOT(ISNUMBER($L493)),$L493&lt;=DATE(1900,1,1),$L493&gt;TODAY())),"Birthdate must be an exact valid past date; ","")&amp;IF($P493="","Eligibility Date is required; ","")&amp;IF(AND($P493&lt;&gt;"",OR(NOT(ISNUMBER($P493)),$P493&lt;=DATE(1900,1,1))),"Eligibility Date must be a valid date; ","")&amp;IF(AND($R493="Terminated",$Q493=""),"Termination Date is required when Status is Terminated; ","")&amp;IF(AND($Q493&lt;&gt;"",OR(NOT(ISNUMBER($Q493)),$Q493&lt;=DATE(1900,1,1))),"Termination Date must be a valid date; ","")&amp;IF(AND(ISNUMBER($P493),ISNUMBER($Q493),$Q493&lt;$P493),"Termination Date cannot be before Eligibility Date; ","")&amp;IF($R493="","Status is required; ","")&amp;IF(AND($R493&lt;&gt;"",$R493&lt;&gt;"Active",$R493&lt;&gt;"Terminated"),"Status must be Active or Terminated; ","")&amp;IF(AND('START HERE'!$C$8="Terminations Only",$R493&lt;&gt;"Terminated"),"Terminations Only files must contain terminated records; ",""))</f>
        <v/>
      </c>
      <c r="AC493">
        <f>IF(COUNTA($A493:$U493)=0,"",IF($S493="","Plan Name is required; ","")&amp;IF($T493="","Benefit Coverage Level is required; ","")&amp;IF(AND($U493&lt;&gt;"",OR(NOT(ISNUMBER($U493)),$U493&lt;0)),"Plan Funding Amount must be a nonnegative number; ","")&amp;IF(AND($A493&lt;&gt;"",$S493&lt;&gt;"",COUNTIFS($A$2:$A$501,$A493,$B$2:$B$501,$B493,$S$2:$S$501,$S493)&gt;1),"Duplicate participant and plan row; ",""))</f>
        <v/>
      </c>
      <c r="AD493">
        <f>IF(COUNTA($A493:$U493)=0,"",IF(AND($X493="Employee",$M493="",$N493=""),"No employee phone or email provided; ","")&amp;IF(AND($R493="Active",$Q493&lt;&gt;""),"Active record includes a Termination Date; confirm this is intentional; ","")&amp;IF(AND($B493&lt;&gt;"",$B493&amp;""&lt;&gt;$A493&amp;"",COUNTIF($A$2:$A$501,$B493)&gt;0),"Dependent SSN also appears as an Employee SSN elsewhere; confirm dual-employee coverage is intentional; ","")&amp;IF(AND($B493&lt;&gt;"",COUNTIF($B$2:$B$501,$B493)&gt;COUNTIFS($A$2:$A$501,$A493,$B$2:$B$501,$B493)),"Dependent SSN appears under more than one employee; confirm duplicate family coverage is intentional; ","")&amp;IF(AND(ROW()&gt;2,$A493&lt;&gt;"",$A493&lt;&gt;$A492,COUNTIF($A$2:$A492,$A493)&gt;0),"This household appears in more than one section of the census; keep the family together; ","")&amp;IF(OR(AND($C493&lt;&gt;"",LEN($C493&amp;"")&lt;&gt;LEN(TRIM($C493&amp;""))),AND($D493&lt;&gt;"",LEN($D493&amp;"")&lt;&gt;LEN(TRIM($D493&amp;""))),AND($E493&lt;&gt;"",LEN($E493&amp;"")&lt;&gt;LEN(TRIM($E493&amp;""))),AND($F493&lt;&gt;"",LEN($F493&amp;"")&lt;&gt;LEN(TRIM($F493&amp;""))),AND($G493&lt;&gt;"",LEN($G493&amp;"")&lt;&gt;LEN(TRIM($G493&amp;""))),AND($H493&lt;&gt;"",LEN($H493&amp;"")&lt;&gt;LEN(TRIM($H493&amp;""))),AND($I493&lt;&gt;"",LEN($I493&amp;"")&lt;&gt;LEN(TRIM($I493&amp;""))),AND($J493&lt;&gt;"",LEN($J493&amp;"")&lt;&gt;LEN(TRIM($J493&amp;""))),AND($K493&lt;&gt;"",LEN($K493&amp;"")&lt;&gt;LEN(TRIM($K493&amp;""))),AND($M493&lt;&gt;"",LEN($M493&amp;"")&lt;&gt;LEN(TRIM($M493&amp;""))),AND($N493&lt;&gt;"",LEN($N493&amp;"")&lt;&gt;LEN(TRIM($N493&amp;""))),AND($O493&lt;&gt;"",LEN($O493&amp;"")&lt;&gt;LEN(TRIM($O493&amp;""))),AND($R493&lt;&gt;"",LEN($R493&amp;"")&lt;&gt;LEN(TRIM($R493&amp;""))),AND($S493&lt;&gt;"",LEN($S493&amp;"")&lt;&gt;LEN(TRIM($S493&amp;""))),AND($T493&lt;&gt;"",LEN($T493&amp;"")&lt;&gt;LEN(TRIM($T493&amp;"")))),"Remove leading or trailing spaces from text fields; ","")&amp;IF(OR(AND(LEN($C493)&gt;1,OR(EXACT($C493,UPPER($C493)),EXACT($C493,LOWER($C493)))),AND(LEN($D493)&gt;1,OR(EXACT($D493,UPPER($D493)),EXACT($D493,LOWER($D493)))),AND(LEN($H493)&gt;1,OR(EXACT($H493,UPPER($H493)),EXACT($H493,LOWER($H493))))),"Review capitalization in First Name, Last Name, or City; ","")&amp;IF(AND($N493&lt;&gt;"",NOT(EXACT($N493,LOWER($N493)))),"Email will be standardized to lowercase in the clean output; ","")&amp;IF(AND(OR('START HERE'!$C$8="Initial Enrollment",'START HERE'!$C$8="Open Enrollment"),$R493="Terminated"),"A terminated row is included in an initial or open enrollment file; confirm this is intentional; ",""))</f>
        <v/>
      </c>
      <c r="AE493">
        <f>IF(COUNTA($A493:$U493)=0,"",IF(OR($A493="",AND($A493&lt;&gt;"",NOT(IFERROR(AND(LEN($A493&amp;"")=9,ISNUMBER(--($A493&amp;""))),FALSE))),AND($A493&lt;&gt;"",OR($A493="123456789",$A493="987654321",$A493="012345678",$A493=REPT(LEFT($A493&amp;"",1),9)))),"Employee SSN, ","")&amp;IF(OR(AND($O493&lt;&gt;"",$B493=""),AND($B493&lt;&gt;"",OR(NOT(IFERROR(AND(LEN($B493&amp;"")=9,ISNUMBER(--($B493&amp;""))),FALSE)),$B493=$A493,$B493="123456789",$B493="987654321",$B493="012345678",$B493=REPT(LEFT($B493&amp;"",1),9)))),"Dependent SSN, ","")&amp;IF(OR($C493="",LEN($C493)&gt;19,AND($C493&lt;&gt;"",SUMPRODUCT(--(ROW($1:$19)&lt;=LEN($C493&amp;"")),--ISERROR(FIND(MID($C493&amp;"",ROW($1:$19),1),"ABCDEFGHIJKLMNOPQRSTUVWXYZabcdefghijklmnopqrstuvwxyz .,")))&gt;0)),"First Name, ","")&amp;IF(OR($D493="",LEN($D493)&gt;26,AND($D493&lt;&gt;"",SUMPRODUCT(--(ROW($1:$26)&lt;=LEN($D493&amp;"")),--ISERROR(FIND(MID($D493&amp;"",ROW($1:$26),1),"ABCDEFGHIJKLMNOPQRSTUVWXYZabcdefghijklmnopqrstuvwxyz .,")))&gt;0)),"Last Name, ","")&amp;IF(OR(LEN($E493)&gt;1,AND($E493&lt;&gt;"",SUMPRODUCT(--(ROW($1:$1)&lt;=LEN($E493&amp;"")),--ISERROR(FIND(MID($E493&amp;"",ROW($1:$1),1),"ABCDEFGHIJKLMNOPQRSTUVWXYZabcdefghijklmnopqrstuvwxyz .,")))&gt;0)),"Middle Initial, ","")&amp;IF(OR($F493="",LEN($F493)&gt;75),"Address, ","")&amp;IF(OR($H493="",LEN($H493)&gt;30),"City, ","")&amp;IF(AND($K493="US",OR($I493="",LEN($I493)&lt;&gt;2)),"State, ","")&amp;IF($J493="","ZIP, ","")&amp;IF(OR($K493="",AND($K493&lt;&gt;"US",$K493&lt;&gt;"CA")),"Country, ","")&amp;IF(OR($L493="",AND($L493&lt;&gt;"",OR(NOT(ISNUMBER($L493)),$L493&lt;=DATE(1900,1,1),$L493&gt;TODAY()))),"Birthdate, ","")&amp;IF(AND($N493&lt;&gt;"",NOT(IFERROR(AND(ISNUMBER(SEARCH("@",$N493)),ISNUMBER(SEARCH(".",$N493,SEARCH("@",$N493)+2))),FALSE))),"Email, ","")&amp;IF(OR(AND($B493&lt;&gt;"",$O493=""),AND($O493&lt;&gt;"",$O493&lt;&gt;"Spouse or Common Law Spouse",$O493&lt;&gt;"Domestic Partner",$O493&lt;&gt;"Child",$O493&lt;&gt;"Other",$O493&lt;&gt;"Estate",$O493&lt;&gt;"Unknown")),"Dependent Relationship, ","")&amp;IF($AA493&lt;&gt;"","Household, ","")&amp;IF(OR($P493="",AND($P493&lt;&gt;"",OR(NOT(ISNUMBER($P493)),$P493&lt;=DATE(1900,1,1)))),"Eligibility Date, ","")&amp;IF(OR(AND($R493="Terminated",$Q493=""),AND($Q493&lt;&gt;"",OR(NOT(ISNUMBER($Q493)),$Q493&lt;=DATE(1900,1,1))),AND(ISNUMBER($P493),ISNUMBER($Q493),$Q493&lt;$P493)),"Termination Date, ","")&amp;IF(OR($R493="",AND($R493&lt;&gt;"Active",$R493&lt;&gt;"Terminated"),AND('START HERE'!$C$8="Terminations Only",$R493&lt;&gt;"Terminated")),"Status, ","")&amp;IF($S493="","Plan Name, ","")&amp;IF($T493="","Coverage Level, ","")&amp;IF(AND($U493&lt;&gt;"",OR(NOT(ISNUMBER($U493)),$U493&lt;0)),"Funding, ","")&amp;IF(AND($A493&lt;&gt;"",$S493&lt;&gt;"",COUNTIFS($A$2:$A$501,$A493,$B$2:$B$501,$B493,$S$2:$S$501,$S493)&gt;1),"Duplicate Row, ",""))</f>
        <v/>
      </c>
      <c r="AF493">
        <f>IF(COUNTA($A493:$U493)=0,"",$Y493&amp;$Z493&amp;$AA493&amp;$AB493&amp;$AC493)</f>
        <v/>
      </c>
      <c r="AG493">
        <f>IF($N493="","",LOWER(TRIM($N493)))</f>
        <v/>
      </c>
      <c r="AH493">
        <f>IF($A493="","",COUNTIFS($A$2:$A$501,$A493,$AI$2:$AI$501,1))</f>
        <v/>
      </c>
      <c r="AI493">
        <f>IF(COUNTA($A493:$U493)=0,"",--($AF493&lt;&gt;""))</f>
        <v/>
      </c>
      <c r="AJ493">
        <f>IF(COUNTA($A493:$U493)=0,"",--($AD493&lt;&gt;""))</f>
        <v/>
      </c>
    </row>
    <row r="494" ht="20" customHeight="1">
      <c r="A494" s="80" t="n"/>
      <c r="B494" s="80" t="n"/>
      <c r="C494" s="81" t="n"/>
      <c r="D494" s="81" t="n"/>
      <c r="E494" s="80" t="n"/>
      <c r="F494" s="81" t="n"/>
      <c r="G494" s="81" t="n"/>
      <c r="H494" s="81" t="n"/>
      <c r="I494" s="80" t="n"/>
      <c r="J494" s="80" t="n"/>
      <c r="K494" s="80" t="n"/>
      <c r="L494" s="82" t="n"/>
      <c r="M494" s="80" t="n"/>
      <c r="N494" s="80" t="n"/>
      <c r="O494" s="80" t="n"/>
      <c r="P494" s="82" t="n"/>
      <c r="Q494" s="82" t="n"/>
      <c r="R494" s="80" t="n"/>
      <c r="S494" s="80" t="n"/>
      <c r="T494" s="80" t="n"/>
      <c r="U494" s="83" t="n"/>
      <c r="V494">
        <f>IF($A494="","",IF($A494=$A493,$V493,IF($V493="",0,1-$V493)))</f>
        <v/>
      </c>
      <c r="W494">
        <f>IF($B494&lt;&gt;"",$B494,$A494)</f>
        <v/>
      </c>
      <c r="X494">
        <f>IF(COUNTA($A494:$U494)=0,"",IF(OR($B494&lt;&gt;"",$O494&lt;&gt;""),"Dependent","Employee"))</f>
        <v/>
      </c>
      <c r="Y494">
        <f>IF(COUNTA($A494:$U494)=0,"",IF($A494="","Employee SSN is required; ","")&amp;IF($C494="","First Name is required; ","")&amp;IF(LEN($C494&amp;"")&gt;19,"First Name exceeds 19 characters; ","")&amp;IF(AND($C494&lt;&gt;"",SUMPRODUCT(--(ROW($1:$19)&lt;=LEN($C494&amp;"")),--ISERROR(FIND(MID($C494&amp;"",ROW($1:$19),1),"ABCDEFGHIJKLMNOPQRSTUVWXYZabcdefghijklmnopqrstuvwxyz .,")))&gt;0),"First Name contains unsupported or encoded characters; use plain A-Z letters only; ","")&amp;IF($D494="","Last Name is required; ","")&amp;IF(LEN($D494&amp;"")&gt;26,"Last Name exceeds 26 characters; ","")&amp;IF(AND($D494&lt;&gt;"",SUMPRODUCT(--(ROW($1:$26)&lt;=LEN($D494&amp;"")),--ISERROR(FIND(MID($D494&amp;"",ROW($1:$26),1),"ABCDEFGHIJKLMNOPQRSTUVWXYZabcdefghijklmnopqrstuvwxyz .,")))&gt;0),"Last Name contains unsupported or encoded characters; use plain A-Z letters only; ","")&amp;IF(LEN($E494&amp;"")&gt;1,"Middle Initial may contain only one character; ","")&amp;IF(AND($E494&lt;&gt;"",SUMPRODUCT(--(ROW($1:$1)&lt;=LEN($E494&amp;"")),--ISERROR(FIND(MID($E494&amp;"",ROW($1:$1),1),"ABCDEFGHIJKLMNOPQRSTUVWXYZabcdefghijklmnopqrstuvwxyz .,")))&gt;0),"Middle Initial must be a plain A-Z letter; ","")&amp;IF($F494="","Address is required; ","")&amp;IF(LEN($F494&amp;"")&gt;75,"Address exceeds 75 characters; ","")&amp;IF(LEN($G494&amp;"")&gt;75,"Address 2 exceeds 75 characters; ","")&amp;IF($H494="","City is required; ","")&amp;IF(LEN($H494&amp;"")&gt;30,"City exceeds 30 characters; ","")&amp;IF($K494="","Country is required; ","")&amp;IF(AND($K494&lt;&gt;"",$K494&lt;&gt;"US",$K494&lt;&gt;"CA"),"Country must be US or CA; ","")&amp;IF(AND($K494="US",OR($I494="",LEN($I494&amp;"")&lt;&gt;2)),"Use a 2-letter state code; ","")&amp;IF($J494="","ZIP or postal code is required; ","")&amp;IF(AND($K494="US",$J494&lt;&gt;"",NOT(IFERROR(OR(AND(LEN($J494&amp;"")=5,ISNUMBER(--($J494&amp;""))),AND(LEN($J494&amp;"")=9,ISNUMBER(--($J494&amp;""))),AND(LEN($J494&amp;"")=10,MID($J494&amp;"",6,1)="-",ISNUMBER(--SUBSTITUTE($J494&amp;"","-","")))),FALSE))),"US ZIP must be 5 or 9 digits, with an optional ZIP+4 hyphen; ","")&amp;IF(AND($N494&lt;&gt;"",NOT(IFERROR(AND(ISNUMBER(SEARCH("@",$N494)),ISNUMBER(SEARCH(".",$N494,SEARCH("@",$N494)+2))),FALSE))),"Email format appears invalid; ","")&amp;IF(AND($O494&lt;&gt;"",$B494=""),"Dependent SSN is required for every dependent; ","")&amp;IF(AND($B494&lt;&gt;"",$O494=""),"Dependent Relationship is required when Dependent SSN is entered; ","")&amp;IF(AND($O494&lt;&gt;"",$O494&lt;&gt;"Spouse or Common Law Spouse",$O494&lt;&gt;"Domestic Partner",$O494&lt;&gt;"Child",$O494&lt;&gt;"Other",$O494&lt;&gt;"Estate",$O494&lt;&gt;"Unknown"),"Dependent Relationship must use one of the approved options; ",""))</f>
        <v/>
      </c>
      <c r="Z494">
        <f>IF(COUNTA($A494:$U494)=0,"",IF(AND($A494&lt;&gt;"",NOT(IFERROR(AND(LEN($A494&amp;"")=9,ISNUMBER(--($A494&amp;""))),FALSE))),"Employee SSN must contain exactly 9 digits; ","")&amp;IF(AND($A494&lt;&gt;"",OR($A494="123456789",$A494="987654321",$A494="012345678",$A494=REPT(LEFT($A494&amp;"",1),9))),"Employee SSN appears to be a placeholder; ","")&amp;IF(AND($B494&lt;&gt;"",NOT(IFERROR(AND(LEN($B494&amp;"")=9,ISNUMBER(--($B494&amp;""))),FALSE))),"Dependent SSN must contain exactly 9 digits; ","")&amp;IF(AND($B494&lt;&gt;"",OR($B494="123456789",$B494="987654321",$B494="012345678",$B494=REPT(LEFT($B494&amp;"",1),9))),"Dependent SSN appears to be a placeholder; ","")&amp;IF(AND($A494&lt;&gt;"",$B494&lt;&gt;"",$A494&amp;""=$B494&amp;""),"Dependent SSN cannot match Employee SSN; ","")&amp;IF(AND($W494&lt;&gt;"",OR(COUNTIFS($W$2:$W$501,$W494,$C$2:$C$501,"&lt;&gt;"&amp;$C494)&gt;0,COUNTIFS($W$2:$W$501,$W494,$D$2:$D$501,"&lt;&gt;"&amp;$D494)&gt;0,COUNTIFS($W$2:$W$501,$W494,$L$2:$L$501,"&lt;&gt;"&amp;$L494)&gt;0)),"The same SSN is associated with a different name or birthdate; ",""))</f>
        <v/>
      </c>
      <c r="AA494">
        <f>IF(COUNTA($A494:$U494)=0,"",IF(AND($A494&lt;&gt;"",$S494&lt;&gt;"",COUNTIFS($A$2:$A$501,$A494,$S$2:$S$501,$S494,$B$2:$B$501,"",$O$2:$O$501,"")=0),"Add an employee row for this household and plan; ","")&amp;IF(AND($X494="Dependent",COUNTIFS($A$2:$A494,$A494,$S$2:$S494,$S494,$B$2:$B494,"",$O$2:$O494,"")=0),"Place the employee row before dependent rows for this plan; ","")&amp;IF(AND($X494="Dependent",COUNTIFS($A$2:$A$501,$A494,$S$2:$S$501,$S494,$B$2:$B$501,"",$O$2:$O$501,"")&gt;0,IFERROR(OR($P494&lt;&gt;LOOKUP(2,1/(($A$2:$A$501=$A494)*($S$2:$S$501=$S494)*($B$2:$B$501="")*($O$2:$O$501="")),$P$2:$P$501),$Q494&lt;&gt;LOOKUP(2,1/(($A$2:$A$501=$A494)*($S$2:$S$501=$S494)*($B$2:$B$501="")*($O$2:$O$501="")),$Q$2:$Q$501),$R494&lt;&gt;LOOKUP(2,1/(($A$2:$A$501=$A494)*($S$2:$S$501=$S494)*($B$2:$B$501="")*($O$2:$O$501="")),$R$2:$R$501),$T494&lt;&gt;LOOKUP(2,1/(($A$2:$A$501=$A494)*($S$2:$S$501=$S494)*($B$2:$B$501="")*($O$2:$O$501="")),$T$2:$T$501),$U494&lt;&gt;LOOKUP(2,1/(($A$2:$A$501=$A494)*($S$2:$S$501=$S494)*($B$2:$B$501="")*($O$2:$O$501="")),$U$2:$U$501)),FALSE)),"Dependent row does not match the employee row for eligibility, status, coverage level, or funding; ",""))</f>
        <v/>
      </c>
      <c r="AB494">
        <f>IF(COUNTA($A494:$U494)=0,"",IF($L494="","Birthdate is required; ","")&amp;IF(AND($L494&lt;&gt;"",OR(NOT(ISNUMBER($L494)),$L494&lt;=DATE(1900,1,1),$L494&gt;TODAY())),"Birthdate must be an exact valid past date; ","")&amp;IF($P494="","Eligibility Date is required; ","")&amp;IF(AND($P494&lt;&gt;"",OR(NOT(ISNUMBER($P494)),$P494&lt;=DATE(1900,1,1))),"Eligibility Date must be a valid date; ","")&amp;IF(AND($R494="Terminated",$Q494=""),"Termination Date is required when Status is Terminated; ","")&amp;IF(AND($Q494&lt;&gt;"",OR(NOT(ISNUMBER($Q494)),$Q494&lt;=DATE(1900,1,1))),"Termination Date must be a valid date; ","")&amp;IF(AND(ISNUMBER($P494),ISNUMBER($Q494),$Q494&lt;$P494),"Termination Date cannot be before Eligibility Date; ","")&amp;IF($R494="","Status is required; ","")&amp;IF(AND($R494&lt;&gt;"",$R494&lt;&gt;"Active",$R494&lt;&gt;"Terminated"),"Status must be Active or Terminated; ","")&amp;IF(AND('START HERE'!$C$8="Terminations Only",$R494&lt;&gt;"Terminated"),"Terminations Only files must contain terminated records; ",""))</f>
        <v/>
      </c>
      <c r="AC494">
        <f>IF(COUNTA($A494:$U494)=0,"",IF($S494="","Plan Name is required; ","")&amp;IF($T494="","Benefit Coverage Level is required; ","")&amp;IF(AND($U494&lt;&gt;"",OR(NOT(ISNUMBER($U494)),$U494&lt;0)),"Plan Funding Amount must be a nonnegative number; ","")&amp;IF(AND($A494&lt;&gt;"",$S494&lt;&gt;"",COUNTIFS($A$2:$A$501,$A494,$B$2:$B$501,$B494,$S$2:$S$501,$S494)&gt;1),"Duplicate participant and plan row; ",""))</f>
        <v/>
      </c>
      <c r="AD494">
        <f>IF(COUNTA($A494:$U494)=0,"",IF(AND($X494="Employee",$M494="",$N494=""),"No employee phone or email provided; ","")&amp;IF(AND($R494="Active",$Q494&lt;&gt;""),"Active record includes a Termination Date; confirm this is intentional; ","")&amp;IF(AND($B494&lt;&gt;"",$B494&amp;""&lt;&gt;$A494&amp;"",COUNTIF($A$2:$A$501,$B494)&gt;0),"Dependent SSN also appears as an Employee SSN elsewhere; confirm dual-employee coverage is intentional; ","")&amp;IF(AND($B494&lt;&gt;"",COUNTIF($B$2:$B$501,$B494)&gt;COUNTIFS($A$2:$A$501,$A494,$B$2:$B$501,$B494)),"Dependent SSN appears under more than one employee; confirm duplicate family coverage is intentional; ","")&amp;IF(AND(ROW()&gt;2,$A494&lt;&gt;"",$A494&lt;&gt;$A493,COUNTIF($A$2:$A493,$A494)&gt;0),"This household appears in more than one section of the census; keep the family together; ","")&amp;IF(OR(AND($C494&lt;&gt;"",LEN($C494&amp;"")&lt;&gt;LEN(TRIM($C494&amp;""))),AND($D494&lt;&gt;"",LEN($D494&amp;"")&lt;&gt;LEN(TRIM($D494&amp;""))),AND($E494&lt;&gt;"",LEN($E494&amp;"")&lt;&gt;LEN(TRIM($E494&amp;""))),AND($F494&lt;&gt;"",LEN($F494&amp;"")&lt;&gt;LEN(TRIM($F494&amp;""))),AND($G494&lt;&gt;"",LEN($G494&amp;"")&lt;&gt;LEN(TRIM($G494&amp;""))),AND($H494&lt;&gt;"",LEN($H494&amp;"")&lt;&gt;LEN(TRIM($H494&amp;""))),AND($I494&lt;&gt;"",LEN($I494&amp;"")&lt;&gt;LEN(TRIM($I494&amp;""))),AND($J494&lt;&gt;"",LEN($J494&amp;"")&lt;&gt;LEN(TRIM($J494&amp;""))),AND($K494&lt;&gt;"",LEN($K494&amp;"")&lt;&gt;LEN(TRIM($K494&amp;""))),AND($M494&lt;&gt;"",LEN($M494&amp;"")&lt;&gt;LEN(TRIM($M494&amp;""))),AND($N494&lt;&gt;"",LEN($N494&amp;"")&lt;&gt;LEN(TRIM($N494&amp;""))),AND($O494&lt;&gt;"",LEN($O494&amp;"")&lt;&gt;LEN(TRIM($O494&amp;""))),AND($R494&lt;&gt;"",LEN($R494&amp;"")&lt;&gt;LEN(TRIM($R494&amp;""))),AND($S494&lt;&gt;"",LEN($S494&amp;"")&lt;&gt;LEN(TRIM($S494&amp;""))),AND($T494&lt;&gt;"",LEN($T494&amp;"")&lt;&gt;LEN(TRIM($T494&amp;"")))),"Remove leading or trailing spaces from text fields; ","")&amp;IF(OR(AND(LEN($C494)&gt;1,OR(EXACT($C494,UPPER($C494)),EXACT($C494,LOWER($C494)))),AND(LEN($D494)&gt;1,OR(EXACT($D494,UPPER($D494)),EXACT($D494,LOWER($D494)))),AND(LEN($H494)&gt;1,OR(EXACT($H494,UPPER($H494)),EXACT($H494,LOWER($H494))))),"Review capitalization in First Name, Last Name, or City; ","")&amp;IF(AND($N494&lt;&gt;"",NOT(EXACT($N494,LOWER($N494)))),"Email will be standardized to lowercase in the clean output; ","")&amp;IF(AND(OR('START HERE'!$C$8="Initial Enrollment",'START HERE'!$C$8="Open Enrollment"),$R494="Terminated"),"A terminated row is included in an initial or open enrollment file; confirm this is intentional; ",""))</f>
        <v/>
      </c>
      <c r="AE494">
        <f>IF(COUNTA($A494:$U494)=0,"",IF(OR($A494="",AND($A494&lt;&gt;"",NOT(IFERROR(AND(LEN($A494&amp;"")=9,ISNUMBER(--($A494&amp;""))),FALSE))),AND($A494&lt;&gt;"",OR($A494="123456789",$A494="987654321",$A494="012345678",$A494=REPT(LEFT($A494&amp;"",1),9)))),"Employee SSN, ","")&amp;IF(OR(AND($O494&lt;&gt;"",$B494=""),AND($B494&lt;&gt;"",OR(NOT(IFERROR(AND(LEN($B494&amp;"")=9,ISNUMBER(--($B494&amp;""))),FALSE)),$B494=$A494,$B494="123456789",$B494="987654321",$B494="012345678",$B494=REPT(LEFT($B494&amp;"",1),9)))),"Dependent SSN, ","")&amp;IF(OR($C494="",LEN($C494)&gt;19,AND($C494&lt;&gt;"",SUMPRODUCT(--(ROW($1:$19)&lt;=LEN($C494&amp;"")),--ISERROR(FIND(MID($C494&amp;"",ROW($1:$19),1),"ABCDEFGHIJKLMNOPQRSTUVWXYZabcdefghijklmnopqrstuvwxyz .,")))&gt;0)),"First Name, ","")&amp;IF(OR($D494="",LEN($D494)&gt;26,AND($D494&lt;&gt;"",SUMPRODUCT(--(ROW($1:$26)&lt;=LEN($D494&amp;"")),--ISERROR(FIND(MID($D494&amp;"",ROW($1:$26),1),"ABCDEFGHIJKLMNOPQRSTUVWXYZabcdefghijklmnopqrstuvwxyz .,")))&gt;0)),"Last Name, ","")&amp;IF(OR(LEN($E494)&gt;1,AND($E494&lt;&gt;"",SUMPRODUCT(--(ROW($1:$1)&lt;=LEN($E494&amp;"")),--ISERROR(FIND(MID($E494&amp;"",ROW($1:$1),1),"ABCDEFGHIJKLMNOPQRSTUVWXYZabcdefghijklmnopqrstuvwxyz .,")))&gt;0)),"Middle Initial, ","")&amp;IF(OR($F494="",LEN($F494)&gt;75),"Address, ","")&amp;IF(OR($H494="",LEN($H494)&gt;30),"City, ","")&amp;IF(AND($K494="US",OR($I494="",LEN($I494)&lt;&gt;2)),"State, ","")&amp;IF($J494="","ZIP, ","")&amp;IF(OR($K494="",AND($K494&lt;&gt;"US",$K494&lt;&gt;"CA")),"Country, ","")&amp;IF(OR($L494="",AND($L494&lt;&gt;"",OR(NOT(ISNUMBER($L494)),$L494&lt;=DATE(1900,1,1),$L494&gt;TODAY()))),"Birthdate, ","")&amp;IF(AND($N494&lt;&gt;"",NOT(IFERROR(AND(ISNUMBER(SEARCH("@",$N494)),ISNUMBER(SEARCH(".",$N494,SEARCH("@",$N494)+2))),FALSE))),"Email, ","")&amp;IF(OR(AND($B494&lt;&gt;"",$O494=""),AND($O494&lt;&gt;"",$O494&lt;&gt;"Spouse or Common Law Spouse",$O494&lt;&gt;"Domestic Partner",$O494&lt;&gt;"Child",$O494&lt;&gt;"Other",$O494&lt;&gt;"Estate",$O494&lt;&gt;"Unknown")),"Dependent Relationship, ","")&amp;IF($AA494&lt;&gt;"","Household, ","")&amp;IF(OR($P494="",AND($P494&lt;&gt;"",OR(NOT(ISNUMBER($P494)),$P494&lt;=DATE(1900,1,1)))),"Eligibility Date, ","")&amp;IF(OR(AND($R494="Terminated",$Q494=""),AND($Q494&lt;&gt;"",OR(NOT(ISNUMBER($Q494)),$Q494&lt;=DATE(1900,1,1))),AND(ISNUMBER($P494),ISNUMBER($Q494),$Q494&lt;$P494)),"Termination Date, ","")&amp;IF(OR($R494="",AND($R494&lt;&gt;"Active",$R494&lt;&gt;"Terminated"),AND('START HERE'!$C$8="Terminations Only",$R494&lt;&gt;"Terminated")),"Status, ","")&amp;IF($S494="","Plan Name, ","")&amp;IF($T494="","Coverage Level, ","")&amp;IF(AND($U494&lt;&gt;"",OR(NOT(ISNUMBER($U494)),$U494&lt;0)),"Funding, ","")&amp;IF(AND($A494&lt;&gt;"",$S494&lt;&gt;"",COUNTIFS($A$2:$A$501,$A494,$B$2:$B$501,$B494,$S$2:$S$501,$S494)&gt;1),"Duplicate Row, ",""))</f>
        <v/>
      </c>
      <c r="AF494">
        <f>IF(COUNTA($A494:$U494)=0,"",$Y494&amp;$Z494&amp;$AA494&amp;$AB494&amp;$AC494)</f>
        <v/>
      </c>
      <c r="AG494">
        <f>IF($N494="","",LOWER(TRIM($N494)))</f>
        <v/>
      </c>
      <c r="AH494">
        <f>IF($A494="","",COUNTIFS($A$2:$A$501,$A494,$AI$2:$AI$501,1))</f>
        <v/>
      </c>
      <c r="AI494">
        <f>IF(COUNTA($A494:$U494)=0,"",--($AF494&lt;&gt;""))</f>
        <v/>
      </c>
      <c r="AJ494">
        <f>IF(COUNTA($A494:$U494)=0,"",--($AD494&lt;&gt;""))</f>
        <v/>
      </c>
    </row>
    <row r="495" ht="20" customHeight="1">
      <c r="A495" s="80" t="n"/>
      <c r="B495" s="80" t="n"/>
      <c r="C495" s="81" t="n"/>
      <c r="D495" s="81" t="n"/>
      <c r="E495" s="80" t="n"/>
      <c r="F495" s="81" t="n"/>
      <c r="G495" s="81" t="n"/>
      <c r="H495" s="81" t="n"/>
      <c r="I495" s="80" t="n"/>
      <c r="J495" s="80" t="n"/>
      <c r="K495" s="80" t="n"/>
      <c r="L495" s="82" t="n"/>
      <c r="M495" s="80" t="n"/>
      <c r="N495" s="80" t="n"/>
      <c r="O495" s="80" t="n"/>
      <c r="P495" s="82" t="n"/>
      <c r="Q495" s="82" t="n"/>
      <c r="R495" s="80" t="n"/>
      <c r="S495" s="80" t="n"/>
      <c r="T495" s="80" t="n"/>
      <c r="U495" s="83" t="n"/>
      <c r="V495">
        <f>IF($A495="","",IF($A495=$A494,$V494,IF($V494="",0,1-$V494)))</f>
        <v/>
      </c>
      <c r="W495">
        <f>IF($B495&lt;&gt;"",$B495,$A495)</f>
        <v/>
      </c>
      <c r="X495">
        <f>IF(COUNTA($A495:$U495)=0,"",IF(OR($B495&lt;&gt;"",$O495&lt;&gt;""),"Dependent","Employee"))</f>
        <v/>
      </c>
      <c r="Y495">
        <f>IF(COUNTA($A495:$U495)=0,"",IF($A495="","Employee SSN is required; ","")&amp;IF($C495="","First Name is required; ","")&amp;IF(LEN($C495&amp;"")&gt;19,"First Name exceeds 19 characters; ","")&amp;IF(AND($C495&lt;&gt;"",SUMPRODUCT(--(ROW($1:$19)&lt;=LEN($C495&amp;"")),--ISERROR(FIND(MID($C495&amp;"",ROW($1:$19),1),"ABCDEFGHIJKLMNOPQRSTUVWXYZabcdefghijklmnopqrstuvwxyz .,")))&gt;0),"First Name contains unsupported or encoded characters; use plain A-Z letters only; ","")&amp;IF($D495="","Last Name is required; ","")&amp;IF(LEN($D495&amp;"")&gt;26,"Last Name exceeds 26 characters; ","")&amp;IF(AND($D495&lt;&gt;"",SUMPRODUCT(--(ROW($1:$26)&lt;=LEN($D495&amp;"")),--ISERROR(FIND(MID($D495&amp;"",ROW($1:$26),1),"ABCDEFGHIJKLMNOPQRSTUVWXYZabcdefghijklmnopqrstuvwxyz .,")))&gt;0),"Last Name contains unsupported or encoded characters; use plain A-Z letters only; ","")&amp;IF(LEN($E495&amp;"")&gt;1,"Middle Initial may contain only one character; ","")&amp;IF(AND($E495&lt;&gt;"",SUMPRODUCT(--(ROW($1:$1)&lt;=LEN($E495&amp;"")),--ISERROR(FIND(MID($E495&amp;"",ROW($1:$1),1),"ABCDEFGHIJKLMNOPQRSTUVWXYZabcdefghijklmnopqrstuvwxyz .,")))&gt;0),"Middle Initial must be a plain A-Z letter; ","")&amp;IF($F495="","Address is required; ","")&amp;IF(LEN($F495&amp;"")&gt;75,"Address exceeds 75 characters; ","")&amp;IF(LEN($G495&amp;"")&gt;75,"Address 2 exceeds 75 characters; ","")&amp;IF($H495="","City is required; ","")&amp;IF(LEN($H495&amp;"")&gt;30,"City exceeds 30 characters; ","")&amp;IF($K495="","Country is required; ","")&amp;IF(AND($K495&lt;&gt;"",$K495&lt;&gt;"US",$K495&lt;&gt;"CA"),"Country must be US or CA; ","")&amp;IF(AND($K495="US",OR($I495="",LEN($I495&amp;"")&lt;&gt;2)),"Use a 2-letter state code; ","")&amp;IF($J495="","ZIP or postal code is required; ","")&amp;IF(AND($K495="US",$J495&lt;&gt;"",NOT(IFERROR(OR(AND(LEN($J495&amp;"")=5,ISNUMBER(--($J495&amp;""))),AND(LEN($J495&amp;"")=9,ISNUMBER(--($J495&amp;""))),AND(LEN($J495&amp;"")=10,MID($J495&amp;"",6,1)="-",ISNUMBER(--SUBSTITUTE($J495&amp;"","-","")))),FALSE))),"US ZIP must be 5 or 9 digits, with an optional ZIP+4 hyphen; ","")&amp;IF(AND($N495&lt;&gt;"",NOT(IFERROR(AND(ISNUMBER(SEARCH("@",$N495)),ISNUMBER(SEARCH(".",$N495,SEARCH("@",$N495)+2))),FALSE))),"Email format appears invalid; ","")&amp;IF(AND($O495&lt;&gt;"",$B495=""),"Dependent SSN is required for every dependent; ","")&amp;IF(AND($B495&lt;&gt;"",$O495=""),"Dependent Relationship is required when Dependent SSN is entered; ","")&amp;IF(AND($O495&lt;&gt;"",$O495&lt;&gt;"Spouse or Common Law Spouse",$O495&lt;&gt;"Domestic Partner",$O495&lt;&gt;"Child",$O495&lt;&gt;"Other",$O495&lt;&gt;"Estate",$O495&lt;&gt;"Unknown"),"Dependent Relationship must use one of the approved options; ",""))</f>
        <v/>
      </c>
      <c r="Z495">
        <f>IF(COUNTA($A495:$U495)=0,"",IF(AND($A495&lt;&gt;"",NOT(IFERROR(AND(LEN($A495&amp;"")=9,ISNUMBER(--($A495&amp;""))),FALSE))),"Employee SSN must contain exactly 9 digits; ","")&amp;IF(AND($A495&lt;&gt;"",OR($A495="123456789",$A495="987654321",$A495="012345678",$A495=REPT(LEFT($A495&amp;"",1),9))),"Employee SSN appears to be a placeholder; ","")&amp;IF(AND($B495&lt;&gt;"",NOT(IFERROR(AND(LEN($B495&amp;"")=9,ISNUMBER(--($B495&amp;""))),FALSE))),"Dependent SSN must contain exactly 9 digits; ","")&amp;IF(AND($B495&lt;&gt;"",OR($B495="123456789",$B495="987654321",$B495="012345678",$B495=REPT(LEFT($B495&amp;"",1),9))),"Dependent SSN appears to be a placeholder; ","")&amp;IF(AND($A495&lt;&gt;"",$B495&lt;&gt;"",$A495&amp;""=$B495&amp;""),"Dependent SSN cannot match Employee SSN; ","")&amp;IF(AND($W495&lt;&gt;"",OR(COUNTIFS($W$2:$W$501,$W495,$C$2:$C$501,"&lt;&gt;"&amp;$C495)&gt;0,COUNTIFS($W$2:$W$501,$W495,$D$2:$D$501,"&lt;&gt;"&amp;$D495)&gt;0,COUNTIFS($W$2:$W$501,$W495,$L$2:$L$501,"&lt;&gt;"&amp;$L495)&gt;0)),"The same SSN is associated with a different name or birthdate; ",""))</f>
        <v/>
      </c>
      <c r="AA495">
        <f>IF(COUNTA($A495:$U495)=0,"",IF(AND($A495&lt;&gt;"",$S495&lt;&gt;"",COUNTIFS($A$2:$A$501,$A495,$S$2:$S$501,$S495,$B$2:$B$501,"",$O$2:$O$501,"")=0),"Add an employee row for this household and plan; ","")&amp;IF(AND($X495="Dependent",COUNTIFS($A$2:$A495,$A495,$S$2:$S495,$S495,$B$2:$B495,"",$O$2:$O495,"")=0),"Place the employee row before dependent rows for this plan; ","")&amp;IF(AND($X495="Dependent",COUNTIFS($A$2:$A$501,$A495,$S$2:$S$501,$S495,$B$2:$B$501,"",$O$2:$O$501,"")&gt;0,IFERROR(OR($P495&lt;&gt;LOOKUP(2,1/(($A$2:$A$501=$A495)*($S$2:$S$501=$S495)*($B$2:$B$501="")*($O$2:$O$501="")),$P$2:$P$501),$Q495&lt;&gt;LOOKUP(2,1/(($A$2:$A$501=$A495)*($S$2:$S$501=$S495)*($B$2:$B$501="")*($O$2:$O$501="")),$Q$2:$Q$501),$R495&lt;&gt;LOOKUP(2,1/(($A$2:$A$501=$A495)*($S$2:$S$501=$S495)*($B$2:$B$501="")*($O$2:$O$501="")),$R$2:$R$501),$T495&lt;&gt;LOOKUP(2,1/(($A$2:$A$501=$A495)*($S$2:$S$501=$S495)*($B$2:$B$501="")*($O$2:$O$501="")),$T$2:$T$501),$U495&lt;&gt;LOOKUP(2,1/(($A$2:$A$501=$A495)*($S$2:$S$501=$S495)*($B$2:$B$501="")*($O$2:$O$501="")),$U$2:$U$501)),FALSE)),"Dependent row does not match the employee row for eligibility, status, coverage level, or funding; ",""))</f>
        <v/>
      </c>
      <c r="AB495">
        <f>IF(COUNTA($A495:$U495)=0,"",IF($L495="","Birthdate is required; ","")&amp;IF(AND($L495&lt;&gt;"",OR(NOT(ISNUMBER($L495)),$L495&lt;=DATE(1900,1,1),$L495&gt;TODAY())),"Birthdate must be an exact valid past date; ","")&amp;IF($P495="","Eligibility Date is required; ","")&amp;IF(AND($P495&lt;&gt;"",OR(NOT(ISNUMBER($P495)),$P495&lt;=DATE(1900,1,1))),"Eligibility Date must be a valid date; ","")&amp;IF(AND($R495="Terminated",$Q495=""),"Termination Date is required when Status is Terminated; ","")&amp;IF(AND($Q495&lt;&gt;"",OR(NOT(ISNUMBER($Q495)),$Q495&lt;=DATE(1900,1,1))),"Termination Date must be a valid date; ","")&amp;IF(AND(ISNUMBER($P495),ISNUMBER($Q495),$Q495&lt;$P495),"Termination Date cannot be before Eligibility Date; ","")&amp;IF($R495="","Status is required; ","")&amp;IF(AND($R495&lt;&gt;"",$R495&lt;&gt;"Active",$R495&lt;&gt;"Terminated"),"Status must be Active or Terminated; ","")&amp;IF(AND('START HERE'!$C$8="Terminations Only",$R495&lt;&gt;"Terminated"),"Terminations Only files must contain terminated records; ",""))</f>
        <v/>
      </c>
      <c r="AC495">
        <f>IF(COUNTA($A495:$U495)=0,"",IF($S495="","Plan Name is required; ","")&amp;IF($T495="","Benefit Coverage Level is required; ","")&amp;IF(AND($U495&lt;&gt;"",OR(NOT(ISNUMBER($U495)),$U495&lt;0)),"Plan Funding Amount must be a nonnegative number; ","")&amp;IF(AND($A495&lt;&gt;"",$S495&lt;&gt;"",COUNTIFS($A$2:$A$501,$A495,$B$2:$B$501,$B495,$S$2:$S$501,$S495)&gt;1),"Duplicate participant and plan row; ",""))</f>
        <v/>
      </c>
      <c r="AD495">
        <f>IF(COUNTA($A495:$U495)=0,"",IF(AND($X495="Employee",$M495="",$N495=""),"No employee phone or email provided; ","")&amp;IF(AND($R495="Active",$Q495&lt;&gt;""),"Active record includes a Termination Date; confirm this is intentional; ","")&amp;IF(AND($B495&lt;&gt;"",$B495&amp;""&lt;&gt;$A495&amp;"",COUNTIF($A$2:$A$501,$B495)&gt;0),"Dependent SSN also appears as an Employee SSN elsewhere; confirm dual-employee coverage is intentional; ","")&amp;IF(AND($B495&lt;&gt;"",COUNTIF($B$2:$B$501,$B495)&gt;COUNTIFS($A$2:$A$501,$A495,$B$2:$B$501,$B495)),"Dependent SSN appears under more than one employee; confirm duplicate family coverage is intentional; ","")&amp;IF(AND(ROW()&gt;2,$A495&lt;&gt;"",$A495&lt;&gt;$A494,COUNTIF($A$2:$A494,$A495)&gt;0),"This household appears in more than one section of the census; keep the family together; ","")&amp;IF(OR(AND($C495&lt;&gt;"",LEN($C495&amp;"")&lt;&gt;LEN(TRIM($C495&amp;""))),AND($D495&lt;&gt;"",LEN($D495&amp;"")&lt;&gt;LEN(TRIM($D495&amp;""))),AND($E495&lt;&gt;"",LEN($E495&amp;"")&lt;&gt;LEN(TRIM($E495&amp;""))),AND($F495&lt;&gt;"",LEN($F495&amp;"")&lt;&gt;LEN(TRIM($F495&amp;""))),AND($G495&lt;&gt;"",LEN($G495&amp;"")&lt;&gt;LEN(TRIM($G495&amp;""))),AND($H495&lt;&gt;"",LEN($H495&amp;"")&lt;&gt;LEN(TRIM($H495&amp;""))),AND($I495&lt;&gt;"",LEN($I495&amp;"")&lt;&gt;LEN(TRIM($I495&amp;""))),AND($J495&lt;&gt;"",LEN($J495&amp;"")&lt;&gt;LEN(TRIM($J495&amp;""))),AND($K495&lt;&gt;"",LEN($K495&amp;"")&lt;&gt;LEN(TRIM($K495&amp;""))),AND($M495&lt;&gt;"",LEN($M495&amp;"")&lt;&gt;LEN(TRIM($M495&amp;""))),AND($N495&lt;&gt;"",LEN($N495&amp;"")&lt;&gt;LEN(TRIM($N495&amp;""))),AND($O495&lt;&gt;"",LEN($O495&amp;"")&lt;&gt;LEN(TRIM($O495&amp;""))),AND($R495&lt;&gt;"",LEN($R495&amp;"")&lt;&gt;LEN(TRIM($R495&amp;""))),AND($S495&lt;&gt;"",LEN($S495&amp;"")&lt;&gt;LEN(TRIM($S495&amp;""))),AND($T495&lt;&gt;"",LEN($T495&amp;"")&lt;&gt;LEN(TRIM($T495&amp;"")))),"Remove leading or trailing spaces from text fields; ","")&amp;IF(OR(AND(LEN($C495)&gt;1,OR(EXACT($C495,UPPER($C495)),EXACT($C495,LOWER($C495)))),AND(LEN($D495)&gt;1,OR(EXACT($D495,UPPER($D495)),EXACT($D495,LOWER($D495)))),AND(LEN($H495)&gt;1,OR(EXACT($H495,UPPER($H495)),EXACT($H495,LOWER($H495))))),"Review capitalization in First Name, Last Name, or City; ","")&amp;IF(AND($N495&lt;&gt;"",NOT(EXACT($N495,LOWER($N495)))),"Email will be standardized to lowercase in the clean output; ","")&amp;IF(AND(OR('START HERE'!$C$8="Initial Enrollment",'START HERE'!$C$8="Open Enrollment"),$R495="Terminated"),"A terminated row is included in an initial or open enrollment file; confirm this is intentional; ",""))</f>
        <v/>
      </c>
      <c r="AE495">
        <f>IF(COUNTA($A495:$U495)=0,"",IF(OR($A495="",AND($A495&lt;&gt;"",NOT(IFERROR(AND(LEN($A495&amp;"")=9,ISNUMBER(--($A495&amp;""))),FALSE))),AND($A495&lt;&gt;"",OR($A495="123456789",$A495="987654321",$A495="012345678",$A495=REPT(LEFT($A495&amp;"",1),9)))),"Employee SSN, ","")&amp;IF(OR(AND($O495&lt;&gt;"",$B495=""),AND($B495&lt;&gt;"",OR(NOT(IFERROR(AND(LEN($B495&amp;"")=9,ISNUMBER(--($B495&amp;""))),FALSE)),$B495=$A495,$B495="123456789",$B495="987654321",$B495="012345678",$B495=REPT(LEFT($B495&amp;"",1),9)))),"Dependent SSN, ","")&amp;IF(OR($C495="",LEN($C495)&gt;19,AND($C495&lt;&gt;"",SUMPRODUCT(--(ROW($1:$19)&lt;=LEN($C495&amp;"")),--ISERROR(FIND(MID($C495&amp;"",ROW($1:$19),1),"ABCDEFGHIJKLMNOPQRSTUVWXYZabcdefghijklmnopqrstuvwxyz .,")))&gt;0)),"First Name, ","")&amp;IF(OR($D495="",LEN($D495)&gt;26,AND($D495&lt;&gt;"",SUMPRODUCT(--(ROW($1:$26)&lt;=LEN($D495&amp;"")),--ISERROR(FIND(MID($D495&amp;"",ROW($1:$26),1),"ABCDEFGHIJKLMNOPQRSTUVWXYZabcdefghijklmnopqrstuvwxyz .,")))&gt;0)),"Last Name, ","")&amp;IF(OR(LEN($E495)&gt;1,AND($E495&lt;&gt;"",SUMPRODUCT(--(ROW($1:$1)&lt;=LEN($E495&amp;"")),--ISERROR(FIND(MID($E495&amp;"",ROW($1:$1),1),"ABCDEFGHIJKLMNOPQRSTUVWXYZabcdefghijklmnopqrstuvwxyz .,")))&gt;0)),"Middle Initial, ","")&amp;IF(OR($F495="",LEN($F495)&gt;75),"Address, ","")&amp;IF(OR($H495="",LEN($H495)&gt;30),"City, ","")&amp;IF(AND($K495="US",OR($I495="",LEN($I495)&lt;&gt;2)),"State, ","")&amp;IF($J495="","ZIP, ","")&amp;IF(OR($K495="",AND($K495&lt;&gt;"US",$K495&lt;&gt;"CA")),"Country, ","")&amp;IF(OR($L495="",AND($L495&lt;&gt;"",OR(NOT(ISNUMBER($L495)),$L495&lt;=DATE(1900,1,1),$L495&gt;TODAY()))),"Birthdate, ","")&amp;IF(AND($N495&lt;&gt;"",NOT(IFERROR(AND(ISNUMBER(SEARCH("@",$N495)),ISNUMBER(SEARCH(".",$N495,SEARCH("@",$N495)+2))),FALSE))),"Email, ","")&amp;IF(OR(AND($B495&lt;&gt;"",$O495=""),AND($O495&lt;&gt;"",$O495&lt;&gt;"Spouse or Common Law Spouse",$O495&lt;&gt;"Domestic Partner",$O495&lt;&gt;"Child",$O495&lt;&gt;"Other",$O495&lt;&gt;"Estate",$O495&lt;&gt;"Unknown")),"Dependent Relationship, ","")&amp;IF($AA495&lt;&gt;"","Household, ","")&amp;IF(OR($P495="",AND($P495&lt;&gt;"",OR(NOT(ISNUMBER($P495)),$P495&lt;=DATE(1900,1,1)))),"Eligibility Date, ","")&amp;IF(OR(AND($R495="Terminated",$Q495=""),AND($Q495&lt;&gt;"",OR(NOT(ISNUMBER($Q495)),$Q495&lt;=DATE(1900,1,1))),AND(ISNUMBER($P495),ISNUMBER($Q495),$Q495&lt;$P495)),"Termination Date, ","")&amp;IF(OR($R495="",AND($R495&lt;&gt;"Active",$R495&lt;&gt;"Terminated"),AND('START HERE'!$C$8="Terminations Only",$R495&lt;&gt;"Terminated")),"Status, ","")&amp;IF($S495="","Plan Name, ","")&amp;IF($T495="","Coverage Level, ","")&amp;IF(AND($U495&lt;&gt;"",OR(NOT(ISNUMBER($U495)),$U495&lt;0)),"Funding, ","")&amp;IF(AND($A495&lt;&gt;"",$S495&lt;&gt;"",COUNTIFS($A$2:$A$501,$A495,$B$2:$B$501,$B495,$S$2:$S$501,$S495)&gt;1),"Duplicate Row, ",""))</f>
        <v/>
      </c>
      <c r="AF495">
        <f>IF(COUNTA($A495:$U495)=0,"",$Y495&amp;$Z495&amp;$AA495&amp;$AB495&amp;$AC495)</f>
        <v/>
      </c>
      <c r="AG495">
        <f>IF($N495="","",LOWER(TRIM($N495)))</f>
        <v/>
      </c>
      <c r="AH495">
        <f>IF($A495="","",COUNTIFS($A$2:$A$501,$A495,$AI$2:$AI$501,1))</f>
        <v/>
      </c>
      <c r="AI495">
        <f>IF(COUNTA($A495:$U495)=0,"",--($AF495&lt;&gt;""))</f>
        <v/>
      </c>
      <c r="AJ495">
        <f>IF(COUNTA($A495:$U495)=0,"",--($AD495&lt;&gt;""))</f>
        <v/>
      </c>
    </row>
    <row r="496" ht="20" customHeight="1">
      <c r="A496" s="80" t="n"/>
      <c r="B496" s="80" t="n"/>
      <c r="C496" s="81" t="n"/>
      <c r="D496" s="81" t="n"/>
      <c r="E496" s="80" t="n"/>
      <c r="F496" s="81" t="n"/>
      <c r="G496" s="81" t="n"/>
      <c r="H496" s="81" t="n"/>
      <c r="I496" s="80" t="n"/>
      <c r="J496" s="80" t="n"/>
      <c r="K496" s="80" t="n"/>
      <c r="L496" s="82" t="n"/>
      <c r="M496" s="80" t="n"/>
      <c r="N496" s="80" t="n"/>
      <c r="O496" s="80" t="n"/>
      <c r="P496" s="82" t="n"/>
      <c r="Q496" s="82" t="n"/>
      <c r="R496" s="80" t="n"/>
      <c r="S496" s="80" t="n"/>
      <c r="T496" s="80" t="n"/>
      <c r="U496" s="83" t="n"/>
      <c r="V496">
        <f>IF($A496="","",IF($A496=$A495,$V495,IF($V495="",0,1-$V495)))</f>
        <v/>
      </c>
      <c r="W496">
        <f>IF($B496&lt;&gt;"",$B496,$A496)</f>
        <v/>
      </c>
      <c r="X496">
        <f>IF(COUNTA($A496:$U496)=0,"",IF(OR($B496&lt;&gt;"",$O496&lt;&gt;""),"Dependent","Employee"))</f>
        <v/>
      </c>
      <c r="Y496">
        <f>IF(COUNTA($A496:$U496)=0,"",IF($A496="","Employee SSN is required; ","")&amp;IF($C496="","First Name is required; ","")&amp;IF(LEN($C496&amp;"")&gt;19,"First Name exceeds 19 characters; ","")&amp;IF(AND($C496&lt;&gt;"",SUMPRODUCT(--(ROW($1:$19)&lt;=LEN($C496&amp;"")),--ISERROR(FIND(MID($C496&amp;"",ROW($1:$19),1),"ABCDEFGHIJKLMNOPQRSTUVWXYZabcdefghijklmnopqrstuvwxyz .,")))&gt;0),"First Name contains unsupported or encoded characters; use plain A-Z letters only; ","")&amp;IF($D496="","Last Name is required; ","")&amp;IF(LEN($D496&amp;"")&gt;26,"Last Name exceeds 26 characters; ","")&amp;IF(AND($D496&lt;&gt;"",SUMPRODUCT(--(ROW($1:$26)&lt;=LEN($D496&amp;"")),--ISERROR(FIND(MID($D496&amp;"",ROW($1:$26),1),"ABCDEFGHIJKLMNOPQRSTUVWXYZabcdefghijklmnopqrstuvwxyz .,")))&gt;0),"Last Name contains unsupported or encoded characters; use plain A-Z letters only; ","")&amp;IF(LEN($E496&amp;"")&gt;1,"Middle Initial may contain only one character; ","")&amp;IF(AND($E496&lt;&gt;"",SUMPRODUCT(--(ROW($1:$1)&lt;=LEN($E496&amp;"")),--ISERROR(FIND(MID($E496&amp;"",ROW($1:$1),1),"ABCDEFGHIJKLMNOPQRSTUVWXYZabcdefghijklmnopqrstuvwxyz .,")))&gt;0),"Middle Initial must be a plain A-Z letter; ","")&amp;IF($F496="","Address is required; ","")&amp;IF(LEN($F496&amp;"")&gt;75,"Address exceeds 75 characters; ","")&amp;IF(LEN($G496&amp;"")&gt;75,"Address 2 exceeds 75 characters; ","")&amp;IF($H496="","City is required; ","")&amp;IF(LEN($H496&amp;"")&gt;30,"City exceeds 30 characters; ","")&amp;IF($K496="","Country is required; ","")&amp;IF(AND($K496&lt;&gt;"",$K496&lt;&gt;"US",$K496&lt;&gt;"CA"),"Country must be US or CA; ","")&amp;IF(AND($K496="US",OR($I496="",LEN($I496&amp;"")&lt;&gt;2)),"Use a 2-letter state code; ","")&amp;IF($J496="","ZIP or postal code is required; ","")&amp;IF(AND($K496="US",$J496&lt;&gt;"",NOT(IFERROR(OR(AND(LEN($J496&amp;"")=5,ISNUMBER(--($J496&amp;""))),AND(LEN($J496&amp;"")=9,ISNUMBER(--($J496&amp;""))),AND(LEN($J496&amp;"")=10,MID($J496&amp;"",6,1)="-",ISNUMBER(--SUBSTITUTE($J496&amp;"","-","")))),FALSE))),"US ZIP must be 5 or 9 digits, with an optional ZIP+4 hyphen; ","")&amp;IF(AND($N496&lt;&gt;"",NOT(IFERROR(AND(ISNUMBER(SEARCH("@",$N496)),ISNUMBER(SEARCH(".",$N496,SEARCH("@",$N496)+2))),FALSE))),"Email format appears invalid; ","")&amp;IF(AND($O496&lt;&gt;"",$B496=""),"Dependent SSN is required for every dependent; ","")&amp;IF(AND($B496&lt;&gt;"",$O496=""),"Dependent Relationship is required when Dependent SSN is entered; ","")&amp;IF(AND($O496&lt;&gt;"",$O496&lt;&gt;"Spouse or Common Law Spouse",$O496&lt;&gt;"Domestic Partner",$O496&lt;&gt;"Child",$O496&lt;&gt;"Other",$O496&lt;&gt;"Estate",$O496&lt;&gt;"Unknown"),"Dependent Relationship must use one of the approved options; ",""))</f>
        <v/>
      </c>
      <c r="Z496">
        <f>IF(COUNTA($A496:$U496)=0,"",IF(AND($A496&lt;&gt;"",NOT(IFERROR(AND(LEN($A496&amp;"")=9,ISNUMBER(--($A496&amp;""))),FALSE))),"Employee SSN must contain exactly 9 digits; ","")&amp;IF(AND($A496&lt;&gt;"",OR($A496="123456789",$A496="987654321",$A496="012345678",$A496=REPT(LEFT($A496&amp;"",1),9))),"Employee SSN appears to be a placeholder; ","")&amp;IF(AND($B496&lt;&gt;"",NOT(IFERROR(AND(LEN($B496&amp;"")=9,ISNUMBER(--($B496&amp;""))),FALSE))),"Dependent SSN must contain exactly 9 digits; ","")&amp;IF(AND($B496&lt;&gt;"",OR($B496="123456789",$B496="987654321",$B496="012345678",$B496=REPT(LEFT($B496&amp;"",1),9))),"Dependent SSN appears to be a placeholder; ","")&amp;IF(AND($A496&lt;&gt;"",$B496&lt;&gt;"",$A496&amp;""=$B496&amp;""),"Dependent SSN cannot match Employee SSN; ","")&amp;IF(AND($W496&lt;&gt;"",OR(COUNTIFS($W$2:$W$501,$W496,$C$2:$C$501,"&lt;&gt;"&amp;$C496)&gt;0,COUNTIFS($W$2:$W$501,$W496,$D$2:$D$501,"&lt;&gt;"&amp;$D496)&gt;0,COUNTIFS($W$2:$W$501,$W496,$L$2:$L$501,"&lt;&gt;"&amp;$L496)&gt;0)),"The same SSN is associated with a different name or birthdate; ",""))</f>
        <v/>
      </c>
      <c r="AA496">
        <f>IF(COUNTA($A496:$U496)=0,"",IF(AND($A496&lt;&gt;"",$S496&lt;&gt;"",COUNTIFS($A$2:$A$501,$A496,$S$2:$S$501,$S496,$B$2:$B$501,"",$O$2:$O$501,"")=0),"Add an employee row for this household and plan; ","")&amp;IF(AND($X496="Dependent",COUNTIFS($A$2:$A496,$A496,$S$2:$S496,$S496,$B$2:$B496,"",$O$2:$O496,"")=0),"Place the employee row before dependent rows for this plan; ","")&amp;IF(AND($X496="Dependent",COUNTIFS($A$2:$A$501,$A496,$S$2:$S$501,$S496,$B$2:$B$501,"",$O$2:$O$501,"")&gt;0,IFERROR(OR($P496&lt;&gt;LOOKUP(2,1/(($A$2:$A$501=$A496)*($S$2:$S$501=$S496)*($B$2:$B$501="")*($O$2:$O$501="")),$P$2:$P$501),$Q496&lt;&gt;LOOKUP(2,1/(($A$2:$A$501=$A496)*($S$2:$S$501=$S496)*($B$2:$B$501="")*($O$2:$O$501="")),$Q$2:$Q$501),$R496&lt;&gt;LOOKUP(2,1/(($A$2:$A$501=$A496)*($S$2:$S$501=$S496)*($B$2:$B$501="")*($O$2:$O$501="")),$R$2:$R$501),$T496&lt;&gt;LOOKUP(2,1/(($A$2:$A$501=$A496)*($S$2:$S$501=$S496)*($B$2:$B$501="")*($O$2:$O$501="")),$T$2:$T$501),$U496&lt;&gt;LOOKUP(2,1/(($A$2:$A$501=$A496)*($S$2:$S$501=$S496)*($B$2:$B$501="")*($O$2:$O$501="")),$U$2:$U$501)),FALSE)),"Dependent row does not match the employee row for eligibility, status, coverage level, or funding; ",""))</f>
        <v/>
      </c>
      <c r="AB496">
        <f>IF(COUNTA($A496:$U496)=0,"",IF($L496="","Birthdate is required; ","")&amp;IF(AND($L496&lt;&gt;"",OR(NOT(ISNUMBER($L496)),$L496&lt;=DATE(1900,1,1),$L496&gt;TODAY())),"Birthdate must be an exact valid past date; ","")&amp;IF($P496="","Eligibility Date is required; ","")&amp;IF(AND($P496&lt;&gt;"",OR(NOT(ISNUMBER($P496)),$P496&lt;=DATE(1900,1,1))),"Eligibility Date must be a valid date; ","")&amp;IF(AND($R496="Terminated",$Q496=""),"Termination Date is required when Status is Terminated; ","")&amp;IF(AND($Q496&lt;&gt;"",OR(NOT(ISNUMBER($Q496)),$Q496&lt;=DATE(1900,1,1))),"Termination Date must be a valid date; ","")&amp;IF(AND(ISNUMBER($P496),ISNUMBER($Q496),$Q496&lt;$P496),"Termination Date cannot be before Eligibility Date; ","")&amp;IF($R496="","Status is required; ","")&amp;IF(AND($R496&lt;&gt;"",$R496&lt;&gt;"Active",$R496&lt;&gt;"Terminated"),"Status must be Active or Terminated; ","")&amp;IF(AND('START HERE'!$C$8="Terminations Only",$R496&lt;&gt;"Terminated"),"Terminations Only files must contain terminated records; ",""))</f>
        <v/>
      </c>
      <c r="AC496">
        <f>IF(COUNTA($A496:$U496)=0,"",IF($S496="","Plan Name is required; ","")&amp;IF($T496="","Benefit Coverage Level is required; ","")&amp;IF(AND($U496&lt;&gt;"",OR(NOT(ISNUMBER($U496)),$U496&lt;0)),"Plan Funding Amount must be a nonnegative number; ","")&amp;IF(AND($A496&lt;&gt;"",$S496&lt;&gt;"",COUNTIFS($A$2:$A$501,$A496,$B$2:$B$501,$B496,$S$2:$S$501,$S496)&gt;1),"Duplicate participant and plan row; ",""))</f>
        <v/>
      </c>
      <c r="AD496">
        <f>IF(COUNTA($A496:$U496)=0,"",IF(AND($X496="Employee",$M496="",$N496=""),"No employee phone or email provided; ","")&amp;IF(AND($R496="Active",$Q496&lt;&gt;""),"Active record includes a Termination Date; confirm this is intentional; ","")&amp;IF(AND($B496&lt;&gt;"",$B496&amp;""&lt;&gt;$A496&amp;"",COUNTIF($A$2:$A$501,$B496)&gt;0),"Dependent SSN also appears as an Employee SSN elsewhere; confirm dual-employee coverage is intentional; ","")&amp;IF(AND($B496&lt;&gt;"",COUNTIF($B$2:$B$501,$B496)&gt;COUNTIFS($A$2:$A$501,$A496,$B$2:$B$501,$B496)),"Dependent SSN appears under more than one employee; confirm duplicate family coverage is intentional; ","")&amp;IF(AND(ROW()&gt;2,$A496&lt;&gt;"",$A496&lt;&gt;$A495,COUNTIF($A$2:$A495,$A496)&gt;0),"This household appears in more than one section of the census; keep the family together; ","")&amp;IF(OR(AND($C496&lt;&gt;"",LEN($C496&amp;"")&lt;&gt;LEN(TRIM($C496&amp;""))),AND($D496&lt;&gt;"",LEN($D496&amp;"")&lt;&gt;LEN(TRIM($D496&amp;""))),AND($E496&lt;&gt;"",LEN($E496&amp;"")&lt;&gt;LEN(TRIM($E496&amp;""))),AND($F496&lt;&gt;"",LEN($F496&amp;"")&lt;&gt;LEN(TRIM($F496&amp;""))),AND($G496&lt;&gt;"",LEN($G496&amp;"")&lt;&gt;LEN(TRIM($G496&amp;""))),AND($H496&lt;&gt;"",LEN($H496&amp;"")&lt;&gt;LEN(TRIM($H496&amp;""))),AND($I496&lt;&gt;"",LEN($I496&amp;"")&lt;&gt;LEN(TRIM($I496&amp;""))),AND($J496&lt;&gt;"",LEN($J496&amp;"")&lt;&gt;LEN(TRIM($J496&amp;""))),AND($K496&lt;&gt;"",LEN($K496&amp;"")&lt;&gt;LEN(TRIM($K496&amp;""))),AND($M496&lt;&gt;"",LEN($M496&amp;"")&lt;&gt;LEN(TRIM($M496&amp;""))),AND($N496&lt;&gt;"",LEN($N496&amp;"")&lt;&gt;LEN(TRIM($N496&amp;""))),AND($O496&lt;&gt;"",LEN($O496&amp;"")&lt;&gt;LEN(TRIM($O496&amp;""))),AND($R496&lt;&gt;"",LEN($R496&amp;"")&lt;&gt;LEN(TRIM($R496&amp;""))),AND($S496&lt;&gt;"",LEN($S496&amp;"")&lt;&gt;LEN(TRIM($S496&amp;""))),AND($T496&lt;&gt;"",LEN($T496&amp;"")&lt;&gt;LEN(TRIM($T496&amp;"")))),"Remove leading or trailing spaces from text fields; ","")&amp;IF(OR(AND(LEN($C496)&gt;1,OR(EXACT($C496,UPPER($C496)),EXACT($C496,LOWER($C496)))),AND(LEN($D496)&gt;1,OR(EXACT($D496,UPPER($D496)),EXACT($D496,LOWER($D496)))),AND(LEN($H496)&gt;1,OR(EXACT($H496,UPPER($H496)),EXACT($H496,LOWER($H496))))),"Review capitalization in First Name, Last Name, or City; ","")&amp;IF(AND($N496&lt;&gt;"",NOT(EXACT($N496,LOWER($N496)))),"Email will be standardized to lowercase in the clean output; ","")&amp;IF(AND(OR('START HERE'!$C$8="Initial Enrollment",'START HERE'!$C$8="Open Enrollment"),$R496="Terminated"),"A terminated row is included in an initial or open enrollment file; confirm this is intentional; ",""))</f>
        <v/>
      </c>
      <c r="AE496">
        <f>IF(COUNTA($A496:$U496)=0,"",IF(OR($A496="",AND($A496&lt;&gt;"",NOT(IFERROR(AND(LEN($A496&amp;"")=9,ISNUMBER(--($A496&amp;""))),FALSE))),AND($A496&lt;&gt;"",OR($A496="123456789",$A496="987654321",$A496="012345678",$A496=REPT(LEFT($A496&amp;"",1),9)))),"Employee SSN, ","")&amp;IF(OR(AND($O496&lt;&gt;"",$B496=""),AND($B496&lt;&gt;"",OR(NOT(IFERROR(AND(LEN($B496&amp;"")=9,ISNUMBER(--($B496&amp;""))),FALSE)),$B496=$A496,$B496="123456789",$B496="987654321",$B496="012345678",$B496=REPT(LEFT($B496&amp;"",1),9)))),"Dependent SSN, ","")&amp;IF(OR($C496="",LEN($C496)&gt;19,AND($C496&lt;&gt;"",SUMPRODUCT(--(ROW($1:$19)&lt;=LEN($C496&amp;"")),--ISERROR(FIND(MID($C496&amp;"",ROW($1:$19),1),"ABCDEFGHIJKLMNOPQRSTUVWXYZabcdefghijklmnopqrstuvwxyz .,")))&gt;0)),"First Name, ","")&amp;IF(OR($D496="",LEN($D496)&gt;26,AND($D496&lt;&gt;"",SUMPRODUCT(--(ROW($1:$26)&lt;=LEN($D496&amp;"")),--ISERROR(FIND(MID($D496&amp;"",ROW($1:$26),1),"ABCDEFGHIJKLMNOPQRSTUVWXYZabcdefghijklmnopqrstuvwxyz .,")))&gt;0)),"Last Name, ","")&amp;IF(OR(LEN($E496)&gt;1,AND($E496&lt;&gt;"",SUMPRODUCT(--(ROW($1:$1)&lt;=LEN($E496&amp;"")),--ISERROR(FIND(MID($E496&amp;"",ROW($1:$1),1),"ABCDEFGHIJKLMNOPQRSTUVWXYZabcdefghijklmnopqrstuvwxyz .,")))&gt;0)),"Middle Initial, ","")&amp;IF(OR($F496="",LEN($F496)&gt;75),"Address, ","")&amp;IF(OR($H496="",LEN($H496)&gt;30),"City, ","")&amp;IF(AND($K496="US",OR($I496="",LEN($I496)&lt;&gt;2)),"State, ","")&amp;IF($J496="","ZIP, ","")&amp;IF(OR($K496="",AND($K496&lt;&gt;"US",$K496&lt;&gt;"CA")),"Country, ","")&amp;IF(OR($L496="",AND($L496&lt;&gt;"",OR(NOT(ISNUMBER($L496)),$L496&lt;=DATE(1900,1,1),$L496&gt;TODAY()))),"Birthdate, ","")&amp;IF(AND($N496&lt;&gt;"",NOT(IFERROR(AND(ISNUMBER(SEARCH("@",$N496)),ISNUMBER(SEARCH(".",$N496,SEARCH("@",$N496)+2))),FALSE))),"Email, ","")&amp;IF(OR(AND($B496&lt;&gt;"",$O496=""),AND($O496&lt;&gt;"",$O496&lt;&gt;"Spouse or Common Law Spouse",$O496&lt;&gt;"Domestic Partner",$O496&lt;&gt;"Child",$O496&lt;&gt;"Other",$O496&lt;&gt;"Estate",$O496&lt;&gt;"Unknown")),"Dependent Relationship, ","")&amp;IF($AA496&lt;&gt;"","Household, ","")&amp;IF(OR($P496="",AND($P496&lt;&gt;"",OR(NOT(ISNUMBER($P496)),$P496&lt;=DATE(1900,1,1)))),"Eligibility Date, ","")&amp;IF(OR(AND($R496="Terminated",$Q496=""),AND($Q496&lt;&gt;"",OR(NOT(ISNUMBER($Q496)),$Q496&lt;=DATE(1900,1,1))),AND(ISNUMBER($P496),ISNUMBER($Q496),$Q496&lt;$P496)),"Termination Date, ","")&amp;IF(OR($R496="",AND($R496&lt;&gt;"Active",$R496&lt;&gt;"Terminated"),AND('START HERE'!$C$8="Terminations Only",$R496&lt;&gt;"Terminated")),"Status, ","")&amp;IF($S496="","Plan Name, ","")&amp;IF($T496="","Coverage Level, ","")&amp;IF(AND($U496&lt;&gt;"",OR(NOT(ISNUMBER($U496)),$U496&lt;0)),"Funding, ","")&amp;IF(AND($A496&lt;&gt;"",$S496&lt;&gt;"",COUNTIFS($A$2:$A$501,$A496,$B$2:$B$501,$B496,$S$2:$S$501,$S496)&gt;1),"Duplicate Row, ",""))</f>
        <v/>
      </c>
      <c r="AF496">
        <f>IF(COUNTA($A496:$U496)=0,"",$Y496&amp;$Z496&amp;$AA496&amp;$AB496&amp;$AC496)</f>
        <v/>
      </c>
      <c r="AG496">
        <f>IF($N496="","",LOWER(TRIM($N496)))</f>
        <v/>
      </c>
      <c r="AH496">
        <f>IF($A496="","",COUNTIFS($A$2:$A$501,$A496,$AI$2:$AI$501,1))</f>
        <v/>
      </c>
      <c r="AI496">
        <f>IF(COUNTA($A496:$U496)=0,"",--($AF496&lt;&gt;""))</f>
        <v/>
      </c>
      <c r="AJ496">
        <f>IF(COUNTA($A496:$U496)=0,"",--($AD496&lt;&gt;""))</f>
        <v/>
      </c>
    </row>
    <row r="497" ht="20" customHeight="1">
      <c r="A497" s="80" t="n"/>
      <c r="B497" s="80" t="n"/>
      <c r="C497" s="81" t="n"/>
      <c r="D497" s="81" t="n"/>
      <c r="E497" s="80" t="n"/>
      <c r="F497" s="81" t="n"/>
      <c r="G497" s="81" t="n"/>
      <c r="H497" s="81" t="n"/>
      <c r="I497" s="80" t="n"/>
      <c r="J497" s="80" t="n"/>
      <c r="K497" s="80" t="n"/>
      <c r="L497" s="82" t="n"/>
      <c r="M497" s="80" t="n"/>
      <c r="N497" s="80" t="n"/>
      <c r="O497" s="80" t="n"/>
      <c r="P497" s="82" t="n"/>
      <c r="Q497" s="82" t="n"/>
      <c r="R497" s="80" t="n"/>
      <c r="S497" s="80" t="n"/>
      <c r="T497" s="80" t="n"/>
      <c r="U497" s="83" t="n"/>
      <c r="V497">
        <f>IF($A497="","",IF($A497=$A496,$V496,IF($V496="",0,1-$V496)))</f>
        <v/>
      </c>
      <c r="W497">
        <f>IF($B497&lt;&gt;"",$B497,$A497)</f>
        <v/>
      </c>
      <c r="X497">
        <f>IF(COUNTA($A497:$U497)=0,"",IF(OR($B497&lt;&gt;"",$O497&lt;&gt;""),"Dependent","Employee"))</f>
        <v/>
      </c>
      <c r="Y497">
        <f>IF(COUNTA($A497:$U497)=0,"",IF($A497="","Employee SSN is required; ","")&amp;IF($C497="","First Name is required; ","")&amp;IF(LEN($C497&amp;"")&gt;19,"First Name exceeds 19 characters; ","")&amp;IF(AND($C497&lt;&gt;"",SUMPRODUCT(--(ROW($1:$19)&lt;=LEN($C497&amp;"")),--ISERROR(FIND(MID($C497&amp;"",ROW($1:$19),1),"ABCDEFGHIJKLMNOPQRSTUVWXYZabcdefghijklmnopqrstuvwxyz .,")))&gt;0),"First Name contains unsupported or encoded characters; use plain A-Z letters only; ","")&amp;IF($D497="","Last Name is required; ","")&amp;IF(LEN($D497&amp;"")&gt;26,"Last Name exceeds 26 characters; ","")&amp;IF(AND($D497&lt;&gt;"",SUMPRODUCT(--(ROW($1:$26)&lt;=LEN($D497&amp;"")),--ISERROR(FIND(MID($D497&amp;"",ROW($1:$26),1),"ABCDEFGHIJKLMNOPQRSTUVWXYZabcdefghijklmnopqrstuvwxyz .,")))&gt;0),"Last Name contains unsupported or encoded characters; use plain A-Z letters only; ","")&amp;IF(LEN($E497&amp;"")&gt;1,"Middle Initial may contain only one character; ","")&amp;IF(AND($E497&lt;&gt;"",SUMPRODUCT(--(ROW($1:$1)&lt;=LEN($E497&amp;"")),--ISERROR(FIND(MID($E497&amp;"",ROW($1:$1),1),"ABCDEFGHIJKLMNOPQRSTUVWXYZabcdefghijklmnopqrstuvwxyz .,")))&gt;0),"Middle Initial must be a plain A-Z letter; ","")&amp;IF($F497="","Address is required; ","")&amp;IF(LEN($F497&amp;"")&gt;75,"Address exceeds 75 characters; ","")&amp;IF(LEN($G497&amp;"")&gt;75,"Address 2 exceeds 75 characters; ","")&amp;IF($H497="","City is required; ","")&amp;IF(LEN($H497&amp;"")&gt;30,"City exceeds 30 characters; ","")&amp;IF($K497="","Country is required; ","")&amp;IF(AND($K497&lt;&gt;"",$K497&lt;&gt;"US",$K497&lt;&gt;"CA"),"Country must be US or CA; ","")&amp;IF(AND($K497="US",OR($I497="",LEN($I497&amp;"")&lt;&gt;2)),"Use a 2-letter state code; ","")&amp;IF($J497="","ZIP or postal code is required; ","")&amp;IF(AND($K497="US",$J497&lt;&gt;"",NOT(IFERROR(OR(AND(LEN($J497&amp;"")=5,ISNUMBER(--($J497&amp;""))),AND(LEN($J497&amp;"")=9,ISNUMBER(--($J497&amp;""))),AND(LEN($J497&amp;"")=10,MID($J497&amp;"",6,1)="-",ISNUMBER(--SUBSTITUTE($J497&amp;"","-","")))),FALSE))),"US ZIP must be 5 or 9 digits, with an optional ZIP+4 hyphen; ","")&amp;IF(AND($N497&lt;&gt;"",NOT(IFERROR(AND(ISNUMBER(SEARCH("@",$N497)),ISNUMBER(SEARCH(".",$N497,SEARCH("@",$N497)+2))),FALSE))),"Email format appears invalid; ","")&amp;IF(AND($O497&lt;&gt;"",$B497=""),"Dependent SSN is required for every dependent; ","")&amp;IF(AND($B497&lt;&gt;"",$O497=""),"Dependent Relationship is required when Dependent SSN is entered; ","")&amp;IF(AND($O497&lt;&gt;"",$O497&lt;&gt;"Spouse or Common Law Spouse",$O497&lt;&gt;"Domestic Partner",$O497&lt;&gt;"Child",$O497&lt;&gt;"Other",$O497&lt;&gt;"Estate",$O497&lt;&gt;"Unknown"),"Dependent Relationship must use one of the approved options; ",""))</f>
        <v/>
      </c>
      <c r="Z497">
        <f>IF(COUNTA($A497:$U497)=0,"",IF(AND($A497&lt;&gt;"",NOT(IFERROR(AND(LEN($A497&amp;"")=9,ISNUMBER(--($A497&amp;""))),FALSE))),"Employee SSN must contain exactly 9 digits; ","")&amp;IF(AND($A497&lt;&gt;"",OR($A497="123456789",$A497="987654321",$A497="012345678",$A497=REPT(LEFT($A497&amp;"",1),9))),"Employee SSN appears to be a placeholder; ","")&amp;IF(AND($B497&lt;&gt;"",NOT(IFERROR(AND(LEN($B497&amp;"")=9,ISNUMBER(--($B497&amp;""))),FALSE))),"Dependent SSN must contain exactly 9 digits; ","")&amp;IF(AND($B497&lt;&gt;"",OR($B497="123456789",$B497="987654321",$B497="012345678",$B497=REPT(LEFT($B497&amp;"",1),9))),"Dependent SSN appears to be a placeholder; ","")&amp;IF(AND($A497&lt;&gt;"",$B497&lt;&gt;"",$A497&amp;""=$B497&amp;""),"Dependent SSN cannot match Employee SSN; ","")&amp;IF(AND($W497&lt;&gt;"",OR(COUNTIFS($W$2:$W$501,$W497,$C$2:$C$501,"&lt;&gt;"&amp;$C497)&gt;0,COUNTIFS($W$2:$W$501,$W497,$D$2:$D$501,"&lt;&gt;"&amp;$D497)&gt;0,COUNTIFS($W$2:$W$501,$W497,$L$2:$L$501,"&lt;&gt;"&amp;$L497)&gt;0)),"The same SSN is associated with a different name or birthdate; ",""))</f>
        <v/>
      </c>
      <c r="AA497">
        <f>IF(COUNTA($A497:$U497)=0,"",IF(AND($A497&lt;&gt;"",$S497&lt;&gt;"",COUNTIFS($A$2:$A$501,$A497,$S$2:$S$501,$S497,$B$2:$B$501,"",$O$2:$O$501,"")=0),"Add an employee row for this household and plan; ","")&amp;IF(AND($X497="Dependent",COUNTIFS($A$2:$A497,$A497,$S$2:$S497,$S497,$B$2:$B497,"",$O$2:$O497,"")=0),"Place the employee row before dependent rows for this plan; ","")&amp;IF(AND($X497="Dependent",COUNTIFS($A$2:$A$501,$A497,$S$2:$S$501,$S497,$B$2:$B$501,"",$O$2:$O$501,"")&gt;0,IFERROR(OR($P497&lt;&gt;LOOKUP(2,1/(($A$2:$A$501=$A497)*($S$2:$S$501=$S497)*($B$2:$B$501="")*($O$2:$O$501="")),$P$2:$P$501),$Q497&lt;&gt;LOOKUP(2,1/(($A$2:$A$501=$A497)*($S$2:$S$501=$S497)*($B$2:$B$501="")*($O$2:$O$501="")),$Q$2:$Q$501),$R497&lt;&gt;LOOKUP(2,1/(($A$2:$A$501=$A497)*($S$2:$S$501=$S497)*($B$2:$B$501="")*($O$2:$O$501="")),$R$2:$R$501),$T497&lt;&gt;LOOKUP(2,1/(($A$2:$A$501=$A497)*($S$2:$S$501=$S497)*($B$2:$B$501="")*($O$2:$O$501="")),$T$2:$T$501),$U497&lt;&gt;LOOKUP(2,1/(($A$2:$A$501=$A497)*($S$2:$S$501=$S497)*($B$2:$B$501="")*($O$2:$O$501="")),$U$2:$U$501)),FALSE)),"Dependent row does not match the employee row for eligibility, status, coverage level, or funding; ",""))</f>
        <v/>
      </c>
      <c r="AB497">
        <f>IF(COUNTA($A497:$U497)=0,"",IF($L497="","Birthdate is required; ","")&amp;IF(AND($L497&lt;&gt;"",OR(NOT(ISNUMBER($L497)),$L497&lt;=DATE(1900,1,1),$L497&gt;TODAY())),"Birthdate must be an exact valid past date; ","")&amp;IF($P497="","Eligibility Date is required; ","")&amp;IF(AND($P497&lt;&gt;"",OR(NOT(ISNUMBER($P497)),$P497&lt;=DATE(1900,1,1))),"Eligibility Date must be a valid date; ","")&amp;IF(AND($R497="Terminated",$Q497=""),"Termination Date is required when Status is Terminated; ","")&amp;IF(AND($Q497&lt;&gt;"",OR(NOT(ISNUMBER($Q497)),$Q497&lt;=DATE(1900,1,1))),"Termination Date must be a valid date; ","")&amp;IF(AND(ISNUMBER($P497),ISNUMBER($Q497),$Q497&lt;$P497),"Termination Date cannot be before Eligibility Date; ","")&amp;IF($R497="","Status is required; ","")&amp;IF(AND($R497&lt;&gt;"",$R497&lt;&gt;"Active",$R497&lt;&gt;"Terminated"),"Status must be Active or Terminated; ","")&amp;IF(AND('START HERE'!$C$8="Terminations Only",$R497&lt;&gt;"Terminated"),"Terminations Only files must contain terminated records; ",""))</f>
        <v/>
      </c>
      <c r="AC497">
        <f>IF(COUNTA($A497:$U497)=0,"",IF($S497="","Plan Name is required; ","")&amp;IF($T497="","Benefit Coverage Level is required; ","")&amp;IF(AND($U497&lt;&gt;"",OR(NOT(ISNUMBER($U497)),$U497&lt;0)),"Plan Funding Amount must be a nonnegative number; ","")&amp;IF(AND($A497&lt;&gt;"",$S497&lt;&gt;"",COUNTIFS($A$2:$A$501,$A497,$B$2:$B$501,$B497,$S$2:$S$501,$S497)&gt;1),"Duplicate participant and plan row; ",""))</f>
        <v/>
      </c>
      <c r="AD497">
        <f>IF(COUNTA($A497:$U497)=0,"",IF(AND($X497="Employee",$M497="",$N497=""),"No employee phone or email provided; ","")&amp;IF(AND($R497="Active",$Q497&lt;&gt;""),"Active record includes a Termination Date; confirm this is intentional; ","")&amp;IF(AND($B497&lt;&gt;"",$B497&amp;""&lt;&gt;$A497&amp;"",COUNTIF($A$2:$A$501,$B497)&gt;0),"Dependent SSN also appears as an Employee SSN elsewhere; confirm dual-employee coverage is intentional; ","")&amp;IF(AND($B497&lt;&gt;"",COUNTIF($B$2:$B$501,$B497)&gt;COUNTIFS($A$2:$A$501,$A497,$B$2:$B$501,$B497)),"Dependent SSN appears under more than one employee; confirm duplicate family coverage is intentional; ","")&amp;IF(AND(ROW()&gt;2,$A497&lt;&gt;"",$A497&lt;&gt;$A496,COUNTIF($A$2:$A496,$A497)&gt;0),"This household appears in more than one section of the census; keep the family together; ","")&amp;IF(OR(AND($C497&lt;&gt;"",LEN($C497&amp;"")&lt;&gt;LEN(TRIM($C497&amp;""))),AND($D497&lt;&gt;"",LEN($D497&amp;"")&lt;&gt;LEN(TRIM($D497&amp;""))),AND($E497&lt;&gt;"",LEN($E497&amp;"")&lt;&gt;LEN(TRIM($E497&amp;""))),AND($F497&lt;&gt;"",LEN($F497&amp;"")&lt;&gt;LEN(TRIM($F497&amp;""))),AND($G497&lt;&gt;"",LEN($G497&amp;"")&lt;&gt;LEN(TRIM($G497&amp;""))),AND($H497&lt;&gt;"",LEN($H497&amp;"")&lt;&gt;LEN(TRIM($H497&amp;""))),AND($I497&lt;&gt;"",LEN($I497&amp;"")&lt;&gt;LEN(TRIM($I497&amp;""))),AND($J497&lt;&gt;"",LEN($J497&amp;"")&lt;&gt;LEN(TRIM($J497&amp;""))),AND($K497&lt;&gt;"",LEN($K497&amp;"")&lt;&gt;LEN(TRIM($K497&amp;""))),AND($M497&lt;&gt;"",LEN($M497&amp;"")&lt;&gt;LEN(TRIM($M497&amp;""))),AND($N497&lt;&gt;"",LEN($N497&amp;"")&lt;&gt;LEN(TRIM($N497&amp;""))),AND($O497&lt;&gt;"",LEN($O497&amp;"")&lt;&gt;LEN(TRIM($O497&amp;""))),AND($R497&lt;&gt;"",LEN($R497&amp;"")&lt;&gt;LEN(TRIM($R497&amp;""))),AND($S497&lt;&gt;"",LEN($S497&amp;"")&lt;&gt;LEN(TRIM($S497&amp;""))),AND($T497&lt;&gt;"",LEN($T497&amp;"")&lt;&gt;LEN(TRIM($T497&amp;"")))),"Remove leading or trailing spaces from text fields; ","")&amp;IF(OR(AND(LEN($C497)&gt;1,OR(EXACT($C497,UPPER($C497)),EXACT($C497,LOWER($C497)))),AND(LEN($D497)&gt;1,OR(EXACT($D497,UPPER($D497)),EXACT($D497,LOWER($D497)))),AND(LEN($H497)&gt;1,OR(EXACT($H497,UPPER($H497)),EXACT($H497,LOWER($H497))))),"Review capitalization in First Name, Last Name, or City; ","")&amp;IF(AND($N497&lt;&gt;"",NOT(EXACT($N497,LOWER($N497)))),"Email will be standardized to lowercase in the clean output; ","")&amp;IF(AND(OR('START HERE'!$C$8="Initial Enrollment",'START HERE'!$C$8="Open Enrollment"),$R497="Terminated"),"A terminated row is included in an initial or open enrollment file; confirm this is intentional; ",""))</f>
        <v/>
      </c>
      <c r="AE497">
        <f>IF(COUNTA($A497:$U497)=0,"",IF(OR($A497="",AND($A497&lt;&gt;"",NOT(IFERROR(AND(LEN($A497&amp;"")=9,ISNUMBER(--($A497&amp;""))),FALSE))),AND($A497&lt;&gt;"",OR($A497="123456789",$A497="987654321",$A497="012345678",$A497=REPT(LEFT($A497&amp;"",1),9)))),"Employee SSN, ","")&amp;IF(OR(AND($O497&lt;&gt;"",$B497=""),AND($B497&lt;&gt;"",OR(NOT(IFERROR(AND(LEN($B497&amp;"")=9,ISNUMBER(--($B497&amp;""))),FALSE)),$B497=$A497,$B497="123456789",$B497="987654321",$B497="012345678",$B497=REPT(LEFT($B497&amp;"",1),9)))),"Dependent SSN, ","")&amp;IF(OR($C497="",LEN($C497)&gt;19,AND($C497&lt;&gt;"",SUMPRODUCT(--(ROW($1:$19)&lt;=LEN($C497&amp;"")),--ISERROR(FIND(MID($C497&amp;"",ROW($1:$19),1),"ABCDEFGHIJKLMNOPQRSTUVWXYZabcdefghijklmnopqrstuvwxyz .,")))&gt;0)),"First Name, ","")&amp;IF(OR($D497="",LEN($D497)&gt;26,AND($D497&lt;&gt;"",SUMPRODUCT(--(ROW($1:$26)&lt;=LEN($D497&amp;"")),--ISERROR(FIND(MID($D497&amp;"",ROW($1:$26),1),"ABCDEFGHIJKLMNOPQRSTUVWXYZabcdefghijklmnopqrstuvwxyz .,")))&gt;0)),"Last Name, ","")&amp;IF(OR(LEN($E497)&gt;1,AND($E497&lt;&gt;"",SUMPRODUCT(--(ROW($1:$1)&lt;=LEN($E497&amp;"")),--ISERROR(FIND(MID($E497&amp;"",ROW($1:$1),1),"ABCDEFGHIJKLMNOPQRSTUVWXYZabcdefghijklmnopqrstuvwxyz .,")))&gt;0)),"Middle Initial, ","")&amp;IF(OR($F497="",LEN($F497)&gt;75),"Address, ","")&amp;IF(OR($H497="",LEN($H497)&gt;30),"City, ","")&amp;IF(AND($K497="US",OR($I497="",LEN($I497)&lt;&gt;2)),"State, ","")&amp;IF($J497="","ZIP, ","")&amp;IF(OR($K497="",AND($K497&lt;&gt;"US",$K497&lt;&gt;"CA")),"Country, ","")&amp;IF(OR($L497="",AND($L497&lt;&gt;"",OR(NOT(ISNUMBER($L497)),$L497&lt;=DATE(1900,1,1),$L497&gt;TODAY()))),"Birthdate, ","")&amp;IF(AND($N497&lt;&gt;"",NOT(IFERROR(AND(ISNUMBER(SEARCH("@",$N497)),ISNUMBER(SEARCH(".",$N497,SEARCH("@",$N497)+2))),FALSE))),"Email, ","")&amp;IF(OR(AND($B497&lt;&gt;"",$O497=""),AND($O497&lt;&gt;"",$O497&lt;&gt;"Spouse or Common Law Spouse",$O497&lt;&gt;"Domestic Partner",$O497&lt;&gt;"Child",$O497&lt;&gt;"Other",$O497&lt;&gt;"Estate",$O497&lt;&gt;"Unknown")),"Dependent Relationship, ","")&amp;IF($AA497&lt;&gt;"","Household, ","")&amp;IF(OR($P497="",AND($P497&lt;&gt;"",OR(NOT(ISNUMBER($P497)),$P497&lt;=DATE(1900,1,1)))),"Eligibility Date, ","")&amp;IF(OR(AND($R497="Terminated",$Q497=""),AND($Q497&lt;&gt;"",OR(NOT(ISNUMBER($Q497)),$Q497&lt;=DATE(1900,1,1))),AND(ISNUMBER($P497),ISNUMBER($Q497),$Q497&lt;$P497)),"Termination Date, ","")&amp;IF(OR($R497="",AND($R497&lt;&gt;"Active",$R497&lt;&gt;"Terminated"),AND('START HERE'!$C$8="Terminations Only",$R497&lt;&gt;"Terminated")),"Status, ","")&amp;IF($S497="","Plan Name, ","")&amp;IF($T497="","Coverage Level, ","")&amp;IF(AND($U497&lt;&gt;"",OR(NOT(ISNUMBER($U497)),$U497&lt;0)),"Funding, ","")&amp;IF(AND($A497&lt;&gt;"",$S497&lt;&gt;"",COUNTIFS($A$2:$A$501,$A497,$B$2:$B$501,$B497,$S$2:$S$501,$S497)&gt;1),"Duplicate Row, ",""))</f>
        <v/>
      </c>
      <c r="AF497">
        <f>IF(COUNTA($A497:$U497)=0,"",$Y497&amp;$Z497&amp;$AA497&amp;$AB497&amp;$AC497)</f>
        <v/>
      </c>
      <c r="AG497">
        <f>IF($N497="","",LOWER(TRIM($N497)))</f>
        <v/>
      </c>
      <c r="AH497">
        <f>IF($A497="","",COUNTIFS($A$2:$A$501,$A497,$AI$2:$AI$501,1))</f>
        <v/>
      </c>
      <c r="AI497">
        <f>IF(COUNTA($A497:$U497)=0,"",--($AF497&lt;&gt;""))</f>
        <v/>
      </c>
      <c r="AJ497">
        <f>IF(COUNTA($A497:$U497)=0,"",--($AD497&lt;&gt;""))</f>
        <v/>
      </c>
    </row>
    <row r="498" ht="20" customHeight="1">
      <c r="A498" s="80" t="n"/>
      <c r="B498" s="80" t="n"/>
      <c r="C498" s="81" t="n"/>
      <c r="D498" s="81" t="n"/>
      <c r="E498" s="80" t="n"/>
      <c r="F498" s="81" t="n"/>
      <c r="G498" s="81" t="n"/>
      <c r="H498" s="81" t="n"/>
      <c r="I498" s="80" t="n"/>
      <c r="J498" s="80" t="n"/>
      <c r="K498" s="80" t="n"/>
      <c r="L498" s="82" t="n"/>
      <c r="M498" s="80" t="n"/>
      <c r="N498" s="80" t="n"/>
      <c r="O498" s="80" t="n"/>
      <c r="P498" s="82" t="n"/>
      <c r="Q498" s="82" t="n"/>
      <c r="R498" s="80" t="n"/>
      <c r="S498" s="80" t="n"/>
      <c r="T498" s="80" t="n"/>
      <c r="U498" s="83" t="n"/>
      <c r="V498">
        <f>IF($A498="","",IF($A498=$A497,$V497,IF($V497="",0,1-$V497)))</f>
        <v/>
      </c>
      <c r="W498">
        <f>IF($B498&lt;&gt;"",$B498,$A498)</f>
        <v/>
      </c>
      <c r="X498">
        <f>IF(COUNTA($A498:$U498)=0,"",IF(OR($B498&lt;&gt;"",$O498&lt;&gt;""),"Dependent","Employee"))</f>
        <v/>
      </c>
      <c r="Y498">
        <f>IF(COUNTA($A498:$U498)=0,"",IF($A498="","Employee SSN is required; ","")&amp;IF($C498="","First Name is required; ","")&amp;IF(LEN($C498&amp;"")&gt;19,"First Name exceeds 19 characters; ","")&amp;IF(AND($C498&lt;&gt;"",SUMPRODUCT(--(ROW($1:$19)&lt;=LEN($C498&amp;"")),--ISERROR(FIND(MID($C498&amp;"",ROW($1:$19),1),"ABCDEFGHIJKLMNOPQRSTUVWXYZabcdefghijklmnopqrstuvwxyz .,")))&gt;0),"First Name contains unsupported or encoded characters; use plain A-Z letters only; ","")&amp;IF($D498="","Last Name is required; ","")&amp;IF(LEN($D498&amp;"")&gt;26,"Last Name exceeds 26 characters; ","")&amp;IF(AND($D498&lt;&gt;"",SUMPRODUCT(--(ROW($1:$26)&lt;=LEN($D498&amp;"")),--ISERROR(FIND(MID($D498&amp;"",ROW($1:$26),1),"ABCDEFGHIJKLMNOPQRSTUVWXYZabcdefghijklmnopqrstuvwxyz .,")))&gt;0),"Last Name contains unsupported or encoded characters; use plain A-Z letters only; ","")&amp;IF(LEN($E498&amp;"")&gt;1,"Middle Initial may contain only one character; ","")&amp;IF(AND($E498&lt;&gt;"",SUMPRODUCT(--(ROW($1:$1)&lt;=LEN($E498&amp;"")),--ISERROR(FIND(MID($E498&amp;"",ROW($1:$1),1),"ABCDEFGHIJKLMNOPQRSTUVWXYZabcdefghijklmnopqrstuvwxyz .,")))&gt;0),"Middle Initial must be a plain A-Z letter; ","")&amp;IF($F498="","Address is required; ","")&amp;IF(LEN($F498&amp;"")&gt;75,"Address exceeds 75 characters; ","")&amp;IF(LEN($G498&amp;"")&gt;75,"Address 2 exceeds 75 characters; ","")&amp;IF($H498="","City is required; ","")&amp;IF(LEN($H498&amp;"")&gt;30,"City exceeds 30 characters; ","")&amp;IF($K498="","Country is required; ","")&amp;IF(AND($K498&lt;&gt;"",$K498&lt;&gt;"US",$K498&lt;&gt;"CA"),"Country must be US or CA; ","")&amp;IF(AND($K498="US",OR($I498="",LEN($I498&amp;"")&lt;&gt;2)),"Use a 2-letter state code; ","")&amp;IF($J498="","ZIP or postal code is required; ","")&amp;IF(AND($K498="US",$J498&lt;&gt;"",NOT(IFERROR(OR(AND(LEN($J498&amp;"")=5,ISNUMBER(--($J498&amp;""))),AND(LEN($J498&amp;"")=9,ISNUMBER(--($J498&amp;""))),AND(LEN($J498&amp;"")=10,MID($J498&amp;"",6,1)="-",ISNUMBER(--SUBSTITUTE($J498&amp;"","-","")))),FALSE))),"US ZIP must be 5 or 9 digits, with an optional ZIP+4 hyphen; ","")&amp;IF(AND($N498&lt;&gt;"",NOT(IFERROR(AND(ISNUMBER(SEARCH("@",$N498)),ISNUMBER(SEARCH(".",$N498,SEARCH("@",$N498)+2))),FALSE))),"Email format appears invalid; ","")&amp;IF(AND($O498&lt;&gt;"",$B498=""),"Dependent SSN is required for every dependent; ","")&amp;IF(AND($B498&lt;&gt;"",$O498=""),"Dependent Relationship is required when Dependent SSN is entered; ","")&amp;IF(AND($O498&lt;&gt;"",$O498&lt;&gt;"Spouse or Common Law Spouse",$O498&lt;&gt;"Domestic Partner",$O498&lt;&gt;"Child",$O498&lt;&gt;"Other",$O498&lt;&gt;"Estate",$O498&lt;&gt;"Unknown"),"Dependent Relationship must use one of the approved options; ",""))</f>
        <v/>
      </c>
      <c r="Z498">
        <f>IF(COUNTA($A498:$U498)=0,"",IF(AND($A498&lt;&gt;"",NOT(IFERROR(AND(LEN($A498&amp;"")=9,ISNUMBER(--($A498&amp;""))),FALSE))),"Employee SSN must contain exactly 9 digits; ","")&amp;IF(AND($A498&lt;&gt;"",OR($A498="123456789",$A498="987654321",$A498="012345678",$A498=REPT(LEFT($A498&amp;"",1),9))),"Employee SSN appears to be a placeholder; ","")&amp;IF(AND($B498&lt;&gt;"",NOT(IFERROR(AND(LEN($B498&amp;"")=9,ISNUMBER(--($B498&amp;""))),FALSE))),"Dependent SSN must contain exactly 9 digits; ","")&amp;IF(AND($B498&lt;&gt;"",OR($B498="123456789",$B498="987654321",$B498="012345678",$B498=REPT(LEFT($B498&amp;"",1),9))),"Dependent SSN appears to be a placeholder; ","")&amp;IF(AND($A498&lt;&gt;"",$B498&lt;&gt;"",$A498&amp;""=$B498&amp;""),"Dependent SSN cannot match Employee SSN; ","")&amp;IF(AND($W498&lt;&gt;"",OR(COUNTIFS($W$2:$W$501,$W498,$C$2:$C$501,"&lt;&gt;"&amp;$C498)&gt;0,COUNTIFS($W$2:$W$501,$W498,$D$2:$D$501,"&lt;&gt;"&amp;$D498)&gt;0,COUNTIFS($W$2:$W$501,$W498,$L$2:$L$501,"&lt;&gt;"&amp;$L498)&gt;0)),"The same SSN is associated with a different name or birthdate; ",""))</f>
        <v/>
      </c>
      <c r="AA498">
        <f>IF(COUNTA($A498:$U498)=0,"",IF(AND($A498&lt;&gt;"",$S498&lt;&gt;"",COUNTIFS($A$2:$A$501,$A498,$S$2:$S$501,$S498,$B$2:$B$501,"",$O$2:$O$501,"")=0),"Add an employee row for this household and plan; ","")&amp;IF(AND($X498="Dependent",COUNTIFS($A$2:$A498,$A498,$S$2:$S498,$S498,$B$2:$B498,"",$O$2:$O498,"")=0),"Place the employee row before dependent rows for this plan; ","")&amp;IF(AND($X498="Dependent",COUNTIFS($A$2:$A$501,$A498,$S$2:$S$501,$S498,$B$2:$B$501,"",$O$2:$O$501,"")&gt;0,IFERROR(OR($P498&lt;&gt;LOOKUP(2,1/(($A$2:$A$501=$A498)*($S$2:$S$501=$S498)*($B$2:$B$501="")*($O$2:$O$501="")),$P$2:$P$501),$Q498&lt;&gt;LOOKUP(2,1/(($A$2:$A$501=$A498)*($S$2:$S$501=$S498)*($B$2:$B$501="")*($O$2:$O$501="")),$Q$2:$Q$501),$R498&lt;&gt;LOOKUP(2,1/(($A$2:$A$501=$A498)*($S$2:$S$501=$S498)*($B$2:$B$501="")*($O$2:$O$501="")),$R$2:$R$501),$T498&lt;&gt;LOOKUP(2,1/(($A$2:$A$501=$A498)*($S$2:$S$501=$S498)*($B$2:$B$501="")*($O$2:$O$501="")),$T$2:$T$501),$U498&lt;&gt;LOOKUP(2,1/(($A$2:$A$501=$A498)*($S$2:$S$501=$S498)*($B$2:$B$501="")*($O$2:$O$501="")),$U$2:$U$501)),FALSE)),"Dependent row does not match the employee row for eligibility, status, coverage level, or funding; ",""))</f>
        <v/>
      </c>
      <c r="AB498">
        <f>IF(COUNTA($A498:$U498)=0,"",IF($L498="","Birthdate is required; ","")&amp;IF(AND($L498&lt;&gt;"",OR(NOT(ISNUMBER($L498)),$L498&lt;=DATE(1900,1,1),$L498&gt;TODAY())),"Birthdate must be an exact valid past date; ","")&amp;IF($P498="","Eligibility Date is required; ","")&amp;IF(AND($P498&lt;&gt;"",OR(NOT(ISNUMBER($P498)),$P498&lt;=DATE(1900,1,1))),"Eligibility Date must be a valid date; ","")&amp;IF(AND($R498="Terminated",$Q498=""),"Termination Date is required when Status is Terminated; ","")&amp;IF(AND($Q498&lt;&gt;"",OR(NOT(ISNUMBER($Q498)),$Q498&lt;=DATE(1900,1,1))),"Termination Date must be a valid date; ","")&amp;IF(AND(ISNUMBER($P498),ISNUMBER($Q498),$Q498&lt;$P498),"Termination Date cannot be before Eligibility Date; ","")&amp;IF($R498="","Status is required; ","")&amp;IF(AND($R498&lt;&gt;"",$R498&lt;&gt;"Active",$R498&lt;&gt;"Terminated"),"Status must be Active or Terminated; ","")&amp;IF(AND('START HERE'!$C$8="Terminations Only",$R498&lt;&gt;"Terminated"),"Terminations Only files must contain terminated records; ",""))</f>
        <v/>
      </c>
      <c r="AC498">
        <f>IF(COUNTA($A498:$U498)=0,"",IF($S498="","Plan Name is required; ","")&amp;IF($T498="","Benefit Coverage Level is required; ","")&amp;IF(AND($U498&lt;&gt;"",OR(NOT(ISNUMBER($U498)),$U498&lt;0)),"Plan Funding Amount must be a nonnegative number; ","")&amp;IF(AND($A498&lt;&gt;"",$S498&lt;&gt;"",COUNTIFS($A$2:$A$501,$A498,$B$2:$B$501,$B498,$S$2:$S$501,$S498)&gt;1),"Duplicate participant and plan row; ",""))</f>
        <v/>
      </c>
      <c r="AD498">
        <f>IF(COUNTA($A498:$U498)=0,"",IF(AND($X498="Employee",$M498="",$N498=""),"No employee phone or email provided; ","")&amp;IF(AND($R498="Active",$Q498&lt;&gt;""),"Active record includes a Termination Date; confirm this is intentional; ","")&amp;IF(AND($B498&lt;&gt;"",$B498&amp;""&lt;&gt;$A498&amp;"",COUNTIF($A$2:$A$501,$B498)&gt;0),"Dependent SSN also appears as an Employee SSN elsewhere; confirm dual-employee coverage is intentional; ","")&amp;IF(AND($B498&lt;&gt;"",COUNTIF($B$2:$B$501,$B498)&gt;COUNTIFS($A$2:$A$501,$A498,$B$2:$B$501,$B498)),"Dependent SSN appears under more than one employee; confirm duplicate family coverage is intentional; ","")&amp;IF(AND(ROW()&gt;2,$A498&lt;&gt;"",$A498&lt;&gt;$A497,COUNTIF($A$2:$A497,$A498)&gt;0),"This household appears in more than one section of the census; keep the family together; ","")&amp;IF(OR(AND($C498&lt;&gt;"",LEN($C498&amp;"")&lt;&gt;LEN(TRIM($C498&amp;""))),AND($D498&lt;&gt;"",LEN($D498&amp;"")&lt;&gt;LEN(TRIM($D498&amp;""))),AND($E498&lt;&gt;"",LEN($E498&amp;"")&lt;&gt;LEN(TRIM($E498&amp;""))),AND($F498&lt;&gt;"",LEN($F498&amp;"")&lt;&gt;LEN(TRIM($F498&amp;""))),AND($G498&lt;&gt;"",LEN($G498&amp;"")&lt;&gt;LEN(TRIM($G498&amp;""))),AND($H498&lt;&gt;"",LEN($H498&amp;"")&lt;&gt;LEN(TRIM($H498&amp;""))),AND($I498&lt;&gt;"",LEN($I498&amp;"")&lt;&gt;LEN(TRIM($I498&amp;""))),AND($J498&lt;&gt;"",LEN($J498&amp;"")&lt;&gt;LEN(TRIM($J498&amp;""))),AND($K498&lt;&gt;"",LEN($K498&amp;"")&lt;&gt;LEN(TRIM($K498&amp;""))),AND($M498&lt;&gt;"",LEN($M498&amp;"")&lt;&gt;LEN(TRIM($M498&amp;""))),AND($N498&lt;&gt;"",LEN($N498&amp;"")&lt;&gt;LEN(TRIM($N498&amp;""))),AND($O498&lt;&gt;"",LEN($O498&amp;"")&lt;&gt;LEN(TRIM($O498&amp;""))),AND($R498&lt;&gt;"",LEN($R498&amp;"")&lt;&gt;LEN(TRIM($R498&amp;""))),AND($S498&lt;&gt;"",LEN($S498&amp;"")&lt;&gt;LEN(TRIM($S498&amp;""))),AND($T498&lt;&gt;"",LEN($T498&amp;"")&lt;&gt;LEN(TRIM($T498&amp;"")))),"Remove leading or trailing spaces from text fields; ","")&amp;IF(OR(AND(LEN($C498)&gt;1,OR(EXACT($C498,UPPER($C498)),EXACT($C498,LOWER($C498)))),AND(LEN($D498)&gt;1,OR(EXACT($D498,UPPER($D498)),EXACT($D498,LOWER($D498)))),AND(LEN($H498)&gt;1,OR(EXACT($H498,UPPER($H498)),EXACT($H498,LOWER($H498))))),"Review capitalization in First Name, Last Name, or City; ","")&amp;IF(AND($N498&lt;&gt;"",NOT(EXACT($N498,LOWER($N498)))),"Email will be standardized to lowercase in the clean output; ","")&amp;IF(AND(OR('START HERE'!$C$8="Initial Enrollment",'START HERE'!$C$8="Open Enrollment"),$R498="Terminated"),"A terminated row is included in an initial or open enrollment file; confirm this is intentional; ",""))</f>
        <v/>
      </c>
      <c r="AE498">
        <f>IF(COUNTA($A498:$U498)=0,"",IF(OR($A498="",AND($A498&lt;&gt;"",NOT(IFERROR(AND(LEN($A498&amp;"")=9,ISNUMBER(--($A498&amp;""))),FALSE))),AND($A498&lt;&gt;"",OR($A498="123456789",$A498="987654321",$A498="012345678",$A498=REPT(LEFT($A498&amp;"",1),9)))),"Employee SSN, ","")&amp;IF(OR(AND($O498&lt;&gt;"",$B498=""),AND($B498&lt;&gt;"",OR(NOT(IFERROR(AND(LEN($B498&amp;"")=9,ISNUMBER(--($B498&amp;""))),FALSE)),$B498=$A498,$B498="123456789",$B498="987654321",$B498="012345678",$B498=REPT(LEFT($B498&amp;"",1),9)))),"Dependent SSN, ","")&amp;IF(OR($C498="",LEN($C498)&gt;19,AND($C498&lt;&gt;"",SUMPRODUCT(--(ROW($1:$19)&lt;=LEN($C498&amp;"")),--ISERROR(FIND(MID($C498&amp;"",ROW($1:$19),1),"ABCDEFGHIJKLMNOPQRSTUVWXYZabcdefghijklmnopqrstuvwxyz .,")))&gt;0)),"First Name, ","")&amp;IF(OR($D498="",LEN($D498)&gt;26,AND($D498&lt;&gt;"",SUMPRODUCT(--(ROW($1:$26)&lt;=LEN($D498&amp;"")),--ISERROR(FIND(MID($D498&amp;"",ROW($1:$26),1),"ABCDEFGHIJKLMNOPQRSTUVWXYZabcdefghijklmnopqrstuvwxyz .,")))&gt;0)),"Last Name, ","")&amp;IF(OR(LEN($E498)&gt;1,AND($E498&lt;&gt;"",SUMPRODUCT(--(ROW($1:$1)&lt;=LEN($E498&amp;"")),--ISERROR(FIND(MID($E498&amp;"",ROW($1:$1),1),"ABCDEFGHIJKLMNOPQRSTUVWXYZabcdefghijklmnopqrstuvwxyz .,")))&gt;0)),"Middle Initial, ","")&amp;IF(OR($F498="",LEN($F498)&gt;75),"Address, ","")&amp;IF(OR($H498="",LEN($H498)&gt;30),"City, ","")&amp;IF(AND($K498="US",OR($I498="",LEN($I498)&lt;&gt;2)),"State, ","")&amp;IF($J498="","ZIP, ","")&amp;IF(OR($K498="",AND($K498&lt;&gt;"US",$K498&lt;&gt;"CA")),"Country, ","")&amp;IF(OR($L498="",AND($L498&lt;&gt;"",OR(NOT(ISNUMBER($L498)),$L498&lt;=DATE(1900,1,1),$L498&gt;TODAY()))),"Birthdate, ","")&amp;IF(AND($N498&lt;&gt;"",NOT(IFERROR(AND(ISNUMBER(SEARCH("@",$N498)),ISNUMBER(SEARCH(".",$N498,SEARCH("@",$N498)+2))),FALSE))),"Email, ","")&amp;IF(OR(AND($B498&lt;&gt;"",$O498=""),AND($O498&lt;&gt;"",$O498&lt;&gt;"Spouse or Common Law Spouse",$O498&lt;&gt;"Domestic Partner",$O498&lt;&gt;"Child",$O498&lt;&gt;"Other",$O498&lt;&gt;"Estate",$O498&lt;&gt;"Unknown")),"Dependent Relationship, ","")&amp;IF($AA498&lt;&gt;"","Household, ","")&amp;IF(OR($P498="",AND($P498&lt;&gt;"",OR(NOT(ISNUMBER($P498)),$P498&lt;=DATE(1900,1,1)))),"Eligibility Date, ","")&amp;IF(OR(AND($R498="Terminated",$Q498=""),AND($Q498&lt;&gt;"",OR(NOT(ISNUMBER($Q498)),$Q498&lt;=DATE(1900,1,1))),AND(ISNUMBER($P498),ISNUMBER($Q498),$Q498&lt;$P498)),"Termination Date, ","")&amp;IF(OR($R498="",AND($R498&lt;&gt;"Active",$R498&lt;&gt;"Terminated"),AND('START HERE'!$C$8="Terminations Only",$R498&lt;&gt;"Terminated")),"Status, ","")&amp;IF($S498="","Plan Name, ","")&amp;IF($T498="","Coverage Level, ","")&amp;IF(AND($U498&lt;&gt;"",OR(NOT(ISNUMBER($U498)),$U498&lt;0)),"Funding, ","")&amp;IF(AND($A498&lt;&gt;"",$S498&lt;&gt;"",COUNTIFS($A$2:$A$501,$A498,$B$2:$B$501,$B498,$S$2:$S$501,$S498)&gt;1),"Duplicate Row, ",""))</f>
        <v/>
      </c>
      <c r="AF498">
        <f>IF(COUNTA($A498:$U498)=0,"",$Y498&amp;$Z498&amp;$AA498&amp;$AB498&amp;$AC498)</f>
        <v/>
      </c>
      <c r="AG498">
        <f>IF($N498="","",LOWER(TRIM($N498)))</f>
        <v/>
      </c>
      <c r="AH498">
        <f>IF($A498="","",COUNTIFS($A$2:$A$501,$A498,$AI$2:$AI$501,1))</f>
        <v/>
      </c>
      <c r="AI498">
        <f>IF(COUNTA($A498:$U498)=0,"",--($AF498&lt;&gt;""))</f>
        <v/>
      </c>
      <c r="AJ498">
        <f>IF(COUNTA($A498:$U498)=0,"",--($AD498&lt;&gt;""))</f>
        <v/>
      </c>
    </row>
    <row r="499" ht="20" customHeight="1">
      <c r="A499" s="80" t="n"/>
      <c r="B499" s="80" t="n"/>
      <c r="C499" s="81" t="n"/>
      <c r="D499" s="81" t="n"/>
      <c r="E499" s="80" t="n"/>
      <c r="F499" s="81" t="n"/>
      <c r="G499" s="81" t="n"/>
      <c r="H499" s="81" t="n"/>
      <c r="I499" s="80" t="n"/>
      <c r="J499" s="80" t="n"/>
      <c r="K499" s="80" t="n"/>
      <c r="L499" s="82" t="n"/>
      <c r="M499" s="80" t="n"/>
      <c r="N499" s="80" t="n"/>
      <c r="O499" s="80" t="n"/>
      <c r="P499" s="82" t="n"/>
      <c r="Q499" s="82" t="n"/>
      <c r="R499" s="80" t="n"/>
      <c r="S499" s="80" t="n"/>
      <c r="T499" s="80" t="n"/>
      <c r="U499" s="83" t="n"/>
      <c r="V499">
        <f>IF($A499="","",IF($A499=$A498,$V498,IF($V498="",0,1-$V498)))</f>
        <v/>
      </c>
      <c r="W499">
        <f>IF($B499&lt;&gt;"",$B499,$A499)</f>
        <v/>
      </c>
      <c r="X499">
        <f>IF(COUNTA($A499:$U499)=0,"",IF(OR($B499&lt;&gt;"",$O499&lt;&gt;""),"Dependent","Employee"))</f>
        <v/>
      </c>
      <c r="Y499">
        <f>IF(COUNTA($A499:$U499)=0,"",IF($A499="","Employee SSN is required; ","")&amp;IF($C499="","First Name is required; ","")&amp;IF(LEN($C499&amp;"")&gt;19,"First Name exceeds 19 characters; ","")&amp;IF(AND($C499&lt;&gt;"",SUMPRODUCT(--(ROW($1:$19)&lt;=LEN($C499&amp;"")),--ISERROR(FIND(MID($C499&amp;"",ROW($1:$19),1),"ABCDEFGHIJKLMNOPQRSTUVWXYZabcdefghijklmnopqrstuvwxyz .,")))&gt;0),"First Name contains unsupported or encoded characters; use plain A-Z letters only; ","")&amp;IF($D499="","Last Name is required; ","")&amp;IF(LEN($D499&amp;"")&gt;26,"Last Name exceeds 26 characters; ","")&amp;IF(AND($D499&lt;&gt;"",SUMPRODUCT(--(ROW($1:$26)&lt;=LEN($D499&amp;"")),--ISERROR(FIND(MID($D499&amp;"",ROW($1:$26),1),"ABCDEFGHIJKLMNOPQRSTUVWXYZabcdefghijklmnopqrstuvwxyz .,")))&gt;0),"Last Name contains unsupported or encoded characters; use plain A-Z letters only; ","")&amp;IF(LEN($E499&amp;"")&gt;1,"Middle Initial may contain only one character; ","")&amp;IF(AND($E499&lt;&gt;"",SUMPRODUCT(--(ROW($1:$1)&lt;=LEN($E499&amp;"")),--ISERROR(FIND(MID($E499&amp;"",ROW($1:$1),1),"ABCDEFGHIJKLMNOPQRSTUVWXYZabcdefghijklmnopqrstuvwxyz .,")))&gt;0),"Middle Initial must be a plain A-Z letter; ","")&amp;IF($F499="","Address is required; ","")&amp;IF(LEN($F499&amp;"")&gt;75,"Address exceeds 75 characters; ","")&amp;IF(LEN($G499&amp;"")&gt;75,"Address 2 exceeds 75 characters; ","")&amp;IF($H499="","City is required; ","")&amp;IF(LEN($H499&amp;"")&gt;30,"City exceeds 30 characters; ","")&amp;IF($K499="","Country is required; ","")&amp;IF(AND($K499&lt;&gt;"",$K499&lt;&gt;"US",$K499&lt;&gt;"CA"),"Country must be US or CA; ","")&amp;IF(AND($K499="US",OR($I499="",LEN($I499&amp;"")&lt;&gt;2)),"Use a 2-letter state code; ","")&amp;IF($J499="","ZIP or postal code is required; ","")&amp;IF(AND($K499="US",$J499&lt;&gt;"",NOT(IFERROR(OR(AND(LEN($J499&amp;"")=5,ISNUMBER(--($J499&amp;""))),AND(LEN($J499&amp;"")=9,ISNUMBER(--($J499&amp;""))),AND(LEN($J499&amp;"")=10,MID($J499&amp;"",6,1)="-",ISNUMBER(--SUBSTITUTE($J499&amp;"","-","")))),FALSE))),"US ZIP must be 5 or 9 digits, with an optional ZIP+4 hyphen; ","")&amp;IF(AND($N499&lt;&gt;"",NOT(IFERROR(AND(ISNUMBER(SEARCH("@",$N499)),ISNUMBER(SEARCH(".",$N499,SEARCH("@",$N499)+2))),FALSE))),"Email format appears invalid; ","")&amp;IF(AND($O499&lt;&gt;"",$B499=""),"Dependent SSN is required for every dependent; ","")&amp;IF(AND($B499&lt;&gt;"",$O499=""),"Dependent Relationship is required when Dependent SSN is entered; ","")&amp;IF(AND($O499&lt;&gt;"",$O499&lt;&gt;"Spouse or Common Law Spouse",$O499&lt;&gt;"Domestic Partner",$O499&lt;&gt;"Child",$O499&lt;&gt;"Other",$O499&lt;&gt;"Estate",$O499&lt;&gt;"Unknown"),"Dependent Relationship must use one of the approved options; ",""))</f>
        <v/>
      </c>
      <c r="Z499">
        <f>IF(COUNTA($A499:$U499)=0,"",IF(AND($A499&lt;&gt;"",NOT(IFERROR(AND(LEN($A499&amp;"")=9,ISNUMBER(--($A499&amp;""))),FALSE))),"Employee SSN must contain exactly 9 digits; ","")&amp;IF(AND($A499&lt;&gt;"",OR($A499="123456789",$A499="987654321",$A499="012345678",$A499=REPT(LEFT($A499&amp;"",1),9))),"Employee SSN appears to be a placeholder; ","")&amp;IF(AND($B499&lt;&gt;"",NOT(IFERROR(AND(LEN($B499&amp;"")=9,ISNUMBER(--($B499&amp;""))),FALSE))),"Dependent SSN must contain exactly 9 digits; ","")&amp;IF(AND($B499&lt;&gt;"",OR($B499="123456789",$B499="987654321",$B499="012345678",$B499=REPT(LEFT($B499&amp;"",1),9))),"Dependent SSN appears to be a placeholder; ","")&amp;IF(AND($A499&lt;&gt;"",$B499&lt;&gt;"",$A499&amp;""=$B499&amp;""),"Dependent SSN cannot match Employee SSN; ","")&amp;IF(AND($W499&lt;&gt;"",OR(COUNTIFS($W$2:$W$501,$W499,$C$2:$C$501,"&lt;&gt;"&amp;$C499)&gt;0,COUNTIFS($W$2:$W$501,$W499,$D$2:$D$501,"&lt;&gt;"&amp;$D499)&gt;0,COUNTIFS($W$2:$W$501,$W499,$L$2:$L$501,"&lt;&gt;"&amp;$L499)&gt;0)),"The same SSN is associated with a different name or birthdate; ",""))</f>
        <v/>
      </c>
      <c r="AA499">
        <f>IF(COUNTA($A499:$U499)=0,"",IF(AND($A499&lt;&gt;"",$S499&lt;&gt;"",COUNTIFS($A$2:$A$501,$A499,$S$2:$S$501,$S499,$B$2:$B$501,"",$O$2:$O$501,"")=0),"Add an employee row for this household and plan; ","")&amp;IF(AND($X499="Dependent",COUNTIFS($A$2:$A499,$A499,$S$2:$S499,$S499,$B$2:$B499,"",$O$2:$O499,"")=0),"Place the employee row before dependent rows for this plan; ","")&amp;IF(AND($X499="Dependent",COUNTIFS($A$2:$A$501,$A499,$S$2:$S$501,$S499,$B$2:$B$501,"",$O$2:$O$501,"")&gt;0,IFERROR(OR($P499&lt;&gt;LOOKUP(2,1/(($A$2:$A$501=$A499)*($S$2:$S$501=$S499)*($B$2:$B$501="")*($O$2:$O$501="")),$P$2:$P$501),$Q499&lt;&gt;LOOKUP(2,1/(($A$2:$A$501=$A499)*($S$2:$S$501=$S499)*($B$2:$B$501="")*($O$2:$O$501="")),$Q$2:$Q$501),$R499&lt;&gt;LOOKUP(2,1/(($A$2:$A$501=$A499)*($S$2:$S$501=$S499)*($B$2:$B$501="")*($O$2:$O$501="")),$R$2:$R$501),$T499&lt;&gt;LOOKUP(2,1/(($A$2:$A$501=$A499)*($S$2:$S$501=$S499)*($B$2:$B$501="")*($O$2:$O$501="")),$T$2:$T$501),$U499&lt;&gt;LOOKUP(2,1/(($A$2:$A$501=$A499)*($S$2:$S$501=$S499)*($B$2:$B$501="")*($O$2:$O$501="")),$U$2:$U$501)),FALSE)),"Dependent row does not match the employee row for eligibility, status, coverage level, or funding; ",""))</f>
        <v/>
      </c>
      <c r="AB499">
        <f>IF(COUNTA($A499:$U499)=0,"",IF($L499="","Birthdate is required; ","")&amp;IF(AND($L499&lt;&gt;"",OR(NOT(ISNUMBER($L499)),$L499&lt;=DATE(1900,1,1),$L499&gt;TODAY())),"Birthdate must be an exact valid past date; ","")&amp;IF($P499="","Eligibility Date is required; ","")&amp;IF(AND($P499&lt;&gt;"",OR(NOT(ISNUMBER($P499)),$P499&lt;=DATE(1900,1,1))),"Eligibility Date must be a valid date; ","")&amp;IF(AND($R499="Terminated",$Q499=""),"Termination Date is required when Status is Terminated; ","")&amp;IF(AND($Q499&lt;&gt;"",OR(NOT(ISNUMBER($Q499)),$Q499&lt;=DATE(1900,1,1))),"Termination Date must be a valid date; ","")&amp;IF(AND(ISNUMBER($P499),ISNUMBER($Q499),$Q499&lt;$P499),"Termination Date cannot be before Eligibility Date; ","")&amp;IF($R499="","Status is required; ","")&amp;IF(AND($R499&lt;&gt;"",$R499&lt;&gt;"Active",$R499&lt;&gt;"Terminated"),"Status must be Active or Terminated; ","")&amp;IF(AND('START HERE'!$C$8="Terminations Only",$R499&lt;&gt;"Terminated"),"Terminations Only files must contain terminated records; ",""))</f>
        <v/>
      </c>
      <c r="AC499">
        <f>IF(COUNTA($A499:$U499)=0,"",IF($S499="","Plan Name is required; ","")&amp;IF($T499="","Benefit Coverage Level is required; ","")&amp;IF(AND($U499&lt;&gt;"",OR(NOT(ISNUMBER($U499)),$U499&lt;0)),"Plan Funding Amount must be a nonnegative number; ","")&amp;IF(AND($A499&lt;&gt;"",$S499&lt;&gt;"",COUNTIFS($A$2:$A$501,$A499,$B$2:$B$501,$B499,$S$2:$S$501,$S499)&gt;1),"Duplicate participant and plan row; ",""))</f>
        <v/>
      </c>
      <c r="AD499">
        <f>IF(COUNTA($A499:$U499)=0,"",IF(AND($X499="Employee",$M499="",$N499=""),"No employee phone or email provided; ","")&amp;IF(AND($R499="Active",$Q499&lt;&gt;""),"Active record includes a Termination Date; confirm this is intentional; ","")&amp;IF(AND($B499&lt;&gt;"",$B499&amp;""&lt;&gt;$A499&amp;"",COUNTIF($A$2:$A$501,$B499)&gt;0),"Dependent SSN also appears as an Employee SSN elsewhere; confirm dual-employee coverage is intentional; ","")&amp;IF(AND($B499&lt;&gt;"",COUNTIF($B$2:$B$501,$B499)&gt;COUNTIFS($A$2:$A$501,$A499,$B$2:$B$501,$B499)),"Dependent SSN appears under more than one employee; confirm duplicate family coverage is intentional; ","")&amp;IF(AND(ROW()&gt;2,$A499&lt;&gt;"",$A499&lt;&gt;$A498,COUNTIF($A$2:$A498,$A499)&gt;0),"This household appears in more than one section of the census; keep the family together; ","")&amp;IF(OR(AND($C499&lt;&gt;"",LEN($C499&amp;"")&lt;&gt;LEN(TRIM($C499&amp;""))),AND($D499&lt;&gt;"",LEN($D499&amp;"")&lt;&gt;LEN(TRIM($D499&amp;""))),AND($E499&lt;&gt;"",LEN($E499&amp;"")&lt;&gt;LEN(TRIM($E499&amp;""))),AND($F499&lt;&gt;"",LEN($F499&amp;"")&lt;&gt;LEN(TRIM($F499&amp;""))),AND($G499&lt;&gt;"",LEN($G499&amp;"")&lt;&gt;LEN(TRIM($G499&amp;""))),AND($H499&lt;&gt;"",LEN($H499&amp;"")&lt;&gt;LEN(TRIM($H499&amp;""))),AND($I499&lt;&gt;"",LEN($I499&amp;"")&lt;&gt;LEN(TRIM($I499&amp;""))),AND($J499&lt;&gt;"",LEN($J499&amp;"")&lt;&gt;LEN(TRIM($J499&amp;""))),AND($K499&lt;&gt;"",LEN($K499&amp;"")&lt;&gt;LEN(TRIM($K499&amp;""))),AND($M499&lt;&gt;"",LEN($M499&amp;"")&lt;&gt;LEN(TRIM($M499&amp;""))),AND($N499&lt;&gt;"",LEN($N499&amp;"")&lt;&gt;LEN(TRIM($N499&amp;""))),AND($O499&lt;&gt;"",LEN($O499&amp;"")&lt;&gt;LEN(TRIM($O499&amp;""))),AND($R499&lt;&gt;"",LEN($R499&amp;"")&lt;&gt;LEN(TRIM($R499&amp;""))),AND($S499&lt;&gt;"",LEN($S499&amp;"")&lt;&gt;LEN(TRIM($S499&amp;""))),AND($T499&lt;&gt;"",LEN($T499&amp;"")&lt;&gt;LEN(TRIM($T499&amp;"")))),"Remove leading or trailing spaces from text fields; ","")&amp;IF(OR(AND(LEN($C499)&gt;1,OR(EXACT($C499,UPPER($C499)),EXACT($C499,LOWER($C499)))),AND(LEN($D499)&gt;1,OR(EXACT($D499,UPPER($D499)),EXACT($D499,LOWER($D499)))),AND(LEN($H499)&gt;1,OR(EXACT($H499,UPPER($H499)),EXACT($H499,LOWER($H499))))),"Review capitalization in First Name, Last Name, or City; ","")&amp;IF(AND($N499&lt;&gt;"",NOT(EXACT($N499,LOWER($N499)))),"Email will be standardized to lowercase in the clean output; ","")&amp;IF(AND(OR('START HERE'!$C$8="Initial Enrollment",'START HERE'!$C$8="Open Enrollment"),$R499="Terminated"),"A terminated row is included in an initial or open enrollment file; confirm this is intentional; ",""))</f>
        <v/>
      </c>
      <c r="AE499">
        <f>IF(COUNTA($A499:$U499)=0,"",IF(OR($A499="",AND($A499&lt;&gt;"",NOT(IFERROR(AND(LEN($A499&amp;"")=9,ISNUMBER(--($A499&amp;""))),FALSE))),AND($A499&lt;&gt;"",OR($A499="123456789",$A499="987654321",$A499="012345678",$A499=REPT(LEFT($A499&amp;"",1),9)))),"Employee SSN, ","")&amp;IF(OR(AND($O499&lt;&gt;"",$B499=""),AND($B499&lt;&gt;"",OR(NOT(IFERROR(AND(LEN($B499&amp;"")=9,ISNUMBER(--($B499&amp;""))),FALSE)),$B499=$A499,$B499="123456789",$B499="987654321",$B499="012345678",$B499=REPT(LEFT($B499&amp;"",1),9)))),"Dependent SSN, ","")&amp;IF(OR($C499="",LEN($C499)&gt;19,AND($C499&lt;&gt;"",SUMPRODUCT(--(ROW($1:$19)&lt;=LEN($C499&amp;"")),--ISERROR(FIND(MID($C499&amp;"",ROW($1:$19),1),"ABCDEFGHIJKLMNOPQRSTUVWXYZabcdefghijklmnopqrstuvwxyz .,")))&gt;0)),"First Name, ","")&amp;IF(OR($D499="",LEN($D499)&gt;26,AND($D499&lt;&gt;"",SUMPRODUCT(--(ROW($1:$26)&lt;=LEN($D499&amp;"")),--ISERROR(FIND(MID($D499&amp;"",ROW($1:$26),1),"ABCDEFGHIJKLMNOPQRSTUVWXYZabcdefghijklmnopqrstuvwxyz .,")))&gt;0)),"Last Name, ","")&amp;IF(OR(LEN($E499)&gt;1,AND($E499&lt;&gt;"",SUMPRODUCT(--(ROW($1:$1)&lt;=LEN($E499&amp;"")),--ISERROR(FIND(MID($E499&amp;"",ROW($1:$1),1),"ABCDEFGHIJKLMNOPQRSTUVWXYZabcdefghijklmnopqrstuvwxyz .,")))&gt;0)),"Middle Initial, ","")&amp;IF(OR($F499="",LEN($F499)&gt;75),"Address, ","")&amp;IF(OR($H499="",LEN($H499)&gt;30),"City, ","")&amp;IF(AND($K499="US",OR($I499="",LEN($I499)&lt;&gt;2)),"State, ","")&amp;IF($J499="","ZIP, ","")&amp;IF(OR($K499="",AND($K499&lt;&gt;"US",$K499&lt;&gt;"CA")),"Country, ","")&amp;IF(OR($L499="",AND($L499&lt;&gt;"",OR(NOT(ISNUMBER($L499)),$L499&lt;=DATE(1900,1,1),$L499&gt;TODAY()))),"Birthdate, ","")&amp;IF(AND($N499&lt;&gt;"",NOT(IFERROR(AND(ISNUMBER(SEARCH("@",$N499)),ISNUMBER(SEARCH(".",$N499,SEARCH("@",$N499)+2))),FALSE))),"Email, ","")&amp;IF(OR(AND($B499&lt;&gt;"",$O499=""),AND($O499&lt;&gt;"",$O499&lt;&gt;"Spouse or Common Law Spouse",$O499&lt;&gt;"Domestic Partner",$O499&lt;&gt;"Child",$O499&lt;&gt;"Other",$O499&lt;&gt;"Estate",$O499&lt;&gt;"Unknown")),"Dependent Relationship, ","")&amp;IF($AA499&lt;&gt;"","Household, ","")&amp;IF(OR($P499="",AND($P499&lt;&gt;"",OR(NOT(ISNUMBER($P499)),$P499&lt;=DATE(1900,1,1)))),"Eligibility Date, ","")&amp;IF(OR(AND($R499="Terminated",$Q499=""),AND($Q499&lt;&gt;"",OR(NOT(ISNUMBER($Q499)),$Q499&lt;=DATE(1900,1,1))),AND(ISNUMBER($P499),ISNUMBER($Q499),$Q499&lt;$P499)),"Termination Date, ","")&amp;IF(OR($R499="",AND($R499&lt;&gt;"Active",$R499&lt;&gt;"Terminated"),AND('START HERE'!$C$8="Terminations Only",$R499&lt;&gt;"Terminated")),"Status, ","")&amp;IF($S499="","Plan Name, ","")&amp;IF($T499="","Coverage Level, ","")&amp;IF(AND($U499&lt;&gt;"",OR(NOT(ISNUMBER($U499)),$U499&lt;0)),"Funding, ","")&amp;IF(AND($A499&lt;&gt;"",$S499&lt;&gt;"",COUNTIFS($A$2:$A$501,$A499,$B$2:$B$501,$B499,$S$2:$S$501,$S499)&gt;1),"Duplicate Row, ",""))</f>
        <v/>
      </c>
      <c r="AF499">
        <f>IF(COUNTA($A499:$U499)=0,"",$Y499&amp;$Z499&amp;$AA499&amp;$AB499&amp;$AC499)</f>
        <v/>
      </c>
      <c r="AG499">
        <f>IF($N499="","",LOWER(TRIM($N499)))</f>
        <v/>
      </c>
      <c r="AH499">
        <f>IF($A499="","",COUNTIFS($A$2:$A$501,$A499,$AI$2:$AI$501,1))</f>
        <v/>
      </c>
      <c r="AI499">
        <f>IF(COUNTA($A499:$U499)=0,"",--($AF499&lt;&gt;""))</f>
        <v/>
      </c>
      <c r="AJ499">
        <f>IF(COUNTA($A499:$U499)=0,"",--($AD499&lt;&gt;""))</f>
        <v/>
      </c>
    </row>
    <row r="500" ht="20" customHeight="1">
      <c r="A500" s="80" t="n"/>
      <c r="B500" s="80" t="n"/>
      <c r="C500" s="81" t="n"/>
      <c r="D500" s="81" t="n"/>
      <c r="E500" s="80" t="n"/>
      <c r="F500" s="81" t="n"/>
      <c r="G500" s="81" t="n"/>
      <c r="H500" s="81" t="n"/>
      <c r="I500" s="80" t="n"/>
      <c r="J500" s="80" t="n"/>
      <c r="K500" s="80" t="n"/>
      <c r="L500" s="82" t="n"/>
      <c r="M500" s="80" t="n"/>
      <c r="N500" s="80" t="n"/>
      <c r="O500" s="80" t="n"/>
      <c r="P500" s="82" t="n"/>
      <c r="Q500" s="82" t="n"/>
      <c r="R500" s="80" t="n"/>
      <c r="S500" s="80" t="n"/>
      <c r="T500" s="80" t="n"/>
      <c r="U500" s="83" t="n"/>
      <c r="V500">
        <f>IF($A500="","",IF($A500=$A499,$V499,IF($V499="",0,1-$V499)))</f>
        <v/>
      </c>
      <c r="W500">
        <f>IF($B500&lt;&gt;"",$B500,$A500)</f>
        <v/>
      </c>
      <c r="X500">
        <f>IF(COUNTA($A500:$U500)=0,"",IF(OR($B500&lt;&gt;"",$O500&lt;&gt;""),"Dependent","Employee"))</f>
        <v/>
      </c>
      <c r="Y500">
        <f>IF(COUNTA($A500:$U500)=0,"",IF($A500="","Employee SSN is required; ","")&amp;IF($C500="","First Name is required; ","")&amp;IF(LEN($C500&amp;"")&gt;19,"First Name exceeds 19 characters; ","")&amp;IF(AND($C500&lt;&gt;"",SUMPRODUCT(--(ROW($1:$19)&lt;=LEN($C500&amp;"")),--ISERROR(FIND(MID($C500&amp;"",ROW($1:$19),1),"ABCDEFGHIJKLMNOPQRSTUVWXYZabcdefghijklmnopqrstuvwxyz .,")))&gt;0),"First Name contains unsupported or encoded characters; use plain A-Z letters only; ","")&amp;IF($D500="","Last Name is required; ","")&amp;IF(LEN($D500&amp;"")&gt;26,"Last Name exceeds 26 characters; ","")&amp;IF(AND($D500&lt;&gt;"",SUMPRODUCT(--(ROW($1:$26)&lt;=LEN($D500&amp;"")),--ISERROR(FIND(MID($D500&amp;"",ROW($1:$26),1),"ABCDEFGHIJKLMNOPQRSTUVWXYZabcdefghijklmnopqrstuvwxyz .,")))&gt;0),"Last Name contains unsupported or encoded characters; use plain A-Z letters only; ","")&amp;IF(LEN($E500&amp;"")&gt;1,"Middle Initial may contain only one character; ","")&amp;IF(AND($E500&lt;&gt;"",SUMPRODUCT(--(ROW($1:$1)&lt;=LEN($E500&amp;"")),--ISERROR(FIND(MID($E500&amp;"",ROW($1:$1),1),"ABCDEFGHIJKLMNOPQRSTUVWXYZabcdefghijklmnopqrstuvwxyz .,")))&gt;0),"Middle Initial must be a plain A-Z letter; ","")&amp;IF($F500="","Address is required; ","")&amp;IF(LEN($F500&amp;"")&gt;75,"Address exceeds 75 characters; ","")&amp;IF(LEN($G500&amp;"")&gt;75,"Address 2 exceeds 75 characters; ","")&amp;IF($H500="","City is required; ","")&amp;IF(LEN($H500&amp;"")&gt;30,"City exceeds 30 characters; ","")&amp;IF($K500="","Country is required; ","")&amp;IF(AND($K500&lt;&gt;"",$K500&lt;&gt;"US",$K500&lt;&gt;"CA"),"Country must be US or CA; ","")&amp;IF(AND($K500="US",OR($I500="",LEN($I500&amp;"")&lt;&gt;2)),"Use a 2-letter state code; ","")&amp;IF($J500="","ZIP or postal code is required; ","")&amp;IF(AND($K500="US",$J500&lt;&gt;"",NOT(IFERROR(OR(AND(LEN($J500&amp;"")=5,ISNUMBER(--($J500&amp;""))),AND(LEN($J500&amp;"")=9,ISNUMBER(--($J500&amp;""))),AND(LEN($J500&amp;"")=10,MID($J500&amp;"",6,1)="-",ISNUMBER(--SUBSTITUTE($J500&amp;"","-","")))),FALSE))),"US ZIP must be 5 or 9 digits, with an optional ZIP+4 hyphen; ","")&amp;IF(AND($N500&lt;&gt;"",NOT(IFERROR(AND(ISNUMBER(SEARCH("@",$N500)),ISNUMBER(SEARCH(".",$N500,SEARCH("@",$N500)+2))),FALSE))),"Email format appears invalid; ","")&amp;IF(AND($O500&lt;&gt;"",$B500=""),"Dependent SSN is required for every dependent; ","")&amp;IF(AND($B500&lt;&gt;"",$O500=""),"Dependent Relationship is required when Dependent SSN is entered; ","")&amp;IF(AND($O500&lt;&gt;"",$O500&lt;&gt;"Spouse or Common Law Spouse",$O500&lt;&gt;"Domestic Partner",$O500&lt;&gt;"Child",$O500&lt;&gt;"Other",$O500&lt;&gt;"Estate",$O500&lt;&gt;"Unknown"),"Dependent Relationship must use one of the approved options; ",""))</f>
        <v/>
      </c>
      <c r="Z500">
        <f>IF(COUNTA($A500:$U500)=0,"",IF(AND($A500&lt;&gt;"",NOT(IFERROR(AND(LEN($A500&amp;"")=9,ISNUMBER(--($A500&amp;""))),FALSE))),"Employee SSN must contain exactly 9 digits; ","")&amp;IF(AND($A500&lt;&gt;"",OR($A500="123456789",$A500="987654321",$A500="012345678",$A500=REPT(LEFT($A500&amp;"",1),9))),"Employee SSN appears to be a placeholder; ","")&amp;IF(AND($B500&lt;&gt;"",NOT(IFERROR(AND(LEN($B500&amp;"")=9,ISNUMBER(--($B500&amp;""))),FALSE))),"Dependent SSN must contain exactly 9 digits; ","")&amp;IF(AND($B500&lt;&gt;"",OR($B500="123456789",$B500="987654321",$B500="012345678",$B500=REPT(LEFT($B500&amp;"",1),9))),"Dependent SSN appears to be a placeholder; ","")&amp;IF(AND($A500&lt;&gt;"",$B500&lt;&gt;"",$A500&amp;""=$B500&amp;""),"Dependent SSN cannot match Employee SSN; ","")&amp;IF(AND($W500&lt;&gt;"",OR(COUNTIFS($W$2:$W$501,$W500,$C$2:$C$501,"&lt;&gt;"&amp;$C500)&gt;0,COUNTIFS($W$2:$W$501,$W500,$D$2:$D$501,"&lt;&gt;"&amp;$D500)&gt;0,COUNTIFS($W$2:$W$501,$W500,$L$2:$L$501,"&lt;&gt;"&amp;$L500)&gt;0)),"The same SSN is associated with a different name or birthdate; ",""))</f>
        <v/>
      </c>
      <c r="AA500">
        <f>IF(COUNTA($A500:$U500)=0,"",IF(AND($A500&lt;&gt;"",$S500&lt;&gt;"",COUNTIFS($A$2:$A$501,$A500,$S$2:$S$501,$S500,$B$2:$B$501,"",$O$2:$O$501,"")=0),"Add an employee row for this household and plan; ","")&amp;IF(AND($X500="Dependent",COUNTIFS($A$2:$A500,$A500,$S$2:$S500,$S500,$B$2:$B500,"",$O$2:$O500,"")=0),"Place the employee row before dependent rows for this plan; ","")&amp;IF(AND($X500="Dependent",COUNTIFS($A$2:$A$501,$A500,$S$2:$S$501,$S500,$B$2:$B$501,"",$O$2:$O$501,"")&gt;0,IFERROR(OR($P500&lt;&gt;LOOKUP(2,1/(($A$2:$A$501=$A500)*($S$2:$S$501=$S500)*($B$2:$B$501="")*($O$2:$O$501="")),$P$2:$P$501),$Q500&lt;&gt;LOOKUP(2,1/(($A$2:$A$501=$A500)*($S$2:$S$501=$S500)*($B$2:$B$501="")*($O$2:$O$501="")),$Q$2:$Q$501),$R500&lt;&gt;LOOKUP(2,1/(($A$2:$A$501=$A500)*($S$2:$S$501=$S500)*($B$2:$B$501="")*($O$2:$O$501="")),$R$2:$R$501),$T500&lt;&gt;LOOKUP(2,1/(($A$2:$A$501=$A500)*($S$2:$S$501=$S500)*($B$2:$B$501="")*($O$2:$O$501="")),$T$2:$T$501),$U500&lt;&gt;LOOKUP(2,1/(($A$2:$A$501=$A500)*($S$2:$S$501=$S500)*($B$2:$B$501="")*($O$2:$O$501="")),$U$2:$U$501)),FALSE)),"Dependent row does not match the employee row for eligibility, status, coverage level, or funding; ",""))</f>
        <v/>
      </c>
      <c r="AB500">
        <f>IF(COUNTA($A500:$U500)=0,"",IF($L500="","Birthdate is required; ","")&amp;IF(AND($L500&lt;&gt;"",OR(NOT(ISNUMBER($L500)),$L500&lt;=DATE(1900,1,1),$L500&gt;TODAY())),"Birthdate must be an exact valid past date; ","")&amp;IF($P500="","Eligibility Date is required; ","")&amp;IF(AND($P500&lt;&gt;"",OR(NOT(ISNUMBER($P500)),$P500&lt;=DATE(1900,1,1))),"Eligibility Date must be a valid date; ","")&amp;IF(AND($R500="Terminated",$Q500=""),"Termination Date is required when Status is Terminated; ","")&amp;IF(AND($Q500&lt;&gt;"",OR(NOT(ISNUMBER($Q500)),$Q500&lt;=DATE(1900,1,1))),"Termination Date must be a valid date; ","")&amp;IF(AND(ISNUMBER($P500),ISNUMBER($Q500),$Q500&lt;$P500),"Termination Date cannot be before Eligibility Date; ","")&amp;IF($R500="","Status is required; ","")&amp;IF(AND($R500&lt;&gt;"",$R500&lt;&gt;"Active",$R500&lt;&gt;"Terminated"),"Status must be Active or Terminated; ","")&amp;IF(AND('START HERE'!$C$8="Terminations Only",$R500&lt;&gt;"Terminated"),"Terminations Only files must contain terminated records; ",""))</f>
        <v/>
      </c>
      <c r="AC500">
        <f>IF(COUNTA($A500:$U500)=0,"",IF($S500="","Plan Name is required; ","")&amp;IF($T500="","Benefit Coverage Level is required; ","")&amp;IF(AND($U500&lt;&gt;"",OR(NOT(ISNUMBER($U500)),$U500&lt;0)),"Plan Funding Amount must be a nonnegative number; ","")&amp;IF(AND($A500&lt;&gt;"",$S500&lt;&gt;"",COUNTIFS($A$2:$A$501,$A500,$B$2:$B$501,$B500,$S$2:$S$501,$S500)&gt;1),"Duplicate participant and plan row; ",""))</f>
        <v/>
      </c>
      <c r="AD500">
        <f>IF(COUNTA($A500:$U500)=0,"",IF(AND($X500="Employee",$M500="",$N500=""),"No employee phone or email provided; ","")&amp;IF(AND($R500="Active",$Q500&lt;&gt;""),"Active record includes a Termination Date; confirm this is intentional; ","")&amp;IF(AND($B500&lt;&gt;"",$B500&amp;""&lt;&gt;$A500&amp;"",COUNTIF($A$2:$A$501,$B500)&gt;0),"Dependent SSN also appears as an Employee SSN elsewhere; confirm dual-employee coverage is intentional; ","")&amp;IF(AND($B500&lt;&gt;"",COUNTIF($B$2:$B$501,$B500)&gt;COUNTIFS($A$2:$A$501,$A500,$B$2:$B$501,$B500)),"Dependent SSN appears under more than one employee; confirm duplicate family coverage is intentional; ","")&amp;IF(AND(ROW()&gt;2,$A500&lt;&gt;"",$A500&lt;&gt;$A499,COUNTIF($A$2:$A499,$A500)&gt;0),"This household appears in more than one section of the census; keep the family together; ","")&amp;IF(OR(AND($C500&lt;&gt;"",LEN($C500&amp;"")&lt;&gt;LEN(TRIM($C500&amp;""))),AND($D500&lt;&gt;"",LEN($D500&amp;"")&lt;&gt;LEN(TRIM($D500&amp;""))),AND($E500&lt;&gt;"",LEN($E500&amp;"")&lt;&gt;LEN(TRIM($E500&amp;""))),AND($F500&lt;&gt;"",LEN($F500&amp;"")&lt;&gt;LEN(TRIM($F500&amp;""))),AND($G500&lt;&gt;"",LEN($G500&amp;"")&lt;&gt;LEN(TRIM($G500&amp;""))),AND($H500&lt;&gt;"",LEN($H500&amp;"")&lt;&gt;LEN(TRIM($H500&amp;""))),AND($I500&lt;&gt;"",LEN($I500&amp;"")&lt;&gt;LEN(TRIM($I500&amp;""))),AND($J500&lt;&gt;"",LEN($J500&amp;"")&lt;&gt;LEN(TRIM($J500&amp;""))),AND($K500&lt;&gt;"",LEN($K500&amp;"")&lt;&gt;LEN(TRIM($K500&amp;""))),AND($M500&lt;&gt;"",LEN($M500&amp;"")&lt;&gt;LEN(TRIM($M500&amp;""))),AND($N500&lt;&gt;"",LEN($N500&amp;"")&lt;&gt;LEN(TRIM($N500&amp;""))),AND($O500&lt;&gt;"",LEN($O500&amp;"")&lt;&gt;LEN(TRIM($O500&amp;""))),AND($R500&lt;&gt;"",LEN($R500&amp;"")&lt;&gt;LEN(TRIM($R500&amp;""))),AND($S500&lt;&gt;"",LEN($S500&amp;"")&lt;&gt;LEN(TRIM($S500&amp;""))),AND($T500&lt;&gt;"",LEN($T500&amp;"")&lt;&gt;LEN(TRIM($T500&amp;"")))),"Remove leading or trailing spaces from text fields; ","")&amp;IF(OR(AND(LEN($C500)&gt;1,OR(EXACT($C500,UPPER($C500)),EXACT($C500,LOWER($C500)))),AND(LEN($D500)&gt;1,OR(EXACT($D500,UPPER($D500)),EXACT($D500,LOWER($D500)))),AND(LEN($H500)&gt;1,OR(EXACT($H500,UPPER($H500)),EXACT($H500,LOWER($H500))))),"Review capitalization in First Name, Last Name, or City; ","")&amp;IF(AND($N500&lt;&gt;"",NOT(EXACT($N500,LOWER($N500)))),"Email will be standardized to lowercase in the clean output; ","")&amp;IF(AND(OR('START HERE'!$C$8="Initial Enrollment",'START HERE'!$C$8="Open Enrollment"),$R500="Terminated"),"A terminated row is included in an initial or open enrollment file; confirm this is intentional; ",""))</f>
        <v/>
      </c>
      <c r="AE500">
        <f>IF(COUNTA($A500:$U500)=0,"",IF(OR($A500="",AND($A500&lt;&gt;"",NOT(IFERROR(AND(LEN($A500&amp;"")=9,ISNUMBER(--($A500&amp;""))),FALSE))),AND($A500&lt;&gt;"",OR($A500="123456789",$A500="987654321",$A500="012345678",$A500=REPT(LEFT($A500&amp;"",1),9)))),"Employee SSN, ","")&amp;IF(OR(AND($O500&lt;&gt;"",$B500=""),AND($B500&lt;&gt;"",OR(NOT(IFERROR(AND(LEN($B500&amp;"")=9,ISNUMBER(--($B500&amp;""))),FALSE)),$B500=$A500,$B500="123456789",$B500="987654321",$B500="012345678",$B500=REPT(LEFT($B500&amp;"",1),9)))),"Dependent SSN, ","")&amp;IF(OR($C500="",LEN($C500)&gt;19,AND($C500&lt;&gt;"",SUMPRODUCT(--(ROW($1:$19)&lt;=LEN($C500&amp;"")),--ISERROR(FIND(MID($C500&amp;"",ROW($1:$19),1),"ABCDEFGHIJKLMNOPQRSTUVWXYZabcdefghijklmnopqrstuvwxyz .,")))&gt;0)),"First Name, ","")&amp;IF(OR($D500="",LEN($D500)&gt;26,AND($D500&lt;&gt;"",SUMPRODUCT(--(ROW($1:$26)&lt;=LEN($D500&amp;"")),--ISERROR(FIND(MID($D500&amp;"",ROW($1:$26),1),"ABCDEFGHIJKLMNOPQRSTUVWXYZabcdefghijklmnopqrstuvwxyz .,")))&gt;0)),"Last Name, ","")&amp;IF(OR(LEN($E500)&gt;1,AND($E500&lt;&gt;"",SUMPRODUCT(--(ROW($1:$1)&lt;=LEN($E500&amp;"")),--ISERROR(FIND(MID($E500&amp;"",ROW($1:$1),1),"ABCDEFGHIJKLMNOPQRSTUVWXYZabcdefghijklmnopqrstuvwxyz .,")))&gt;0)),"Middle Initial, ","")&amp;IF(OR($F500="",LEN($F500)&gt;75),"Address, ","")&amp;IF(OR($H500="",LEN($H500)&gt;30),"City, ","")&amp;IF(AND($K500="US",OR($I500="",LEN($I500)&lt;&gt;2)),"State, ","")&amp;IF($J500="","ZIP, ","")&amp;IF(OR($K500="",AND($K500&lt;&gt;"US",$K500&lt;&gt;"CA")),"Country, ","")&amp;IF(OR($L500="",AND($L500&lt;&gt;"",OR(NOT(ISNUMBER($L500)),$L500&lt;=DATE(1900,1,1),$L500&gt;TODAY()))),"Birthdate, ","")&amp;IF(AND($N500&lt;&gt;"",NOT(IFERROR(AND(ISNUMBER(SEARCH("@",$N500)),ISNUMBER(SEARCH(".",$N500,SEARCH("@",$N500)+2))),FALSE))),"Email, ","")&amp;IF(OR(AND($B500&lt;&gt;"",$O500=""),AND($O500&lt;&gt;"",$O500&lt;&gt;"Spouse or Common Law Spouse",$O500&lt;&gt;"Domestic Partner",$O500&lt;&gt;"Child",$O500&lt;&gt;"Other",$O500&lt;&gt;"Estate",$O500&lt;&gt;"Unknown")),"Dependent Relationship, ","")&amp;IF($AA500&lt;&gt;"","Household, ","")&amp;IF(OR($P500="",AND($P500&lt;&gt;"",OR(NOT(ISNUMBER($P500)),$P500&lt;=DATE(1900,1,1)))),"Eligibility Date, ","")&amp;IF(OR(AND($R500="Terminated",$Q500=""),AND($Q500&lt;&gt;"",OR(NOT(ISNUMBER($Q500)),$Q500&lt;=DATE(1900,1,1))),AND(ISNUMBER($P500),ISNUMBER($Q500),$Q500&lt;$P500)),"Termination Date, ","")&amp;IF(OR($R500="",AND($R500&lt;&gt;"Active",$R500&lt;&gt;"Terminated"),AND('START HERE'!$C$8="Terminations Only",$R500&lt;&gt;"Terminated")),"Status, ","")&amp;IF($S500="","Plan Name, ","")&amp;IF($T500="","Coverage Level, ","")&amp;IF(AND($U500&lt;&gt;"",OR(NOT(ISNUMBER($U500)),$U500&lt;0)),"Funding, ","")&amp;IF(AND($A500&lt;&gt;"",$S500&lt;&gt;"",COUNTIFS($A$2:$A$501,$A500,$B$2:$B$501,$B500,$S$2:$S$501,$S500)&gt;1),"Duplicate Row, ",""))</f>
        <v/>
      </c>
      <c r="AF500">
        <f>IF(COUNTA($A500:$U500)=0,"",$Y500&amp;$Z500&amp;$AA500&amp;$AB500&amp;$AC500)</f>
        <v/>
      </c>
      <c r="AG500">
        <f>IF($N500="","",LOWER(TRIM($N500)))</f>
        <v/>
      </c>
      <c r="AH500">
        <f>IF($A500="","",COUNTIFS($A$2:$A$501,$A500,$AI$2:$AI$501,1))</f>
        <v/>
      </c>
      <c r="AI500">
        <f>IF(COUNTA($A500:$U500)=0,"",--($AF500&lt;&gt;""))</f>
        <v/>
      </c>
      <c r="AJ500">
        <f>IF(COUNTA($A500:$U500)=0,"",--($AD500&lt;&gt;""))</f>
        <v/>
      </c>
    </row>
    <row r="501" ht="20" customHeight="1">
      <c r="A501" s="80" t="n"/>
      <c r="B501" s="80" t="n"/>
      <c r="C501" s="81" t="n"/>
      <c r="D501" s="81" t="n"/>
      <c r="E501" s="80" t="n"/>
      <c r="F501" s="81" t="n"/>
      <c r="G501" s="81" t="n"/>
      <c r="H501" s="81" t="n"/>
      <c r="I501" s="80" t="n"/>
      <c r="J501" s="80" t="n"/>
      <c r="K501" s="80" t="n"/>
      <c r="L501" s="82" t="n"/>
      <c r="M501" s="80" t="n"/>
      <c r="N501" s="80" t="n"/>
      <c r="O501" s="80" t="n"/>
      <c r="P501" s="82" t="n"/>
      <c r="Q501" s="82" t="n"/>
      <c r="R501" s="80" t="n"/>
      <c r="S501" s="80" t="n"/>
      <c r="T501" s="80" t="n"/>
      <c r="U501" s="83" t="n"/>
      <c r="V501">
        <f>IF($A501="","",IF($A501=$A500,$V500,IF($V500="",0,1-$V500)))</f>
        <v/>
      </c>
      <c r="W501">
        <f>IF($B501&lt;&gt;"",$B501,$A501)</f>
        <v/>
      </c>
      <c r="X501">
        <f>IF(COUNTA($A501:$U501)=0,"",IF(OR($B501&lt;&gt;"",$O501&lt;&gt;""),"Dependent","Employee"))</f>
        <v/>
      </c>
      <c r="Y501">
        <f>IF(COUNTA($A501:$U501)=0,"",IF($A501="","Employee SSN is required; ","")&amp;IF($C501="","First Name is required; ","")&amp;IF(LEN($C501&amp;"")&gt;19,"First Name exceeds 19 characters; ","")&amp;IF(AND($C501&lt;&gt;"",SUMPRODUCT(--(ROW($1:$19)&lt;=LEN($C501&amp;"")),--ISERROR(FIND(MID($C501&amp;"",ROW($1:$19),1),"ABCDEFGHIJKLMNOPQRSTUVWXYZabcdefghijklmnopqrstuvwxyz .,")))&gt;0),"First Name contains unsupported or encoded characters; use plain A-Z letters only; ","")&amp;IF($D501="","Last Name is required; ","")&amp;IF(LEN($D501&amp;"")&gt;26,"Last Name exceeds 26 characters; ","")&amp;IF(AND($D501&lt;&gt;"",SUMPRODUCT(--(ROW($1:$26)&lt;=LEN($D501&amp;"")),--ISERROR(FIND(MID($D501&amp;"",ROW($1:$26),1),"ABCDEFGHIJKLMNOPQRSTUVWXYZabcdefghijklmnopqrstuvwxyz .,")))&gt;0),"Last Name contains unsupported or encoded characters; use plain A-Z letters only; ","")&amp;IF(LEN($E501&amp;"")&gt;1,"Middle Initial may contain only one character; ","")&amp;IF(AND($E501&lt;&gt;"",SUMPRODUCT(--(ROW($1:$1)&lt;=LEN($E501&amp;"")),--ISERROR(FIND(MID($E501&amp;"",ROW($1:$1),1),"ABCDEFGHIJKLMNOPQRSTUVWXYZabcdefghijklmnopqrstuvwxyz .,")))&gt;0),"Middle Initial must be a plain A-Z letter; ","")&amp;IF($F501="","Address is required; ","")&amp;IF(LEN($F501&amp;"")&gt;75,"Address exceeds 75 characters; ","")&amp;IF(LEN($G501&amp;"")&gt;75,"Address 2 exceeds 75 characters; ","")&amp;IF($H501="","City is required; ","")&amp;IF(LEN($H501&amp;"")&gt;30,"City exceeds 30 characters; ","")&amp;IF($K501="","Country is required; ","")&amp;IF(AND($K501&lt;&gt;"",$K501&lt;&gt;"US",$K501&lt;&gt;"CA"),"Country must be US or CA; ","")&amp;IF(AND($K501="US",OR($I501="",LEN($I501&amp;"")&lt;&gt;2)),"Use a 2-letter state code; ","")&amp;IF($J501="","ZIP or postal code is required; ","")&amp;IF(AND($K501="US",$J501&lt;&gt;"",NOT(IFERROR(OR(AND(LEN($J501&amp;"")=5,ISNUMBER(--($J501&amp;""))),AND(LEN($J501&amp;"")=9,ISNUMBER(--($J501&amp;""))),AND(LEN($J501&amp;"")=10,MID($J501&amp;"",6,1)="-",ISNUMBER(--SUBSTITUTE($J501&amp;"","-","")))),FALSE))),"US ZIP must be 5 or 9 digits, with an optional ZIP+4 hyphen; ","")&amp;IF(AND($N501&lt;&gt;"",NOT(IFERROR(AND(ISNUMBER(SEARCH("@",$N501)),ISNUMBER(SEARCH(".",$N501,SEARCH("@",$N501)+2))),FALSE))),"Email format appears invalid; ","")&amp;IF(AND($O501&lt;&gt;"",$B501=""),"Dependent SSN is required for every dependent; ","")&amp;IF(AND($B501&lt;&gt;"",$O501=""),"Dependent Relationship is required when Dependent SSN is entered; ","")&amp;IF(AND($O501&lt;&gt;"",$O501&lt;&gt;"Spouse or Common Law Spouse",$O501&lt;&gt;"Domestic Partner",$O501&lt;&gt;"Child",$O501&lt;&gt;"Other",$O501&lt;&gt;"Estate",$O501&lt;&gt;"Unknown"),"Dependent Relationship must use one of the approved options; ",""))</f>
        <v/>
      </c>
      <c r="Z501">
        <f>IF(COUNTA($A501:$U501)=0,"",IF(AND($A501&lt;&gt;"",NOT(IFERROR(AND(LEN($A501&amp;"")=9,ISNUMBER(--($A501&amp;""))),FALSE))),"Employee SSN must contain exactly 9 digits; ","")&amp;IF(AND($A501&lt;&gt;"",OR($A501="123456789",$A501="987654321",$A501="012345678",$A501=REPT(LEFT($A501&amp;"",1),9))),"Employee SSN appears to be a placeholder; ","")&amp;IF(AND($B501&lt;&gt;"",NOT(IFERROR(AND(LEN($B501&amp;"")=9,ISNUMBER(--($B501&amp;""))),FALSE))),"Dependent SSN must contain exactly 9 digits; ","")&amp;IF(AND($B501&lt;&gt;"",OR($B501="123456789",$B501="987654321",$B501="012345678",$B501=REPT(LEFT($B501&amp;"",1),9))),"Dependent SSN appears to be a placeholder; ","")&amp;IF(AND($A501&lt;&gt;"",$B501&lt;&gt;"",$A501&amp;""=$B501&amp;""),"Dependent SSN cannot match Employee SSN; ","")&amp;IF(AND($W501&lt;&gt;"",OR(COUNTIFS($W$2:$W$501,$W501,$C$2:$C$501,"&lt;&gt;"&amp;$C501)&gt;0,COUNTIFS($W$2:$W$501,$W501,$D$2:$D$501,"&lt;&gt;"&amp;$D501)&gt;0,COUNTIFS($W$2:$W$501,$W501,$L$2:$L$501,"&lt;&gt;"&amp;$L501)&gt;0)),"The same SSN is associated with a different name or birthdate; ",""))</f>
        <v/>
      </c>
      <c r="AA501">
        <f>IF(COUNTA($A501:$U501)=0,"",IF(AND($A501&lt;&gt;"",$S501&lt;&gt;"",COUNTIFS($A$2:$A$501,$A501,$S$2:$S$501,$S501,$B$2:$B$501,"",$O$2:$O$501,"")=0),"Add an employee row for this household and plan; ","")&amp;IF(AND($X501="Dependent",COUNTIFS($A$2:$A501,$A501,$S$2:$S501,$S501,$B$2:$B501,"",$O$2:$O501,"")=0),"Place the employee row before dependent rows for this plan; ","")&amp;IF(AND($X501="Dependent",COUNTIFS($A$2:$A$501,$A501,$S$2:$S$501,$S501,$B$2:$B$501,"",$O$2:$O$501,"")&gt;0,IFERROR(OR($P501&lt;&gt;LOOKUP(2,1/(($A$2:$A$501=$A501)*($S$2:$S$501=$S501)*($B$2:$B$501="")*($O$2:$O$501="")),$P$2:$P$501),$Q501&lt;&gt;LOOKUP(2,1/(($A$2:$A$501=$A501)*($S$2:$S$501=$S501)*($B$2:$B$501="")*($O$2:$O$501="")),$Q$2:$Q$501),$R501&lt;&gt;LOOKUP(2,1/(($A$2:$A$501=$A501)*($S$2:$S$501=$S501)*($B$2:$B$501="")*($O$2:$O$501="")),$R$2:$R$501),$T501&lt;&gt;LOOKUP(2,1/(($A$2:$A$501=$A501)*($S$2:$S$501=$S501)*($B$2:$B$501="")*($O$2:$O$501="")),$T$2:$T$501),$U501&lt;&gt;LOOKUP(2,1/(($A$2:$A$501=$A501)*($S$2:$S$501=$S501)*($B$2:$B$501="")*($O$2:$O$501="")),$U$2:$U$501)),FALSE)),"Dependent row does not match the employee row for eligibility, status, coverage level, or funding; ",""))</f>
        <v/>
      </c>
      <c r="AB501">
        <f>IF(COUNTA($A501:$U501)=0,"",IF($L501="","Birthdate is required; ","")&amp;IF(AND($L501&lt;&gt;"",OR(NOT(ISNUMBER($L501)),$L501&lt;=DATE(1900,1,1),$L501&gt;TODAY())),"Birthdate must be an exact valid past date; ","")&amp;IF($P501="","Eligibility Date is required; ","")&amp;IF(AND($P501&lt;&gt;"",OR(NOT(ISNUMBER($P501)),$P501&lt;=DATE(1900,1,1))),"Eligibility Date must be a valid date; ","")&amp;IF(AND($R501="Terminated",$Q501=""),"Termination Date is required when Status is Terminated; ","")&amp;IF(AND($Q501&lt;&gt;"",OR(NOT(ISNUMBER($Q501)),$Q501&lt;=DATE(1900,1,1))),"Termination Date must be a valid date; ","")&amp;IF(AND(ISNUMBER($P501),ISNUMBER($Q501),$Q501&lt;$P501),"Termination Date cannot be before Eligibility Date; ","")&amp;IF($R501="","Status is required; ","")&amp;IF(AND($R501&lt;&gt;"",$R501&lt;&gt;"Active",$R501&lt;&gt;"Terminated"),"Status must be Active or Terminated; ","")&amp;IF(AND('START HERE'!$C$8="Terminations Only",$R501&lt;&gt;"Terminated"),"Terminations Only files must contain terminated records; ",""))</f>
        <v/>
      </c>
      <c r="AC501">
        <f>IF(COUNTA($A501:$U501)=0,"",IF($S501="","Plan Name is required; ","")&amp;IF($T501="","Benefit Coverage Level is required; ","")&amp;IF(AND($U501&lt;&gt;"",OR(NOT(ISNUMBER($U501)),$U501&lt;0)),"Plan Funding Amount must be a nonnegative number; ","")&amp;IF(AND($A501&lt;&gt;"",$S501&lt;&gt;"",COUNTIFS($A$2:$A$501,$A501,$B$2:$B$501,$B501,$S$2:$S$501,$S501)&gt;1),"Duplicate participant and plan row; ",""))</f>
        <v/>
      </c>
      <c r="AD501">
        <f>IF(COUNTA($A501:$U501)=0,"",IF(AND($X501="Employee",$M501="",$N501=""),"No employee phone or email provided; ","")&amp;IF(AND($R501="Active",$Q501&lt;&gt;""),"Active record includes a Termination Date; confirm this is intentional; ","")&amp;IF(AND($B501&lt;&gt;"",$B501&amp;""&lt;&gt;$A501&amp;"",COUNTIF($A$2:$A$501,$B501)&gt;0),"Dependent SSN also appears as an Employee SSN elsewhere; confirm dual-employee coverage is intentional; ","")&amp;IF(AND($B501&lt;&gt;"",COUNTIF($B$2:$B$501,$B501)&gt;COUNTIFS($A$2:$A$501,$A501,$B$2:$B$501,$B501)),"Dependent SSN appears under more than one employee; confirm duplicate family coverage is intentional; ","")&amp;IF(AND(ROW()&gt;2,$A501&lt;&gt;"",$A501&lt;&gt;$A500,COUNTIF($A$2:$A500,$A501)&gt;0),"This household appears in more than one section of the census; keep the family together; ","")&amp;IF(OR(AND($C501&lt;&gt;"",LEN($C501&amp;"")&lt;&gt;LEN(TRIM($C501&amp;""))),AND($D501&lt;&gt;"",LEN($D501&amp;"")&lt;&gt;LEN(TRIM($D501&amp;""))),AND($E501&lt;&gt;"",LEN($E501&amp;"")&lt;&gt;LEN(TRIM($E501&amp;""))),AND($F501&lt;&gt;"",LEN($F501&amp;"")&lt;&gt;LEN(TRIM($F501&amp;""))),AND($G501&lt;&gt;"",LEN($G501&amp;"")&lt;&gt;LEN(TRIM($G501&amp;""))),AND($H501&lt;&gt;"",LEN($H501&amp;"")&lt;&gt;LEN(TRIM($H501&amp;""))),AND($I501&lt;&gt;"",LEN($I501&amp;"")&lt;&gt;LEN(TRIM($I501&amp;""))),AND($J501&lt;&gt;"",LEN($J501&amp;"")&lt;&gt;LEN(TRIM($J501&amp;""))),AND($K501&lt;&gt;"",LEN($K501&amp;"")&lt;&gt;LEN(TRIM($K501&amp;""))),AND($M501&lt;&gt;"",LEN($M501&amp;"")&lt;&gt;LEN(TRIM($M501&amp;""))),AND($N501&lt;&gt;"",LEN($N501&amp;"")&lt;&gt;LEN(TRIM($N501&amp;""))),AND($O501&lt;&gt;"",LEN($O501&amp;"")&lt;&gt;LEN(TRIM($O501&amp;""))),AND($R501&lt;&gt;"",LEN($R501&amp;"")&lt;&gt;LEN(TRIM($R501&amp;""))),AND($S501&lt;&gt;"",LEN($S501&amp;"")&lt;&gt;LEN(TRIM($S501&amp;""))),AND($T501&lt;&gt;"",LEN($T501&amp;"")&lt;&gt;LEN(TRIM($T501&amp;"")))),"Remove leading or trailing spaces from text fields; ","")&amp;IF(OR(AND(LEN($C501)&gt;1,OR(EXACT($C501,UPPER($C501)),EXACT($C501,LOWER($C501)))),AND(LEN($D501)&gt;1,OR(EXACT($D501,UPPER($D501)),EXACT($D501,LOWER($D501)))),AND(LEN($H501)&gt;1,OR(EXACT($H501,UPPER($H501)),EXACT($H501,LOWER($H501))))),"Review capitalization in First Name, Last Name, or City; ","")&amp;IF(AND($N501&lt;&gt;"",NOT(EXACT($N501,LOWER($N501)))),"Email will be standardized to lowercase in the clean output; ","")&amp;IF(AND(OR('START HERE'!$C$8="Initial Enrollment",'START HERE'!$C$8="Open Enrollment"),$R501="Terminated"),"A terminated row is included in an initial or open enrollment file; confirm this is intentional; ",""))</f>
        <v/>
      </c>
      <c r="AE501">
        <f>IF(COUNTA($A501:$U501)=0,"",IF(OR($A501="",AND($A501&lt;&gt;"",NOT(IFERROR(AND(LEN($A501&amp;"")=9,ISNUMBER(--($A501&amp;""))),FALSE))),AND($A501&lt;&gt;"",OR($A501="123456789",$A501="987654321",$A501="012345678",$A501=REPT(LEFT($A501&amp;"",1),9)))),"Employee SSN, ","")&amp;IF(OR(AND($O501&lt;&gt;"",$B501=""),AND($B501&lt;&gt;"",OR(NOT(IFERROR(AND(LEN($B501&amp;"")=9,ISNUMBER(--($B501&amp;""))),FALSE)),$B501=$A501,$B501="123456789",$B501="987654321",$B501="012345678",$B501=REPT(LEFT($B501&amp;"",1),9)))),"Dependent SSN, ","")&amp;IF(OR($C501="",LEN($C501)&gt;19,AND($C501&lt;&gt;"",SUMPRODUCT(--(ROW($1:$19)&lt;=LEN($C501&amp;"")),--ISERROR(FIND(MID($C501&amp;"",ROW($1:$19),1),"ABCDEFGHIJKLMNOPQRSTUVWXYZabcdefghijklmnopqrstuvwxyz .,")))&gt;0)),"First Name, ","")&amp;IF(OR($D501="",LEN($D501)&gt;26,AND($D501&lt;&gt;"",SUMPRODUCT(--(ROW($1:$26)&lt;=LEN($D501&amp;"")),--ISERROR(FIND(MID($D501&amp;"",ROW($1:$26),1),"ABCDEFGHIJKLMNOPQRSTUVWXYZabcdefghijklmnopqrstuvwxyz .,")))&gt;0)),"Last Name, ","")&amp;IF(OR(LEN($E501)&gt;1,AND($E501&lt;&gt;"",SUMPRODUCT(--(ROW($1:$1)&lt;=LEN($E501&amp;"")),--ISERROR(FIND(MID($E501&amp;"",ROW($1:$1),1),"ABCDEFGHIJKLMNOPQRSTUVWXYZabcdefghijklmnopqrstuvwxyz .,")))&gt;0)),"Middle Initial, ","")&amp;IF(OR($F501="",LEN($F501)&gt;75),"Address, ","")&amp;IF(OR($H501="",LEN($H501)&gt;30),"City, ","")&amp;IF(AND($K501="US",OR($I501="",LEN($I501)&lt;&gt;2)),"State, ","")&amp;IF($J501="","ZIP, ","")&amp;IF(OR($K501="",AND($K501&lt;&gt;"US",$K501&lt;&gt;"CA")),"Country, ","")&amp;IF(OR($L501="",AND($L501&lt;&gt;"",OR(NOT(ISNUMBER($L501)),$L501&lt;=DATE(1900,1,1),$L501&gt;TODAY()))),"Birthdate, ","")&amp;IF(AND($N501&lt;&gt;"",NOT(IFERROR(AND(ISNUMBER(SEARCH("@",$N501)),ISNUMBER(SEARCH(".",$N501,SEARCH("@",$N501)+2))),FALSE))),"Email, ","")&amp;IF(OR(AND($B501&lt;&gt;"",$O501=""),AND($O501&lt;&gt;"",$O501&lt;&gt;"Spouse or Common Law Spouse",$O501&lt;&gt;"Domestic Partner",$O501&lt;&gt;"Child",$O501&lt;&gt;"Other",$O501&lt;&gt;"Estate",$O501&lt;&gt;"Unknown")),"Dependent Relationship, ","")&amp;IF($AA501&lt;&gt;"","Household, ","")&amp;IF(OR($P501="",AND($P501&lt;&gt;"",OR(NOT(ISNUMBER($P501)),$P501&lt;=DATE(1900,1,1)))),"Eligibility Date, ","")&amp;IF(OR(AND($R501="Terminated",$Q501=""),AND($Q501&lt;&gt;"",OR(NOT(ISNUMBER($Q501)),$Q501&lt;=DATE(1900,1,1))),AND(ISNUMBER($P501),ISNUMBER($Q501),$Q501&lt;$P501)),"Termination Date, ","")&amp;IF(OR($R501="",AND($R501&lt;&gt;"Active",$R501&lt;&gt;"Terminated"),AND('START HERE'!$C$8="Terminations Only",$R501&lt;&gt;"Terminated")),"Status, ","")&amp;IF($S501="","Plan Name, ","")&amp;IF($T501="","Coverage Level, ","")&amp;IF(AND($U501&lt;&gt;"",OR(NOT(ISNUMBER($U501)),$U501&lt;0)),"Funding, ","")&amp;IF(AND($A501&lt;&gt;"",$S501&lt;&gt;"",COUNTIFS($A$2:$A$501,$A501,$B$2:$B$501,$B501,$S$2:$S$501,$S501)&gt;1),"Duplicate Row, ",""))</f>
        <v/>
      </c>
      <c r="AF501">
        <f>IF(COUNTA($A501:$U501)=0,"",$Y501&amp;$Z501&amp;$AA501&amp;$AB501&amp;$AC501)</f>
        <v/>
      </c>
      <c r="AG501">
        <f>IF($N501="","",LOWER(TRIM($N501)))</f>
        <v/>
      </c>
      <c r="AH501">
        <f>IF($A501="","",COUNTIFS($A$2:$A$501,$A501,$AI$2:$AI$501,1))</f>
        <v/>
      </c>
      <c r="AI501">
        <f>IF(COUNTA($A501:$U501)=0,"",--($AF501&lt;&gt;""))</f>
        <v/>
      </c>
      <c r="AJ501">
        <f>IF(COUNTA($A501:$U501)=0,"",--($AD501&lt;&gt;""))</f>
        <v/>
      </c>
    </row>
  </sheetData>
  <sheetProtection selectLockedCells="0" selectUnlockedCells="0" sheet="1" objects="1" insertRows="1" insertHyperlinks="1" autoFilter="0" scenarios="1" formatColumns="1" deleteColumns="1" insertColumns="1" pivotTables="1" deleteRows="1" formatCells="1" formatRows="1" sort="0"/>
  <autoFilter ref="A1:U501"/>
  <conditionalFormatting sqref="A2:A501">
    <cfRule type="expression" priority="4" dxfId="8">
      <formula>AND(COUNTA($A2:$U2)&gt;0,OR($A2="",NOT(IFERROR(AND(LEN($A2&amp;"")=9,ISNUMBER(--($A2&amp;""))),FALSE)),OR($A2="123456789",AND($A2&lt;&gt;"",$A2=REPT(LEFT($A2&amp;"",1),9)))))</formula>
    </cfRule>
    <cfRule type="expression" priority="5" dxfId="15">
      <formula>$AH2&gt;0</formula>
    </cfRule>
  </conditionalFormatting>
  <conditionalFormatting sqref="B2:B501">
    <cfRule type="expression" priority="6" dxfId="8">
      <formula>AND(COUNTA($A2:$U2)&gt;0,OR(AND($O2&lt;&gt;"",$B2=""),AND($B2&lt;&gt;"",OR(NOT(IFERROR(AND(LEN($B2&amp;"")=9,ISNUMBER(--($B2&amp;""))),FALSE)),OR($B2="123456789",AND($B2&lt;&gt;"",$B2=REPT(LEFT($B2&amp;"",1),9))),$B2=$A2,COUNTIFS($A$2:$A$501,$A2,$B$2:$B$501,$B2)&gt;COUNTIFS($A$2:$A$501,$A2,$B$2:$B$501,$B2,$C$2:$C$501,$C2,$D$2:$D$501,$D2,$L$2:$L$501,$L2)))))</formula>
    </cfRule>
    <cfRule type="expression" priority="7" dxfId="9">
      <formula>AND($B2&lt;&gt;"",$B2&lt;&gt;$A2,COUNTIF($A$2:$A$501,$B2)&gt;0)</formula>
    </cfRule>
  </conditionalFormatting>
  <conditionalFormatting sqref="C2:C501">
    <cfRule type="expression" priority="8" dxfId="8">
      <formula>AND(COUNTA($A2:$U2)&gt;0,OR($C2="",LEN($C2&amp;"")&gt;19))</formula>
    </cfRule>
    <cfRule type="expression" priority="9" dxfId="16">
      <formula>AND($C2&lt;&gt;"",LEN($C2)&gt;1,OR(EXACT($C2,UPPER($C2)),EXACT($C2,LOWER($C2))))</formula>
    </cfRule>
    <cfRule type="expression" priority="1" dxfId="19" stopIfTrue="1">
      <formula>AND($C2&lt;&gt;"",SUMPRODUCT(--(ROW($1:$19)&lt;=LEN($C2&amp;"")),--ISERROR(FIND(MID($C2&amp;"",ROW($1:$19),1),"ABCDEFGHIJKLMNOPQRSTUVWXYZabcdefghijklmnopqrstuvwxyz .,")))&gt;0)</formula>
    </cfRule>
  </conditionalFormatting>
  <conditionalFormatting sqref="D2:D501">
    <cfRule type="expression" priority="10" dxfId="8">
      <formula>AND(COUNTA($A2:$U2)&gt;0,OR($D2="",LEN($D2&amp;"")&gt;26))</formula>
    </cfRule>
    <cfRule type="expression" priority="11" dxfId="16">
      <formula>AND($D2&lt;&gt;"",LEN($D2)&gt;1,OR(EXACT($D2,UPPER($D2)),EXACT($D2,LOWER($D2))))</formula>
    </cfRule>
    <cfRule type="expression" priority="2" dxfId="19" stopIfTrue="1">
      <formula>AND($D2&lt;&gt;"",SUMPRODUCT(--(ROW($1:$26)&lt;=LEN($D2&amp;"")),--ISERROR(FIND(MID($D2&amp;"",ROW($1:$26),1),"ABCDEFGHIJKLMNOPQRSTUVWXYZabcdefghijklmnopqrstuvwxyz .,")))&gt;0)</formula>
    </cfRule>
  </conditionalFormatting>
  <conditionalFormatting sqref="E2:E501">
    <cfRule type="expression" priority="12" dxfId="8">
      <formula>AND(COUNTA($A2:$U2)&gt;0,LEN($E2&amp;"")&gt;1)</formula>
    </cfRule>
    <cfRule type="expression" priority="3" dxfId="19" stopIfTrue="1">
      <formula>AND($E2&lt;&gt;"",SUMPRODUCT(--(ROW($1:$1)&lt;=LEN($E2&amp;"")),--ISERROR(FIND(MID($E2&amp;"",ROW($1:$1),1),"ABCDEFGHIJKLMNOPQRSTUVWXYZabcdefghijklmnopqrstuvwxyz .,")))&gt;0)</formula>
    </cfRule>
  </conditionalFormatting>
  <conditionalFormatting sqref="F2:F501">
    <cfRule type="expression" priority="13" dxfId="8">
      <formula>AND(COUNTA($A2:$U2)&gt;0,OR($F2="",LEN($F2&amp;"")&gt;75))</formula>
    </cfRule>
  </conditionalFormatting>
  <conditionalFormatting sqref="G2:G501">
    <cfRule type="expression" priority="14" dxfId="8">
      <formula>AND(COUNTA($A2:$U2)&gt;0,LEN($G2&amp;"")&gt;75)</formula>
    </cfRule>
  </conditionalFormatting>
  <conditionalFormatting sqref="H2:H501">
    <cfRule type="expression" priority="15" dxfId="8">
      <formula>AND(COUNTA($A2:$U2)&gt;0,OR($H2="",LEN($H2&amp;"")&gt;30))</formula>
    </cfRule>
    <cfRule type="expression" priority="16" dxfId="16">
      <formula>AND($H2&lt;&gt;"",LEN($H2)&gt;1,OR(EXACT($H2,UPPER($H2)),EXACT($H2,LOWER($H2))))</formula>
    </cfRule>
  </conditionalFormatting>
  <conditionalFormatting sqref="I2:I501">
    <cfRule type="expression" priority="17" dxfId="8">
      <formula>AND(COUNTA($A2:$U2)&gt;0,$K2="US",OR($I2="",LEN($I2&amp;"")&lt;&gt;2))</formula>
    </cfRule>
  </conditionalFormatting>
  <conditionalFormatting sqref="J2:J501">
    <cfRule type="expression" priority="18" dxfId="8">
      <formula>AND(COUNTA($A2:$U2)&gt;0,OR($J2="",AND($K2="US",NOT(IFERROR(OR(AND(LEN($J2&amp;"")=5,ISNUMBER(--($J2&amp;""))),AND(LEN($J2&amp;"")=9,ISNUMBER(--($J2&amp;""))),AND(LEN($J2&amp;"")=10,MID($J2&amp;"",6,1)="-",ISNUMBER(--SUBSTITUTE($J2&amp;"","-","")))),FALSE)))))</formula>
    </cfRule>
  </conditionalFormatting>
  <conditionalFormatting sqref="K2:K501">
    <cfRule type="expression" priority="19" dxfId="8">
      <formula>AND(COUNTA($A2:$U2)&gt;0,OR($K2="",AND($K2&lt;&gt;"US",$K2&lt;&gt;"CA")))</formula>
    </cfRule>
  </conditionalFormatting>
  <conditionalFormatting sqref="L2:L501">
    <cfRule type="expression" priority="20" dxfId="8">
      <formula>AND(COUNTA($A2:$U2)&gt;0,OR($L2="",NOT(ISNUMBER($L2)),$L2&lt;=DATE(1900,1,1),$L2&gt;TODAY()))</formula>
    </cfRule>
  </conditionalFormatting>
  <conditionalFormatting sqref="N2:N501">
    <cfRule type="expression" priority="21" dxfId="8">
      <formula>AND($N2&lt;&gt;"",NOT(IFERROR(AND(ISNUMBER(SEARCH("@",$N2)),ISNUMBER(SEARCH(".",$N2,SEARCH("@",$N2)+2))),FALSE)))</formula>
    </cfRule>
    <cfRule type="expression" priority="22" dxfId="16">
      <formula>AND($N2&lt;&gt;"",NOT(EXACT($N2,LOWER($N2))))</formula>
    </cfRule>
  </conditionalFormatting>
  <conditionalFormatting sqref="O2:O501">
    <cfRule type="expression" priority="23" dxfId="8">
      <formula>AND(COUNTA($A2:$U2)&gt;0,$B2&lt;&gt;"",$O2="")</formula>
    </cfRule>
    <cfRule type="expression" priority="24" dxfId="10" stopIfTrue="0">
      <formula>AND($O2&lt;&gt;"",$O2&lt;&gt;"Spouse or Common Law Spouse",$O2&lt;&gt;"Domestic Partner",$O2&lt;&gt;"Child",$O2&lt;&gt;"Other",$O2&lt;&gt;"Estate",$O2&lt;&gt;"Unknown")</formula>
    </cfRule>
  </conditionalFormatting>
  <conditionalFormatting sqref="P2:P501">
    <cfRule type="expression" priority="25" dxfId="8">
      <formula>AND(COUNTA($A2:$U2)&gt;0,OR($P2="",NOT(ISNUMBER($P2)),$P2&lt;=DATE(1900,1,1)))</formula>
    </cfRule>
  </conditionalFormatting>
  <conditionalFormatting sqref="Q2:Q501">
    <cfRule type="expression" priority="26" dxfId="8">
      <formula>AND(COUNTA($A2:$U2)&gt;0,OR(AND($R2="Terminated",$Q2=""),AND($Q2&lt;&gt;"",OR(NOT(ISNUMBER($Q2)),$Q2&lt;=DATE(1900,1,1))),AND(ISNUMBER($P2),ISNUMBER($Q2),$Q2&lt;$P2)))</formula>
    </cfRule>
  </conditionalFormatting>
  <conditionalFormatting sqref="R2:R501">
    <cfRule type="expression" priority="27" dxfId="8">
      <formula>AND(COUNTA($A2:$U2)&gt;0,OR($R2="",AND($R2&lt;&gt;"Active",$R2&lt;&gt;"Terminated")))</formula>
    </cfRule>
  </conditionalFormatting>
  <conditionalFormatting sqref="S2:S501">
    <cfRule type="expression" priority="28" dxfId="8">
      <formula>AND(COUNTA($A2:$U2)&gt;0,$S2="")</formula>
    </cfRule>
  </conditionalFormatting>
  <conditionalFormatting sqref="T2:T501">
    <cfRule type="expression" priority="29" dxfId="8">
      <formula>AND(COUNTA($A2:$U2)&gt;0,$T2="")</formula>
    </cfRule>
  </conditionalFormatting>
  <conditionalFormatting sqref="U2:U501">
    <cfRule type="expression" priority="30" dxfId="8">
      <formula>AND($U2&lt;&gt;"",OR(NOT(ISNUMBER($U2)),$U2&lt;0))</formula>
    </cfRule>
  </conditionalFormatting>
  <conditionalFormatting sqref="Q2:R501">
    <cfRule type="expression" priority="31" dxfId="9">
      <formula>AND($R2="Active",$Q2&lt;&gt;"")</formula>
    </cfRule>
  </conditionalFormatting>
  <conditionalFormatting sqref="C2:K501">
    <cfRule type="expression" priority="32" dxfId="16">
      <formula>AND(C2&lt;&gt;"",LEN(C2&amp;"")&lt;&gt;LEN(TRIM(C2&amp;"")))</formula>
    </cfRule>
  </conditionalFormatting>
  <conditionalFormatting sqref="M2:O501">
    <cfRule type="expression" priority="33" dxfId="16">
      <formula>AND(M2&lt;&gt;"",LEN(M2&amp;"")&lt;&gt;LEN(TRIM(M2&amp;"")))</formula>
    </cfRule>
  </conditionalFormatting>
  <conditionalFormatting sqref="R2:T501">
    <cfRule type="expression" priority="34" dxfId="16">
      <formula>AND(R2&lt;&gt;"",LEN(R2&amp;"")&lt;&gt;LEN(TRIM(R2&amp;"")))</formula>
    </cfRule>
  </conditionalFormatting>
  <conditionalFormatting sqref="A2:U501">
    <cfRule type="expression" priority="35" dxfId="17">
      <formula>AND($A2&lt;&gt;"",$V2=1)</formula>
    </cfRule>
  </conditionalFormatting>
  <dataValidations count="12">
    <dataValidation sqref="I2:I501" showDropDown="0" showInputMessage="0" showErrorMessage="1" allowBlank="1" errorTitle="Invalid selection" error="Select a value from the list." type="list">
      <formula1>"AL,AK,AZ,AR,CA,CO,CT,DE,DC,FL,GA,HI,ID,IL,IN,IA,KS,KY,LA,ME,MD,MA,MI,MN,MS,MO,MT,NE,NV,NH,NJ,NM,NY,NC,ND,OH,OK,OR,PA,RI,SC,SD,TN,TX,UT,VT,VA,WA,WV,WI,WY,AS,GU,MP,PR,VI"</formula1>
    </dataValidation>
    <dataValidation sqref="K2:K501" showDropDown="0" showInputMessage="0" showErrorMessage="1" allowBlank="1" errorTitle="Invalid selection" error="Select a value from the list." type="list">
      <formula1>"US,CA"</formula1>
    </dataValidation>
    <dataValidation sqref="O2:O501" showDropDown="0" showInputMessage="1" showErrorMessage="1" allowBlank="1" errorTitle="Choose a listed dependent type" error="Select one of the approved dependent relationship values." promptTitle="Dependent relationship" prompt="Choose the applicable Alegeus dependent type. Leave blank on the employee row." type="list" errorStyle="stop">
      <formula1>"Spouse or Common Law Spouse,Domestic Partner,Child,Other,Estate,Unknown"</formula1>
    </dataValidation>
    <dataValidation sqref="R2:R501" showDropDown="0" showInputMessage="0" showErrorMessage="1" allowBlank="1" errorTitle="Invalid selection" error="Select a value from the list." type="list">
      <formula1>"Active,Terminated"</formula1>
    </dataValidation>
    <dataValidation sqref="T2:T501" showDropDown="0" showInputMessage="1" showErrorMessage="0" allowBlank="1" errorTitle="Review coverage level" promptTitle="Coverage level" prompt="Examples: Employee Only or Family. Other clear tier descriptions are accepted." type="list">
      <formula1>"Employee Only,Employee + Spouse,Employee + 1,Employee + 2,Employee + 3+,Family"</formula1>
    </dataValidation>
    <dataValidation sqref="A2:A501" showDropDown="0" showInputMessage="0" showErrorMessage="1" allowBlank="1" errorTitle="Invalid value" error="Enter exactly 9 digits with no dashes." type="custom">
      <formula1>=OR(COUNTA($A2:$U2)=0,AND(LEN($A2)=9,ISNUMBER(VALUE($A2))))</formula1>
    </dataValidation>
    <dataValidation sqref="B2:B501" showDropDown="0" showInputMessage="0" showErrorMessage="1" allowBlank="1" errorTitle="Invalid value" error="Dependent SSN is required for dependent rows and must contain exactly 9 digits." type="custom">
      <formula1>=OR(COUNTA($A2:$U2)=0,AND($O2="",$B2=""),AND($O2&lt;&gt;"",LEN($B2)=9,ISNUMBER(VALUE($B2))))</formula1>
    </dataValidation>
    <dataValidation sqref="L2:L501" showDropDown="0" showInputMessage="0" showErrorMessage="1" allowBlank="1" errorTitle="Invalid value" error="Enter an exact valid date of birth." type="custom">
      <formula1>=OR(COUNTA($A2:$U2)=0,AND(ISNUMBER($L2),$L2&gt;DATE(1900,1,1),$L2&lt;=TODAY()))</formula1>
    </dataValidation>
    <dataValidation sqref="P2:P501" showDropDown="0" showInputMessage="0" showErrorMessage="1" allowBlank="1" errorTitle="Invalid value" error="Enter a valid eligibility date." type="custom">
      <formula1>=OR(COUNTA($A2:$U2)=0,AND(ISNUMBER($P2),$P2&gt;DATE(1900,1,1)))</formula1>
    </dataValidation>
    <dataValidation sqref="Q2:Q501" showDropDown="0" showInputMessage="0" showErrorMessage="1" allowBlank="1" errorTitle="Invalid value" error="Enter a valid termination date or leave blank." type="custom">
      <formula1>=OR($Q2="",AND(ISNUMBER($Q2),$Q2&gt;DATE(1900,1,1)))</formula1>
    </dataValidation>
    <dataValidation sqref="U2:U501" showDropDown="0" showInputMessage="0" showErrorMessage="1" allowBlank="1" errorTitle="Invalid amount" error="Enter a nonnegative amount or leave blank." type="decimal" operator="greaterThanOrEqual">
      <formula1>0</formula1>
    </dataValidation>
    <dataValidation sqref="S2:S501" showDropDown="0" showInputMessage="1" showErrorMessage="0" allowBlank="1" errorTitle="Review plan name" promptTitle="Plan name" prompt="Use a simple label such as Kaiser, Anthem, or Blue Shield." type="textLength" operator="lessThanOrEqual">
      <formula1>100</formula1>
    </dataValidation>
  </dataValidation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F7F86"/>
    <outlinePr summaryBelow="1" summaryRight="1"/>
    <pageSetUpPr fitToPage="1"/>
  </sheetPr>
  <dimension ref="A1:K5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8" customWidth="1" min="3" max="3"/>
    <col width="14" customWidth="1" min="4" max="4"/>
    <col width="22" customWidth="1" min="5" max="5"/>
    <col width="12" customWidth="1" min="6" max="6"/>
    <col width="32" customWidth="1" min="7" max="7"/>
    <col width="70" customWidth="1" min="8" max="8"/>
    <col width="60" customWidth="1" min="9" max="9"/>
    <col hidden="1" width="3" customWidth="1" min="10" max="10"/>
    <col hidden="1" width="3" customWidth="1" min="11" max="11"/>
  </cols>
  <sheetData>
    <row r="1" ht="34" customHeight="1">
      <c r="A1" s="84" t="inlineStr">
        <is>
          <t>Enrollment Census Validation</t>
        </is>
      </c>
    </row>
    <row r="2" ht="28" customHeight="1">
      <c r="A2" s="85" t="inlineStr">
        <is>
          <t>Review every item marked FIX before submitting. REVIEW items may be valid, but should be confirmed. Names must use plain A-Z characters, and SSNs are masked on this page.</t>
        </is>
      </c>
    </row>
    <row r="4" ht="26" customHeight="1">
      <c r="A4" s="86" t="inlineStr">
        <is>
          <t>Overall Status</t>
        </is>
      </c>
      <c r="B4" s="87">
        <f>IF($I$4=0,"NO DATA",IF($E$4&gt;0,"FIX ERRORS",IF($G$4&gt;0,"READY WITH WARNINGS","READY TO SUBMIT")))</f>
        <v/>
      </c>
      <c r="D4" s="86" t="inlineStr">
        <is>
          <t>Items to Fix</t>
        </is>
      </c>
      <c r="E4" s="87">
        <f>COUNTIF($F$8:$F$510,"FIX")</f>
        <v/>
      </c>
      <c r="F4" s="86" t="inlineStr">
        <is>
          <t>Warnings</t>
        </is>
      </c>
      <c r="G4" s="87">
        <f>COUNTIF($I$11:$I$510,"?*")</f>
        <v/>
      </c>
      <c r="H4" s="86" t="inlineStr">
        <is>
          <t>Rows Entered</t>
        </is>
      </c>
      <c r="I4" s="87">
        <f>COUNTIF($A$11:$A$510,"&gt;0")</f>
        <v/>
      </c>
    </row>
    <row r="5" ht="26" customHeight="1">
      <c r="A5" s="86" t="inlineStr">
        <is>
          <t>Employees</t>
        </is>
      </c>
      <c r="B5" s="87">
        <f>IFERROR(SUMPRODUCT(('Enrollment Census'!$A$2:$A$501&lt;&gt;"")/COUNTIF('Enrollment Census'!$A$2:$A$501,'Enrollment Census'!$A$2:$A$501&amp;"")),0)</f>
        <v/>
      </c>
      <c r="D5" s="86" t="inlineStr">
        <is>
          <t>Dependents</t>
        </is>
      </c>
      <c r="E5" s="87">
        <f>IFERROR(SUMPRODUCT(('Enrollment Census'!$B$2:$B$501&lt;&gt;"")/COUNTIF('Enrollment Census'!$B$2:$B$501,'Enrollment Census'!$B$2:$B$501&amp;"")),0)</f>
        <v/>
      </c>
      <c r="F5" s="86" t="inlineStr">
        <is>
          <t>Households with Errors</t>
        </is>
      </c>
      <c r="G5" s="87">
        <f>IFERROR(SUMPRODUCT(('Enrollment Census'!$A$2:$A$501&lt;&gt;"")*('Enrollment Census'!$AH$2:$AH$501&gt;0)/COUNTIF('Enrollment Census'!$A$2:$A$501,'Enrollment Census'!$A$2:$A$501&amp;"")),0)</f>
        <v/>
      </c>
      <c r="H5" s="86" t="inlineStr">
        <is>
          <t>Submission Type</t>
        </is>
      </c>
      <c r="I5" s="87">
        <f>'START HERE'!$C$8</f>
        <v/>
      </c>
    </row>
    <row r="7" ht="24" customHeight="1">
      <c r="A7" s="88" t="inlineStr">
        <is>
          <t>Validation details</t>
        </is>
      </c>
    </row>
    <row r="8" ht="34" customHeight="1">
      <c r="A8" s="89" t="inlineStr">
        <is>
          <t>Workbook</t>
        </is>
      </c>
      <c r="B8" s="89" t="inlineStr">
        <is>
          <t>Submission settings</t>
        </is>
      </c>
      <c r="C8" s="89">
        <f>'START HERE'!$C$8</f>
        <v/>
      </c>
      <c r="D8" s="89" t="inlineStr">
        <is>
          <t>Workbook</t>
        </is>
      </c>
      <c r="E8" s="89" t="n"/>
      <c r="F8" s="89">
        <f>IF($I$4=0,"READY",IF('START HERE'!$C$8="","FIX","READY"))</f>
        <v/>
      </c>
      <c r="G8" s="89">
        <f>IF(AND($I$4&gt;0,'START HERE'!$C$8=""),"Submission Type","")</f>
        <v/>
      </c>
      <c r="H8" s="89">
        <f>IF(AND($I$4&gt;0,'START HERE'!$C$8=""),"Select the type of file on START HERE before submitting.","")</f>
        <v/>
      </c>
      <c r="I8" s="89" t="inlineStr"/>
      <c r="K8">
        <f>IF($F8="FIX",ROW(),IF($F8="REVIEW",1000+ROW(),""))</f>
        <v/>
      </c>
    </row>
    <row r="10" ht="34" customHeight="1">
      <c r="A10" s="90" t="inlineStr">
        <is>
          <t>Census Row</t>
        </is>
      </c>
      <c r="B10" s="90" t="inlineStr">
        <is>
          <t>Household</t>
        </is>
      </c>
      <c r="C10" s="90" t="inlineStr">
        <is>
          <t>Participant</t>
        </is>
      </c>
      <c r="D10" s="90" t="inlineStr">
        <is>
          <t>Record Type</t>
        </is>
      </c>
      <c r="E10" s="90" t="inlineStr">
        <is>
          <t>Plan Name</t>
        </is>
      </c>
      <c r="F10" s="90" t="inlineStr">
        <is>
          <t>Status</t>
        </is>
      </c>
      <c r="G10" s="90" t="inlineStr">
        <is>
          <t>Fields to Review</t>
        </is>
      </c>
      <c r="H10" s="90" t="inlineStr">
        <is>
          <t>How to Fix</t>
        </is>
      </c>
      <c r="I10" s="90" t="inlineStr">
        <is>
          <t>Warnings</t>
        </is>
      </c>
    </row>
    <row r="11" ht="36" customHeight="1">
      <c r="A11" s="91">
        <f>IF(COUNTA('Enrollment Census'!$A2:$U2)&gt;0,2,"")</f>
        <v/>
      </c>
      <c r="B11" s="91">
        <f>IF($A11="","","Employee ending "&amp;RIGHT('Enrollment Census'!$A2&amp;"",4)&amp;IF('Enrollment Census'!$AH2&gt;0," • "&amp;'Enrollment Census'!$AH2&amp;" row"&amp;IF('Enrollment Census'!$AH2=1,"","s")&amp;" need attention",""))</f>
        <v/>
      </c>
      <c r="C11" s="91">
        <f>IF($A11="","",TRIM('Enrollment Census'!$C2&amp;" "&amp;'Enrollment Census'!$D2)&amp;" • ending "&amp;RIGHT('Enrollment Census'!$W2&amp;"",4))</f>
        <v/>
      </c>
      <c r="D11" s="91">
        <f>IF($A11="","",'Enrollment Census'!$X2)</f>
        <v/>
      </c>
      <c r="E11" s="91">
        <f>IF($A11="","",'Enrollment Census'!$S2)</f>
        <v/>
      </c>
      <c r="F11" s="91">
        <f>IF($A11="","",IF('Enrollment Census'!$AF2&lt;&gt;"","FIX",IF('Enrollment Census'!$AD2&lt;&gt;"","REVIEW","READY")))</f>
        <v/>
      </c>
      <c r="G11" s="91">
        <f>IF($A11="","",'Enrollment Census'!$AE2)</f>
        <v/>
      </c>
      <c r="H11" s="91">
        <f>IF($A11="","",'Enrollment Census'!$AF2)</f>
        <v/>
      </c>
      <c r="I11" s="91">
        <f>IF($A11="","",'Enrollment Census'!$AD2)</f>
        <v/>
      </c>
      <c r="J11">
        <f>IF($A11="","",'Enrollment Census'!$A2)</f>
        <v/>
      </c>
      <c r="K11">
        <f>IF($F11="FIX",ROW(),IF($F11="REVIEW",1000+ROW(),""))</f>
        <v/>
      </c>
    </row>
    <row r="12" ht="36" customHeight="1">
      <c r="A12" s="91">
        <f>IF(COUNTA('Enrollment Census'!$A3:$U3)&gt;0,3,"")</f>
        <v/>
      </c>
      <c r="B12" s="91">
        <f>IF($A12="","","Employee ending "&amp;RIGHT('Enrollment Census'!$A3&amp;"",4)&amp;IF('Enrollment Census'!$AH3&gt;0," • "&amp;'Enrollment Census'!$AH3&amp;" row"&amp;IF('Enrollment Census'!$AH3=1,"","s")&amp;" need attention",""))</f>
        <v/>
      </c>
      <c r="C12" s="91">
        <f>IF($A12="","",TRIM('Enrollment Census'!$C3&amp;" "&amp;'Enrollment Census'!$D3)&amp;" • ending "&amp;RIGHT('Enrollment Census'!$W3&amp;"",4))</f>
        <v/>
      </c>
      <c r="D12" s="91">
        <f>IF($A12="","",'Enrollment Census'!$X3)</f>
        <v/>
      </c>
      <c r="E12" s="91">
        <f>IF($A12="","",'Enrollment Census'!$S3)</f>
        <v/>
      </c>
      <c r="F12" s="91">
        <f>IF($A12="","",IF('Enrollment Census'!$AF3&lt;&gt;"","FIX",IF('Enrollment Census'!$AD3&lt;&gt;"","REVIEW","READY")))</f>
        <v/>
      </c>
      <c r="G12" s="91">
        <f>IF($A12="","",'Enrollment Census'!$AE3)</f>
        <v/>
      </c>
      <c r="H12" s="91">
        <f>IF($A12="","",'Enrollment Census'!$AF3)</f>
        <v/>
      </c>
      <c r="I12" s="91">
        <f>IF($A12="","",'Enrollment Census'!$AD3)</f>
        <v/>
      </c>
      <c r="J12">
        <f>IF($A12="","",'Enrollment Census'!$A3)</f>
        <v/>
      </c>
      <c r="K12">
        <f>IF($F12="FIX",ROW(),IF($F12="REVIEW",1000+ROW(),""))</f>
        <v/>
      </c>
    </row>
    <row r="13" ht="36" customHeight="1">
      <c r="A13" s="91">
        <f>IF(COUNTA('Enrollment Census'!$A4:$U4)&gt;0,4,"")</f>
        <v/>
      </c>
      <c r="B13" s="91">
        <f>IF($A13="","","Employee ending "&amp;RIGHT('Enrollment Census'!$A4&amp;"",4)&amp;IF('Enrollment Census'!$AH4&gt;0," • "&amp;'Enrollment Census'!$AH4&amp;" row"&amp;IF('Enrollment Census'!$AH4=1,"","s")&amp;" need attention",""))</f>
        <v/>
      </c>
      <c r="C13" s="91">
        <f>IF($A13="","",TRIM('Enrollment Census'!$C4&amp;" "&amp;'Enrollment Census'!$D4)&amp;" • ending "&amp;RIGHT('Enrollment Census'!$W4&amp;"",4))</f>
        <v/>
      </c>
      <c r="D13" s="91">
        <f>IF($A13="","",'Enrollment Census'!$X4)</f>
        <v/>
      </c>
      <c r="E13" s="91">
        <f>IF($A13="","",'Enrollment Census'!$S4)</f>
        <v/>
      </c>
      <c r="F13" s="91">
        <f>IF($A13="","",IF('Enrollment Census'!$AF4&lt;&gt;"","FIX",IF('Enrollment Census'!$AD4&lt;&gt;"","REVIEW","READY")))</f>
        <v/>
      </c>
      <c r="G13" s="91">
        <f>IF($A13="","",'Enrollment Census'!$AE4)</f>
        <v/>
      </c>
      <c r="H13" s="91">
        <f>IF($A13="","",'Enrollment Census'!$AF4)</f>
        <v/>
      </c>
      <c r="I13" s="91">
        <f>IF($A13="","",'Enrollment Census'!$AD4)</f>
        <v/>
      </c>
      <c r="J13">
        <f>IF($A13="","",'Enrollment Census'!$A4)</f>
        <v/>
      </c>
      <c r="K13">
        <f>IF($F13="FIX",ROW(),IF($F13="REVIEW",1000+ROW(),""))</f>
        <v/>
      </c>
    </row>
    <row r="14" ht="36" customHeight="1">
      <c r="A14" s="91">
        <f>IF(COUNTA('Enrollment Census'!$A5:$U5)&gt;0,5,"")</f>
        <v/>
      </c>
      <c r="B14" s="91">
        <f>IF($A14="","","Employee ending "&amp;RIGHT('Enrollment Census'!$A5&amp;"",4)&amp;IF('Enrollment Census'!$AH5&gt;0," • "&amp;'Enrollment Census'!$AH5&amp;" row"&amp;IF('Enrollment Census'!$AH5=1,"","s")&amp;" need attention",""))</f>
        <v/>
      </c>
      <c r="C14" s="91">
        <f>IF($A14="","",TRIM('Enrollment Census'!$C5&amp;" "&amp;'Enrollment Census'!$D5)&amp;" • ending "&amp;RIGHT('Enrollment Census'!$W5&amp;"",4))</f>
        <v/>
      </c>
      <c r="D14" s="91">
        <f>IF($A14="","",'Enrollment Census'!$X5)</f>
        <v/>
      </c>
      <c r="E14" s="91">
        <f>IF($A14="","",'Enrollment Census'!$S5)</f>
        <v/>
      </c>
      <c r="F14" s="91">
        <f>IF($A14="","",IF('Enrollment Census'!$AF5&lt;&gt;"","FIX",IF('Enrollment Census'!$AD5&lt;&gt;"","REVIEW","READY")))</f>
        <v/>
      </c>
      <c r="G14" s="91">
        <f>IF($A14="","",'Enrollment Census'!$AE5)</f>
        <v/>
      </c>
      <c r="H14" s="91">
        <f>IF($A14="","",'Enrollment Census'!$AF5)</f>
        <v/>
      </c>
      <c r="I14" s="91">
        <f>IF($A14="","",'Enrollment Census'!$AD5)</f>
        <v/>
      </c>
      <c r="J14">
        <f>IF($A14="","",'Enrollment Census'!$A5)</f>
        <v/>
      </c>
      <c r="K14">
        <f>IF($F14="FIX",ROW(),IF($F14="REVIEW",1000+ROW(),""))</f>
        <v/>
      </c>
    </row>
    <row r="15" ht="36" customHeight="1">
      <c r="A15" s="91">
        <f>IF(COUNTA('Enrollment Census'!$A6:$U6)&gt;0,6,"")</f>
        <v/>
      </c>
      <c r="B15" s="91">
        <f>IF($A15="","","Employee ending "&amp;RIGHT('Enrollment Census'!$A6&amp;"",4)&amp;IF('Enrollment Census'!$AH6&gt;0," • "&amp;'Enrollment Census'!$AH6&amp;" row"&amp;IF('Enrollment Census'!$AH6=1,"","s")&amp;" need attention",""))</f>
        <v/>
      </c>
      <c r="C15" s="91">
        <f>IF($A15="","",TRIM('Enrollment Census'!$C6&amp;" "&amp;'Enrollment Census'!$D6)&amp;" • ending "&amp;RIGHT('Enrollment Census'!$W6&amp;"",4))</f>
        <v/>
      </c>
      <c r="D15" s="91">
        <f>IF($A15="","",'Enrollment Census'!$X6)</f>
        <v/>
      </c>
      <c r="E15" s="91">
        <f>IF($A15="","",'Enrollment Census'!$S6)</f>
        <v/>
      </c>
      <c r="F15" s="91">
        <f>IF($A15="","",IF('Enrollment Census'!$AF6&lt;&gt;"","FIX",IF('Enrollment Census'!$AD6&lt;&gt;"","REVIEW","READY")))</f>
        <v/>
      </c>
      <c r="G15" s="91">
        <f>IF($A15="","",'Enrollment Census'!$AE6)</f>
        <v/>
      </c>
      <c r="H15" s="91">
        <f>IF($A15="","",'Enrollment Census'!$AF6)</f>
        <v/>
      </c>
      <c r="I15" s="91">
        <f>IF($A15="","",'Enrollment Census'!$AD6)</f>
        <v/>
      </c>
      <c r="J15">
        <f>IF($A15="","",'Enrollment Census'!$A6)</f>
        <v/>
      </c>
      <c r="K15">
        <f>IF($F15="FIX",ROW(),IF($F15="REVIEW",1000+ROW(),""))</f>
        <v/>
      </c>
    </row>
    <row r="16" ht="36" customHeight="1">
      <c r="A16" s="91">
        <f>IF(COUNTA('Enrollment Census'!$A7:$U7)&gt;0,7,"")</f>
        <v/>
      </c>
      <c r="B16" s="91">
        <f>IF($A16="","","Employee ending "&amp;RIGHT('Enrollment Census'!$A7&amp;"",4)&amp;IF('Enrollment Census'!$AH7&gt;0," • "&amp;'Enrollment Census'!$AH7&amp;" row"&amp;IF('Enrollment Census'!$AH7=1,"","s")&amp;" need attention",""))</f>
        <v/>
      </c>
      <c r="C16" s="91">
        <f>IF($A16="","",TRIM('Enrollment Census'!$C7&amp;" "&amp;'Enrollment Census'!$D7)&amp;" • ending "&amp;RIGHT('Enrollment Census'!$W7&amp;"",4))</f>
        <v/>
      </c>
      <c r="D16" s="91">
        <f>IF($A16="","",'Enrollment Census'!$X7)</f>
        <v/>
      </c>
      <c r="E16" s="91">
        <f>IF($A16="","",'Enrollment Census'!$S7)</f>
        <v/>
      </c>
      <c r="F16" s="91">
        <f>IF($A16="","",IF('Enrollment Census'!$AF7&lt;&gt;"","FIX",IF('Enrollment Census'!$AD7&lt;&gt;"","REVIEW","READY")))</f>
        <v/>
      </c>
      <c r="G16" s="91">
        <f>IF($A16="","",'Enrollment Census'!$AE7)</f>
        <v/>
      </c>
      <c r="H16" s="91">
        <f>IF($A16="","",'Enrollment Census'!$AF7)</f>
        <v/>
      </c>
      <c r="I16" s="91">
        <f>IF($A16="","",'Enrollment Census'!$AD7)</f>
        <v/>
      </c>
      <c r="J16">
        <f>IF($A16="","",'Enrollment Census'!$A7)</f>
        <v/>
      </c>
      <c r="K16">
        <f>IF($F16="FIX",ROW(),IF($F16="REVIEW",1000+ROW(),""))</f>
        <v/>
      </c>
    </row>
    <row r="17" ht="36" customHeight="1">
      <c r="A17" s="91">
        <f>IF(COUNTA('Enrollment Census'!$A8:$U8)&gt;0,8,"")</f>
        <v/>
      </c>
      <c r="B17" s="91">
        <f>IF($A17="","","Employee ending "&amp;RIGHT('Enrollment Census'!$A8&amp;"",4)&amp;IF('Enrollment Census'!$AH8&gt;0," • "&amp;'Enrollment Census'!$AH8&amp;" row"&amp;IF('Enrollment Census'!$AH8=1,"","s")&amp;" need attention",""))</f>
        <v/>
      </c>
      <c r="C17" s="91">
        <f>IF($A17="","",TRIM('Enrollment Census'!$C8&amp;" "&amp;'Enrollment Census'!$D8)&amp;" • ending "&amp;RIGHT('Enrollment Census'!$W8&amp;"",4))</f>
        <v/>
      </c>
      <c r="D17" s="91">
        <f>IF($A17="","",'Enrollment Census'!$X8)</f>
        <v/>
      </c>
      <c r="E17" s="91">
        <f>IF($A17="","",'Enrollment Census'!$S8)</f>
        <v/>
      </c>
      <c r="F17" s="91">
        <f>IF($A17="","",IF('Enrollment Census'!$AF8&lt;&gt;"","FIX",IF('Enrollment Census'!$AD8&lt;&gt;"","REVIEW","READY")))</f>
        <v/>
      </c>
      <c r="G17" s="91">
        <f>IF($A17="","",'Enrollment Census'!$AE8)</f>
        <v/>
      </c>
      <c r="H17" s="91">
        <f>IF($A17="","",'Enrollment Census'!$AF8)</f>
        <v/>
      </c>
      <c r="I17" s="91">
        <f>IF($A17="","",'Enrollment Census'!$AD8)</f>
        <v/>
      </c>
      <c r="J17">
        <f>IF($A17="","",'Enrollment Census'!$A8)</f>
        <v/>
      </c>
      <c r="K17">
        <f>IF($F17="FIX",ROW(),IF($F17="REVIEW",1000+ROW(),""))</f>
        <v/>
      </c>
    </row>
    <row r="18" ht="36" customHeight="1">
      <c r="A18" s="91">
        <f>IF(COUNTA('Enrollment Census'!$A9:$U9)&gt;0,9,"")</f>
        <v/>
      </c>
      <c r="B18" s="91">
        <f>IF($A18="","","Employee ending "&amp;RIGHT('Enrollment Census'!$A9&amp;"",4)&amp;IF('Enrollment Census'!$AH9&gt;0," • "&amp;'Enrollment Census'!$AH9&amp;" row"&amp;IF('Enrollment Census'!$AH9=1,"","s")&amp;" need attention",""))</f>
        <v/>
      </c>
      <c r="C18" s="91">
        <f>IF($A18="","",TRIM('Enrollment Census'!$C9&amp;" "&amp;'Enrollment Census'!$D9)&amp;" • ending "&amp;RIGHT('Enrollment Census'!$W9&amp;"",4))</f>
        <v/>
      </c>
      <c r="D18" s="91">
        <f>IF($A18="","",'Enrollment Census'!$X9)</f>
        <v/>
      </c>
      <c r="E18" s="91">
        <f>IF($A18="","",'Enrollment Census'!$S9)</f>
        <v/>
      </c>
      <c r="F18" s="91">
        <f>IF($A18="","",IF('Enrollment Census'!$AF9&lt;&gt;"","FIX",IF('Enrollment Census'!$AD9&lt;&gt;"","REVIEW","READY")))</f>
        <v/>
      </c>
      <c r="G18" s="91">
        <f>IF($A18="","",'Enrollment Census'!$AE9)</f>
        <v/>
      </c>
      <c r="H18" s="91">
        <f>IF($A18="","",'Enrollment Census'!$AF9)</f>
        <v/>
      </c>
      <c r="I18" s="91">
        <f>IF($A18="","",'Enrollment Census'!$AD9)</f>
        <v/>
      </c>
      <c r="J18">
        <f>IF($A18="","",'Enrollment Census'!$A9)</f>
        <v/>
      </c>
      <c r="K18">
        <f>IF($F18="FIX",ROW(),IF($F18="REVIEW",1000+ROW(),""))</f>
        <v/>
      </c>
    </row>
    <row r="19" ht="36" customHeight="1">
      <c r="A19" s="91">
        <f>IF(COUNTA('Enrollment Census'!$A10:$U10)&gt;0,10,"")</f>
        <v/>
      </c>
      <c r="B19" s="91">
        <f>IF($A19="","","Employee ending "&amp;RIGHT('Enrollment Census'!$A10&amp;"",4)&amp;IF('Enrollment Census'!$AH10&gt;0," • "&amp;'Enrollment Census'!$AH10&amp;" row"&amp;IF('Enrollment Census'!$AH10=1,"","s")&amp;" need attention",""))</f>
        <v/>
      </c>
      <c r="C19" s="91">
        <f>IF($A19="","",TRIM('Enrollment Census'!$C10&amp;" "&amp;'Enrollment Census'!$D10)&amp;" • ending "&amp;RIGHT('Enrollment Census'!$W10&amp;"",4))</f>
        <v/>
      </c>
      <c r="D19" s="91">
        <f>IF($A19="","",'Enrollment Census'!$X10)</f>
        <v/>
      </c>
      <c r="E19" s="91">
        <f>IF($A19="","",'Enrollment Census'!$S10)</f>
        <v/>
      </c>
      <c r="F19" s="91">
        <f>IF($A19="","",IF('Enrollment Census'!$AF10&lt;&gt;"","FIX",IF('Enrollment Census'!$AD10&lt;&gt;"","REVIEW","READY")))</f>
        <v/>
      </c>
      <c r="G19" s="91">
        <f>IF($A19="","",'Enrollment Census'!$AE10)</f>
        <v/>
      </c>
      <c r="H19" s="91">
        <f>IF($A19="","",'Enrollment Census'!$AF10)</f>
        <v/>
      </c>
      <c r="I19" s="91">
        <f>IF($A19="","",'Enrollment Census'!$AD10)</f>
        <v/>
      </c>
      <c r="J19">
        <f>IF($A19="","",'Enrollment Census'!$A10)</f>
        <v/>
      </c>
      <c r="K19">
        <f>IF($F19="FIX",ROW(),IF($F19="REVIEW",1000+ROW(),""))</f>
        <v/>
      </c>
    </row>
    <row r="20" ht="36" customHeight="1">
      <c r="A20" s="91">
        <f>IF(COUNTA('Enrollment Census'!$A11:$U11)&gt;0,11,"")</f>
        <v/>
      </c>
      <c r="B20" s="91">
        <f>IF($A20="","","Employee ending "&amp;RIGHT('Enrollment Census'!$A11&amp;"",4)&amp;IF('Enrollment Census'!$AH11&gt;0," • "&amp;'Enrollment Census'!$AH11&amp;" row"&amp;IF('Enrollment Census'!$AH11=1,"","s")&amp;" need attention",""))</f>
        <v/>
      </c>
      <c r="C20" s="91">
        <f>IF($A20="","",TRIM('Enrollment Census'!$C11&amp;" "&amp;'Enrollment Census'!$D11)&amp;" • ending "&amp;RIGHT('Enrollment Census'!$W11&amp;"",4))</f>
        <v/>
      </c>
      <c r="D20" s="91">
        <f>IF($A20="","",'Enrollment Census'!$X11)</f>
        <v/>
      </c>
      <c r="E20" s="91">
        <f>IF($A20="","",'Enrollment Census'!$S11)</f>
        <v/>
      </c>
      <c r="F20" s="91">
        <f>IF($A20="","",IF('Enrollment Census'!$AF11&lt;&gt;"","FIX",IF('Enrollment Census'!$AD11&lt;&gt;"","REVIEW","READY")))</f>
        <v/>
      </c>
      <c r="G20" s="91">
        <f>IF($A20="","",'Enrollment Census'!$AE11)</f>
        <v/>
      </c>
      <c r="H20" s="91">
        <f>IF($A20="","",'Enrollment Census'!$AF11)</f>
        <v/>
      </c>
      <c r="I20" s="91">
        <f>IF($A20="","",'Enrollment Census'!$AD11)</f>
        <v/>
      </c>
      <c r="J20">
        <f>IF($A20="","",'Enrollment Census'!$A11)</f>
        <v/>
      </c>
      <c r="K20">
        <f>IF($F20="FIX",ROW(),IF($F20="REVIEW",1000+ROW(),""))</f>
        <v/>
      </c>
    </row>
    <row r="21" ht="36" customHeight="1">
      <c r="A21" s="91">
        <f>IF(COUNTA('Enrollment Census'!$A12:$U12)&gt;0,12,"")</f>
        <v/>
      </c>
      <c r="B21" s="91">
        <f>IF($A21="","","Employee ending "&amp;RIGHT('Enrollment Census'!$A12&amp;"",4)&amp;IF('Enrollment Census'!$AH12&gt;0," • "&amp;'Enrollment Census'!$AH12&amp;" row"&amp;IF('Enrollment Census'!$AH12=1,"","s")&amp;" need attention",""))</f>
        <v/>
      </c>
      <c r="C21" s="91">
        <f>IF($A21="","",TRIM('Enrollment Census'!$C12&amp;" "&amp;'Enrollment Census'!$D12)&amp;" • ending "&amp;RIGHT('Enrollment Census'!$W12&amp;"",4))</f>
        <v/>
      </c>
      <c r="D21" s="91">
        <f>IF($A21="","",'Enrollment Census'!$X12)</f>
        <v/>
      </c>
      <c r="E21" s="91">
        <f>IF($A21="","",'Enrollment Census'!$S12)</f>
        <v/>
      </c>
      <c r="F21" s="91">
        <f>IF($A21="","",IF('Enrollment Census'!$AF12&lt;&gt;"","FIX",IF('Enrollment Census'!$AD12&lt;&gt;"","REVIEW","READY")))</f>
        <v/>
      </c>
      <c r="G21" s="91">
        <f>IF($A21="","",'Enrollment Census'!$AE12)</f>
        <v/>
      </c>
      <c r="H21" s="91">
        <f>IF($A21="","",'Enrollment Census'!$AF12)</f>
        <v/>
      </c>
      <c r="I21" s="91">
        <f>IF($A21="","",'Enrollment Census'!$AD12)</f>
        <v/>
      </c>
      <c r="J21">
        <f>IF($A21="","",'Enrollment Census'!$A12)</f>
        <v/>
      </c>
      <c r="K21">
        <f>IF($F21="FIX",ROW(),IF($F21="REVIEW",1000+ROW(),""))</f>
        <v/>
      </c>
    </row>
    <row r="22" ht="36" customHeight="1">
      <c r="A22" s="91">
        <f>IF(COUNTA('Enrollment Census'!$A13:$U13)&gt;0,13,"")</f>
        <v/>
      </c>
      <c r="B22" s="91">
        <f>IF($A22="","","Employee ending "&amp;RIGHT('Enrollment Census'!$A13&amp;"",4)&amp;IF('Enrollment Census'!$AH13&gt;0," • "&amp;'Enrollment Census'!$AH13&amp;" row"&amp;IF('Enrollment Census'!$AH13=1,"","s")&amp;" need attention",""))</f>
        <v/>
      </c>
      <c r="C22" s="91">
        <f>IF($A22="","",TRIM('Enrollment Census'!$C13&amp;" "&amp;'Enrollment Census'!$D13)&amp;" • ending "&amp;RIGHT('Enrollment Census'!$W13&amp;"",4))</f>
        <v/>
      </c>
      <c r="D22" s="91">
        <f>IF($A22="","",'Enrollment Census'!$X13)</f>
        <v/>
      </c>
      <c r="E22" s="91">
        <f>IF($A22="","",'Enrollment Census'!$S13)</f>
        <v/>
      </c>
      <c r="F22" s="91">
        <f>IF($A22="","",IF('Enrollment Census'!$AF13&lt;&gt;"","FIX",IF('Enrollment Census'!$AD13&lt;&gt;"","REVIEW","READY")))</f>
        <v/>
      </c>
      <c r="G22" s="91">
        <f>IF($A22="","",'Enrollment Census'!$AE13)</f>
        <v/>
      </c>
      <c r="H22" s="91">
        <f>IF($A22="","",'Enrollment Census'!$AF13)</f>
        <v/>
      </c>
      <c r="I22" s="91">
        <f>IF($A22="","",'Enrollment Census'!$AD13)</f>
        <v/>
      </c>
      <c r="J22">
        <f>IF($A22="","",'Enrollment Census'!$A13)</f>
        <v/>
      </c>
      <c r="K22">
        <f>IF($F22="FIX",ROW(),IF($F22="REVIEW",1000+ROW(),""))</f>
        <v/>
      </c>
    </row>
    <row r="23" ht="36" customHeight="1">
      <c r="A23" s="91">
        <f>IF(COUNTA('Enrollment Census'!$A14:$U14)&gt;0,14,"")</f>
        <v/>
      </c>
      <c r="B23" s="91">
        <f>IF($A23="","","Employee ending "&amp;RIGHT('Enrollment Census'!$A14&amp;"",4)&amp;IF('Enrollment Census'!$AH14&gt;0," • "&amp;'Enrollment Census'!$AH14&amp;" row"&amp;IF('Enrollment Census'!$AH14=1,"","s")&amp;" need attention",""))</f>
        <v/>
      </c>
      <c r="C23" s="91">
        <f>IF($A23="","",TRIM('Enrollment Census'!$C14&amp;" "&amp;'Enrollment Census'!$D14)&amp;" • ending "&amp;RIGHT('Enrollment Census'!$W14&amp;"",4))</f>
        <v/>
      </c>
      <c r="D23" s="91">
        <f>IF($A23="","",'Enrollment Census'!$X14)</f>
        <v/>
      </c>
      <c r="E23" s="91">
        <f>IF($A23="","",'Enrollment Census'!$S14)</f>
        <v/>
      </c>
      <c r="F23" s="91">
        <f>IF($A23="","",IF('Enrollment Census'!$AF14&lt;&gt;"","FIX",IF('Enrollment Census'!$AD14&lt;&gt;"","REVIEW","READY")))</f>
        <v/>
      </c>
      <c r="G23" s="91">
        <f>IF($A23="","",'Enrollment Census'!$AE14)</f>
        <v/>
      </c>
      <c r="H23" s="91">
        <f>IF($A23="","",'Enrollment Census'!$AF14)</f>
        <v/>
      </c>
      <c r="I23" s="91">
        <f>IF($A23="","",'Enrollment Census'!$AD14)</f>
        <v/>
      </c>
      <c r="J23">
        <f>IF($A23="","",'Enrollment Census'!$A14)</f>
        <v/>
      </c>
      <c r="K23">
        <f>IF($F23="FIX",ROW(),IF($F23="REVIEW",1000+ROW(),""))</f>
        <v/>
      </c>
    </row>
    <row r="24" ht="36" customHeight="1">
      <c r="A24" s="91">
        <f>IF(COUNTA('Enrollment Census'!$A15:$U15)&gt;0,15,"")</f>
        <v/>
      </c>
      <c r="B24" s="91">
        <f>IF($A24="","","Employee ending "&amp;RIGHT('Enrollment Census'!$A15&amp;"",4)&amp;IF('Enrollment Census'!$AH15&gt;0," • "&amp;'Enrollment Census'!$AH15&amp;" row"&amp;IF('Enrollment Census'!$AH15=1,"","s")&amp;" need attention",""))</f>
        <v/>
      </c>
      <c r="C24" s="91">
        <f>IF($A24="","",TRIM('Enrollment Census'!$C15&amp;" "&amp;'Enrollment Census'!$D15)&amp;" • ending "&amp;RIGHT('Enrollment Census'!$W15&amp;"",4))</f>
        <v/>
      </c>
      <c r="D24" s="91">
        <f>IF($A24="","",'Enrollment Census'!$X15)</f>
        <v/>
      </c>
      <c r="E24" s="91">
        <f>IF($A24="","",'Enrollment Census'!$S15)</f>
        <v/>
      </c>
      <c r="F24" s="91">
        <f>IF($A24="","",IF('Enrollment Census'!$AF15&lt;&gt;"","FIX",IF('Enrollment Census'!$AD15&lt;&gt;"","REVIEW","READY")))</f>
        <v/>
      </c>
      <c r="G24" s="91">
        <f>IF($A24="","",'Enrollment Census'!$AE15)</f>
        <v/>
      </c>
      <c r="H24" s="91">
        <f>IF($A24="","",'Enrollment Census'!$AF15)</f>
        <v/>
      </c>
      <c r="I24" s="91">
        <f>IF($A24="","",'Enrollment Census'!$AD15)</f>
        <v/>
      </c>
      <c r="J24">
        <f>IF($A24="","",'Enrollment Census'!$A15)</f>
        <v/>
      </c>
      <c r="K24">
        <f>IF($F24="FIX",ROW(),IF($F24="REVIEW",1000+ROW(),""))</f>
        <v/>
      </c>
    </row>
    <row r="25" ht="36" customHeight="1">
      <c r="A25" s="91">
        <f>IF(COUNTA('Enrollment Census'!$A16:$U16)&gt;0,16,"")</f>
        <v/>
      </c>
      <c r="B25" s="91">
        <f>IF($A25="","","Employee ending "&amp;RIGHT('Enrollment Census'!$A16&amp;"",4)&amp;IF('Enrollment Census'!$AH16&gt;0," • "&amp;'Enrollment Census'!$AH16&amp;" row"&amp;IF('Enrollment Census'!$AH16=1,"","s")&amp;" need attention",""))</f>
        <v/>
      </c>
      <c r="C25" s="91">
        <f>IF($A25="","",TRIM('Enrollment Census'!$C16&amp;" "&amp;'Enrollment Census'!$D16)&amp;" • ending "&amp;RIGHT('Enrollment Census'!$W16&amp;"",4))</f>
        <v/>
      </c>
      <c r="D25" s="91">
        <f>IF($A25="","",'Enrollment Census'!$X16)</f>
        <v/>
      </c>
      <c r="E25" s="91">
        <f>IF($A25="","",'Enrollment Census'!$S16)</f>
        <v/>
      </c>
      <c r="F25" s="91">
        <f>IF($A25="","",IF('Enrollment Census'!$AF16&lt;&gt;"","FIX",IF('Enrollment Census'!$AD16&lt;&gt;"","REVIEW","READY")))</f>
        <v/>
      </c>
      <c r="G25" s="91">
        <f>IF($A25="","",'Enrollment Census'!$AE16)</f>
        <v/>
      </c>
      <c r="H25" s="91">
        <f>IF($A25="","",'Enrollment Census'!$AF16)</f>
        <v/>
      </c>
      <c r="I25" s="91">
        <f>IF($A25="","",'Enrollment Census'!$AD16)</f>
        <v/>
      </c>
      <c r="J25">
        <f>IF($A25="","",'Enrollment Census'!$A16)</f>
        <v/>
      </c>
      <c r="K25">
        <f>IF($F25="FIX",ROW(),IF($F25="REVIEW",1000+ROW(),""))</f>
        <v/>
      </c>
    </row>
    <row r="26" ht="36" customHeight="1">
      <c r="A26" s="91">
        <f>IF(COUNTA('Enrollment Census'!$A17:$U17)&gt;0,17,"")</f>
        <v/>
      </c>
      <c r="B26" s="91">
        <f>IF($A26="","","Employee ending "&amp;RIGHT('Enrollment Census'!$A17&amp;"",4)&amp;IF('Enrollment Census'!$AH17&gt;0," • "&amp;'Enrollment Census'!$AH17&amp;" row"&amp;IF('Enrollment Census'!$AH17=1,"","s")&amp;" need attention",""))</f>
        <v/>
      </c>
      <c r="C26" s="91">
        <f>IF($A26="","",TRIM('Enrollment Census'!$C17&amp;" "&amp;'Enrollment Census'!$D17)&amp;" • ending "&amp;RIGHT('Enrollment Census'!$W17&amp;"",4))</f>
        <v/>
      </c>
      <c r="D26" s="91">
        <f>IF($A26="","",'Enrollment Census'!$X17)</f>
        <v/>
      </c>
      <c r="E26" s="91">
        <f>IF($A26="","",'Enrollment Census'!$S17)</f>
        <v/>
      </c>
      <c r="F26" s="91">
        <f>IF($A26="","",IF('Enrollment Census'!$AF17&lt;&gt;"","FIX",IF('Enrollment Census'!$AD17&lt;&gt;"","REVIEW","READY")))</f>
        <v/>
      </c>
      <c r="G26" s="91">
        <f>IF($A26="","",'Enrollment Census'!$AE17)</f>
        <v/>
      </c>
      <c r="H26" s="91">
        <f>IF($A26="","",'Enrollment Census'!$AF17)</f>
        <v/>
      </c>
      <c r="I26" s="91">
        <f>IF($A26="","",'Enrollment Census'!$AD17)</f>
        <v/>
      </c>
      <c r="J26">
        <f>IF($A26="","",'Enrollment Census'!$A17)</f>
        <v/>
      </c>
      <c r="K26">
        <f>IF($F26="FIX",ROW(),IF($F26="REVIEW",1000+ROW(),""))</f>
        <v/>
      </c>
    </row>
    <row r="27" ht="36" customHeight="1">
      <c r="A27" s="91">
        <f>IF(COUNTA('Enrollment Census'!$A18:$U18)&gt;0,18,"")</f>
        <v/>
      </c>
      <c r="B27" s="91">
        <f>IF($A27="","","Employee ending "&amp;RIGHT('Enrollment Census'!$A18&amp;"",4)&amp;IF('Enrollment Census'!$AH18&gt;0," • "&amp;'Enrollment Census'!$AH18&amp;" row"&amp;IF('Enrollment Census'!$AH18=1,"","s")&amp;" need attention",""))</f>
        <v/>
      </c>
      <c r="C27" s="91">
        <f>IF($A27="","",TRIM('Enrollment Census'!$C18&amp;" "&amp;'Enrollment Census'!$D18)&amp;" • ending "&amp;RIGHT('Enrollment Census'!$W18&amp;"",4))</f>
        <v/>
      </c>
      <c r="D27" s="91">
        <f>IF($A27="","",'Enrollment Census'!$X18)</f>
        <v/>
      </c>
      <c r="E27" s="91">
        <f>IF($A27="","",'Enrollment Census'!$S18)</f>
        <v/>
      </c>
      <c r="F27" s="91">
        <f>IF($A27="","",IF('Enrollment Census'!$AF18&lt;&gt;"","FIX",IF('Enrollment Census'!$AD18&lt;&gt;"","REVIEW","READY")))</f>
        <v/>
      </c>
      <c r="G27" s="91">
        <f>IF($A27="","",'Enrollment Census'!$AE18)</f>
        <v/>
      </c>
      <c r="H27" s="91">
        <f>IF($A27="","",'Enrollment Census'!$AF18)</f>
        <v/>
      </c>
      <c r="I27" s="91">
        <f>IF($A27="","",'Enrollment Census'!$AD18)</f>
        <v/>
      </c>
      <c r="J27">
        <f>IF($A27="","",'Enrollment Census'!$A18)</f>
        <v/>
      </c>
      <c r="K27">
        <f>IF($F27="FIX",ROW(),IF($F27="REVIEW",1000+ROW(),""))</f>
        <v/>
      </c>
    </row>
    <row r="28" ht="36" customHeight="1">
      <c r="A28" s="91">
        <f>IF(COUNTA('Enrollment Census'!$A19:$U19)&gt;0,19,"")</f>
        <v/>
      </c>
      <c r="B28" s="91">
        <f>IF($A28="","","Employee ending "&amp;RIGHT('Enrollment Census'!$A19&amp;"",4)&amp;IF('Enrollment Census'!$AH19&gt;0," • "&amp;'Enrollment Census'!$AH19&amp;" row"&amp;IF('Enrollment Census'!$AH19=1,"","s")&amp;" need attention",""))</f>
        <v/>
      </c>
      <c r="C28" s="91">
        <f>IF($A28="","",TRIM('Enrollment Census'!$C19&amp;" "&amp;'Enrollment Census'!$D19)&amp;" • ending "&amp;RIGHT('Enrollment Census'!$W19&amp;"",4))</f>
        <v/>
      </c>
      <c r="D28" s="91">
        <f>IF($A28="","",'Enrollment Census'!$X19)</f>
        <v/>
      </c>
      <c r="E28" s="91">
        <f>IF($A28="","",'Enrollment Census'!$S19)</f>
        <v/>
      </c>
      <c r="F28" s="91">
        <f>IF($A28="","",IF('Enrollment Census'!$AF19&lt;&gt;"","FIX",IF('Enrollment Census'!$AD19&lt;&gt;"","REVIEW","READY")))</f>
        <v/>
      </c>
      <c r="G28" s="91">
        <f>IF($A28="","",'Enrollment Census'!$AE19)</f>
        <v/>
      </c>
      <c r="H28" s="91">
        <f>IF($A28="","",'Enrollment Census'!$AF19)</f>
        <v/>
      </c>
      <c r="I28" s="91">
        <f>IF($A28="","",'Enrollment Census'!$AD19)</f>
        <v/>
      </c>
      <c r="J28">
        <f>IF($A28="","",'Enrollment Census'!$A19)</f>
        <v/>
      </c>
      <c r="K28">
        <f>IF($F28="FIX",ROW(),IF($F28="REVIEW",1000+ROW(),""))</f>
        <v/>
      </c>
    </row>
    <row r="29" ht="36" customHeight="1">
      <c r="A29" s="91">
        <f>IF(COUNTA('Enrollment Census'!$A20:$U20)&gt;0,20,"")</f>
        <v/>
      </c>
      <c r="B29" s="91">
        <f>IF($A29="","","Employee ending "&amp;RIGHT('Enrollment Census'!$A20&amp;"",4)&amp;IF('Enrollment Census'!$AH20&gt;0," • "&amp;'Enrollment Census'!$AH20&amp;" row"&amp;IF('Enrollment Census'!$AH20=1,"","s")&amp;" need attention",""))</f>
        <v/>
      </c>
      <c r="C29" s="91">
        <f>IF($A29="","",TRIM('Enrollment Census'!$C20&amp;" "&amp;'Enrollment Census'!$D20)&amp;" • ending "&amp;RIGHT('Enrollment Census'!$W20&amp;"",4))</f>
        <v/>
      </c>
      <c r="D29" s="91">
        <f>IF($A29="","",'Enrollment Census'!$X20)</f>
        <v/>
      </c>
      <c r="E29" s="91">
        <f>IF($A29="","",'Enrollment Census'!$S20)</f>
        <v/>
      </c>
      <c r="F29" s="91">
        <f>IF($A29="","",IF('Enrollment Census'!$AF20&lt;&gt;"","FIX",IF('Enrollment Census'!$AD20&lt;&gt;"","REVIEW","READY")))</f>
        <v/>
      </c>
      <c r="G29" s="91">
        <f>IF($A29="","",'Enrollment Census'!$AE20)</f>
        <v/>
      </c>
      <c r="H29" s="91">
        <f>IF($A29="","",'Enrollment Census'!$AF20)</f>
        <v/>
      </c>
      <c r="I29" s="91">
        <f>IF($A29="","",'Enrollment Census'!$AD20)</f>
        <v/>
      </c>
      <c r="J29">
        <f>IF($A29="","",'Enrollment Census'!$A20)</f>
        <v/>
      </c>
      <c r="K29">
        <f>IF($F29="FIX",ROW(),IF($F29="REVIEW",1000+ROW(),""))</f>
        <v/>
      </c>
    </row>
    <row r="30" ht="36" customHeight="1">
      <c r="A30" s="91">
        <f>IF(COUNTA('Enrollment Census'!$A21:$U21)&gt;0,21,"")</f>
        <v/>
      </c>
      <c r="B30" s="91">
        <f>IF($A30="","","Employee ending "&amp;RIGHT('Enrollment Census'!$A21&amp;"",4)&amp;IF('Enrollment Census'!$AH21&gt;0," • "&amp;'Enrollment Census'!$AH21&amp;" row"&amp;IF('Enrollment Census'!$AH21=1,"","s")&amp;" need attention",""))</f>
        <v/>
      </c>
      <c r="C30" s="91">
        <f>IF($A30="","",TRIM('Enrollment Census'!$C21&amp;" "&amp;'Enrollment Census'!$D21)&amp;" • ending "&amp;RIGHT('Enrollment Census'!$W21&amp;"",4))</f>
        <v/>
      </c>
      <c r="D30" s="91">
        <f>IF($A30="","",'Enrollment Census'!$X21)</f>
        <v/>
      </c>
      <c r="E30" s="91">
        <f>IF($A30="","",'Enrollment Census'!$S21)</f>
        <v/>
      </c>
      <c r="F30" s="91">
        <f>IF($A30="","",IF('Enrollment Census'!$AF21&lt;&gt;"","FIX",IF('Enrollment Census'!$AD21&lt;&gt;"","REVIEW","READY")))</f>
        <v/>
      </c>
      <c r="G30" s="91">
        <f>IF($A30="","",'Enrollment Census'!$AE21)</f>
        <v/>
      </c>
      <c r="H30" s="91">
        <f>IF($A30="","",'Enrollment Census'!$AF21)</f>
        <v/>
      </c>
      <c r="I30" s="91">
        <f>IF($A30="","",'Enrollment Census'!$AD21)</f>
        <v/>
      </c>
      <c r="J30">
        <f>IF($A30="","",'Enrollment Census'!$A21)</f>
        <v/>
      </c>
      <c r="K30">
        <f>IF($F30="FIX",ROW(),IF($F30="REVIEW",1000+ROW(),""))</f>
        <v/>
      </c>
    </row>
    <row r="31" ht="36" customHeight="1">
      <c r="A31" s="91">
        <f>IF(COUNTA('Enrollment Census'!$A22:$U22)&gt;0,22,"")</f>
        <v/>
      </c>
      <c r="B31" s="91">
        <f>IF($A31="","","Employee ending "&amp;RIGHT('Enrollment Census'!$A22&amp;"",4)&amp;IF('Enrollment Census'!$AH22&gt;0," • "&amp;'Enrollment Census'!$AH22&amp;" row"&amp;IF('Enrollment Census'!$AH22=1,"","s")&amp;" need attention",""))</f>
        <v/>
      </c>
      <c r="C31" s="91">
        <f>IF($A31="","",TRIM('Enrollment Census'!$C22&amp;" "&amp;'Enrollment Census'!$D22)&amp;" • ending "&amp;RIGHT('Enrollment Census'!$W22&amp;"",4))</f>
        <v/>
      </c>
      <c r="D31" s="91">
        <f>IF($A31="","",'Enrollment Census'!$X22)</f>
        <v/>
      </c>
      <c r="E31" s="91">
        <f>IF($A31="","",'Enrollment Census'!$S22)</f>
        <v/>
      </c>
      <c r="F31" s="91">
        <f>IF($A31="","",IF('Enrollment Census'!$AF22&lt;&gt;"","FIX",IF('Enrollment Census'!$AD22&lt;&gt;"","REVIEW","READY")))</f>
        <v/>
      </c>
      <c r="G31" s="91">
        <f>IF($A31="","",'Enrollment Census'!$AE22)</f>
        <v/>
      </c>
      <c r="H31" s="91">
        <f>IF($A31="","",'Enrollment Census'!$AF22)</f>
        <v/>
      </c>
      <c r="I31" s="91">
        <f>IF($A31="","",'Enrollment Census'!$AD22)</f>
        <v/>
      </c>
      <c r="J31">
        <f>IF($A31="","",'Enrollment Census'!$A22)</f>
        <v/>
      </c>
      <c r="K31">
        <f>IF($F31="FIX",ROW(),IF($F31="REVIEW",1000+ROW(),""))</f>
        <v/>
      </c>
    </row>
    <row r="32" ht="36" customHeight="1">
      <c r="A32" s="91">
        <f>IF(COUNTA('Enrollment Census'!$A23:$U23)&gt;0,23,"")</f>
        <v/>
      </c>
      <c r="B32" s="91">
        <f>IF($A32="","","Employee ending "&amp;RIGHT('Enrollment Census'!$A23&amp;"",4)&amp;IF('Enrollment Census'!$AH23&gt;0," • "&amp;'Enrollment Census'!$AH23&amp;" row"&amp;IF('Enrollment Census'!$AH23=1,"","s")&amp;" need attention",""))</f>
        <v/>
      </c>
      <c r="C32" s="91">
        <f>IF($A32="","",TRIM('Enrollment Census'!$C23&amp;" "&amp;'Enrollment Census'!$D23)&amp;" • ending "&amp;RIGHT('Enrollment Census'!$W23&amp;"",4))</f>
        <v/>
      </c>
      <c r="D32" s="91">
        <f>IF($A32="","",'Enrollment Census'!$X23)</f>
        <v/>
      </c>
      <c r="E32" s="91">
        <f>IF($A32="","",'Enrollment Census'!$S23)</f>
        <v/>
      </c>
      <c r="F32" s="91">
        <f>IF($A32="","",IF('Enrollment Census'!$AF23&lt;&gt;"","FIX",IF('Enrollment Census'!$AD23&lt;&gt;"","REVIEW","READY")))</f>
        <v/>
      </c>
      <c r="G32" s="91">
        <f>IF($A32="","",'Enrollment Census'!$AE23)</f>
        <v/>
      </c>
      <c r="H32" s="91">
        <f>IF($A32="","",'Enrollment Census'!$AF23)</f>
        <v/>
      </c>
      <c r="I32" s="91">
        <f>IF($A32="","",'Enrollment Census'!$AD23)</f>
        <v/>
      </c>
      <c r="J32">
        <f>IF($A32="","",'Enrollment Census'!$A23)</f>
        <v/>
      </c>
      <c r="K32">
        <f>IF($F32="FIX",ROW(),IF($F32="REVIEW",1000+ROW(),""))</f>
        <v/>
      </c>
    </row>
    <row r="33" ht="36" customHeight="1">
      <c r="A33" s="91">
        <f>IF(COUNTA('Enrollment Census'!$A24:$U24)&gt;0,24,"")</f>
        <v/>
      </c>
      <c r="B33" s="91">
        <f>IF($A33="","","Employee ending "&amp;RIGHT('Enrollment Census'!$A24&amp;"",4)&amp;IF('Enrollment Census'!$AH24&gt;0," • "&amp;'Enrollment Census'!$AH24&amp;" row"&amp;IF('Enrollment Census'!$AH24=1,"","s")&amp;" need attention",""))</f>
        <v/>
      </c>
      <c r="C33" s="91">
        <f>IF($A33="","",TRIM('Enrollment Census'!$C24&amp;" "&amp;'Enrollment Census'!$D24)&amp;" • ending "&amp;RIGHT('Enrollment Census'!$W24&amp;"",4))</f>
        <v/>
      </c>
      <c r="D33" s="91">
        <f>IF($A33="","",'Enrollment Census'!$X24)</f>
        <v/>
      </c>
      <c r="E33" s="91">
        <f>IF($A33="","",'Enrollment Census'!$S24)</f>
        <v/>
      </c>
      <c r="F33" s="91">
        <f>IF($A33="","",IF('Enrollment Census'!$AF24&lt;&gt;"","FIX",IF('Enrollment Census'!$AD24&lt;&gt;"","REVIEW","READY")))</f>
        <v/>
      </c>
      <c r="G33" s="91">
        <f>IF($A33="","",'Enrollment Census'!$AE24)</f>
        <v/>
      </c>
      <c r="H33" s="91">
        <f>IF($A33="","",'Enrollment Census'!$AF24)</f>
        <v/>
      </c>
      <c r="I33" s="91">
        <f>IF($A33="","",'Enrollment Census'!$AD24)</f>
        <v/>
      </c>
      <c r="J33">
        <f>IF($A33="","",'Enrollment Census'!$A24)</f>
        <v/>
      </c>
      <c r="K33">
        <f>IF($F33="FIX",ROW(),IF($F33="REVIEW",1000+ROW(),""))</f>
        <v/>
      </c>
    </row>
    <row r="34" ht="36" customHeight="1">
      <c r="A34" s="91">
        <f>IF(COUNTA('Enrollment Census'!$A25:$U25)&gt;0,25,"")</f>
        <v/>
      </c>
      <c r="B34" s="91">
        <f>IF($A34="","","Employee ending "&amp;RIGHT('Enrollment Census'!$A25&amp;"",4)&amp;IF('Enrollment Census'!$AH25&gt;0," • "&amp;'Enrollment Census'!$AH25&amp;" row"&amp;IF('Enrollment Census'!$AH25=1,"","s")&amp;" need attention",""))</f>
        <v/>
      </c>
      <c r="C34" s="91">
        <f>IF($A34="","",TRIM('Enrollment Census'!$C25&amp;" "&amp;'Enrollment Census'!$D25)&amp;" • ending "&amp;RIGHT('Enrollment Census'!$W25&amp;"",4))</f>
        <v/>
      </c>
      <c r="D34" s="91">
        <f>IF($A34="","",'Enrollment Census'!$X25)</f>
        <v/>
      </c>
      <c r="E34" s="91">
        <f>IF($A34="","",'Enrollment Census'!$S25)</f>
        <v/>
      </c>
      <c r="F34" s="91">
        <f>IF($A34="","",IF('Enrollment Census'!$AF25&lt;&gt;"","FIX",IF('Enrollment Census'!$AD25&lt;&gt;"","REVIEW","READY")))</f>
        <v/>
      </c>
      <c r="G34" s="91">
        <f>IF($A34="","",'Enrollment Census'!$AE25)</f>
        <v/>
      </c>
      <c r="H34" s="91">
        <f>IF($A34="","",'Enrollment Census'!$AF25)</f>
        <v/>
      </c>
      <c r="I34" s="91">
        <f>IF($A34="","",'Enrollment Census'!$AD25)</f>
        <v/>
      </c>
      <c r="J34">
        <f>IF($A34="","",'Enrollment Census'!$A25)</f>
        <v/>
      </c>
      <c r="K34">
        <f>IF($F34="FIX",ROW(),IF($F34="REVIEW",1000+ROW(),""))</f>
        <v/>
      </c>
    </row>
    <row r="35" ht="36" customHeight="1">
      <c r="A35" s="91">
        <f>IF(COUNTA('Enrollment Census'!$A26:$U26)&gt;0,26,"")</f>
        <v/>
      </c>
      <c r="B35" s="91">
        <f>IF($A35="","","Employee ending "&amp;RIGHT('Enrollment Census'!$A26&amp;"",4)&amp;IF('Enrollment Census'!$AH26&gt;0," • "&amp;'Enrollment Census'!$AH26&amp;" row"&amp;IF('Enrollment Census'!$AH26=1,"","s")&amp;" need attention",""))</f>
        <v/>
      </c>
      <c r="C35" s="91">
        <f>IF($A35="","",TRIM('Enrollment Census'!$C26&amp;" "&amp;'Enrollment Census'!$D26)&amp;" • ending "&amp;RIGHT('Enrollment Census'!$W26&amp;"",4))</f>
        <v/>
      </c>
      <c r="D35" s="91">
        <f>IF($A35="","",'Enrollment Census'!$X26)</f>
        <v/>
      </c>
      <c r="E35" s="91">
        <f>IF($A35="","",'Enrollment Census'!$S26)</f>
        <v/>
      </c>
      <c r="F35" s="91">
        <f>IF($A35="","",IF('Enrollment Census'!$AF26&lt;&gt;"","FIX",IF('Enrollment Census'!$AD26&lt;&gt;"","REVIEW","READY")))</f>
        <v/>
      </c>
      <c r="G35" s="91">
        <f>IF($A35="","",'Enrollment Census'!$AE26)</f>
        <v/>
      </c>
      <c r="H35" s="91">
        <f>IF($A35="","",'Enrollment Census'!$AF26)</f>
        <v/>
      </c>
      <c r="I35" s="91">
        <f>IF($A35="","",'Enrollment Census'!$AD26)</f>
        <v/>
      </c>
      <c r="J35">
        <f>IF($A35="","",'Enrollment Census'!$A26)</f>
        <v/>
      </c>
      <c r="K35">
        <f>IF($F35="FIX",ROW(),IF($F35="REVIEW",1000+ROW(),""))</f>
        <v/>
      </c>
    </row>
    <row r="36" ht="36" customHeight="1">
      <c r="A36" s="91">
        <f>IF(COUNTA('Enrollment Census'!$A27:$U27)&gt;0,27,"")</f>
        <v/>
      </c>
      <c r="B36" s="91">
        <f>IF($A36="","","Employee ending "&amp;RIGHT('Enrollment Census'!$A27&amp;"",4)&amp;IF('Enrollment Census'!$AH27&gt;0," • "&amp;'Enrollment Census'!$AH27&amp;" row"&amp;IF('Enrollment Census'!$AH27=1,"","s")&amp;" need attention",""))</f>
        <v/>
      </c>
      <c r="C36" s="91">
        <f>IF($A36="","",TRIM('Enrollment Census'!$C27&amp;" "&amp;'Enrollment Census'!$D27)&amp;" • ending "&amp;RIGHT('Enrollment Census'!$W27&amp;"",4))</f>
        <v/>
      </c>
      <c r="D36" s="91">
        <f>IF($A36="","",'Enrollment Census'!$X27)</f>
        <v/>
      </c>
      <c r="E36" s="91">
        <f>IF($A36="","",'Enrollment Census'!$S27)</f>
        <v/>
      </c>
      <c r="F36" s="91">
        <f>IF($A36="","",IF('Enrollment Census'!$AF27&lt;&gt;"","FIX",IF('Enrollment Census'!$AD27&lt;&gt;"","REVIEW","READY")))</f>
        <v/>
      </c>
      <c r="G36" s="91">
        <f>IF($A36="","",'Enrollment Census'!$AE27)</f>
        <v/>
      </c>
      <c r="H36" s="91">
        <f>IF($A36="","",'Enrollment Census'!$AF27)</f>
        <v/>
      </c>
      <c r="I36" s="91">
        <f>IF($A36="","",'Enrollment Census'!$AD27)</f>
        <v/>
      </c>
      <c r="J36">
        <f>IF($A36="","",'Enrollment Census'!$A27)</f>
        <v/>
      </c>
      <c r="K36">
        <f>IF($F36="FIX",ROW(),IF($F36="REVIEW",1000+ROW(),""))</f>
        <v/>
      </c>
    </row>
    <row r="37" ht="36" customHeight="1">
      <c r="A37" s="91">
        <f>IF(COUNTA('Enrollment Census'!$A28:$U28)&gt;0,28,"")</f>
        <v/>
      </c>
      <c r="B37" s="91">
        <f>IF($A37="","","Employee ending "&amp;RIGHT('Enrollment Census'!$A28&amp;"",4)&amp;IF('Enrollment Census'!$AH28&gt;0," • "&amp;'Enrollment Census'!$AH28&amp;" row"&amp;IF('Enrollment Census'!$AH28=1,"","s")&amp;" need attention",""))</f>
        <v/>
      </c>
      <c r="C37" s="91">
        <f>IF($A37="","",TRIM('Enrollment Census'!$C28&amp;" "&amp;'Enrollment Census'!$D28)&amp;" • ending "&amp;RIGHT('Enrollment Census'!$W28&amp;"",4))</f>
        <v/>
      </c>
      <c r="D37" s="91">
        <f>IF($A37="","",'Enrollment Census'!$X28)</f>
        <v/>
      </c>
      <c r="E37" s="91">
        <f>IF($A37="","",'Enrollment Census'!$S28)</f>
        <v/>
      </c>
      <c r="F37" s="91">
        <f>IF($A37="","",IF('Enrollment Census'!$AF28&lt;&gt;"","FIX",IF('Enrollment Census'!$AD28&lt;&gt;"","REVIEW","READY")))</f>
        <v/>
      </c>
      <c r="G37" s="91">
        <f>IF($A37="","",'Enrollment Census'!$AE28)</f>
        <v/>
      </c>
      <c r="H37" s="91">
        <f>IF($A37="","",'Enrollment Census'!$AF28)</f>
        <v/>
      </c>
      <c r="I37" s="91">
        <f>IF($A37="","",'Enrollment Census'!$AD28)</f>
        <v/>
      </c>
      <c r="J37">
        <f>IF($A37="","",'Enrollment Census'!$A28)</f>
        <v/>
      </c>
      <c r="K37">
        <f>IF($F37="FIX",ROW(),IF($F37="REVIEW",1000+ROW(),""))</f>
        <v/>
      </c>
    </row>
    <row r="38" ht="36" customHeight="1">
      <c r="A38" s="91">
        <f>IF(COUNTA('Enrollment Census'!$A29:$U29)&gt;0,29,"")</f>
        <v/>
      </c>
      <c r="B38" s="91">
        <f>IF($A38="","","Employee ending "&amp;RIGHT('Enrollment Census'!$A29&amp;"",4)&amp;IF('Enrollment Census'!$AH29&gt;0," • "&amp;'Enrollment Census'!$AH29&amp;" row"&amp;IF('Enrollment Census'!$AH29=1,"","s")&amp;" need attention",""))</f>
        <v/>
      </c>
      <c r="C38" s="91">
        <f>IF($A38="","",TRIM('Enrollment Census'!$C29&amp;" "&amp;'Enrollment Census'!$D29)&amp;" • ending "&amp;RIGHT('Enrollment Census'!$W29&amp;"",4))</f>
        <v/>
      </c>
      <c r="D38" s="91">
        <f>IF($A38="","",'Enrollment Census'!$X29)</f>
        <v/>
      </c>
      <c r="E38" s="91">
        <f>IF($A38="","",'Enrollment Census'!$S29)</f>
        <v/>
      </c>
      <c r="F38" s="91">
        <f>IF($A38="","",IF('Enrollment Census'!$AF29&lt;&gt;"","FIX",IF('Enrollment Census'!$AD29&lt;&gt;"","REVIEW","READY")))</f>
        <v/>
      </c>
      <c r="G38" s="91">
        <f>IF($A38="","",'Enrollment Census'!$AE29)</f>
        <v/>
      </c>
      <c r="H38" s="91">
        <f>IF($A38="","",'Enrollment Census'!$AF29)</f>
        <v/>
      </c>
      <c r="I38" s="91">
        <f>IF($A38="","",'Enrollment Census'!$AD29)</f>
        <v/>
      </c>
      <c r="J38">
        <f>IF($A38="","",'Enrollment Census'!$A29)</f>
        <v/>
      </c>
      <c r="K38">
        <f>IF($F38="FIX",ROW(),IF($F38="REVIEW",1000+ROW(),""))</f>
        <v/>
      </c>
    </row>
    <row r="39" ht="36" customHeight="1">
      <c r="A39" s="91">
        <f>IF(COUNTA('Enrollment Census'!$A30:$U30)&gt;0,30,"")</f>
        <v/>
      </c>
      <c r="B39" s="91">
        <f>IF($A39="","","Employee ending "&amp;RIGHT('Enrollment Census'!$A30&amp;"",4)&amp;IF('Enrollment Census'!$AH30&gt;0," • "&amp;'Enrollment Census'!$AH30&amp;" row"&amp;IF('Enrollment Census'!$AH30=1,"","s")&amp;" need attention",""))</f>
        <v/>
      </c>
      <c r="C39" s="91">
        <f>IF($A39="","",TRIM('Enrollment Census'!$C30&amp;" "&amp;'Enrollment Census'!$D30)&amp;" • ending "&amp;RIGHT('Enrollment Census'!$W30&amp;"",4))</f>
        <v/>
      </c>
      <c r="D39" s="91">
        <f>IF($A39="","",'Enrollment Census'!$X30)</f>
        <v/>
      </c>
      <c r="E39" s="91">
        <f>IF($A39="","",'Enrollment Census'!$S30)</f>
        <v/>
      </c>
      <c r="F39" s="91">
        <f>IF($A39="","",IF('Enrollment Census'!$AF30&lt;&gt;"","FIX",IF('Enrollment Census'!$AD30&lt;&gt;"","REVIEW","READY")))</f>
        <v/>
      </c>
      <c r="G39" s="91">
        <f>IF($A39="","",'Enrollment Census'!$AE30)</f>
        <v/>
      </c>
      <c r="H39" s="91">
        <f>IF($A39="","",'Enrollment Census'!$AF30)</f>
        <v/>
      </c>
      <c r="I39" s="91">
        <f>IF($A39="","",'Enrollment Census'!$AD30)</f>
        <v/>
      </c>
      <c r="J39">
        <f>IF($A39="","",'Enrollment Census'!$A30)</f>
        <v/>
      </c>
      <c r="K39">
        <f>IF($F39="FIX",ROW(),IF($F39="REVIEW",1000+ROW(),""))</f>
        <v/>
      </c>
    </row>
    <row r="40" ht="36" customHeight="1">
      <c r="A40" s="91">
        <f>IF(COUNTA('Enrollment Census'!$A31:$U31)&gt;0,31,"")</f>
        <v/>
      </c>
      <c r="B40" s="91">
        <f>IF($A40="","","Employee ending "&amp;RIGHT('Enrollment Census'!$A31&amp;"",4)&amp;IF('Enrollment Census'!$AH31&gt;0," • "&amp;'Enrollment Census'!$AH31&amp;" row"&amp;IF('Enrollment Census'!$AH31=1,"","s")&amp;" need attention",""))</f>
        <v/>
      </c>
      <c r="C40" s="91">
        <f>IF($A40="","",TRIM('Enrollment Census'!$C31&amp;" "&amp;'Enrollment Census'!$D31)&amp;" • ending "&amp;RIGHT('Enrollment Census'!$W31&amp;"",4))</f>
        <v/>
      </c>
      <c r="D40" s="91">
        <f>IF($A40="","",'Enrollment Census'!$X31)</f>
        <v/>
      </c>
      <c r="E40" s="91">
        <f>IF($A40="","",'Enrollment Census'!$S31)</f>
        <v/>
      </c>
      <c r="F40" s="91">
        <f>IF($A40="","",IF('Enrollment Census'!$AF31&lt;&gt;"","FIX",IF('Enrollment Census'!$AD31&lt;&gt;"","REVIEW","READY")))</f>
        <v/>
      </c>
      <c r="G40" s="91">
        <f>IF($A40="","",'Enrollment Census'!$AE31)</f>
        <v/>
      </c>
      <c r="H40" s="91">
        <f>IF($A40="","",'Enrollment Census'!$AF31)</f>
        <v/>
      </c>
      <c r="I40" s="91">
        <f>IF($A40="","",'Enrollment Census'!$AD31)</f>
        <v/>
      </c>
      <c r="J40">
        <f>IF($A40="","",'Enrollment Census'!$A31)</f>
        <v/>
      </c>
      <c r="K40">
        <f>IF($F40="FIX",ROW(),IF($F40="REVIEW",1000+ROW(),""))</f>
        <v/>
      </c>
    </row>
    <row r="41" ht="36" customHeight="1">
      <c r="A41" s="91">
        <f>IF(COUNTA('Enrollment Census'!$A32:$U32)&gt;0,32,"")</f>
        <v/>
      </c>
      <c r="B41" s="91">
        <f>IF($A41="","","Employee ending "&amp;RIGHT('Enrollment Census'!$A32&amp;"",4)&amp;IF('Enrollment Census'!$AH32&gt;0," • "&amp;'Enrollment Census'!$AH32&amp;" row"&amp;IF('Enrollment Census'!$AH32=1,"","s")&amp;" need attention",""))</f>
        <v/>
      </c>
      <c r="C41" s="91">
        <f>IF($A41="","",TRIM('Enrollment Census'!$C32&amp;" "&amp;'Enrollment Census'!$D32)&amp;" • ending "&amp;RIGHT('Enrollment Census'!$W32&amp;"",4))</f>
        <v/>
      </c>
      <c r="D41" s="91">
        <f>IF($A41="","",'Enrollment Census'!$X32)</f>
        <v/>
      </c>
      <c r="E41" s="91">
        <f>IF($A41="","",'Enrollment Census'!$S32)</f>
        <v/>
      </c>
      <c r="F41" s="91">
        <f>IF($A41="","",IF('Enrollment Census'!$AF32&lt;&gt;"","FIX",IF('Enrollment Census'!$AD32&lt;&gt;"","REVIEW","READY")))</f>
        <v/>
      </c>
      <c r="G41" s="91">
        <f>IF($A41="","",'Enrollment Census'!$AE32)</f>
        <v/>
      </c>
      <c r="H41" s="91">
        <f>IF($A41="","",'Enrollment Census'!$AF32)</f>
        <v/>
      </c>
      <c r="I41" s="91">
        <f>IF($A41="","",'Enrollment Census'!$AD32)</f>
        <v/>
      </c>
      <c r="J41">
        <f>IF($A41="","",'Enrollment Census'!$A32)</f>
        <v/>
      </c>
      <c r="K41">
        <f>IF($F41="FIX",ROW(),IF($F41="REVIEW",1000+ROW(),""))</f>
        <v/>
      </c>
    </row>
    <row r="42" ht="36" customHeight="1">
      <c r="A42" s="91">
        <f>IF(COUNTA('Enrollment Census'!$A33:$U33)&gt;0,33,"")</f>
        <v/>
      </c>
      <c r="B42" s="91">
        <f>IF($A42="","","Employee ending "&amp;RIGHT('Enrollment Census'!$A33&amp;"",4)&amp;IF('Enrollment Census'!$AH33&gt;0," • "&amp;'Enrollment Census'!$AH33&amp;" row"&amp;IF('Enrollment Census'!$AH33=1,"","s")&amp;" need attention",""))</f>
        <v/>
      </c>
      <c r="C42" s="91">
        <f>IF($A42="","",TRIM('Enrollment Census'!$C33&amp;" "&amp;'Enrollment Census'!$D33)&amp;" • ending "&amp;RIGHT('Enrollment Census'!$W33&amp;"",4))</f>
        <v/>
      </c>
      <c r="D42" s="91">
        <f>IF($A42="","",'Enrollment Census'!$X33)</f>
        <v/>
      </c>
      <c r="E42" s="91">
        <f>IF($A42="","",'Enrollment Census'!$S33)</f>
        <v/>
      </c>
      <c r="F42" s="91">
        <f>IF($A42="","",IF('Enrollment Census'!$AF33&lt;&gt;"","FIX",IF('Enrollment Census'!$AD33&lt;&gt;"","REVIEW","READY")))</f>
        <v/>
      </c>
      <c r="G42" s="91">
        <f>IF($A42="","",'Enrollment Census'!$AE33)</f>
        <v/>
      </c>
      <c r="H42" s="91">
        <f>IF($A42="","",'Enrollment Census'!$AF33)</f>
        <v/>
      </c>
      <c r="I42" s="91">
        <f>IF($A42="","",'Enrollment Census'!$AD33)</f>
        <v/>
      </c>
      <c r="J42">
        <f>IF($A42="","",'Enrollment Census'!$A33)</f>
        <v/>
      </c>
      <c r="K42">
        <f>IF($F42="FIX",ROW(),IF($F42="REVIEW",1000+ROW(),""))</f>
        <v/>
      </c>
    </row>
    <row r="43" ht="36" customHeight="1">
      <c r="A43" s="91">
        <f>IF(COUNTA('Enrollment Census'!$A34:$U34)&gt;0,34,"")</f>
        <v/>
      </c>
      <c r="B43" s="91">
        <f>IF($A43="","","Employee ending "&amp;RIGHT('Enrollment Census'!$A34&amp;"",4)&amp;IF('Enrollment Census'!$AH34&gt;0," • "&amp;'Enrollment Census'!$AH34&amp;" row"&amp;IF('Enrollment Census'!$AH34=1,"","s")&amp;" need attention",""))</f>
        <v/>
      </c>
      <c r="C43" s="91">
        <f>IF($A43="","",TRIM('Enrollment Census'!$C34&amp;" "&amp;'Enrollment Census'!$D34)&amp;" • ending "&amp;RIGHT('Enrollment Census'!$W34&amp;"",4))</f>
        <v/>
      </c>
      <c r="D43" s="91">
        <f>IF($A43="","",'Enrollment Census'!$X34)</f>
        <v/>
      </c>
      <c r="E43" s="91">
        <f>IF($A43="","",'Enrollment Census'!$S34)</f>
        <v/>
      </c>
      <c r="F43" s="91">
        <f>IF($A43="","",IF('Enrollment Census'!$AF34&lt;&gt;"","FIX",IF('Enrollment Census'!$AD34&lt;&gt;"","REVIEW","READY")))</f>
        <v/>
      </c>
      <c r="G43" s="91">
        <f>IF($A43="","",'Enrollment Census'!$AE34)</f>
        <v/>
      </c>
      <c r="H43" s="91">
        <f>IF($A43="","",'Enrollment Census'!$AF34)</f>
        <v/>
      </c>
      <c r="I43" s="91">
        <f>IF($A43="","",'Enrollment Census'!$AD34)</f>
        <v/>
      </c>
      <c r="J43">
        <f>IF($A43="","",'Enrollment Census'!$A34)</f>
        <v/>
      </c>
      <c r="K43">
        <f>IF($F43="FIX",ROW(),IF($F43="REVIEW",1000+ROW(),""))</f>
        <v/>
      </c>
    </row>
    <row r="44" ht="36" customHeight="1">
      <c r="A44" s="91">
        <f>IF(COUNTA('Enrollment Census'!$A35:$U35)&gt;0,35,"")</f>
        <v/>
      </c>
      <c r="B44" s="91">
        <f>IF($A44="","","Employee ending "&amp;RIGHT('Enrollment Census'!$A35&amp;"",4)&amp;IF('Enrollment Census'!$AH35&gt;0," • "&amp;'Enrollment Census'!$AH35&amp;" row"&amp;IF('Enrollment Census'!$AH35=1,"","s")&amp;" need attention",""))</f>
        <v/>
      </c>
      <c r="C44" s="91">
        <f>IF($A44="","",TRIM('Enrollment Census'!$C35&amp;" "&amp;'Enrollment Census'!$D35)&amp;" • ending "&amp;RIGHT('Enrollment Census'!$W35&amp;"",4))</f>
        <v/>
      </c>
      <c r="D44" s="91">
        <f>IF($A44="","",'Enrollment Census'!$X35)</f>
        <v/>
      </c>
      <c r="E44" s="91">
        <f>IF($A44="","",'Enrollment Census'!$S35)</f>
        <v/>
      </c>
      <c r="F44" s="91">
        <f>IF($A44="","",IF('Enrollment Census'!$AF35&lt;&gt;"","FIX",IF('Enrollment Census'!$AD35&lt;&gt;"","REVIEW","READY")))</f>
        <v/>
      </c>
      <c r="G44" s="91">
        <f>IF($A44="","",'Enrollment Census'!$AE35)</f>
        <v/>
      </c>
      <c r="H44" s="91">
        <f>IF($A44="","",'Enrollment Census'!$AF35)</f>
        <v/>
      </c>
      <c r="I44" s="91">
        <f>IF($A44="","",'Enrollment Census'!$AD35)</f>
        <v/>
      </c>
      <c r="J44">
        <f>IF($A44="","",'Enrollment Census'!$A35)</f>
        <v/>
      </c>
      <c r="K44">
        <f>IF($F44="FIX",ROW(),IF($F44="REVIEW",1000+ROW(),""))</f>
        <v/>
      </c>
    </row>
    <row r="45" ht="36" customHeight="1">
      <c r="A45" s="91">
        <f>IF(COUNTA('Enrollment Census'!$A36:$U36)&gt;0,36,"")</f>
        <v/>
      </c>
      <c r="B45" s="91">
        <f>IF($A45="","","Employee ending "&amp;RIGHT('Enrollment Census'!$A36&amp;"",4)&amp;IF('Enrollment Census'!$AH36&gt;0," • "&amp;'Enrollment Census'!$AH36&amp;" row"&amp;IF('Enrollment Census'!$AH36=1,"","s")&amp;" need attention",""))</f>
        <v/>
      </c>
      <c r="C45" s="91">
        <f>IF($A45="","",TRIM('Enrollment Census'!$C36&amp;" "&amp;'Enrollment Census'!$D36)&amp;" • ending "&amp;RIGHT('Enrollment Census'!$W36&amp;"",4))</f>
        <v/>
      </c>
      <c r="D45" s="91">
        <f>IF($A45="","",'Enrollment Census'!$X36)</f>
        <v/>
      </c>
      <c r="E45" s="91">
        <f>IF($A45="","",'Enrollment Census'!$S36)</f>
        <v/>
      </c>
      <c r="F45" s="91">
        <f>IF($A45="","",IF('Enrollment Census'!$AF36&lt;&gt;"","FIX",IF('Enrollment Census'!$AD36&lt;&gt;"","REVIEW","READY")))</f>
        <v/>
      </c>
      <c r="G45" s="91">
        <f>IF($A45="","",'Enrollment Census'!$AE36)</f>
        <v/>
      </c>
      <c r="H45" s="91">
        <f>IF($A45="","",'Enrollment Census'!$AF36)</f>
        <v/>
      </c>
      <c r="I45" s="91">
        <f>IF($A45="","",'Enrollment Census'!$AD36)</f>
        <v/>
      </c>
      <c r="J45">
        <f>IF($A45="","",'Enrollment Census'!$A36)</f>
        <v/>
      </c>
      <c r="K45">
        <f>IF($F45="FIX",ROW(),IF($F45="REVIEW",1000+ROW(),""))</f>
        <v/>
      </c>
    </row>
    <row r="46" ht="36" customHeight="1">
      <c r="A46" s="91">
        <f>IF(COUNTA('Enrollment Census'!$A37:$U37)&gt;0,37,"")</f>
        <v/>
      </c>
      <c r="B46" s="91">
        <f>IF($A46="","","Employee ending "&amp;RIGHT('Enrollment Census'!$A37&amp;"",4)&amp;IF('Enrollment Census'!$AH37&gt;0," • "&amp;'Enrollment Census'!$AH37&amp;" row"&amp;IF('Enrollment Census'!$AH37=1,"","s")&amp;" need attention",""))</f>
        <v/>
      </c>
      <c r="C46" s="91">
        <f>IF($A46="","",TRIM('Enrollment Census'!$C37&amp;" "&amp;'Enrollment Census'!$D37)&amp;" • ending "&amp;RIGHT('Enrollment Census'!$W37&amp;"",4))</f>
        <v/>
      </c>
      <c r="D46" s="91">
        <f>IF($A46="","",'Enrollment Census'!$X37)</f>
        <v/>
      </c>
      <c r="E46" s="91">
        <f>IF($A46="","",'Enrollment Census'!$S37)</f>
        <v/>
      </c>
      <c r="F46" s="91">
        <f>IF($A46="","",IF('Enrollment Census'!$AF37&lt;&gt;"","FIX",IF('Enrollment Census'!$AD37&lt;&gt;"","REVIEW","READY")))</f>
        <v/>
      </c>
      <c r="G46" s="91">
        <f>IF($A46="","",'Enrollment Census'!$AE37)</f>
        <v/>
      </c>
      <c r="H46" s="91">
        <f>IF($A46="","",'Enrollment Census'!$AF37)</f>
        <v/>
      </c>
      <c r="I46" s="91">
        <f>IF($A46="","",'Enrollment Census'!$AD37)</f>
        <v/>
      </c>
      <c r="J46">
        <f>IF($A46="","",'Enrollment Census'!$A37)</f>
        <v/>
      </c>
      <c r="K46">
        <f>IF($F46="FIX",ROW(),IF($F46="REVIEW",1000+ROW(),""))</f>
        <v/>
      </c>
    </row>
    <row r="47" ht="36" customHeight="1">
      <c r="A47" s="91">
        <f>IF(COUNTA('Enrollment Census'!$A38:$U38)&gt;0,38,"")</f>
        <v/>
      </c>
      <c r="B47" s="91">
        <f>IF($A47="","","Employee ending "&amp;RIGHT('Enrollment Census'!$A38&amp;"",4)&amp;IF('Enrollment Census'!$AH38&gt;0," • "&amp;'Enrollment Census'!$AH38&amp;" row"&amp;IF('Enrollment Census'!$AH38=1,"","s")&amp;" need attention",""))</f>
        <v/>
      </c>
      <c r="C47" s="91">
        <f>IF($A47="","",TRIM('Enrollment Census'!$C38&amp;" "&amp;'Enrollment Census'!$D38)&amp;" • ending "&amp;RIGHT('Enrollment Census'!$W38&amp;"",4))</f>
        <v/>
      </c>
      <c r="D47" s="91">
        <f>IF($A47="","",'Enrollment Census'!$X38)</f>
        <v/>
      </c>
      <c r="E47" s="91">
        <f>IF($A47="","",'Enrollment Census'!$S38)</f>
        <v/>
      </c>
      <c r="F47" s="91">
        <f>IF($A47="","",IF('Enrollment Census'!$AF38&lt;&gt;"","FIX",IF('Enrollment Census'!$AD38&lt;&gt;"","REVIEW","READY")))</f>
        <v/>
      </c>
      <c r="G47" s="91">
        <f>IF($A47="","",'Enrollment Census'!$AE38)</f>
        <v/>
      </c>
      <c r="H47" s="91">
        <f>IF($A47="","",'Enrollment Census'!$AF38)</f>
        <v/>
      </c>
      <c r="I47" s="91">
        <f>IF($A47="","",'Enrollment Census'!$AD38)</f>
        <v/>
      </c>
      <c r="J47">
        <f>IF($A47="","",'Enrollment Census'!$A38)</f>
        <v/>
      </c>
      <c r="K47">
        <f>IF($F47="FIX",ROW(),IF($F47="REVIEW",1000+ROW(),""))</f>
        <v/>
      </c>
    </row>
    <row r="48" ht="36" customHeight="1">
      <c r="A48" s="91">
        <f>IF(COUNTA('Enrollment Census'!$A39:$U39)&gt;0,39,"")</f>
        <v/>
      </c>
      <c r="B48" s="91">
        <f>IF($A48="","","Employee ending "&amp;RIGHT('Enrollment Census'!$A39&amp;"",4)&amp;IF('Enrollment Census'!$AH39&gt;0," • "&amp;'Enrollment Census'!$AH39&amp;" row"&amp;IF('Enrollment Census'!$AH39=1,"","s")&amp;" need attention",""))</f>
        <v/>
      </c>
      <c r="C48" s="91">
        <f>IF($A48="","",TRIM('Enrollment Census'!$C39&amp;" "&amp;'Enrollment Census'!$D39)&amp;" • ending "&amp;RIGHT('Enrollment Census'!$W39&amp;"",4))</f>
        <v/>
      </c>
      <c r="D48" s="91">
        <f>IF($A48="","",'Enrollment Census'!$X39)</f>
        <v/>
      </c>
      <c r="E48" s="91">
        <f>IF($A48="","",'Enrollment Census'!$S39)</f>
        <v/>
      </c>
      <c r="F48" s="91">
        <f>IF($A48="","",IF('Enrollment Census'!$AF39&lt;&gt;"","FIX",IF('Enrollment Census'!$AD39&lt;&gt;"","REVIEW","READY")))</f>
        <v/>
      </c>
      <c r="G48" s="91">
        <f>IF($A48="","",'Enrollment Census'!$AE39)</f>
        <v/>
      </c>
      <c r="H48" s="91">
        <f>IF($A48="","",'Enrollment Census'!$AF39)</f>
        <v/>
      </c>
      <c r="I48" s="91">
        <f>IF($A48="","",'Enrollment Census'!$AD39)</f>
        <v/>
      </c>
      <c r="J48">
        <f>IF($A48="","",'Enrollment Census'!$A39)</f>
        <v/>
      </c>
      <c r="K48">
        <f>IF($F48="FIX",ROW(),IF($F48="REVIEW",1000+ROW(),""))</f>
        <v/>
      </c>
    </row>
    <row r="49" ht="36" customHeight="1">
      <c r="A49" s="91">
        <f>IF(COUNTA('Enrollment Census'!$A40:$U40)&gt;0,40,"")</f>
        <v/>
      </c>
      <c r="B49" s="91">
        <f>IF($A49="","","Employee ending "&amp;RIGHT('Enrollment Census'!$A40&amp;"",4)&amp;IF('Enrollment Census'!$AH40&gt;0," • "&amp;'Enrollment Census'!$AH40&amp;" row"&amp;IF('Enrollment Census'!$AH40=1,"","s")&amp;" need attention",""))</f>
        <v/>
      </c>
      <c r="C49" s="91">
        <f>IF($A49="","",TRIM('Enrollment Census'!$C40&amp;" "&amp;'Enrollment Census'!$D40)&amp;" • ending "&amp;RIGHT('Enrollment Census'!$W40&amp;"",4))</f>
        <v/>
      </c>
      <c r="D49" s="91">
        <f>IF($A49="","",'Enrollment Census'!$X40)</f>
        <v/>
      </c>
      <c r="E49" s="91">
        <f>IF($A49="","",'Enrollment Census'!$S40)</f>
        <v/>
      </c>
      <c r="F49" s="91">
        <f>IF($A49="","",IF('Enrollment Census'!$AF40&lt;&gt;"","FIX",IF('Enrollment Census'!$AD40&lt;&gt;"","REVIEW","READY")))</f>
        <v/>
      </c>
      <c r="G49" s="91">
        <f>IF($A49="","",'Enrollment Census'!$AE40)</f>
        <v/>
      </c>
      <c r="H49" s="91">
        <f>IF($A49="","",'Enrollment Census'!$AF40)</f>
        <v/>
      </c>
      <c r="I49" s="91">
        <f>IF($A49="","",'Enrollment Census'!$AD40)</f>
        <v/>
      </c>
      <c r="J49">
        <f>IF($A49="","",'Enrollment Census'!$A40)</f>
        <v/>
      </c>
      <c r="K49">
        <f>IF($F49="FIX",ROW(),IF($F49="REVIEW",1000+ROW(),""))</f>
        <v/>
      </c>
    </row>
    <row r="50" ht="36" customHeight="1">
      <c r="A50" s="91">
        <f>IF(COUNTA('Enrollment Census'!$A41:$U41)&gt;0,41,"")</f>
        <v/>
      </c>
      <c r="B50" s="91">
        <f>IF($A50="","","Employee ending "&amp;RIGHT('Enrollment Census'!$A41&amp;"",4)&amp;IF('Enrollment Census'!$AH41&gt;0," • "&amp;'Enrollment Census'!$AH41&amp;" row"&amp;IF('Enrollment Census'!$AH41=1,"","s")&amp;" need attention",""))</f>
        <v/>
      </c>
      <c r="C50" s="91">
        <f>IF($A50="","",TRIM('Enrollment Census'!$C41&amp;" "&amp;'Enrollment Census'!$D41)&amp;" • ending "&amp;RIGHT('Enrollment Census'!$W41&amp;"",4))</f>
        <v/>
      </c>
      <c r="D50" s="91">
        <f>IF($A50="","",'Enrollment Census'!$X41)</f>
        <v/>
      </c>
      <c r="E50" s="91">
        <f>IF($A50="","",'Enrollment Census'!$S41)</f>
        <v/>
      </c>
      <c r="F50" s="91">
        <f>IF($A50="","",IF('Enrollment Census'!$AF41&lt;&gt;"","FIX",IF('Enrollment Census'!$AD41&lt;&gt;"","REVIEW","READY")))</f>
        <v/>
      </c>
      <c r="G50" s="91">
        <f>IF($A50="","",'Enrollment Census'!$AE41)</f>
        <v/>
      </c>
      <c r="H50" s="91">
        <f>IF($A50="","",'Enrollment Census'!$AF41)</f>
        <v/>
      </c>
      <c r="I50" s="91">
        <f>IF($A50="","",'Enrollment Census'!$AD41)</f>
        <v/>
      </c>
      <c r="J50">
        <f>IF($A50="","",'Enrollment Census'!$A41)</f>
        <v/>
      </c>
      <c r="K50">
        <f>IF($F50="FIX",ROW(),IF($F50="REVIEW",1000+ROW(),""))</f>
        <v/>
      </c>
    </row>
    <row r="51" ht="36" customHeight="1">
      <c r="A51" s="91">
        <f>IF(COUNTA('Enrollment Census'!$A42:$U42)&gt;0,42,"")</f>
        <v/>
      </c>
      <c r="B51" s="91">
        <f>IF($A51="","","Employee ending "&amp;RIGHT('Enrollment Census'!$A42&amp;"",4)&amp;IF('Enrollment Census'!$AH42&gt;0," • "&amp;'Enrollment Census'!$AH42&amp;" row"&amp;IF('Enrollment Census'!$AH42=1,"","s")&amp;" need attention",""))</f>
        <v/>
      </c>
      <c r="C51" s="91">
        <f>IF($A51="","",TRIM('Enrollment Census'!$C42&amp;" "&amp;'Enrollment Census'!$D42)&amp;" • ending "&amp;RIGHT('Enrollment Census'!$W42&amp;"",4))</f>
        <v/>
      </c>
      <c r="D51" s="91">
        <f>IF($A51="","",'Enrollment Census'!$X42)</f>
        <v/>
      </c>
      <c r="E51" s="91">
        <f>IF($A51="","",'Enrollment Census'!$S42)</f>
        <v/>
      </c>
      <c r="F51" s="91">
        <f>IF($A51="","",IF('Enrollment Census'!$AF42&lt;&gt;"","FIX",IF('Enrollment Census'!$AD42&lt;&gt;"","REVIEW","READY")))</f>
        <v/>
      </c>
      <c r="G51" s="91">
        <f>IF($A51="","",'Enrollment Census'!$AE42)</f>
        <v/>
      </c>
      <c r="H51" s="91">
        <f>IF($A51="","",'Enrollment Census'!$AF42)</f>
        <v/>
      </c>
      <c r="I51" s="91">
        <f>IF($A51="","",'Enrollment Census'!$AD42)</f>
        <v/>
      </c>
      <c r="J51">
        <f>IF($A51="","",'Enrollment Census'!$A42)</f>
        <v/>
      </c>
      <c r="K51">
        <f>IF($F51="FIX",ROW(),IF($F51="REVIEW",1000+ROW(),""))</f>
        <v/>
      </c>
    </row>
    <row r="52" ht="36" customHeight="1">
      <c r="A52" s="91">
        <f>IF(COUNTA('Enrollment Census'!$A43:$U43)&gt;0,43,"")</f>
        <v/>
      </c>
      <c r="B52" s="91">
        <f>IF($A52="","","Employee ending "&amp;RIGHT('Enrollment Census'!$A43&amp;"",4)&amp;IF('Enrollment Census'!$AH43&gt;0," • "&amp;'Enrollment Census'!$AH43&amp;" row"&amp;IF('Enrollment Census'!$AH43=1,"","s")&amp;" need attention",""))</f>
        <v/>
      </c>
      <c r="C52" s="91">
        <f>IF($A52="","",TRIM('Enrollment Census'!$C43&amp;" "&amp;'Enrollment Census'!$D43)&amp;" • ending "&amp;RIGHT('Enrollment Census'!$W43&amp;"",4))</f>
        <v/>
      </c>
      <c r="D52" s="91">
        <f>IF($A52="","",'Enrollment Census'!$X43)</f>
        <v/>
      </c>
      <c r="E52" s="91">
        <f>IF($A52="","",'Enrollment Census'!$S43)</f>
        <v/>
      </c>
      <c r="F52" s="91">
        <f>IF($A52="","",IF('Enrollment Census'!$AF43&lt;&gt;"","FIX",IF('Enrollment Census'!$AD43&lt;&gt;"","REVIEW","READY")))</f>
        <v/>
      </c>
      <c r="G52" s="91">
        <f>IF($A52="","",'Enrollment Census'!$AE43)</f>
        <v/>
      </c>
      <c r="H52" s="91">
        <f>IF($A52="","",'Enrollment Census'!$AF43)</f>
        <v/>
      </c>
      <c r="I52" s="91">
        <f>IF($A52="","",'Enrollment Census'!$AD43)</f>
        <v/>
      </c>
      <c r="J52">
        <f>IF($A52="","",'Enrollment Census'!$A43)</f>
        <v/>
      </c>
      <c r="K52">
        <f>IF($F52="FIX",ROW(),IF($F52="REVIEW",1000+ROW(),""))</f>
        <v/>
      </c>
    </row>
    <row r="53" ht="36" customHeight="1">
      <c r="A53" s="91">
        <f>IF(COUNTA('Enrollment Census'!$A44:$U44)&gt;0,44,"")</f>
        <v/>
      </c>
      <c r="B53" s="91">
        <f>IF($A53="","","Employee ending "&amp;RIGHT('Enrollment Census'!$A44&amp;"",4)&amp;IF('Enrollment Census'!$AH44&gt;0," • "&amp;'Enrollment Census'!$AH44&amp;" row"&amp;IF('Enrollment Census'!$AH44=1,"","s")&amp;" need attention",""))</f>
        <v/>
      </c>
      <c r="C53" s="91">
        <f>IF($A53="","",TRIM('Enrollment Census'!$C44&amp;" "&amp;'Enrollment Census'!$D44)&amp;" • ending "&amp;RIGHT('Enrollment Census'!$W44&amp;"",4))</f>
        <v/>
      </c>
      <c r="D53" s="91">
        <f>IF($A53="","",'Enrollment Census'!$X44)</f>
        <v/>
      </c>
      <c r="E53" s="91">
        <f>IF($A53="","",'Enrollment Census'!$S44)</f>
        <v/>
      </c>
      <c r="F53" s="91">
        <f>IF($A53="","",IF('Enrollment Census'!$AF44&lt;&gt;"","FIX",IF('Enrollment Census'!$AD44&lt;&gt;"","REVIEW","READY")))</f>
        <v/>
      </c>
      <c r="G53" s="91">
        <f>IF($A53="","",'Enrollment Census'!$AE44)</f>
        <v/>
      </c>
      <c r="H53" s="91">
        <f>IF($A53="","",'Enrollment Census'!$AF44)</f>
        <v/>
      </c>
      <c r="I53" s="91">
        <f>IF($A53="","",'Enrollment Census'!$AD44)</f>
        <v/>
      </c>
      <c r="J53">
        <f>IF($A53="","",'Enrollment Census'!$A44)</f>
        <v/>
      </c>
      <c r="K53">
        <f>IF($F53="FIX",ROW(),IF($F53="REVIEW",1000+ROW(),""))</f>
        <v/>
      </c>
    </row>
    <row r="54" ht="36" customHeight="1">
      <c r="A54" s="91">
        <f>IF(COUNTA('Enrollment Census'!$A45:$U45)&gt;0,45,"")</f>
        <v/>
      </c>
      <c r="B54" s="91">
        <f>IF($A54="","","Employee ending "&amp;RIGHT('Enrollment Census'!$A45&amp;"",4)&amp;IF('Enrollment Census'!$AH45&gt;0," • "&amp;'Enrollment Census'!$AH45&amp;" row"&amp;IF('Enrollment Census'!$AH45=1,"","s")&amp;" need attention",""))</f>
        <v/>
      </c>
      <c r="C54" s="91">
        <f>IF($A54="","",TRIM('Enrollment Census'!$C45&amp;" "&amp;'Enrollment Census'!$D45)&amp;" • ending "&amp;RIGHT('Enrollment Census'!$W45&amp;"",4))</f>
        <v/>
      </c>
      <c r="D54" s="91">
        <f>IF($A54="","",'Enrollment Census'!$X45)</f>
        <v/>
      </c>
      <c r="E54" s="91">
        <f>IF($A54="","",'Enrollment Census'!$S45)</f>
        <v/>
      </c>
      <c r="F54" s="91">
        <f>IF($A54="","",IF('Enrollment Census'!$AF45&lt;&gt;"","FIX",IF('Enrollment Census'!$AD45&lt;&gt;"","REVIEW","READY")))</f>
        <v/>
      </c>
      <c r="G54" s="91">
        <f>IF($A54="","",'Enrollment Census'!$AE45)</f>
        <v/>
      </c>
      <c r="H54" s="91">
        <f>IF($A54="","",'Enrollment Census'!$AF45)</f>
        <v/>
      </c>
      <c r="I54" s="91">
        <f>IF($A54="","",'Enrollment Census'!$AD45)</f>
        <v/>
      </c>
      <c r="J54">
        <f>IF($A54="","",'Enrollment Census'!$A45)</f>
        <v/>
      </c>
      <c r="K54">
        <f>IF($F54="FIX",ROW(),IF($F54="REVIEW",1000+ROW(),""))</f>
        <v/>
      </c>
    </row>
    <row r="55" ht="36" customHeight="1">
      <c r="A55" s="91">
        <f>IF(COUNTA('Enrollment Census'!$A46:$U46)&gt;0,46,"")</f>
        <v/>
      </c>
      <c r="B55" s="91">
        <f>IF($A55="","","Employee ending "&amp;RIGHT('Enrollment Census'!$A46&amp;"",4)&amp;IF('Enrollment Census'!$AH46&gt;0," • "&amp;'Enrollment Census'!$AH46&amp;" row"&amp;IF('Enrollment Census'!$AH46=1,"","s")&amp;" need attention",""))</f>
        <v/>
      </c>
      <c r="C55" s="91">
        <f>IF($A55="","",TRIM('Enrollment Census'!$C46&amp;" "&amp;'Enrollment Census'!$D46)&amp;" • ending "&amp;RIGHT('Enrollment Census'!$W46&amp;"",4))</f>
        <v/>
      </c>
      <c r="D55" s="91">
        <f>IF($A55="","",'Enrollment Census'!$X46)</f>
        <v/>
      </c>
      <c r="E55" s="91">
        <f>IF($A55="","",'Enrollment Census'!$S46)</f>
        <v/>
      </c>
      <c r="F55" s="91">
        <f>IF($A55="","",IF('Enrollment Census'!$AF46&lt;&gt;"","FIX",IF('Enrollment Census'!$AD46&lt;&gt;"","REVIEW","READY")))</f>
        <v/>
      </c>
      <c r="G55" s="91">
        <f>IF($A55="","",'Enrollment Census'!$AE46)</f>
        <v/>
      </c>
      <c r="H55" s="91">
        <f>IF($A55="","",'Enrollment Census'!$AF46)</f>
        <v/>
      </c>
      <c r="I55" s="91">
        <f>IF($A55="","",'Enrollment Census'!$AD46)</f>
        <v/>
      </c>
      <c r="J55">
        <f>IF($A55="","",'Enrollment Census'!$A46)</f>
        <v/>
      </c>
      <c r="K55">
        <f>IF($F55="FIX",ROW(),IF($F55="REVIEW",1000+ROW(),""))</f>
        <v/>
      </c>
    </row>
    <row r="56" ht="36" customHeight="1">
      <c r="A56" s="91">
        <f>IF(COUNTA('Enrollment Census'!$A47:$U47)&gt;0,47,"")</f>
        <v/>
      </c>
      <c r="B56" s="91">
        <f>IF($A56="","","Employee ending "&amp;RIGHT('Enrollment Census'!$A47&amp;"",4)&amp;IF('Enrollment Census'!$AH47&gt;0," • "&amp;'Enrollment Census'!$AH47&amp;" row"&amp;IF('Enrollment Census'!$AH47=1,"","s")&amp;" need attention",""))</f>
        <v/>
      </c>
      <c r="C56" s="91">
        <f>IF($A56="","",TRIM('Enrollment Census'!$C47&amp;" "&amp;'Enrollment Census'!$D47)&amp;" • ending "&amp;RIGHT('Enrollment Census'!$W47&amp;"",4))</f>
        <v/>
      </c>
      <c r="D56" s="91">
        <f>IF($A56="","",'Enrollment Census'!$X47)</f>
        <v/>
      </c>
      <c r="E56" s="91">
        <f>IF($A56="","",'Enrollment Census'!$S47)</f>
        <v/>
      </c>
      <c r="F56" s="91">
        <f>IF($A56="","",IF('Enrollment Census'!$AF47&lt;&gt;"","FIX",IF('Enrollment Census'!$AD47&lt;&gt;"","REVIEW","READY")))</f>
        <v/>
      </c>
      <c r="G56" s="91">
        <f>IF($A56="","",'Enrollment Census'!$AE47)</f>
        <v/>
      </c>
      <c r="H56" s="91">
        <f>IF($A56="","",'Enrollment Census'!$AF47)</f>
        <v/>
      </c>
      <c r="I56" s="91">
        <f>IF($A56="","",'Enrollment Census'!$AD47)</f>
        <v/>
      </c>
      <c r="J56">
        <f>IF($A56="","",'Enrollment Census'!$A47)</f>
        <v/>
      </c>
      <c r="K56">
        <f>IF($F56="FIX",ROW(),IF($F56="REVIEW",1000+ROW(),""))</f>
        <v/>
      </c>
    </row>
    <row r="57" ht="36" customHeight="1">
      <c r="A57" s="91">
        <f>IF(COUNTA('Enrollment Census'!$A48:$U48)&gt;0,48,"")</f>
        <v/>
      </c>
      <c r="B57" s="91">
        <f>IF($A57="","","Employee ending "&amp;RIGHT('Enrollment Census'!$A48&amp;"",4)&amp;IF('Enrollment Census'!$AH48&gt;0," • "&amp;'Enrollment Census'!$AH48&amp;" row"&amp;IF('Enrollment Census'!$AH48=1,"","s")&amp;" need attention",""))</f>
        <v/>
      </c>
      <c r="C57" s="91">
        <f>IF($A57="","",TRIM('Enrollment Census'!$C48&amp;" "&amp;'Enrollment Census'!$D48)&amp;" • ending "&amp;RIGHT('Enrollment Census'!$W48&amp;"",4))</f>
        <v/>
      </c>
      <c r="D57" s="91">
        <f>IF($A57="","",'Enrollment Census'!$X48)</f>
        <v/>
      </c>
      <c r="E57" s="91">
        <f>IF($A57="","",'Enrollment Census'!$S48)</f>
        <v/>
      </c>
      <c r="F57" s="91">
        <f>IF($A57="","",IF('Enrollment Census'!$AF48&lt;&gt;"","FIX",IF('Enrollment Census'!$AD48&lt;&gt;"","REVIEW","READY")))</f>
        <v/>
      </c>
      <c r="G57" s="91">
        <f>IF($A57="","",'Enrollment Census'!$AE48)</f>
        <v/>
      </c>
      <c r="H57" s="91">
        <f>IF($A57="","",'Enrollment Census'!$AF48)</f>
        <v/>
      </c>
      <c r="I57" s="91">
        <f>IF($A57="","",'Enrollment Census'!$AD48)</f>
        <v/>
      </c>
      <c r="J57">
        <f>IF($A57="","",'Enrollment Census'!$A48)</f>
        <v/>
      </c>
      <c r="K57">
        <f>IF($F57="FIX",ROW(),IF($F57="REVIEW",1000+ROW(),""))</f>
        <v/>
      </c>
    </row>
    <row r="58" ht="36" customHeight="1">
      <c r="A58" s="91">
        <f>IF(COUNTA('Enrollment Census'!$A49:$U49)&gt;0,49,"")</f>
        <v/>
      </c>
      <c r="B58" s="91">
        <f>IF($A58="","","Employee ending "&amp;RIGHT('Enrollment Census'!$A49&amp;"",4)&amp;IF('Enrollment Census'!$AH49&gt;0," • "&amp;'Enrollment Census'!$AH49&amp;" row"&amp;IF('Enrollment Census'!$AH49=1,"","s")&amp;" need attention",""))</f>
        <v/>
      </c>
      <c r="C58" s="91">
        <f>IF($A58="","",TRIM('Enrollment Census'!$C49&amp;" "&amp;'Enrollment Census'!$D49)&amp;" • ending "&amp;RIGHT('Enrollment Census'!$W49&amp;"",4))</f>
        <v/>
      </c>
      <c r="D58" s="91">
        <f>IF($A58="","",'Enrollment Census'!$X49)</f>
        <v/>
      </c>
      <c r="E58" s="91">
        <f>IF($A58="","",'Enrollment Census'!$S49)</f>
        <v/>
      </c>
      <c r="F58" s="91">
        <f>IF($A58="","",IF('Enrollment Census'!$AF49&lt;&gt;"","FIX",IF('Enrollment Census'!$AD49&lt;&gt;"","REVIEW","READY")))</f>
        <v/>
      </c>
      <c r="G58" s="91">
        <f>IF($A58="","",'Enrollment Census'!$AE49)</f>
        <v/>
      </c>
      <c r="H58" s="91">
        <f>IF($A58="","",'Enrollment Census'!$AF49)</f>
        <v/>
      </c>
      <c r="I58" s="91">
        <f>IF($A58="","",'Enrollment Census'!$AD49)</f>
        <v/>
      </c>
      <c r="J58">
        <f>IF($A58="","",'Enrollment Census'!$A49)</f>
        <v/>
      </c>
      <c r="K58">
        <f>IF($F58="FIX",ROW(),IF($F58="REVIEW",1000+ROW(),""))</f>
        <v/>
      </c>
    </row>
    <row r="59" ht="36" customHeight="1">
      <c r="A59" s="91">
        <f>IF(COUNTA('Enrollment Census'!$A50:$U50)&gt;0,50,"")</f>
        <v/>
      </c>
      <c r="B59" s="91">
        <f>IF($A59="","","Employee ending "&amp;RIGHT('Enrollment Census'!$A50&amp;"",4)&amp;IF('Enrollment Census'!$AH50&gt;0," • "&amp;'Enrollment Census'!$AH50&amp;" row"&amp;IF('Enrollment Census'!$AH50=1,"","s")&amp;" need attention",""))</f>
        <v/>
      </c>
      <c r="C59" s="91">
        <f>IF($A59="","",TRIM('Enrollment Census'!$C50&amp;" "&amp;'Enrollment Census'!$D50)&amp;" • ending "&amp;RIGHT('Enrollment Census'!$W50&amp;"",4))</f>
        <v/>
      </c>
      <c r="D59" s="91">
        <f>IF($A59="","",'Enrollment Census'!$X50)</f>
        <v/>
      </c>
      <c r="E59" s="91">
        <f>IF($A59="","",'Enrollment Census'!$S50)</f>
        <v/>
      </c>
      <c r="F59" s="91">
        <f>IF($A59="","",IF('Enrollment Census'!$AF50&lt;&gt;"","FIX",IF('Enrollment Census'!$AD50&lt;&gt;"","REVIEW","READY")))</f>
        <v/>
      </c>
      <c r="G59" s="91">
        <f>IF($A59="","",'Enrollment Census'!$AE50)</f>
        <v/>
      </c>
      <c r="H59" s="91">
        <f>IF($A59="","",'Enrollment Census'!$AF50)</f>
        <v/>
      </c>
      <c r="I59" s="91">
        <f>IF($A59="","",'Enrollment Census'!$AD50)</f>
        <v/>
      </c>
      <c r="J59">
        <f>IF($A59="","",'Enrollment Census'!$A50)</f>
        <v/>
      </c>
      <c r="K59">
        <f>IF($F59="FIX",ROW(),IF($F59="REVIEW",1000+ROW(),""))</f>
        <v/>
      </c>
    </row>
    <row r="60" ht="36" customHeight="1">
      <c r="A60" s="91">
        <f>IF(COUNTA('Enrollment Census'!$A51:$U51)&gt;0,51,"")</f>
        <v/>
      </c>
      <c r="B60" s="91">
        <f>IF($A60="","","Employee ending "&amp;RIGHT('Enrollment Census'!$A51&amp;"",4)&amp;IF('Enrollment Census'!$AH51&gt;0," • "&amp;'Enrollment Census'!$AH51&amp;" row"&amp;IF('Enrollment Census'!$AH51=1,"","s")&amp;" need attention",""))</f>
        <v/>
      </c>
      <c r="C60" s="91">
        <f>IF($A60="","",TRIM('Enrollment Census'!$C51&amp;" "&amp;'Enrollment Census'!$D51)&amp;" • ending "&amp;RIGHT('Enrollment Census'!$W51&amp;"",4))</f>
        <v/>
      </c>
      <c r="D60" s="91">
        <f>IF($A60="","",'Enrollment Census'!$X51)</f>
        <v/>
      </c>
      <c r="E60" s="91">
        <f>IF($A60="","",'Enrollment Census'!$S51)</f>
        <v/>
      </c>
      <c r="F60" s="91">
        <f>IF($A60="","",IF('Enrollment Census'!$AF51&lt;&gt;"","FIX",IF('Enrollment Census'!$AD51&lt;&gt;"","REVIEW","READY")))</f>
        <v/>
      </c>
      <c r="G60" s="91">
        <f>IF($A60="","",'Enrollment Census'!$AE51)</f>
        <v/>
      </c>
      <c r="H60" s="91">
        <f>IF($A60="","",'Enrollment Census'!$AF51)</f>
        <v/>
      </c>
      <c r="I60" s="91">
        <f>IF($A60="","",'Enrollment Census'!$AD51)</f>
        <v/>
      </c>
      <c r="J60">
        <f>IF($A60="","",'Enrollment Census'!$A51)</f>
        <v/>
      </c>
      <c r="K60">
        <f>IF($F60="FIX",ROW(),IF($F60="REVIEW",1000+ROW(),""))</f>
        <v/>
      </c>
    </row>
    <row r="61" ht="36" customHeight="1">
      <c r="A61" s="91">
        <f>IF(COUNTA('Enrollment Census'!$A52:$U52)&gt;0,52,"")</f>
        <v/>
      </c>
      <c r="B61" s="91">
        <f>IF($A61="","","Employee ending "&amp;RIGHT('Enrollment Census'!$A52&amp;"",4)&amp;IF('Enrollment Census'!$AH52&gt;0," • "&amp;'Enrollment Census'!$AH52&amp;" row"&amp;IF('Enrollment Census'!$AH52=1,"","s")&amp;" need attention",""))</f>
        <v/>
      </c>
      <c r="C61" s="91">
        <f>IF($A61="","",TRIM('Enrollment Census'!$C52&amp;" "&amp;'Enrollment Census'!$D52)&amp;" • ending "&amp;RIGHT('Enrollment Census'!$W52&amp;"",4))</f>
        <v/>
      </c>
      <c r="D61" s="91">
        <f>IF($A61="","",'Enrollment Census'!$X52)</f>
        <v/>
      </c>
      <c r="E61" s="91">
        <f>IF($A61="","",'Enrollment Census'!$S52)</f>
        <v/>
      </c>
      <c r="F61" s="91">
        <f>IF($A61="","",IF('Enrollment Census'!$AF52&lt;&gt;"","FIX",IF('Enrollment Census'!$AD52&lt;&gt;"","REVIEW","READY")))</f>
        <v/>
      </c>
      <c r="G61" s="91">
        <f>IF($A61="","",'Enrollment Census'!$AE52)</f>
        <v/>
      </c>
      <c r="H61" s="91">
        <f>IF($A61="","",'Enrollment Census'!$AF52)</f>
        <v/>
      </c>
      <c r="I61" s="91">
        <f>IF($A61="","",'Enrollment Census'!$AD52)</f>
        <v/>
      </c>
      <c r="J61">
        <f>IF($A61="","",'Enrollment Census'!$A52)</f>
        <v/>
      </c>
      <c r="K61">
        <f>IF($F61="FIX",ROW(),IF($F61="REVIEW",1000+ROW(),""))</f>
        <v/>
      </c>
    </row>
    <row r="62" ht="36" customHeight="1">
      <c r="A62" s="91">
        <f>IF(COUNTA('Enrollment Census'!$A53:$U53)&gt;0,53,"")</f>
        <v/>
      </c>
      <c r="B62" s="91">
        <f>IF($A62="","","Employee ending "&amp;RIGHT('Enrollment Census'!$A53&amp;"",4)&amp;IF('Enrollment Census'!$AH53&gt;0," • "&amp;'Enrollment Census'!$AH53&amp;" row"&amp;IF('Enrollment Census'!$AH53=1,"","s")&amp;" need attention",""))</f>
        <v/>
      </c>
      <c r="C62" s="91">
        <f>IF($A62="","",TRIM('Enrollment Census'!$C53&amp;" "&amp;'Enrollment Census'!$D53)&amp;" • ending "&amp;RIGHT('Enrollment Census'!$W53&amp;"",4))</f>
        <v/>
      </c>
      <c r="D62" s="91">
        <f>IF($A62="","",'Enrollment Census'!$X53)</f>
        <v/>
      </c>
      <c r="E62" s="91">
        <f>IF($A62="","",'Enrollment Census'!$S53)</f>
        <v/>
      </c>
      <c r="F62" s="91">
        <f>IF($A62="","",IF('Enrollment Census'!$AF53&lt;&gt;"","FIX",IF('Enrollment Census'!$AD53&lt;&gt;"","REVIEW","READY")))</f>
        <v/>
      </c>
      <c r="G62" s="91">
        <f>IF($A62="","",'Enrollment Census'!$AE53)</f>
        <v/>
      </c>
      <c r="H62" s="91">
        <f>IF($A62="","",'Enrollment Census'!$AF53)</f>
        <v/>
      </c>
      <c r="I62" s="91">
        <f>IF($A62="","",'Enrollment Census'!$AD53)</f>
        <v/>
      </c>
      <c r="J62">
        <f>IF($A62="","",'Enrollment Census'!$A53)</f>
        <v/>
      </c>
      <c r="K62">
        <f>IF($F62="FIX",ROW(),IF($F62="REVIEW",1000+ROW(),""))</f>
        <v/>
      </c>
    </row>
    <row r="63" ht="36" customHeight="1">
      <c r="A63" s="91">
        <f>IF(COUNTA('Enrollment Census'!$A54:$U54)&gt;0,54,"")</f>
        <v/>
      </c>
      <c r="B63" s="91">
        <f>IF($A63="","","Employee ending "&amp;RIGHT('Enrollment Census'!$A54&amp;"",4)&amp;IF('Enrollment Census'!$AH54&gt;0," • "&amp;'Enrollment Census'!$AH54&amp;" row"&amp;IF('Enrollment Census'!$AH54=1,"","s")&amp;" need attention",""))</f>
        <v/>
      </c>
      <c r="C63" s="91">
        <f>IF($A63="","",TRIM('Enrollment Census'!$C54&amp;" "&amp;'Enrollment Census'!$D54)&amp;" • ending "&amp;RIGHT('Enrollment Census'!$W54&amp;"",4))</f>
        <v/>
      </c>
      <c r="D63" s="91">
        <f>IF($A63="","",'Enrollment Census'!$X54)</f>
        <v/>
      </c>
      <c r="E63" s="91">
        <f>IF($A63="","",'Enrollment Census'!$S54)</f>
        <v/>
      </c>
      <c r="F63" s="91">
        <f>IF($A63="","",IF('Enrollment Census'!$AF54&lt;&gt;"","FIX",IF('Enrollment Census'!$AD54&lt;&gt;"","REVIEW","READY")))</f>
        <v/>
      </c>
      <c r="G63" s="91">
        <f>IF($A63="","",'Enrollment Census'!$AE54)</f>
        <v/>
      </c>
      <c r="H63" s="91">
        <f>IF($A63="","",'Enrollment Census'!$AF54)</f>
        <v/>
      </c>
      <c r="I63" s="91">
        <f>IF($A63="","",'Enrollment Census'!$AD54)</f>
        <v/>
      </c>
      <c r="J63">
        <f>IF($A63="","",'Enrollment Census'!$A54)</f>
        <v/>
      </c>
      <c r="K63">
        <f>IF($F63="FIX",ROW(),IF($F63="REVIEW",1000+ROW(),""))</f>
        <v/>
      </c>
    </row>
    <row r="64" ht="36" customHeight="1">
      <c r="A64" s="91">
        <f>IF(COUNTA('Enrollment Census'!$A55:$U55)&gt;0,55,"")</f>
        <v/>
      </c>
      <c r="B64" s="91">
        <f>IF($A64="","","Employee ending "&amp;RIGHT('Enrollment Census'!$A55&amp;"",4)&amp;IF('Enrollment Census'!$AH55&gt;0," • "&amp;'Enrollment Census'!$AH55&amp;" row"&amp;IF('Enrollment Census'!$AH55=1,"","s")&amp;" need attention",""))</f>
        <v/>
      </c>
      <c r="C64" s="91">
        <f>IF($A64="","",TRIM('Enrollment Census'!$C55&amp;" "&amp;'Enrollment Census'!$D55)&amp;" • ending "&amp;RIGHT('Enrollment Census'!$W55&amp;"",4))</f>
        <v/>
      </c>
      <c r="D64" s="91">
        <f>IF($A64="","",'Enrollment Census'!$X55)</f>
        <v/>
      </c>
      <c r="E64" s="91">
        <f>IF($A64="","",'Enrollment Census'!$S55)</f>
        <v/>
      </c>
      <c r="F64" s="91">
        <f>IF($A64="","",IF('Enrollment Census'!$AF55&lt;&gt;"","FIX",IF('Enrollment Census'!$AD55&lt;&gt;"","REVIEW","READY")))</f>
        <v/>
      </c>
      <c r="G64" s="91">
        <f>IF($A64="","",'Enrollment Census'!$AE55)</f>
        <v/>
      </c>
      <c r="H64" s="91">
        <f>IF($A64="","",'Enrollment Census'!$AF55)</f>
        <v/>
      </c>
      <c r="I64" s="91">
        <f>IF($A64="","",'Enrollment Census'!$AD55)</f>
        <v/>
      </c>
      <c r="J64">
        <f>IF($A64="","",'Enrollment Census'!$A55)</f>
        <v/>
      </c>
      <c r="K64">
        <f>IF($F64="FIX",ROW(),IF($F64="REVIEW",1000+ROW(),""))</f>
        <v/>
      </c>
    </row>
    <row r="65" ht="36" customHeight="1">
      <c r="A65" s="91">
        <f>IF(COUNTA('Enrollment Census'!$A56:$U56)&gt;0,56,"")</f>
        <v/>
      </c>
      <c r="B65" s="91">
        <f>IF($A65="","","Employee ending "&amp;RIGHT('Enrollment Census'!$A56&amp;"",4)&amp;IF('Enrollment Census'!$AH56&gt;0," • "&amp;'Enrollment Census'!$AH56&amp;" row"&amp;IF('Enrollment Census'!$AH56=1,"","s")&amp;" need attention",""))</f>
        <v/>
      </c>
      <c r="C65" s="91">
        <f>IF($A65="","",TRIM('Enrollment Census'!$C56&amp;" "&amp;'Enrollment Census'!$D56)&amp;" • ending "&amp;RIGHT('Enrollment Census'!$W56&amp;"",4))</f>
        <v/>
      </c>
      <c r="D65" s="91">
        <f>IF($A65="","",'Enrollment Census'!$X56)</f>
        <v/>
      </c>
      <c r="E65" s="91">
        <f>IF($A65="","",'Enrollment Census'!$S56)</f>
        <v/>
      </c>
      <c r="F65" s="91">
        <f>IF($A65="","",IF('Enrollment Census'!$AF56&lt;&gt;"","FIX",IF('Enrollment Census'!$AD56&lt;&gt;"","REVIEW","READY")))</f>
        <v/>
      </c>
      <c r="G65" s="91">
        <f>IF($A65="","",'Enrollment Census'!$AE56)</f>
        <v/>
      </c>
      <c r="H65" s="91">
        <f>IF($A65="","",'Enrollment Census'!$AF56)</f>
        <v/>
      </c>
      <c r="I65" s="91">
        <f>IF($A65="","",'Enrollment Census'!$AD56)</f>
        <v/>
      </c>
      <c r="J65">
        <f>IF($A65="","",'Enrollment Census'!$A56)</f>
        <v/>
      </c>
      <c r="K65">
        <f>IF($F65="FIX",ROW(),IF($F65="REVIEW",1000+ROW(),""))</f>
        <v/>
      </c>
    </row>
    <row r="66" ht="36" customHeight="1">
      <c r="A66" s="91">
        <f>IF(COUNTA('Enrollment Census'!$A57:$U57)&gt;0,57,"")</f>
        <v/>
      </c>
      <c r="B66" s="91">
        <f>IF($A66="","","Employee ending "&amp;RIGHT('Enrollment Census'!$A57&amp;"",4)&amp;IF('Enrollment Census'!$AH57&gt;0," • "&amp;'Enrollment Census'!$AH57&amp;" row"&amp;IF('Enrollment Census'!$AH57=1,"","s")&amp;" need attention",""))</f>
        <v/>
      </c>
      <c r="C66" s="91">
        <f>IF($A66="","",TRIM('Enrollment Census'!$C57&amp;" "&amp;'Enrollment Census'!$D57)&amp;" • ending "&amp;RIGHT('Enrollment Census'!$W57&amp;"",4))</f>
        <v/>
      </c>
      <c r="D66" s="91">
        <f>IF($A66="","",'Enrollment Census'!$X57)</f>
        <v/>
      </c>
      <c r="E66" s="91">
        <f>IF($A66="","",'Enrollment Census'!$S57)</f>
        <v/>
      </c>
      <c r="F66" s="91">
        <f>IF($A66="","",IF('Enrollment Census'!$AF57&lt;&gt;"","FIX",IF('Enrollment Census'!$AD57&lt;&gt;"","REVIEW","READY")))</f>
        <v/>
      </c>
      <c r="G66" s="91">
        <f>IF($A66="","",'Enrollment Census'!$AE57)</f>
        <v/>
      </c>
      <c r="H66" s="91">
        <f>IF($A66="","",'Enrollment Census'!$AF57)</f>
        <v/>
      </c>
      <c r="I66" s="91">
        <f>IF($A66="","",'Enrollment Census'!$AD57)</f>
        <v/>
      </c>
      <c r="J66">
        <f>IF($A66="","",'Enrollment Census'!$A57)</f>
        <v/>
      </c>
      <c r="K66">
        <f>IF($F66="FIX",ROW(),IF($F66="REVIEW",1000+ROW(),""))</f>
        <v/>
      </c>
    </row>
    <row r="67" ht="36" customHeight="1">
      <c r="A67" s="91">
        <f>IF(COUNTA('Enrollment Census'!$A58:$U58)&gt;0,58,"")</f>
        <v/>
      </c>
      <c r="B67" s="91">
        <f>IF($A67="","","Employee ending "&amp;RIGHT('Enrollment Census'!$A58&amp;"",4)&amp;IF('Enrollment Census'!$AH58&gt;0," • "&amp;'Enrollment Census'!$AH58&amp;" row"&amp;IF('Enrollment Census'!$AH58=1,"","s")&amp;" need attention",""))</f>
        <v/>
      </c>
      <c r="C67" s="91">
        <f>IF($A67="","",TRIM('Enrollment Census'!$C58&amp;" "&amp;'Enrollment Census'!$D58)&amp;" • ending "&amp;RIGHT('Enrollment Census'!$W58&amp;"",4))</f>
        <v/>
      </c>
      <c r="D67" s="91">
        <f>IF($A67="","",'Enrollment Census'!$X58)</f>
        <v/>
      </c>
      <c r="E67" s="91">
        <f>IF($A67="","",'Enrollment Census'!$S58)</f>
        <v/>
      </c>
      <c r="F67" s="91">
        <f>IF($A67="","",IF('Enrollment Census'!$AF58&lt;&gt;"","FIX",IF('Enrollment Census'!$AD58&lt;&gt;"","REVIEW","READY")))</f>
        <v/>
      </c>
      <c r="G67" s="91">
        <f>IF($A67="","",'Enrollment Census'!$AE58)</f>
        <v/>
      </c>
      <c r="H67" s="91">
        <f>IF($A67="","",'Enrollment Census'!$AF58)</f>
        <v/>
      </c>
      <c r="I67" s="91">
        <f>IF($A67="","",'Enrollment Census'!$AD58)</f>
        <v/>
      </c>
      <c r="J67">
        <f>IF($A67="","",'Enrollment Census'!$A58)</f>
        <v/>
      </c>
      <c r="K67">
        <f>IF($F67="FIX",ROW(),IF($F67="REVIEW",1000+ROW(),""))</f>
        <v/>
      </c>
    </row>
    <row r="68" ht="36" customHeight="1">
      <c r="A68" s="91">
        <f>IF(COUNTA('Enrollment Census'!$A59:$U59)&gt;0,59,"")</f>
        <v/>
      </c>
      <c r="B68" s="91">
        <f>IF($A68="","","Employee ending "&amp;RIGHT('Enrollment Census'!$A59&amp;"",4)&amp;IF('Enrollment Census'!$AH59&gt;0," • "&amp;'Enrollment Census'!$AH59&amp;" row"&amp;IF('Enrollment Census'!$AH59=1,"","s")&amp;" need attention",""))</f>
        <v/>
      </c>
      <c r="C68" s="91">
        <f>IF($A68="","",TRIM('Enrollment Census'!$C59&amp;" "&amp;'Enrollment Census'!$D59)&amp;" • ending "&amp;RIGHT('Enrollment Census'!$W59&amp;"",4))</f>
        <v/>
      </c>
      <c r="D68" s="91">
        <f>IF($A68="","",'Enrollment Census'!$X59)</f>
        <v/>
      </c>
      <c r="E68" s="91">
        <f>IF($A68="","",'Enrollment Census'!$S59)</f>
        <v/>
      </c>
      <c r="F68" s="91">
        <f>IF($A68="","",IF('Enrollment Census'!$AF59&lt;&gt;"","FIX",IF('Enrollment Census'!$AD59&lt;&gt;"","REVIEW","READY")))</f>
        <v/>
      </c>
      <c r="G68" s="91">
        <f>IF($A68="","",'Enrollment Census'!$AE59)</f>
        <v/>
      </c>
      <c r="H68" s="91">
        <f>IF($A68="","",'Enrollment Census'!$AF59)</f>
        <v/>
      </c>
      <c r="I68" s="91">
        <f>IF($A68="","",'Enrollment Census'!$AD59)</f>
        <v/>
      </c>
      <c r="J68">
        <f>IF($A68="","",'Enrollment Census'!$A59)</f>
        <v/>
      </c>
      <c r="K68">
        <f>IF($F68="FIX",ROW(),IF($F68="REVIEW",1000+ROW(),""))</f>
        <v/>
      </c>
    </row>
    <row r="69" ht="36" customHeight="1">
      <c r="A69" s="91">
        <f>IF(COUNTA('Enrollment Census'!$A60:$U60)&gt;0,60,"")</f>
        <v/>
      </c>
      <c r="B69" s="91">
        <f>IF($A69="","","Employee ending "&amp;RIGHT('Enrollment Census'!$A60&amp;"",4)&amp;IF('Enrollment Census'!$AH60&gt;0," • "&amp;'Enrollment Census'!$AH60&amp;" row"&amp;IF('Enrollment Census'!$AH60=1,"","s")&amp;" need attention",""))</f>
        <v/>
      </c>
      <c r="C69" s="91">
        <f>IF($A69="","",TRIM('Enrollment Census'!$C60&amp;" "&amp;'Enrollment Census'!$D60)&amp;" • ending "&amp;RIGHT('Enrollment Census'!$W60&amp;"",4))</f>
        <v/>
      </c>
      <c r="D69" s="91">
        <f>IF($A69="","",'Enrollment Census'!$X60)</f>
        <v/>
      </c>
      <c r="E69" s="91">
        <f>IF($A69="","",'Enrollment Census'!$S60)</f>
        <v/>
      </c>
      <c r="F69" s="91">
        <f>IF($A69="","",IF('Enrollment Census'!$AF60&lt;&gt;"","FIX",IF('Enrollment Census'!$AD60&lt;&gt;"","REVIEW","READY")))</f>
        <v/>
      </c>
      <c r="G69" s="91">
        <f>IF($A69="","",'Enrollment Census'!$AE60)</f>
        <v/>
      </c>
      <c r="H69" s="91">
        <f>IF($A69="","",'Enrollment Census'!$AF60)</f>
        <v/>
      </c>
      <c r="I69" s="91">
        <f>IF($A69="","",'Enrollment Census'!$AD60)</f>
        <v/>
      </c>
      <c r="J69">
        <f>IF($A69="","",'Enrollment Census'!$A60)</f>
        <v/>
      </c>
      <c r="K69">
        <f>IF($F69="FIX",ROW(),IF($F69="REVIEW",1000+ROW(),""))</f>
        <v/>
      </c>
    </row>
    <row r="70" ht="36" customHeight="1">
      <c r="A70" s="91">
        <f>IF(COUNTA('Enrollment Census'!$A61:$U61)&gt;0,61,"")</f>
        <v/>
      </c>
      <c r="B70" s="91">
        <f>IF($A70="","","Employee ending "&amp;RIGHT('Enrollment Census'!$A61&amp;"",4)&amp;IF('Enrollment Census'!$AH61&gt;0," • "&amp;'Enrollment Census'!$AH61&amp;" row"&amp;IF('Enrollment Census'!$AH61=1,"","s")&amp;" need attention",""))</f>
        <v/>
      </c>
      <c r="C70" s="91">
        <f>IF($A70="","",TRIM('Enrollment Census'!$C61&amp;" "&amp;'Enrollment Census'!$D61)&amp;" • ending "&amp;RIGHT('Enrollment Census'!$W61&amp;"",4))</f>
        <v/>
      </c>
      <c r="D70" s="91">
        <f>IF($A70="","",'Enrollment Census'!$X61)</f>
        <v/>
      </c>
      <c r="E70" s="91">
        <f>IF($A70="","",'Enrollment Census'!$S61)</f>
        <v/>
      </c>
      <c r="F70" s="91">
        <f>IF($A70="","",IF('Enrollment Census'!$AF61&lt;&gt;"","FIX",IF('Enrollment Census'!$AD61&lt;&gt;"","REVIEW","READY")))</f>
        <v/>
      </c>
      <c r="G70" s="91">
        <f>IF($A70="","",'Enrollment Census'!$AE61)</f>
        <v/>
      </c>
      <c r="H70" s="91">
        <f>IF($A70="","",'Enrollment Census'!$AF61)</f>
        <v/>
      </c>
      <c r="I70" s="91">
        <f>IF($A70="","",'Enrollment Census'!$AD61)</f>
        <v/>
      </c>
      <c r="J70">
        <f>IF($A70="","",'Enrollment Census'!$A61)</f>
        <v/>
      </c>
      <c r="K70">
        <f>IF($F70="FIX",ROW(),IF($F70="REVIEW",1000+ROW(),""))</f>
        <v/>
      </c>
    </row>
    <row r="71" ht="36" customHeight="1">
      <c r="A71" s="91">
        <f>IF(COUNTA('Enrollment Census'!$A62:$U62)&gt;0,62,"")</f>
        <v/>
      </c>
      <c r="B71" s="91">
        <f>IF($A71="","","Employee ending "&amp;RIGHT('Enrollment Census'!$A62&amp;"",4)&amp;IF('Enrollment Census'!$AH62&gt;0," • "&amp;'Enrollment Census'!$AH62&amp;" row"&amp;IF('Enrollment Census'!$AH62=1,"","s")&amp;" need attention",""))</f>
        <v/>
      </c>
      <c r="C71" s="91">
        <f>IF($A71="","",TRIM('Enrollment Census'!$C62&amp;" "&amp;'Enrollment Census'!$D62)&amp;" • ending "&amp;RIGHT('Enrollment Census'!$W62&amp;"",4))</f>
        <v/>
      </c>
      <c r="D71" s="91">
        <f>IF($A71="","",'Enrollment Census'!$X62)</f>
        <v/>
      </c>
      <c r="E71" s="91">
        <f>IF($A71="","",'Enrollment Census'!$S62)</f>
        <v/>
      </c>
      <c r="F71" s="91">
        <f>IF($A71="","",IF('Enrollment Census'!$AF62&lt;&gt;"","FIX",IF('Enrollment Census'!$AD62&lt;&gt;"","REVIEW","READY")))</f>
        <v/>
      </c>
      <c r="G71" s="91">
        <f>IF($A71="","",'Enrollment Census'!$AE62)</f>
        <v/>
      </c>
      <c r="H71" s="91">
        <f>IF($A71="","",'Enrollment Census'!$AF62)</f>
        <v/>
      </c>
      <c r="I71" s="91">
        <f>IF($A71="","",'Enrollment Census'!$AD62)</f>
        <v/>
      </c>
      <c r="J71">
        <f>IF($A71="","",'Enrollment Census'!$A62)</f>
        <v/>
      </c>
      <c r="K71">
        <f>IF($F71="FIX",ROW(),IF($F71="REVIEW",1000+ROW(),""))</f>
        <v/>
      </c>
    </row>
    <row r="72" ht="36" customHeight="1">
      <c r="A72" s="91">
        <f>IF(COUNTA('Enrollment Census'!$A63:$U63)&gt;0,63,"")</f>
        <v/>
      </c>
      <c r="B72" s="91">
        <f>IF($A72="","","Employee ending "&amp;RIGHT('Enrollment Census'!$A63&amp;"",4)&amp;IF('Enrollment Census'!$AH63&gt;0," • "&amp;'Enrollment Census'!$AH63&amp;" row"&amp;IF('Enrollment Census'!$AH63=1,"","s")&amp;" need attention",""))</f>
        <v/>
      </c>
      <c r="C72" s="91">
        <f>IF($A72="","",TRIM('Enrollment Census'!$C63&amp;" "&amp;'Enrollment Census'!$D63)&amp;" • ending "&amp;RIGHT('Enrollment Census'!$W63&amp;"",4))</f>
        <v/>
      </c>
      <c r="D72" s="91">
        <f>IF($A72="","",'Enrollment Census'!$X63)</f>
        <v/>
      </c>
      <c r="E72" s="91">
        <f>IF($A72="","",'Enrollment Census'!$S63)</f>
        <v/>
      </c>
      <c r="F72" s="91">
        <f>IF($A72="","",IF('Enrollment Census'!$AF63&lt;&gt;"","FIX",IF('Enrollment Census'!$AD63&lt;&gt;"","REVIEW","READY")))</f>
        <v/>
      </c>
      <c r="G72" s="91">
        <f>IF($A72="","",'Enrollment Census'!$AE63)</f>
        <v/>
      </c>
      <c r="H72" s="91">
        <f>IF($A72="","",'Enrollment Census'!$AF63)</f>
        <v/>
      </c>
      <c r="I72" s="91">
        <f>IF($A72="","",'Enrollment Census'!$AD63)</f>
        <v/>
      </c>
      <c r="J72">
        <f>IF($A72="","",'Enrollment Census'!$A63)</f>
        <v/>
      </c>
      <c r="K72">
        <f>IF($F72="FIX",ROW(),IF($F72="REVIEW",1000+ROW(),""))</f>
        <v/>
      </c>
    </row>
    <row r="73" ht="36" customHeight="1">
      <c r="A73" s="91">
        <f>IF(COUNTA('Enrollment Census'!$A64:$U64)&gt;0,64,"")</f>
        <v/>
      </c>
      <c r="B73" s="91">
        <f>IF($A73="","","Employee ending "&amp;RIGHT('Enrollment Census'!$A64&amp;"",4)&amp;IF('Enrollment Census'!$AH64&gt;0," • "&amp;'Enrollment Census'!$AH64&amp;" row"&amp;IF('Enrollment Census'!$AH64=1,"","s")&amp;" need attention",""))</f>
        <v/>
      </c>
      <c r="C73" s="91">
        <f>IF($A73="","",TRIM('Enrollment Census'!$C64&amp;" "&amp;'Enrollment Census'!$D64)&amp;" • ending "&amp;RIGHT('Enrollment Census'!$W64&amp;"",4))</f>
        <v/>
      </c>
      <c r="D73" s="91">
        <f>IF($A73="","",'Enrollment Census'!$X64)</f>
        <v/>
      </c>
      <c r="E73" s="91">
        <f>IF($A73="","",'Enrollment Census'!$S64)</f>
        <v/>
      </c>
      <c r="F73" s="91">
        <f>IF($A73="","",IF('Enrollment Census'!$AF64&lt;&gt;"","FIX",IF('Enrollment Census'!$AD64&lt;&gt;"","REVIEW","READY")))</f>
        <v/>
      </c>
      <c r="G73" s="91">
        <f>IF($A73="","",'Enrollment Census'!$AE64)</f>
        <v/>
      </c>
      <c r="H73" s="91">
        <f>IF($A73="","",'Enrollment Census'!$AF64)</f>
        <v/>
      </c>
      <c r="I73" s="91">
        <f>IF($A73="","",'Enrollment Census'!$AD64)</f>
        <v/>
      </c>
      <c r="J73">
        <f>IF($A73="","",'Enrollment Census'!$A64)</f>
        <v/>
      </c>
      <c r="K73">
        <f>IF($F73="FIX",ROW(),IF($F73="REVIEW",1000+ROW(),""))</f>
        <v/>
      </c>
    </row>
    <row r="74" ht="36" customHeight="1">
      <c r="A74" s="91">
        <f>IF(COUNTA('Enrollment Census'!$A65:$U65)&gt;0,65,"")</f>
        <v/>
      </c>
      <c r="B74" s="91">
        <f>IF($A74="","","Employee ending "&amp;RIGHT('Enrollment Census'!$A65&amp;"",4)&amp;IF('Enrollment Census'!$AH65&gt;0," • "&amp;'Enrollment Census'!$AH65&amp;" row"&amp;IF('Enrollment Census'!$AH65=1,"","s")&amp;" need attention",""))</f>
        <v/>
      </c>
      <c r="C74" s="91">
        <f>IF($A74="","",TRIM('Enrollment Census'!$C65&amp;" "&amp;'Enrollment Census'!$D65)&amp;" • ending "&amp;RIGHT('Enrollment Census'!$W65&amp;"",4))</f>
        <v/>
      </c>
      <c r="D74" s="91">
        <f>IF($A74="","",'Enrollment Census'!$X65)</f>
        <v/>
      </c>
      <c r="E74" s="91">
        <f>IF($A74="","",'Enrollment Census'!$S65)</f>
        <v/>
      </c>
      <c r="F74" s="91">
        <f>IF($A74="","",IF('Enrollment Census'!$AF65&lt;&gt;"","FIX",IF('Enrollment Census'!$AD65&lt;&gt;"","REVIEW","READY")))</f>
        <v/>
      </c>
      <c r="G74" s="91">
        <f>IF($A74="","",'Enrollment Census'!$AE65)</f>
        <v/>
      </c>
      <c r="H74" s="91">
        <f>IF($A74="","",'Enrollment Census'!$AF65)</f>
        <v/>
      </c>
      <c r="I74" s="91">
        <f>IF($A74="","",'Enrollment Census'!$AD65)</f>
        <v/>
      </c>
      <c r="J74">
        <f>IF($A74="","",'Enrollment Census'!$A65)</f>
        <v/>
      </c>
      <c r="K74">
        <f>IF($F74="FIX",ROW(),IF($F74="REVIEW",1000+ROW(),""))</f>
        <v/>
      </c>
    </row>
    <row r="75" ht="36" customHeight="1">
      <c r="A75" s="91">
        <f>IF(COUNTA('Enrollment Census'!$A66:$U66)&gt;0,66,"")</f>
        <v/>
      </c>
      <c r="B75" s="91">
        <f>IF($A75="","","Employee ending "&amp;RIGHT('Enrollment Census'!$A66&amp;"",4)&amp;IF('Enrollment Census'!$AH66&gt;0," • "&amp;'Enrollment Census'!$AH66&amp;" row"&amp;IF('Enrollment Census'!$AH66=1,"","s")&amp;" need attention",""))</f>
        <v/>
      </c>
      <c r="C75" s="91">
        <f>IF($A75="","",TRIM('Enrollment Census'!$C66&amp;" "&amp;'Enrollment Census'!$D66)&amp;" • ending "&amp;RIGHT('Enrollment Census'!$W66&amp;"",4))</f>
        <v/>
      </c>
      <c r="D75" s="91">
        <f>IF($A75="","",'Enrollment Census'!$X66)</f>
        <v/>
      </c>
      <c r="E75" s="91">
        <f>IF($A75="","",'Enrollment Census'!$S66)</f>
        <v/>
      </c>
      <c r="F75" s="91">
        <f>IF($A75="","",IF('Enrollment Census'!$AF66&lt;&gt;"","FIX",IF('Enrollment Census'!$AD66&lt;&gt;"","REVIEW","READY")))</f>
        <v/>
      </c>
      <c r="G75" s="91">
        <f>IF($A75="","",'Enrollment Census'!$AE66)</f>
        <v/>
      </c>
      <c r="H75" s="91">
        <f>IF($A75="","",'Enrollment Census'!$AF66)</f>
        <v/>
      </c>
      <c r="I75" s="91">
        <f>IF($A75="","",'Enrollment Census'!$AD66)</f>
        <v/>
      </c>
      <c r="J75">
        <f>IF($A75="","",'Enrollment Census'!$A66)</f>
        <v/>
      </c>
      <c r="K75">
        <f>IF($F75="FIX",ROW(),IF($F75="REVIEW",1000+ROW(),""))</f>
        <v/>
      </c>
    </row>
    <row r="76" ht="36" customHeight="1">
      <c r="A76" s="91">
        <f>IF(COUNTA('Enrollment Census'!$A67:$U67)&gt;0,67,"")</f>
        <v/>
      </c>
      <c r="B76" s="91">
        <f>IF($A76="","","Employee ending "&amp;RIGHT('Enrollment Census'!$A67&amp;"",4)&amp;IF('Enrollment Census'!$AH67&gt;0," • "&amp;'Enrollment Census'!$AH67&amp;" row"&amp;IF('Enrollment Census'!$AH67=1,"","s")&amp;" need attention",""))</f>
        <v/>
      </c>
      <c r="C76" s="91">
        <f>IF($A76="","",TRIM('Enrollment Census'!$C67&amp;" "&amp;'Enrollment Census'!$D67)&amp;" • ending "&amp;RIGHT('Enrollment Census'!$W67&amp;"",4))</f>
        <v/>
      </c>
      <c r="D76" s="91">
        <f>IF($A76="","",'Enrollment Census'!$X67)</f>
        <v/>
      </c>
      <c r="E76" s="91">
        <f>IF($A76="","",'Enrollment Census'!$S67)</f>
        <v/>
      </c>
      <c r="F76" s="91">
        <f>IF($A76="","",IF('Enrollment Census'!$AF67&lt;&gt;"","FIX",IF('Enrollment Census'!$AD67&lt;&gt;"","REVIEW","READY")))</f>
        <v/>
      </c>
      <c r="G76" s="91">
        <f>IF($A76="","",'Enrollment Census'!$AE67)</f>
        <v/>
      </c>
      <c r="H76" s="91">
        <f>IF($A76="","",'Enrollment Census'!$AF67)</f>
        <v/>
      </c>
      <c r="I76" s="91">
        <f>IF($A76="","",'Enrollment Census'!$AD67)</f>
        <v/>
      </c>
      <c r="J76">
        <f>IF($A76="","",'Enrollment Census'!$A67)</f>
        <v/>
      </c>
      <c r="K76">
        <f>IF($F76="FIX",ROW(),IF($F76="REVIEW",1000+ROW(),""))</f>
        <v/>
      </c>
    </row>
    <row r="77" ht="36" customHeight="1">
      <c r="A77" s="91">
        <f>IF(COUNTA('Enrollment Census'!$A68:$U68)&gt;0,68,"")</f>
        <v/>
      </c>
      <c r="B77" s="91">
        <f>IF($A77="","","Employee ending "&amp;RIGHT('Enrollment Census'!$A68&amp;"",4)&amp;IF('Enrollment Census'!$AH68&gt;0," • "&amp;'Enrollment Census'!$AH68&amp;" row"&amp;IF('Enrollment Census'!$AH68=1,"","s")&amp;" need attention",""))</f>
        <v/>
      </c>
      <c r="C77" s="91">
        <f>IF($A77="","",TRIM('Enrollment Census'!$C68&amp;" "&amp;'Enrollment Census'!$D68)&amp;" • ending "&amp;RIGHT('Enrollment Census'!$W68&amp;"",4))</f>
        <v/>
      </c>
      <c r="D77" s="91">
        <f>IF($A77="","",'Enrollment Census'!$X68)</f>
        <v/>
      </c>
      <c r="E77" s="91">
        <f>IF($A77="","",'Enrollment Census'!$S68)</f>
        <v/>
      </c>
      <c r="F77" s="91">
        <f>IF($A77="","",IF('Enrollment Census'!$AF68&lt;&gt;"","FIX",IF('Enrollment Census'!$AD68&lt;&gt;"","REVIEW","READY")))</f>
        <v/>
      </c>
      <c r="G77" s="91">
        <f>IF($A77="","",'Enrollment Census'!$AE68)</f>
        <v/>
      </c>
      <c r="H77" s="91">
        <f>IF($A77="","",'Enrollment Census'!$AF68)</f>
        <v/>
      </c>
      <c r="I77" s="91">
        <f>IF($A77="","",'Enrollment Census'!$AD68)</f>
        <v/>
      </c>
      <c r="J77">
        <f>IF($A77="","",'Enrollment Census'!$A68)</f>
        <v/>
      </c>
      <c r="K77">
        <f>IF($F77="FIX",ROW(),IF($F77="REVIEW",1000+ROW(),""))</f>
        <v/>
      </c>
    </row>
    <row r="78" ht="36" customHeight="1">
      <c r="A78" s="91">
        <f>IF(COUNTA('Enrollment Census'!$A69:$U69)&gt;0,69,"")</f>
        <v/>
      </c>
      <c r="B78" s="91">
        <f>IF($A78="","","Employee ending "&amp;RIGHT('Enrollment Census'!$A69&amp;"",4)&amp;IF('Enrollment Census'!$AH69&gt;0," • "&amp;'Enrollment Census'!$AH69&amp;" row"&amp;IF('Enrollment Census'!$AH69=1,"","s")&amp;" need attention",""))</f>
        <v/>
      </c>
      <c r="C78" s="91">
        <f>IF($A78="","",TRIM('Enrollment Census'!$C69&amp;" "&amp;'Enrollment Census'!$D69)&amp;" • ending "&amp;RIGHT('Enrollment Census'!$W69&amp;"",4))</f>
        <v/>
      </c>
      <c r="D78" s="91">
        <f>IF($A78="","",'Enrollment Census'!$X69)</f>
        <v/>
      </c>
      <c r="E78" s="91">
        <f>IF($A78="","",'Enrollment Census'!$S69)</f>
        <v/>
      </c>
      <c r="F78" s="91">
        <f>IF($A78="","",IF('Enrollment Census'!$AF69&lt;&gt;"","FIX",IF('Enrollment Census'!$AD69&lt;&gt;"","REVIEW","READY")))</f>
        <v/>
      </c>
      <c r="G78" s="91">
        <f>IF($A78="","",'Enrollment Census'!$AE69)</f>
        <v/>
      </c>
      <c r="H78" s="91">
        <f>IF($A78="","",'Enrollment Census'!$AF69)</f>
        <v/>
      </c>
      <c r="I78" s="91">
        <f>IF($A78="","",'Enrollment Census'!$AD69)</f>
        <v/>
      </c>
      <c r="J78">
        <f>IF($A78="","",'Enrollment Census'!$A69)</f>
        <v/>
      </c>
      <c r="K78">
        <f>IF($F78="FIX",ROW(),IF($F78="REVIEW",1000+ROW(),""))</f>
        <v/>
      </c>
    </row>
    <row r="79" ht="36" customHeight="1">
      <c r="A79" s="91">
        <f>IF(COUNTA('Enrollment Census'!$A70:$U70)&gt;0,70,"")</f>
        <v/>
      </c>
      <c r="B79" s="91">
        <f>IF($A79="","","Employee ending "&amp;RIGHT('Enrollment Census'!$A70&amp;"",4)&amp;IF('Enrollment Census'!$AH70&gt;0," • "&amp;'Enrollment Census'!$AH70&amp;" row"&amp;IF('Enrollment Census'!$AH70=1,"","s")&amp;" need attention",""))</f>
        <v/>
      </c>
      <c r="C79" s="91">
        <f>IF($A79="","",TRIM('Enrollment Census'!$C70&amp;" "&amp;'Enrollment Census'!$D70)&amp;" • ending "&amp;RIGHT('Enrollment Census'!$W70&amp;"",4))</f>
        <v/>
      </c>
      <c r="D79" s="91">
        <f>IF($A79="","",'Enrollment Census'!$X70)</f>
        <v/>
      </c>
      <c r="E79" s="91">
        <f>IF($A79="","",'Enrollment Census'!$S70)</f>
        <v/>
      </c>
      <c r="F79" s="91">
        <f>IF($A79="","",IF('Enrollment Census'!$AF70&lt;&gt;"","FIX",IF('Enrollment Census'!$AD70&lt;&gt;"","REVIEW","READY")))</f>
        <v/>
      </c>
      <c r="G79" s="91">
        <f>IF($A79="","",'Enrollment Census'!$AE70)</f>
        <v/>
      </c>
      <c r="H79" s="91">
        <f>IF($A79="","",'Enrollment Census'!$AF70)</f>
        <v/>
      </c>
      <c r="I79" s="91">
        <f>IF($A79="","",'Enrollment Census'!$AD70)</f>
        <v/>
      </c>
      <c r="J79">
        <f>IF($A79="","",'Enrollment Census'!$A70)</f>
        <v/>
      </c>
      <c r="K79">
        <f>IF($F79="FIX",ROW(),IF($F79="REVIEW",1000+ROW(),""))</f>
        <v/>
      </c>
    </row>
    <row r="80" ht="36" customHeight="1">
      <c r="A80" s="91">
        <f>IF(COUNTA('Enrollment Census'!$A71:$U71)&gt;0,71,"")</f>
        <v/>
      </c>
      <c r="B80" s="91">
        <f>IF($A80="","","Employee ending "&amp;RIGHT('Enrollment Census'!$A71&amp;"",4)&amp;IF('Enrollment Census'!$AH71&gt;0," • "&amp;'Enrollment Census'!$AH71&amp;" row"&amp;IF('Enrollment Census'!$AH71=1,"","s")&amp;" need attention",""))</f>
        <v/>
      </c>
      <c r="C80" s="91">
        <f>IF($A80="","",TRIM('Enrollment Census'!$C71&amp;" "&amp;'Enrollment Census'!$D71)&amp;" • ending "&amp;RIGHT('Enrollment Census'!$W71&amp;"",4))</f>
        <v/>
      </c>
      <c r="D80" s="91">
        <f>IF($A80="","",'Enrollment Census'!$X71)</f>
        <v/>
      </c>
      <c r="E80" s="91">
        <f>IF($A80="","",'Enrollment Census'!$S71)</f>
        <v/>
      </c>
      <c r="F80" s="91">
        <f>IF($A80="","",IF('Enrollment Census'!$AF71&lt;&gt;"","FIX",IF('Enrollment Census'!$AD71&lt;&gt;"","REVIEW","READY")))</f>
        <v/>
      </c>
      <c r="G80" s="91">
        <f>IF($A80="","",'Enrollment Census'!$AE71)</f>
        <v/>
      </c>
      <c r="H80" s="91">
        <f>IF($A80="","",'Enrollment Census'!$AF71)</f>
        <v/>
      </c>
      <c r="I80" s="91">
        <f>IF($A80="","",'Enrollment Census'!$AD71)</f>
        <v/>
      </c>
      <c r="J80">
        <f>IF($A80="","",'Enrollment Census'!$A71)</f>
        <v/>
      </c>
      <c r="K80">
        <f>IF($F80="FIX",ROW(),IF($F80="REVIEW",1000+ROW(),""))</f>
        <v/>
      </c>
    </row>
    <row r="81" ht="36" customHeight="1">
      <c r="A81" s="91">
        <f>IF(COUNTA('Enrollment Census'!$A72:$U72)&gt;0,72,"")</f>
        <v/>
      </c>
      <c r="B81" s="91">
        <f>IF($A81="","","Employee ending "&amp;RIGHT('Enrollment Census'!$A72&amp;"",4)&amp;IF('Enrollment Census'!$AH72&gt;0," • "&amp;'Enrollment Census'!$AH72&amp;" row"&amp;IF('Enrollment Census'!$AH72=1,"","s")&amp;" need attention",""))</f>
        <v/>
      </c>
      <c r="C81" s="91">
        <f>IF($A81="","",TRIM('Enrollment Census'!$C72&amp;" "&amp;'Enrollment Census'!$D72)&amp;" • ending "&amp;RIGHT('Enrollment Census'!$W72&amp;"",4))</f>
        <v/>
      </c>
      <c r="D81" s="91">
        <f>IF($A81="","",'Enrollment Census'!$X72)</f>
        <v/>
      </c>
      <c r="E81" s="91">
        <f>IF($A81="","",'Enrollment Census'!$S72)</f>
        <v/>
      </c>
      <c r="F81" s="91">
        <f>IF($A81="","",IF('Enrollment Census'!$AF72&lt;&gt;"","FIX",IF('Enrollment Census'!$AD72&lt;&gt;"","REVIEW","READY")))</f>
        <v/>
      </c>
      <c r="G81" s="91">
        <f>IF($A81="","",'Enrollment Census'!$AE72)</f>
        <v/>
      </c>
      <c r="H81" s="91">
        <f>IF($A81="","",'Enrollment Census'!$AF72)</f>
        <v/>
      </c>
      <c r="I81" s="91">
        <f>IF($A81="","",'Enrollment Census'!$AD72)</f>
        <v/>
      </c>
      <c r="J81">
        <f>IF($A81="","",'Enrollment Census'!$A72)</f>
        <v/>
      </c>
      <c r="K81">
        <f>IF($F81="FIX",ROW(),IF($F81="REVIEW",1000+ROW(),""))</f>
        <v/>
      </c>
    </row>
    <row r="82" ht="36" customHeight="1">
      <c r="A82" s="91">
        <f>IF(COUNTA('Enrollment Census'!$A73:$U73)&gt;0,73,"")</f>
        <v/>
      </c>
      <c r="B82" s="91">
        <f>IF($A82="","","Employee ending "&amp;RIGHT('Enrollment Census'!$A73&amp;"",4)&amp;IF('Enrollment Census'!$AH73&gt;0," • "&amp;'Enrollment Census'!$AH73&amp;" row"&amp;IF('Enrollment Census'!$AH73=1,"","s")&amp;" need attention",""))</f>
        <v/>
      </c>
      <c r="C82" s="91">
        <f>IF($A82="","",TRIM('Enrollment Census'!$C73&amp;" "&amp;'Enrollment Census'!$D73)&amp;" • ending "&amp;RIGHT('Enrollment Census'!$W73&amp;"",4))</f>
        <v/>
      </c>
      <c r="D82" s="91">
        <f>IF($A82="","",'Enrollment Census'!$X73)</f>
        <v/>
      </c>
      <c r="E82" s="91">
        <f>IF($A82="","",'Enrollment Census'!$S73)</f>
        <v/>
      </c>
      <c r="F82" s="91">
        <f>IF($A82="","",IF('Enrollment Census'!$AF73&lt;&gt;"","FIX",IF('Enrollment Census'!$AD73&lt;&gt;"","REVIEW","READY")))</f>
        <v/>
      </c>
      <c r="G82" s="91">
        <f>IF($A82="","",'Enrollment Census'!$AE73)</f>
        <v/>
      </c>
      <c r="H82" s="91">
        <f>IF($A82="","",'Enrollment Census'!$AF73)</f>
        <v/>
      </c>
      <c r="I82" s="91">
        <f>IF($A82="","",'Enrollment Census'!$AD73)</f>
        <v/>
      </c>
      <c r="J82">
        <f>IF($A82="","",'Enrollment Census'!$A73)</f>
        <v/>
      </c>
      <c r="K82">
        <f>IF($F82="FIX",ROW(),IF($F82="REVIEW",1000+ROW(),""))</f>
        <v/>
      </c>
    </row>
    <row r="83" ht="36" customHeight="1">
      <c r="A83" s="91">
        <f>IF(COUNTA('Enrollment Census'!$A74:$U74)&gt;0,74,"")</f>
        <v/>
      </c>
      <c r="B83" s="91">
        <f>IF($A83="","","Employee ending "&amp;RIGHT('Enrollment Census'!$A74&amp;"",4)&amp;IF('Enrollment Census'!$AH74&gt;0," • "&amp;'Enrollment Census'!$AH74&amp;" row"&amp;IF('Enrollment Census'!$AH74=1,"","s")&amp;" need attention",""))</f>
        <v/>
      </c>
      <c r="C83" s="91">
        <f>IF($A83="","",TRIM('Enrollment Census'!$C74&amp;" "&amp;'Enrollment Census'!$D74)&amp;" • ending "&amp;RIGHT('Enrollment Census'!$W74&amp;"",4))</f>
        <v/>
      </c>
      <c r="D83" s="91">
        <f>IF($A83="","",'Enrollment Census'!$X74)</f>
        <v/>
      </c>
      <c r="E83" s="91">
        <f>IF($A83="","",'Enrollment Census'!$S74)</f>
        <v/>
      </c>
      <c r="F83" s="91">
        <f>IF($A83="","",IF('Enrollment Census'!$AF74&lt;&gt;"","FIX",IF('Enrollment Census'!$AD74&lt;&gt;"","REVIEW","READY")))</f>
        <v/>
      </c>
      <c r="G83" s="91">
        <f>IF($A83="","",'Enrollment Census'!$AE74)</f>
        <v/>
      </c>
      <c r="H83" s="91">
        <f>IF($A83="","",'Enrollment Census'!$AF74)</f>
        <v/>
      </c>
      <c r="I83" s="91">
        <f>IF($A83="","",'Enrollment Census'!$AD74)</f>
        <v/>
      </c>
      <c r="J83">
        <f>IF($A83="","",'Enrollment Census'!$A74)</f>
        <v/>
      </c>
      <c r="K83">
        <f>IF($F83="FIX",ROW(),IF($F83="REVIEW",1000+ROW(),""))</f>
        <v/>
      </c>
    </row>
    <row r="84" ht="36" customHeight="1">
      <c r="A84" s="91">
        <f>IF(COUNTA('Enrollment Census'!$A75:$U75)&gt;0,75,"")</f>
        <v/>
      </c>
      <c r="B84" s="91">
        <f>IF($A84="","","Employee ending "&amp;RIGHT('Enrollment Census'!$A75&amp;"",4)&amp;IF('Enrollment Census'!$AH75&gt;0," • "&amp;'Enrollment Census'!$AH75&amp;" row"&amp;IF('Enrollment Census'!$AH75=1,"","s")&amp;" need attention",""))</f>
        <v/>
      </c>
      <c r="C84" s="91">
        <f>IF($A84="","",TRIM('Enrollment Census'!$C75&amp;" "&amp;'Enrollment Census'!$D75)&amp;" • ending "&amp;RIGHT('Enrollment Census'!$W75&amp;"",4))</f>
        <v/>
      </c>
      <c r="D84" s="91">
        <f>IF($A84="","",'Enrollment Census'!$X75)</f>
        <v/>
      </c>
      <c r="E84" s="91">
        <f>IF($A84="","",'Enrollment Census'!$S75)</f>
        <v/>
      </c>
      <c r="F84" s="91">
        <f>IF($A84="","",IF('Enrollment Census'!$AF75&lt;&gt;"","FIX",IF('Enrollment Census'!$AD75&lt;&gt;"","REVIEW","READY")))</f>
        <v/>
      </c>
      <c r="G84" s="91">
        <f>IF($A84="","",'Enrollment Census'!$AE75)</f>
        <v/>
      </c>
      <c r="H84" s="91">
        <f>IF($A84="","",'Enrollment Census'!$AF75)</f>
        <v/>
      </c>
      <c r="I84" s="91">
        <f>IF($A84="","",'Enrollment Census'!$AD75)</f>
        <v/>
      </c>
      <c r="J84">
        <f>IF($A84="","",'Enrollment Census'!$A75)</f>
        <v/>
      </c>
      <c r="K84">
        <f>IF($F84="FIX",ROW(),IF($F84="REVIEW",1000+ROW(),""))</f>
        <v/>
      </c>
    </row>
    <row r="85" ht="36" customHeight="1">
      <c r="A85" s="91">
        <f>IF(COUNTA('Enrollment Census'!$A76:$U76)&gt;0,76,"")</f>
        <v/>
      </c>
      <c r="B85" s="91">
        <f>IF($A85="","","Employee ending "&amp;RIGHT('Enrollment Census'!$A76&amp;"",4)&amp;IF('Enrollment Census'!$AH76&gt;0," • "&amp;'Enrollment Census'!$AH76&amp;" row"&amp;IF('Enrollment Census'!$AH76=1,"","s")&amp;" need attention",""))</f>
        <v/>
      </c>
      <c r="C85" s="91">
        <f>IF($A85="","",TRIM('Enrollment Census'!$C76&amp;" "&amp;'Enrollment Census'!$D76)&amp;" • ending "&amp;RIGHT('Enrollment Census'!$W76&amp;"",4))</f>
        <v/>
      </c>
      <c r="D85" s="91">
        <f>IF($A85="","",'Enrollment Census'!$X76)</f>
        <v/>
      </c>
      <c r="E85" s="91">
        <f>IF($A85="","",'Enrollment Census'!$S76)</f>
        <v/>
      </c>
      <c r="F85" s="91">
        <f>IF($A85="","",IF('Enrollment Census'!$AF76&lt;&gt;"","FIX",IF('Enrollment Census'!$AD76&lt;&gt;"","REVIEW","READY")))</f>
        <v/>
      </c>
      <c r="G85" s="91">
        <f>IF($A85="","",'Enrollment Census'!$AE76)</f>
        <v/>
      </c>
      <c r="H85" s="91">
        <f>IF($A85="","",'Enrollment Census'!$AF76)</f>
        <v/>
      </c>
      <c r="I85" s="91">
        <f>IF($A85="","",'Enrollment Census'!$AD76)</f>
        <v/>
      </c>
      <c r="J85">
        <f>IF($A85="","",'Enrollment Census'!$A76)</f>
        <v/>
      </c>
      <c r="K85">
        <f>IF($F85="FIX",ROW(),IF($F85="REVIEW",1000+ROW(),""))</f>
        <v/>
      </c>
    </row>
    <row r="86" ht="36" customHeight="1">
      <c r="A86" s="91">
        <f>IF(COUNTA('Enrollment Census'!$A77:$U77)&gt;0,77,"")</f>
        <v/>
      </c>
      <c r="B86" s="91">
        <f>IF($A86="","","Employee ending "&amp;RIGHT('Enrollment Census'!$A77&amp;"",4)&amp;IF('Enrollment Census'!$AH77&gt;0," • "&amp;'Enrollment Census'!$AH77&amp;" row"&amp;IF('Enrollment Census'!$AH77=1,"","s")&amp;" need attention",""))</f>
        <v/>
      </c>
      <c r="C86" s="91">
        <f>IF($A86="","",TRIM('Enrollment Census'!$C77&amp;" "&amp;'Enrollment Census'!$D77)&amp;" • ending "&amp;RIGHT('Enrollment Census'!$W77&amp;"",4))</f>
        <v/>
      </c>
      <c r="D86" s="91">
        <f>IF($A86="","",'Enrollment Census'!$X77)</f>
        <v/>
      </c>
      <c r="E86" s="91">
        <f>IF($A86="","",'Enrollment Census'!$S77)</f>
        <v/>
      </c>
      <c r="F86" s="91">
        <f>IF($A86="","",IF('Enrollment Census'!$AF77&lt;&gt;"","FIX",IF('Enrollment Census'!$AD77&lt;&gt;"","REVIEW","READY")))</f>
        <v/>
      </c>
      <c r="G86" s="91">
        <f>IF($A86="","",'Enrollment Census'!$AE77)</f>
        <v/>
      </c>
      <c r="H86" s="91">
        <f>IF($A86="","",'Enrollment Census'!$AF77)</f>
        <v/>
      </c>
      <c r="I86" s="91">
        <f>IF($A86="","",'Enrollment Census'!$AD77)</f>
        <v/>
      </c>
      <c r="J86">
        <f>IF($A86="","",'Enrollment Census'!$A77)</f>
        <v/>
      </c>
      <c r="K86">
        <f>IF($F86="FIX",ROW(),IF($F86="REVIEW",1000+ROW(),""))</f>
        <v/>
      </c>
    </row>
    <row r="87" ht="36" customHeight="1">
      <c r="A87" s="91">
        <f>IF(COUNTA('Enrollment Census'!$A78:$U78)&gt;0,78,"")</f>
        <v/>
      </c>
      <c r="B87" s="91">
        <f>IF($A87="","","Employee ending "&amp;RIGHT('Enrollment Census'!$A78&amp;"",4)&amp;IF('Enrollment Census'!$AH78&gt;0," • "&amp;'Enrollment Census'!$AH78&amp;" row"&amp;IF('Enrollment Census'!$AH78=1,"","s")&amp;" need attention",""))</f>
        <v/>
      </c>
      <c r="C87" s="91">
        <f>IF($A87="","",TRIM('Enrollment Census'!$C78&amp;" "&amp;'Enrollment Census'!$D78)&amp;" • ending "&amp;RIGHT('Enrollment Census'!$W78&amp;"",4))</f>
        <v/>
      </c>
      <c r="D87" s="91">
        <f>IF($A87="","",'Enrollment Census'!$X78)</f>
        <v/>
      </c>
      <c r="E87" s="91">
        <f>IF($A87="","",'Enrollment Census'!$S78)</f>
        <v/>
      </c>
      <c r="F87" s="91">
        <f>IF($A87="","",IF('Enrollment Census'!$AF78&lt;&gt;"","FIX",IF('Enrollment Census'!$AD78&lt;&gt;"","REVIEW","READY")))</f>
        <v/>
      </c>
      <c r="G87" s="91">
        <f>IF($A87="","",'Enrollment Census'!$AE78)</f>
        <v/>
      </c>
      <c r="H87" s="91">
        <f>IF($A87="","",'Enrollment Census'!$AF78)</f>
        <v/>
      </c>
      <c r="I87" s="91">
        <f>IF($A87="","",'Enrollment Census'!$AD78)</f>
        <v/>
      </c>
      <c r="J87">
        <f>IF($A87="","",'Enrollment Census'!$A78)</f>
        <v/>
      </c>
      <c r="K87">
        <f>IF($F87="FIX",ROW(),IF($F87="REVIEW",1000+ROW(),""))</f>
        <v/>
      </c>
    </row>
    <row r="88" ht="36" customHeight="1">
      <c r="A88" s="91">
        <f>IF(COUNTA('Enrollment Census'!$A79:$U79)&gt;0,79,"")</f>
        <v/>
      </c>
      <c r="B88" s="91">
        <f>IF($A88="","","Employee ending "&amp;RIGHT('Enrollment Census'!$A79&amp;"",4)&amp;IF('Enrollment Census'!$AH79&gt;0," • "&amp;'Enrollment Census'!$AH79&amp;" row"&amp;IF('Enrollment Census'!$AH79=1,"","s")&amp;" need attention",""))</f>
        <v/>
      </c>
      <c r="C88" s="91">
        <f>IF($A88="","",TRIM('Enrollment Census'!$C79&amp;" "&amp;'Enrollment Census'!$D79)&amp;" • ending "&amp;RIGHT('Enrollment Census'!$W79&amp;"",4))</f>
        <v/>
      </c>
      <c r="D88" s="91">
        <f>IF($A88="","",'Enrollment Census'!$X79)</f>
        <v/>
      </c>
      <c r="E88" s="91">
        <f>IF($A88="","",'Enrollment Census'!$S79)</f>
        <v/>
      </c>
      <c r="F88" s="91">
        <f>IF($A88="","",IF('Enrollment Census'!$AF79&lt;&gt;"","FIX",IF('Enrollment Census'!$AD79&lt;&gt;"","REVIEW","READY")))</f>
        <v/>
      </c>
      <c r="G88" s="91">
        <f>IF($A88="","",'Enrollment Census'!$AE79)</f>
        <v/>
      </c>
      <c r="H88" s="91">
        <f>IF($A88="","",'Enrollment Census'!$AF79)</f>
        <v/>
      </c>
      <c r="I88" s="91">
        <f>IF($A88="","",'Enrollment Census'!$AD79)</f>
        <v/>
      </c>
      <c r="J88">
        <f>IF($A88="","",'Enrollment Census'!$A79)</f>
        <v/>
      </c>
      <c r="K88">
        <f>IF($F88="FIX",ROW(),IF($F88="REVIEW",1000+ROW(),""))</f>
        <v/>
      </c>
    </row>
    <row r="89" ht="36" customHeight="1">
      <c r="A89" s="91">
        <f>IF(COUNTA('Enrollment Census'!$A80:$U80)&gt;0,80,"")</f>
        <v/>
      </c>
      <c r="B89" s="91">
        <f>IF($A89="","","Employee ending "&amp;RIGHT('Enrollment Census'!$A80&amp;"",4)&amp;IF('Enrollment Census'!$AH80&gt;0," • "&amp;'Enrollment Census'!$AH80&amp;" row"&amp;IF('Enrollment Census'!$AH80=1,"","s")&amp;" need attention",""))</f>
        <v/>
      </c>
      <c r="C89" s="91">
        <f>IF($A89="","",TRIM('Enrollment Census'!$C80&amp;" "&amp;'Enrollment Census'!$D80)&amp;" • ending "&amp;RIGHT('Enrollment Census'!$W80&amp;"",4))</f>
        <v/>
      </c>
      <c r="D89" s="91">
        <f>IF($A89="","",'Enrollment Census'!$X80)</f>
        <v/>
      </c>
      <c r="E89" s="91">
        <f>IF($A89="","",'Enrollment Census'!$S80)</f>
        <v/>
      </c>
      <c r="F89" s="91">
        <f>IF($A89="","",IF('Enrollment Census'!$AF80&lt;&gt;"","FIX",IF('Enrollment Census'!$AD80&lt;&gt;"","REVIEW","READY")))</f>
        <v/>
      </c>
      <c r="G89" s="91">
        <f>IF($A89="","",'Enrollment Census'!$AE80)</f>
        <v/>
      </c>
      <c r="H89" s="91">
        <f>IF($A89="","",'Enrollment Census'!$AF80)</f>
        <v/>
      </c>
      <c r="I89" s="91">
        <f>IF($A89="","",'Enrollment Census'!$AD80)</f>
        <v/>
      </c>
      <c r="J89">
        <f>IF($A89="","",'Enrollment Census'!$A80)</f>
        <v/>
      </c>
      <c r="K89">
        <f>IF($F89="FIX",ROW(),IF($F89="REVIEW",1000+ROW(),""))</f>
        <v/>
      </c>
    </row>
    <row r="90" ht="36" customHeight="1">
      <c r="A90" s="91">
        <f>IF(COUNTA('Enrollment Census'!$A81:$U81)&gt;0,81,"")</f>
        <v/>
      </c>
      <c r="B90" s="91">
        <f>IF($A90="","","Employee ending "&amp;RIGHT('Enrollment Census'!$A81&amp;"",4)&amp;IF('Enrollment Census'!$AH81&gt;0," • "&amp;'Enrollment Census'!$AH81&amp;" row"&amp;IF('Enrollment Census'!$AH81=1,"","s")&amp;" need attention",""))</f>
        <v/>
      </c>
      <c r="C90" s="91">
        <f>IF($A90="","",TRIM('Enrollment Census'!$C81&amp;" "&amp;'Enrollment Census'!$D81)&amp;" • ending "&amp;RIGHT('Enrollment Census'!$W81&amp;"",4))</f>
        <v/>
      </c>
      <c r="D90" s="91">
        <f>IF($A90="","",'Enrollment Census'!$X81)</f>
        <v/>
      </c>
      <c r="E90" s="91">
        <f>IF($A90="","",'Enrollment Census'!$S81)</f>
        <v/>
      </c>
      <c r="F90" s="91">
        <f>IF($A90="","",IF('Enrollment Census'!$AF81&lt;&gt;"","FIX",IF('Enrollment Census'!$AD81&lt;&gt;"","REVIEW","READY")))</f>
        <v/>
      </c>
      <c r="G90" s="91">
        <f>IF($A90="","",'Enrollment Census'!$AE81)</f>
        <v/>
      </c>
      <c r="H90" s="91">
        <f>IF($A90="","",'Enrollment Census'!$AF81)</f>
        <v/>
      </c>
      <c r="I90" s="91">
        <f>IF($A90="","",'Enrollment Census'!$AD81)</f>
        <v/>
      </c>
      <c r="J90">
        <f>IF($A90="","",'Enrollment Census'!$A81)</f>
        <v/>
      </c>
      <c r="K90">
        <f>IF($F90="FIX",ROW(),IF($F90="REVIEW",1000+ROW(),""))</f>
        <v/>
      </c>
    </row>
    <row r="91" ht="36" customHeight="1">
      <c r="A91" s="91">
        <f>IF(COUNTA('Enrollment Census'!$A82:$U82)&gt;0,82,"")</f>
        <v/>
      </c>
      <c r="B91" s="91">
        <f>IF($A91="","","Employee ending "&amp;RIGHT('Enrollment Census'!$A82&amp;"",4)&amp;IF('Enrollment Census'!$AH82&gt;0," • "&amp;'Enrollment Census'!$AH82&amp;" row"&amp;IF('Enrollment Census'!$AH82=1,"","s")&amp;" need attention",""))</f>
        <v/>
      </c>
      <c r="C91" s="91">
        <f>IF($A91="","",TRIM('Enrollment Census'!$C82&amp;" "&amp;'Enrollment Census'!$D82)&amp;" • ending "&amp;RIGHT('Enrollment Census'!$W82&amp;"",4))</f>
        <v/>
      </c>
      <c r="D91" s="91">
        <f>IF($A91="","",'Enrollment Census'!$X82)</f>
        <v/>
      </c>
      <c r="E91" s="91">
        <f>IF($A91="","",'Enrollment Census'!$S82)</f>
        <v/>
      </c>
      <c r="F91" s="91">
        <f>IF($A91="","",IF('Enrollment Census'!$AF82&lt;&gt;"","FIX",IF('Enrollment Census'!$AD82&lt;&gt;"","REVIEW","READY")))</f>
        <v/>
      </c>
      <c r="G91" s="91">
        <f>IF($A91="","",'Enrollment Census'!$AE82)</f>
        <v/>
      </c>
      <c r="H91" s="91">
        <f>IF($A91="","",'Enrollment Census'!$AF82)</f>
        <v/>
      </c>
      <c r="I91" s="91">
        <f>IF($A91="","",'Enrollment Census'!$AD82)</f>
        <v/>
      </c>
      <c r="J91">
        <f>IF($A91="","",'Enrollment Census'!$A82)</f>
        <v/>
      </c>
      <c r="K91">
        <f>IF($F91="FIX",ROW(),IF($F91="REVIEW",1000+ROW(),""))</f>
        <v/>
      </c>
    </row>
    <row r="92" ht="36" customHeight="1">
      <c r="A92" s="91">
        <f>IF(COUNTA('Enrollment Census'!$A83:$U83)&gt;0,83,"")</f>
        <v/>
      </c>
      <c r="B92" s="91">
        <f>IF($A92="","","Employee ending "&amp;RIGHT('Enrollment Census'!$A83&amp;"",4)&amp;IF('Enrollment Census'!$AH83&gt;0," • "&amp;'Enrollment Census'!$AH83&amp;" row"&amp;IF('Enrollment Census'!$AH83=1,"","s")&amp;" need attention",""))</f>
        <v/>
      </c>
      <c r="C92" s="91">
        <f>IF($A92="","",TRIM('Enrollment Census'!$C83&amp;" "&amp;'Enrollment Census'!$D83)&amp;" • ending "&amp;RIGHT('Enrollment Census'!$W83&amp;"",4))</f>
        <v/>
      </c>
      <c r="D92" s="91">
        <f>IF($A92="","",'Enrollment Census'!$X83)</f>
        <v/>
      </c>
      <c r="E92" s="91">
        <f>IF($A92="","",'Enrollment Census'!$S83)</f>
        <v/>
      </c>
      <c r="F92" s="91">
        <f>IF($A92="","",IF('Enrollment Census'!$AF83&lt;&gt;"","FIX",IF('Enrollment Census'!$AD83&lt;&gt;"","REVIEW","READY")))</f>
        <v/>
      </c>
      <c r="G92" s="91">
        <f>IF($A92="","",'Enrollment Census'!$AE83)</f>
        <v/>
      </c>
      <c r="H92" s="91">
        <f>IF($A92="","",'Enrollment Census'!$AF83)</f>
        <v/>
      </c>
      <c r="I92" s="91">
        <f>IF($A92="","",'Enrollment Census'!$AD83)</f>
        <v/>
      </c>
      <c r="J92">
        <f>IF($A92="","",'Enrollment Census'!$A83)</f>
        <v/>
      </c>
      <c r="K92">
        <f>IF($F92="FIX",ROW(),IF($F92="REVIEW",1000+ROW(),""))</f>
        <v/>
      </c>
    </row>
    <row r="93" ht="36" customHeight="1">
      <c r="A93" s="91">
        <f>IF(COUNTA('Enrollment Census'!$A84:$U84)&gt;0,84,"")</f>
        <v/>
      </c>
      <c r="B93" s="91">
        <f>IF($A93="","","Employee ending "&amp;RIGHT('Enrollment Census'!$A84&amp;"",4)&amp;IF('Enrollment Census'!$AH84&gt;0," • "&amp;'Enrollment Census'!$AH84&amp;" row"&amp;IF('Enrollment Census'!$AH84=1,"","s")&amp;" need attention",""))</f>
        <v/>
      </c>
      <c r="C93" s="91">
        <f>IF($A93="","",TRIM('Enrollment Census'!$C84&amp;" "&amp;'Enrollment Census'!$D84)&amp;" • ending "&amp;RIGHT('Enrollment Census'!$W84&amp;"",4))</f>
        <v/>
      </c>
      <c r="D93" s="91">
        <f>IF($A93="","",'Enrollment Census'!$X84)</f>
        <v/>
      </c>
      <c r="E93" s="91">
        <f>IF($A93="","",'Enrollment Census'!$S84)</f>
        <v/>
      </c>
      <c r="F93" s="91">
        <f>IF($A93="","",IF('Enrollment Census'!$AF84&lt;&gt;"","FIX",IF('Enrollment Census'!$AD84&lt;&gt;"","REVIEW","READY")))</f>
        <v/>
      </c>
      <c r="G93" s="91">
        <f>IF($A93="","",'Enrollment Census'!$AE84)</f>
        <v/>
      </c>
      <c r="H93" s="91">
        <f>IF($A93="","",'Enrollment Census'!$AF84)</f>
        <v/>
      </c>
      <c r="I93" s="91">
        <f>IF($A93="","",'Enrollment Census'!$AD84)</f>
        <v/>
      </c>
      <c r="J93">
        <f>IF($A93="","",'Enrollment Census'!$A84)</f>
        <v/>
      </c>
      <c r="K93">
        <f>IF($F93="FIX",ROW(),IF($F93="REVIEW",1000+ROW(),""))</f>
        <v/>
      </c>
    </row>
    <row r="94" ht="36" customHeight="1">
      <c r="A94" s="91">
        <f>IF(COUNTA('Enrollment Census'!$A85:$U85)&gt;0,85,"")</f>
        <v/>
      </c>
      <c r="B94" s="91">
        <f>IF($A94="","","Employee ending "&amp;RIGHT('Enrollment Census'!$A85&amp;"",4)&amp;IF('Enrollment Census'!$AH85&gt;0," • "&amp;'Enrollment Census'!$AH85&amp;" row"&amp;IF('Enrollment Census'!$AH85=1,"","s")&amp;" need attention",""))</f>
        <v/>
      </c>
      <c r="C94" s="91">
        <f>IF($A94="","",TRIM('Enrollment Census'!$C85&amp;" "&amp;'Enrollment Census'!$D85)&amp;" • ending "&amp;RIGHT('Enrollment Census'!$W85&amp;"",4))</f>
        <v/>
      </c>
      <c r="D94" s="91">
        <f>IF($A94="","",'Enrollment Census'!$X85)</f>
        <v/>
      </c>
      <c r="E94" s="91">
        <f>IF($A94="","",'Enrollment Census'!$S85)</f>
        <v/>
      </c>
      <c r="F94" s="91">
        <f>IF($A94="","",IF('Enrollment Census'!$AF85&lt;&gt;"","FIX",IF('Enrollment Census'!$AD85&lt;&gt;"","REVIEW","READY")))</f>
        <v/>
      </c>
      <c r="G94" s="91">
        <f>IF($A94="","",'Enrollment Census'!$AE85)</f>
        <v/>
      </c>
      <c r="H94" s="91">
        <f>IF($A94="","",'Enrollment Census'!$AF85)</f>
        <v/>
      </c>
      <c r="I94" s="91">
        <f>IF($A94="","",'Enrollment Census'!$AD85)</f>
        <v/>
      </c>
      <c r="J94">
        <f>IF($A94="","",'Enrollment Census'!$A85)</f>
        <v/>
      </c>
      <c r="K94">
        <f>IF($F94="FIX",ROW(),IF($F94="REVIEW",1000+ROW(),""))</f>
        <v/>
      </c>
    </row>
    <row r="95" ht="36" customHeight="1">
      <c r="A95" s="91">
        <f>IF(COUNTA('Enrollment Census'!$A86:$U86)&gt;0,86,"")</f>
        <v/>
      </c>
      <c r="B95" s="91">
        <f>IF($A95="","","Employee ending "&amp;RIGHT('Enrollment Census'!$A86&amp;"",4)&amp;IF('Enrollment Census'!$AH86&gt;0," • "&amp;'Enrollment Census'!$AH86&amp;" row"&amp;IF('Enrollment Census'!$AH86=1,"","s")&amp;" need attention",""))</f>
        <v/>
      </c>
      <c r="C95" s="91">
        <f>IF($A95="","",TRIM('Enrollment Census'!$C86&amp;" "&amp;'Enrollment Census'!$D86)&amp;" • ending "&amp;RIGHT('Enrollment Census'!$W86&amp;"",4))</f>
        <v/>
      </c>
      <c r="D95" s="91">
        <f>IF($A95="","",'Enrollment Census'!$X86)</f>
        <v/>
      </c>
      <c r="E95" s="91">
        <f>IF($A95="","",'Enrollment Census'!$S86)</f>
        <v/>
      </c>
      <c r="F95" s="91">
        <f>IF($A95="","",IF('Enrollment Census'!$AF86&lt;&gt;"","FIX",IF('Enrollment Census'!$AD86&lt;&gt;"","REVIEW","READY")))</f>
        <v/>
      </c>
      <c r="G95" s="91">
        <f>IF($A95="","",'Enrollment Census'!$AE86)</f>
        <v/>
      </c>
      <c r="H95" s="91">
        <f>IF($A95="","",'Enrollment Census'!$AF86)</f>
        <v/>
      </c>
      <c r="I95" s="91">
        <f>IF($A95="","",'Enrollment Census'!$AD86)</f>
        <v/>
      </c>
      <c r="J95">
        <f>IF($A95="","",'Enrollment Census'!$A86)</f>
        <v/>
      </c>
      <c r="K95">
        <f>IF($F95="FIX",ROW(),IF($F95="REVIEW",1000+ROW(),""))</f>
        <v/>
      </c>
    </row>
    <row r="96" ht="36" customHeight="1">
      <c r="A96" s="91">
        <f>IF(COUNTA('Enrollment Census'!$A87:$U87)&gt;0,87,"")</f>
        <v/>
      </c>
      <c r="B96" s="91">
        <f>IF($A96="","","Employee ending "&amp;RIGHT('Enrollment Census'!$A87&amp;"",4)&amp;IF('Enrollment Census'!$AH87&gt;0," • "&amp;'Enrollment Census'!$AH87&amp;" row"&amp;IF('Enrollment Census'!$AH87=1,"","s")&amp;" need attention",""))</f>
        <v/>
      </c>
      <c r="C96" s="91">
        <f>IF($A96="","",TRIM('Enrollment Census'!$C87&amp;" "&amp;'Enrollment Census'!$D87)&amp;" • ending "&amp;RIGHT('Enrollment Census'!$W87&amp;"",4))</f>
        <v/>
      </c>
      <c r="D96" s="91">
        <f>IF($A96="","",'Enrollment Census'!$X87)</f>
        <v/>
      </c>
      <c r="E96" s="91">
        <f>IF($A96="","",'Enrollment Census'!$S87)</f>
        <v/>
      </c>
      <c r="F96" s="91">
        <f>IF($A96="","",IF('Enrollment Census'!$AF87&lt;&gt;"","FIX",IF('Enrollment Census'!$AD87&lt;&gt;"","REVIEW","READY")))</f>
        <v/>
      </c>
      <c r="G96" s="91">
        <f>IF($A96="","",'Enrollment Census'!$AE87)</f>
        <v/>
      </c>
      <c r="H96" s="91">
        <f>IF($A96="","",'Enrollment Census'!$AF87)</f>
        <v/>
      </c>
      <c r="I96" s="91">
        <f>IF($A96="","",'Enrollment Census'!$AD87)</f>
        <v/>
      </c>
      <c r="J96">
        <f>IF($A96="","",'Enrollment Census'!$A87)</f>
        <v/>
      </c>
      <c r="K96">
        <f>IF($F96="FIX",ROW(),IF($F96="REVIEW",1000+ROW(),""))</f>
        <v/>
      </c>
    </row>
    <row r="97" ht="36" customHeight="1">
      <c r="A97" s="91">
        <f>IF(COUNTA('Enrollment Census'!$A88:$U88)&gt;0,88,"")</f>
        <v/>
      </c>
      <c r="B97" s="91">
        <f>IF($A97="","","Employee ending "&amp;RIGHT('Enrollment Census'!$A88&amp;"",4)&amp;IF('Enrollment Census'!$AH88&gt;0," • "&amp;'Enrollment Census'!$AH88&amp;" row"&amp;IF('Enrollment Census'!$AH88=1,"","s")&amp;" need attention",""))</f>
        <v/>
      </c>
      <c r="C97" s="91">
        <f>IF($A97="","",TRIM('Enrollment Census'!$C88&amp;" "&amp;'Enrollment Census'!$D88)&amp;" • ending "&amp;RIGHT('Enrollment Census'!$W88&amp;"",4))</f>
        <v/>
      </c>
      <c r="D97" s="91">
        <f>IF($A97="","",'Enrollment Census'!$X88)</f>
        <v/>
      </c>
      <c r="E97" s="91">
        <f>IF($A97="","",'Enrollment Census'!$S88)</f>
        <v/>
      </c>
      <c r="F97" s="91">
        <f>IF($A97="","",IF('Enrollment Census'!$AF88&lt;&gt;"","FIX",IF('Enrollment Census'!$AD88&lt;&gt;"","REVIEW","READY")))</f>
        <v/>
      </c>
      <c r="G97" s="91">
        <f>IF($A97="","",'Enrollment Census'!$AE88)</f>
        <v/>
      </c>
      <c r="H97" s="91">
        <f>IF($A97="","",'Enrollment Census'!$AF88)</f>
        <v/>
      </c>
      <c r="I97" s="91">
        <f>IF($A97="","",'Enrollment Census'!$AD88)</f>
        <v/>
      </c>
      <c r="J97">
        <f>IF($A97="","",'Enrollment Census'!$A88)</f>
        <v/>
      </c>
      <c r="K97">
        <f>IF($F97="FIX",ROW(),IF($F97="REVIEW",1000+ROW(),""))</f>
        <v/>
      </c>
    </row>
    <row r="98" ht="36" customHeight="1">
      <c r="A98" s="91">
        <f>IF(COUNTA('Enrollment Census'!$A89:$U89)&gt;0,89,"")</f>
        <v/>
      </c>
      <c r="B98" s="91">
        <f>IF($A98="","","Employee ending "&amp;RIGHT('Enrollment Census'!$A89&amp;"",4)&amp;IF('Enrollment Census'!$AH89&gt;0," • "&amp;'Enrollment Census'!$AH89&amp;" row"&amp;IF('Enrollment Census'!$AH89=1,"","s")&amp;" need attention",""))</f>
        <v/>
      </c>
      <c r="C98" s="91">
        <f>IF($A98="","",TRIM('Enrollment Census'!$C89&amp;" "&amp;'Enrollment Census'!$D89)&amp;" • ending "&amp;RIGHT('Enrollment Census'!$W89&amp;"",4))</f>
        <v/>
      </c>
      <c r="D98" s="91">
        <f>IF($A98="","",'Enrollment Census'!$X89)</f>
        <v/>
      </c>
      <c r="E98" s="91">
        <f>IF($A98="","",'Enrollment Census'!$S89)</f>
        <v/>
      </c>
      <c r="F98" s="91">
        <f>IF($A98="","",IF('Enrollment Census'!$AF89&lt;&gt;"","FIX",IF('Enrollment Census'!$AD89&lt;&gt;"","REVIEW","READY")))</f>
        <v/>
      </c>
      <c r="G98" s="91">
        <f>IF($A98="","",'Enrollment Census'!$AE89)</f>
        <v/>
      </c>
      <c r="H98" s="91">
        <f>IF($A98="","",'Enrollment Census'!$AF89)</f>
        <v/>
      </c>
      <c r="I98" s="91">
        <f>IF($A98="","",'Enrollment Census'!$AD89)</f>
        <v/>
      </c>
      <c r="J98">
        <f>IF($A98="","",'Enrollment Census'!$A89)</f>
        <v/>
      </c>
      <c r="K98">
        <f>IF($F98="FIX",ROW(),IF($F98="REVIEW",1000+ROW(),""))</f>
        <v/>
      </c>
    </row>
    <row r="99" ht="36" customHeight="1">
      <c r="A99" s="91">
        <f>IF(COUNTA('Enrollment Census'!$A90:$U90)&gt;0,90,"")</f>
        <v/>
      </c>
      <c r="B99" s="91">
        <f>IF($A99="","","Employee ending "&amp;RIGHT('Enrollment Census'!$A90&amp;"",4)&amp;IF('Enrollment Census'!$AH90&gt;0," • "&amp;'Enrollment Census'!$AH90&amp;" row"&amp;IF('Enrollment Census'!$AH90=1,"","s")&amp;" need attention",""))</f>
        <v/>
      </c>
      <c r="C99" s="91">
        <f>IF($A99="","",TRIM('Enrollment Census'!$C90&amp;" "&amp;'Enrollment Census'!$D90)&amp;" • ending "&amp;RIGHT('Enrollment Census'!$W90&amp;"",4))</f>
        <v/>
      </c>
      <c r="D99" s="91">
        <f>IF($A99="","",'Enrollment Census'!$X90)</f>
        <v/>
      </c>
      <c r="E99" s="91">
        <f>IF($A99="","",'Enrollment Census'!$S90)</f>
        <v/>
      </c>
      <c r="F99" s="91">
        <f>IF($A99="","",IF('Enrollment Census'!$AF90&lt;&gt;"","FIX",IF('Enrollment Census'!$AD90&lt;&gt;"","REVIEW","READY")))</f>
        <v/>
      </c>
      <c r="G99" s="91">
        <f>IF($A99="","",'Enrollment Census'!$AE90)</f>
        <v/>
      </c>
      <c r="H99" s="91">
        <f>IF($A99="","",'Enrollment Census'!$AF90)</f>
        <v/>
      </c>
      <c r="I99" s="91">
        <f>IF($A99="","",'Enrollment Census'!$AD90)</f>
        <v/>
      </c>
      <c r="J99">
        <f>IF($A99="","",'Enrollment Census'!$A90)</f>
        <v/>
      </c>
      <c r="K99">
        <f>IF($F99="FIX",ROW(),IF($F99="REVIEW",1000+ROW(),""))</f>
        <v/>
      </c>
    </row>
    <row r="100" ht="36" customHeight="1">
      <c r="A100" s="91">
        <f>IF(COUNTA('Enrollment Census'!$A91:$U91)&gt;0,91,"")</f>
        <v/>
      </c>
      <c r="B100" s="91">
        <f>IF($A100="","","Employee ending "&amp;RIGHT('Enrollment Census'!$A91&amp;"",4)&amp;IF('Enrollment Census'!$AH91&gt;0," • "&amp;'Enrollment Census'!$AH91&amp;" row"&amp;IF('Enrollment Census'!$AH91=1,"","s")&amp;" need attention",""))</f>
        <v/>
      </c>
      <c r="C100" s="91">
        <f>IF($A100="","",TRIM('Enrollment Census'!$C91&amp;" "&amp;'Enrollment Census'!$D91)&amp;" • ending "&amp;RIGHT('Enrollment Census'!$W91&amp;"",4))</f>
        <v/>
      </c>
      <c r="D100" s="91">
        <f>IF($A100="","",'Enrollment Census'!$X91)</f>
        <v/>
      </c>
      <c r="E100" s="91">
        <f>IF($A100="","",'Enrollment Census'!$S91)</f>
        <v/>
      </c>
      <c r="F100" s="91">
        <f>IF($A100="","",IF('Enrollment Census'!$AF91&lt;&gt;"","FIX",IF('Enrollment Census'!$AD91&lt;&gt;"","REVIEW","READY")))</f>
        <v/>
      </c>
      <c r="G100" s="91">
        <f>IF($A100="","",'Enrollment Census'!$AE91)</f>
        <v/>
      </c>
      <c r="H100" s="91">
        <f>IF($A100="","",'Enrollment Census'!$AF91)</f>
        <v/>
      </c>
      <c r="I100" s="91">
        <f>IF($A100="","",'Enrollment Census'!$AD91)</f>
        <v/>
      </c>
      <c r="J100">
        <f>IF($A100="","",'Enrollment Census'!$A91)</f>
        <v/>
      </c>
      <c r="K100">
        <f>IF($F100="FIX",ROW(),IF($F100="REVIEW",1000+ROW(),""))</f>
        <v/>
      </c>
    </row>
    <row r="101" ht="36" customHeight="1">
      <c r="A101" s="91">
        <f>IF(COUNTA('Enrollment Census'!$A92:$U92)&gt;0,92,"")</f>
        <v/>
      </c>
      <c r="B101" s="91">
        <f>IF($A101="","","Employee ending "&amp;RIGHT('Enrollment Census'!$A92&amp;"",4)&amp;IF('Enrollment Census'!$AH92&gt;0," • "&amp;'Enrollment Census'!$AH92&amp;" row"&amp;IF('Enrollment Census'!$AH92=1,"","s")&amp;" need attention",""))</f>
        <v/>
      </c>
      <c r="C101" s="91">
        <f>IF($A101="","",TRIM('Enrollment Census'!$C92&amp;" "&amp;'Enrollment Census'!$D92)&amp;" • ending "&amp;RIGHT('Enrollment Census'!$W92&amp;"",4))</f>
        <v/>
      </c>
      <c r="D101" s="91">
        <f>IF($A101="","",'Enrollment Census'!$X92)</f>
        <v/>
      </c>
      <c r="E101" s="91">
        <f>IF($A101="","",'Enrollment Census'!$S92)</f>
        <v/>
      </c>
      <c r="F101" s="91">
        <f>IF($A101="","",IF('Enrollment Census'!$AF92&lt;&gt;"","FIX",IF('Enrollment Census'!$AD92&lt;&gt;"","REVIEW","READY")))</f>
        <v/>
      </c>
      <c r="G101" s="91">
        <f>IF($A101="","",'Enrollment Census'!$AE92)</f>
        <v/>
      </c>
      <c r="H101" s="91">
        <f>IF($A101="","",'Enrollment Census'!$AF92)</f>
        <v/>
      </c>
      <c r="I101" s="91">
        <f>IF($A101="","",'Enrollment Census'!$AD92)</f>
        <v/>
      </c>
      <c r="J101">
        <f>IF($A101="","",'Enrollment Census'!$A92)</f>
        <v/>
      </c>
      <c r="K101">
        <f>IF($F101="FIX",ROW(),IF($F101="REVIEW",1000+ROW(),""))</f>
        <v/>
      </c>
    </row>
    <row r="102" ht="36" customHeight="1">
      <c r="A102" s="91">
        <f>IF(COUNTA('Enrollment Census'!$A93:$U93)&gt;0,93,"")</f>
        <v/>
      </c>
      <c r="B102" s="91">
        <f>IF($A102="","","Employee ending "&amp;RIGHT('Enrollment Census'!$A93&amp;"",4)&amp;IF('Enrollment Census'!$AH93&gt;0," • "&amp;'Enrollment Census'!$AH93&amp;" row"&amp;IF('Enrollment Census'!$AH93=1,"","s")&amp;" need attention",""))</f>
        <v/>
      </c>
      <c r="C102" s="91">
        <f>IF($A102="","",TRIM('Enrollment Census'!$C93&amp;" "&amp;'Enrollment Census'!$D93)&amp;" • ending "&amp;RIGHT('Enrollment Census'!$W93&amp;"",4))</f>
        <v/>
      </c>
      <c r="D102" s="91">
        <f>IF($A102="","",'Enrollment Census'!$X93)</f>
        <v/>
      </c>
      <c r="E102" s="91">
        <f>IF($A102="","",'Enrollment Census'!$S93)</f>
        <v/>
      </c>
      <c r="F102" s="91">
        <f>IF($A102="","",IF('Enrollment Census'!$AF93&lt;&gt;"","FIX",IF('Enrollment Census'!$AD93&lt;&gt;"","REVIEW","READY")))</f>
        <v/>
      </c>
      <c r="G102" s="91">
        <f>IF($A102="","",'Enrollment Census'!$AE93)</f>
        <v/>
      </c>
      <c r="H102" s="91">
        <f>IF($A102="","",'Enrollment Census'!$AF93)</f>
        <v/>
      </c>
      <c r="I102" s="91">
        <f>IF($A102="","",'Enrollment Census'!$AD93)</f>
        <v/>
      </c>
      <c r="J102">
        <f>IF($A102="","",'Enrollment Census'!$A93)</f>
        <v/>
      </c>
      <c r="K102">
        <f>IF($F102="FIX",ROW(),IF($F102="REVIEW",1000+ROW(),""))</f>
        <v/>
      </c>
    </row>
    <row r="103" ht="36" customHeight="1">
      <c r="A103" s="91">
        <f>IF(COUNTA('Enrollment Census'!$A94:$U94)&gt;0,94,"")</f>
        <v/>
      </c>
      <c r="B103" s="91">
        <f>IF($A103="","","Employee ending "&amp;RIGHT('Enrollment Census'!$A94&amp;"",4)&amp;IF('Enrollment Census'!$AH94&gt;0," • "&amp;'Enrollment Census'!$AH94&amp;" row"&amp;IF('Enrollment Census'!$AH94=1,"","s")&amp;" need attention",""))</f>
        <v/>
      </c>
      <c r="C103" s="91">
        <f>IF($A103="","",TRIM('Enrollment Census'!$C94&amp;" "&amp;'Enrollment Census'!$D94)&amp;" • ending "&amp;RIGHT('Enrollment Census'!$W94&amp;"",4))</f>
        <v/>
      </c>
      <c r="D103" s="91">
        <f>IF($A103="","",'Enrollment Census'!$X94)</f>
        <v/>
      </c>
      <c r="E103" s="91">
        <f>IF($A103="","",'Enrollment Census'!$S94)</f>
        <v/>
      </c>
      <c r="F103" s="91">
        <f>IF($A103="","",IF('Enrollment Census'!$AF94&lt;&gt;"","FIX",IF('Enrollment Census'!$AD94&lt;&gt;"","REVIEW","READY")))</f>
        <v/>
      </c>
      <c r="G103" s="91">
        <f>IF($A103="","",'Enrollment Census'!$AE94)</f>
        <v/>
      </c>
      <c r="H103" s="91">
        <f>IF($A103="","",'Enrollment Census'!$AF94)</f>
        <v/>
      </c>
      <c r="I103" s="91">
        <f>IF($A103="","",'Enrollment Census'!$AD94)</f>
        <v/>
      </c>
      <c r="J103">
        <f>IF($A103="","",'Enrollment Census'!$A94)</f>
        <v/>
      </c>
      <c r="K103">
        <f>IF($F103="FIX",ROW(),IF($F103="REVIEW",1000+ROW(),""))</f>
        <v/>
      </c>
    </row>
    <row r="104" ht="36" customHeight="1">
      <c r="A104" s="91">
        <f>IF(COUNTA('Enrollment Census'!$A95:$U95)&gt;0,95,"")</f>
        <v/>
      </c>
      <c r="B104" s="91">
        <f>IF($A104="","","Employee ending "&amp;RIGHT('Enrollment Census'!$A95&amp;"",4)&amp;IF('Enrollment Census'!$AH95&gt;0," • "&amp;'Enrollment Census'!$AH95&amp;" row"&amp;IF('Enrollment Census'!$AH95=1,"","s")&amp;" need attention",""))</f>
        <v/>
      </c>
      <c r="C104" s="91">
        <f>IF($A104="","",TRIM('Enrollment Census'!$C95&amp;" "&amp;'Enrollment Census'!$D95)&amp;" • ending "&amp;RIGHT('Enrollment Census'!$W95&amp;"",4))</f>
        <v/>
      </c>
      <c r="D104" s="91">
        <f>IF($A104="","",'Enrollment Census'!$X95)</f>
        <v/>
      </c>
      <c r="E104" s="91">
        <f>IF($A104="","",'Enrollment Census'!$S95)</f>
        <v/>
      </c>
      <c r="F104" s="91">
        <f>IF($A104="","",IF('Enrollment Census'!$AF95&lt;&gt;"","FIX",IF('Enrollment Census'!$AD95&lt;&gt;"","REVIEW","READY")))</f>
        <v/>
      </c>
      <c r="G104" s="91">
        <f>IF($A104="","",'Enrollment Census'!$AE95)</f>
        <v/>
      </c>
      <c r="H104" s="91">
        <f>IF($A104="","",'Enrollment Census'!$AF95)</f>
        <v/>
      </c>
      <c r="I104" s="91">
        <f>IF($A104="","",'Enrollment Census'!$AD95)</f>
        <v/>
      </c>
      <c r="J104">
        <f>IF($A104="","",'Enrollment Census'!$A95)</f>
        <v/>
      </c>
      <c r="K104">
        <f>IF($F104="FIX",ROW(),IF($F104="REVIEW",1000+ROW(),""))</f>
        <v/>
      </c>
    </row>
    <row r="105" ht="36" customHeight="1">
      <c r="A105" s="91">
        <f>IF(COUNTA('Enrollment Census'!$A96:$U96)&gt;0,96,"")</f>
        <v/>
      </c>
      <c r="B105" s="91">
        <f>IF($A105="","","Employee ending "&amp;RIGHT('Enrollment Census'!$A96&amp;"",4)&amp;IF('Enrollment Census'!$AH96&gt;0," • "&amp;'Enrollment Census'!$AH96&amp;" row"&amp;IF('Enrollment Census'!$AH96=1,"","s")&amp;" need attention",""))</f>
        <v/>
      </c>
      <c r="C105" s="91">
        <f>IF($A105="","",TRIM('Enrollment Census'!$C96&amp;" "&amp;'Enrollment Census'!$D96)&amp;" • ending "&amp;RIGHT('Enrollment Census'!$W96&amp;"",4))</f>
        <v/>
      </c>
      <c r="D105" s="91">
        <f>IF($A105="","",'Enrollment Census'!$X96)</f>
        <v/>
      </c>
      <c r="E105" s="91">
        <f>IF($A105="","",'Enrollment Census'!$S96)</f>
        <v/>
      </c>
      <c r="F105" s="91">
        <f>IF($A105="","",IF('Enrollment Census'!$AF96&lt;&gt;"","FIX",IF('Enrollment Census'!$AD96&lt;&gt;"","REVIEW","READY")))</f>
        <v/>
      </c>
      <c r="G105" s="91">
        <f>IF($A105="","",'Enrollment Census'!$AE96)</f>
        <v/>
      </c>
      <c r="H105" s="91">
        <f>IF($A105="","",'Enrollment Census'!$AF96)</f>
        <v/>
      </c>
      <c r="I105" s="91">
        <f>IF($A105="","",'Enrollment Census'!$AD96)</f>
        <v/>
      </c>
      <c r="J105">
        <f>IF($A105="","",'Enrollment Census'!$A96)</f>
        <v/>
      </c>
      <c r="K105">
        <f>IF($F105="FIX",ROW(),IF($F105="REVIEW",1000+ROW(),""))</f>
        <v/>
      </c>
    </row>
    <row r="106" ht="36" customHeight="1">
      <c r="A106" s="91">
        <f>IF(COUNTA('Enrollment Census'!$A97:$U97)&gt;0,97,"")</f>
        <v/>
      </c>
      <c r="B106" s="91">
        <f>IF($A106="","","Employee ending "&amp;RIGHT('Enrollment Census'!$A97&amp;"",4)&amp;IF('Enrollment Census'!$AH97&gt;0," • "&amp;'Enrollment Census'!$AH97&amp;" row"&amp;IF('Enrollment Census'!$AH97=1,"","s")&amp;" need attention",""))</f>
        <v/>
      </c>
      <c r="C106" s="91">
        <f>IF($A106="","",TRIM('Enrollment Census'!$C97&amp;" "&amp;'Enrollment Census'!$D97)&amp;" • ending "&amp;RIGHT('Enrollment Census'!$W97&amp;"",4))</f>
        <v/>
      </c>
      <c r="D106" s="91">
        <f>IF($A106="","",'Enrollment Census'!$X97)</f>
        <v/>
      </c>
      <c r="E106" s="91">
        <f>IF($A106="","",'Enrollment Census'!$S97)</f>
        <v/>
      </c>
      <c r="F106" s="91">
        <f>IF($A106="","",IF('Enrollment Census'!$AF97&lt;&gt;"","FIX",IF('Enrollment Census'!$AD97&lt;&gt;"","REVIEW","READY")))</f>
        <v/>
      </c>
      <c r="G106" s="91">
        <f>IF($A106="","",'Enrollment Census'!$AE97)</f>
        <v/>
      </c>
      <c r="H106" s="91">
        <f>IF($A106="","",'Enrollment Census'!$AF97)</f>
        <v/>
      </c>
      <c r="I106" s="91">
        <f>IF($A106="","",'Enrollment Census'!$AD97)</f>
        <v/>
      </c>
      <c r="J106">
        <f>IF($A106="","",'Enrollment Census'!$A97)</f>
        <v/>
      </c>
      <c r="K106">
        <f>IF($F106="FIX",ROW(),IF($F106="REVIEW",1000+ROW(),""))</f>
        <v/>
      </c>
    </row>
    <row r="107" ht="36" customHeight="1">
      <c r="A107" s="91">
        <f>IF(COUNTA('Enrollment Census'!$A98:$U98)&gt;0,98,"")</f>
        <v/>
      </c>
      <c r="B107" s="91">
        <f>IF($A107="","","Employee ending "&amp;RIGHT('Enrollment Census'!$A98&amp;"",4)&amp;IF('Enrollment Census'!$AH98&gt;0," • "&amp;'Enrollment Census'!$AH98&amp;" row"&amp;IF('Enrollment Census'!$AH98=1,"","s")&amp;" need attention",""))</f>
        <v/>
      </c>
      <c r="C107" s="91">
        <f>IF($A107="","",TRIM('Enrollment Census'!$C98&amp;" "&amp;'Enrollment Census'!$D98)&amp;" • ending "&amp;RIGHT('Enrollment Census'!$W98&amp;"",4))</f>
        <v/>
      </c>
      <c r="D107" s="91">
        <f>IF($A107="","",'Enrollment Census'!$X98)</f>
        <v/>
      </c>
      <c r="E107" s="91">
        <f>IF($A107="","",'Enrollment Census'!$S98)</f>
        <v/>
      </c>
      <c r="F107" s="91">
        <f>IF($A107="","",IF('Enrollment Census'!$AF98&lt;&gt;"","FIX",IF('Enrollment Census'!$AD98&lt;&gt;"","REVIEW","READY")))</f>
        <v/>
      </c>
      <c r="G107" s="91">
        <f>IF($A107="","",'Enrollment Census'!$AE98)</f>
        <v/>
      </c>
      <c r="H107" s="91">
        <f>IF($A107="","",'Enrollment Census'!$AF98)</f>
        <v/>
      </c>
      <c r="I107" s="91">
        <f>IF($A107="","",'Enrollment Census'!$AD98)</f>
        <v/>
      </c>
      <c r="J107">
        <f>IF($A107="","",'Enrollment Census'!$A98)</f>
        <v/>
      </c>
      <c r="K107">
        <f>IF($F107="FIX",ROW(),IF($F107="REVIEW",1000+ROW(),""))</f>
        <v/>
      </c>
    </row>
    <row r="108" ht="36" customHeight="1">
      <c r="A108" s="91">
        <f>IF(COUNTA('Enrollment Census'!$A99:$U99)&gt;0,99,"")</f>
        <v/>
      </c>
      <c r="B108" s="91">
        <f>IF($A108="","","Employee ending "&amp;RIGHT('Enrollment Census'!$A99&amp;"",4)&amp;IF('Enrollment Census'!$AH99&gt;0," • "&amp;'Enrollment Census'!$AH99&amp;" row"&amp;IF('Enrollment Census'!$AH99=1,"","s")&amp;" need attention",""))</f>
        <v/>
      </c>
      <c r="C108" s="91">
        <f>IF($A108="","",TRIM('Enrollment Census'!$C99&amp;" "&amp;'Enrollment Census'!$D99)&amp;" • ending "&amp;RIGHT('Enrollment Census'!$W99&amp;"",4))</f>
        <v/>
      </c>
      <c r="D108" s="91">
        <f>IF($A108="","",'Enrollment Census'!$X99)</f>
        <v/>
      </c>
      <c r="E108" s="91">
        <f>IF($A108="","",'Enrollment Census'!$S99)</f>
        <v/>
      </c>
      <c r="F108" s="91">
        <f>IF($A108="","",IF('Enrollment Census'!$AF99&lt;&gt;"","FIX",IF('Enrollment Census'!$AD99&lt;&gt;"","REVIEW","READY")))</f>
        <v/>
      </c>
      <c r="G108" s="91">
        <f>IF($A108="","",'Enrollment Census'!$AE99)</f>
        <v/>
      </c>
      <c r="H108" s="91">
        <f>IF($A108="","",'Enrollment Census'!$AF99)</f>
        <v/>
      </c>
      <c r="I108" s="91">
        <f>IF($A108="","",'Enrollment Census'!$AD99)</f>
        <v/>
      </c>
      <c r="J108">
        <f>IF($A108="","",'Enrollment Census'!$A99)</f>
        <v/>
      </c>
      <c r="K108">
        <f>IF($F108="FIX",ROW(),IF($F108="REVIEW",1000+ROW(),""))</f>
        <v/>
      </c>
    </row>
    <row r="109" ht="36" customHeight="1">
      <c r="A109" s="91">
        <f>IF(COUNTA('Enrollment Census'!$A100:$U100)&gt;0,100,"")</f>
        <v/>
      </c>
      <c r="B109" s="91">
        <f>IF($A109="","","Employee ending "&amp;RIGHT('Enrollment Census'!$A100&amp;"",4)&amp;IF('Enrollment Census'!$AH100&gt;0," • "&amp;'Enrollment Census'!$AH100&amp;" row"&amp;IF('Enrollment Census'!$AH100=1,"","s")&amp;" need attention",""))</f>
        <v/>
      </c>
      <c r="C109" s="91">
        <f>IF($A109="","",TRIM('Enrollment Census'!$C100&amp;" "&amp;'Enrollment Census'!$D100)&amp;" • ending "&amp;RIGHT('Enrollment Census'!$W100&amp;"",4))</f>
        <v/>
      </c>
      <c r="D109" s="91">
        <f>IF($A109="","",'Enrollment Census'!$X100)</f>
        <v/>
      </c>
      <c r="E109" s="91">
        <f>IF($A109="","",'Enrollment Census'!$S100)</f>
        <v/>
      </c>
      <c r="F109" s="91">
        <f>IF($A109="","",IF('Enrollment Census'!$AF100&lt;&gt;"","FIX",IF('Enrollment Census'!$AD100&lt;&gt;"","REVIEW","READY")))</f>
        <v/>
      </c>
      <c r="G109" s="91">
        <f>IF($A109="","",'Enrollment Census'!$AE100)</f>
        <v/>
      </c>
      <c r="H109" s="91">
        <f>IF($A109="","",'Enrollment Census'!$AF100)</f>
        <v/>
      </c>
      <c r="I109" s="91">
        <f>IF($A109="","",'Enrollment Census'!$AD100)</f>
        <v/>
      </c>
      <c r="J109">
        <f>IF($A109="","",'Enrollment Census'!$A100)</f>
        <v/>
      </c>
      <c r="K109">
        <f>IF($F109="FIX",ROW(),IF($F109="REVIEW",1000+ROW(),""))</f>
        <v/>
      </c>
    </row>
    <row r="110" ht="36" customHeight="1">
      <c r="A110" s="91">
        <f>IF(COUNTA('Enrollment Census'!$A101:$U101)&gt;0,101,"")</f>
        <v/>
      </c>
      <c r="B110" s="91">
        <f>IF($A110="","","Employee ending "&amp;RIGHT('Enrollment Census'!$A101&amp;"",4)&amp;IF('Enrollment Census'!$AH101&gt;0," • "&amp;'Enrollment Census'!$AH101&amp;" row"&amp;IF('Enrollment Census'!$AH101=1,"","s")&amp;" need attention",""))</f>
        <v/>
      </c>
      <c r="C110" s="91">
        <f>IF($A110="","",TRIM('Enrollment Census'!$C101&amp;" "&amp;'Enrollment Census'!$D101)&amp;" • ending "&amp;RIGHT('Enrollment Census'!$W101&amp;"",4))</f>
        <v/>
      </c>
      <c r="D110" s="91">
        <f>IF($A110="","",'Enrollment Census'!$X101)</f>
        <v/>
      </c>
      <c r="E110" s="91">
        <f>IF($A110="","",'Enrollment Census'!$S101)</f>
        <v/>
      </c>
      <c r="F110" s="91">
        <f>IF($A110="","",IF('Enrollment Census'!$AF101&lt;&gt;"","FIX",IF('Enrollment Census'!$AD101&lt;&gt;"","REVIEW","READY")))</f>
        <v/>
      </c>
      <c r="G110" s="91">
        <f>IF($A110="","",'Enrollment Census'!$AE101)</f>
        <v/>
      </c>
      <c r="H110" s="91">
        <f>IF($A110="","",'Enrollment Census'!$AF101)</f>
        <v/>
      </c>
      <c r="I110" s="91">
        <f>IF($A110="","",'Enrollment Census'!$AD101)</f>
        <v/>
      </c>
      <c r="J110">
        <f>IF($A110="","",'Enrollment Census'!$A101)</f>
        <v/>
      </c>
      <c r="K110">
        <f>IF($F110="FIX",ROW(),IF($F110="REVIEW",1000+ROW(),""))</f>
        <v/>
      </c>
    </row>
    <row r="111" ht="36" customHeight="1">
      <c r="A111" s="91">
        <f>IF(COUNTA('Enrollment Census'!$A102:$U102)&gt;0,102,"")</f>
        <v/>
      </c>
      <c r="B111" s="91">
        <f>IF($A111="","","Employee ending "&amp;RIGHT('Enrollment Census'!$A102&amp;"",4)&amp;IF('Enrollment Census'!$AH102&gt;0," • "&amp;'Enrollment Census'!$AH102&amp;" row"&amp;IF('Enrollment Census'!$AH102=1,"","s")&amp;" need attention",""))</f>
        <v/>
      </c>
      <c r="C111" s="91">
        <f>IF($A111="","",TRIM('Enrollment Census'!$C102&amp;" "&amp;'Enrollment Census'!$D102)&amp;" • ending "&amp;RIGHT('Enrollment Census'!$W102&amp;"",4))</f>
        <v/>
      </c>
      <c r="D111" s="91">
        <f>IF($A111="","",'Enrollment Census'!$X102)</f>
        <v/>
      </c>
      <c r="E111" s="91">
        <f>IF($A111="","",'Enrollment Census'!$S102)</f>
        <v/>
      </c>
      <c r="F111" s="91">
        <f>IF($A111="","",IF('Enrollment Census'!$AF102&lt;&gt;"","FIX",IF('Enrollment Census'!$AD102&lt;&gt;"","REVIEW","READY")))</f>
        <v/>
      </c>
      <c r="G111" s="91">
        <f>IF($A111="","",'Enrollment Census'!$AE102)</f>
        <v/>
      </c>
      <c r="H111" s="91">
        <f>IF($A111="","",'Enrollment Census'!$AF102)</f>
        <v/>
      </c>
      <c r="I111" s="91">
        <f>IF($A111="","",'Enrollment Census'!$AD102)</f>
        <v/>
      </c>
      <c r="J111">
        <f>IF($A111="","",'Enrollment Census'!$A102)</f>
        <v/>
      </c>
      <c r="K111">
        <f>IF($F111="FIX",ROW(),IF($F111="REVIEW",1000+ROW(),""))</f>
        <v/>
      </c>
    </row>
    <row r="112" ht="36" customHeight="1">
      <c r="A112" s="91">
        <f>IF(COUNTA('Enrollment Census'!$A103:$U103)&gt;0,103,"")</f>
        <v/>
      </c>
      <c r="B112" s="91">
        <f>IF($A112="","","Employee ending "&amp;RIGHT('Enrollment Census'!$A103&amp;"",4)&amp;IF('Enrollment Census'!$AH103&gt;0," • "&amp;'Enrollment Census'!$AH103&amp;" row"&amp;IF('Enrollment Census'!$AH103=1,"","s")&amp;" need attention",""))</f>
        <v/>
      </c>
      <c r="C112" s="91">
        <f>IF($A112="","",TRIM('Enrollment Census'!$C103&amp;" "&amp;'Enrollment Census'!$D103)&amp;" • ending "&amp;RIGHT('Enrollment Census'!$W103&amp;"",4))</f>
        <v/>
      </c>
      <c r="D112" s="91">
        <f>IF($A112="","",'Enrollment Census'!$X103)</f>
        <v/>
      </c>
      <c r="E112" s="91">
        <f>IF($A112="","",'Enrollment Census'!$S103)</f>
        <v/>
      </c>
      <c r="F112" s="91">
        <f>IF($A112="","",IF('Enrollment Census'!$AF103&lt;&gt;"","FIX",IF('Enrollment Census'!$AD103&lt;&gt;"","REVIEW","READY")))</f>
        <v/>
      </c>
      <c r="G112" s="91">
        <f>IF($A112="","",'Enrollment Census'!$AE103)</f>
        <v/>
      </c>
      <c r="H112" s="91">
        <f>IF($A112="","",'Enrollment Census'!$AF103)</f>
        <v/>
      </c>
      <c r="I112" s="91">
        <f>IF($A112="","",'Enrollment Census'!$AD103)</f>
        <v/>
      </c>
      <c r="J112">
        <f>IF($A112="","",'Enrollment Census'!$A103)</f>
        <v/>
      </c>
      <c r="K112">
        <f>IF($F112="FIX",ROW(),IF($F112="REVIEW",1000+ROW(),""))</f>
        <v/>
      </c>
    </row>
    <row r="113" ht="36" customHeight="1">
      <c r="A113" s="91">
        <f>IF(COUNTA('Enrollment Census'!$A104:$U104)&gt;0,104,"")</f>
        <v/>
      </c>
      <c r="B113" s="91">
        <f>IF($A113="","","Employee ending "&amp;RIGHT('Enrollment Census'!$A104&amp;"",4)&amp;IF('Enrollment Census'!$AH104&gt;0," • "&amp;'Enrollment Census'!$AH104&amp;" row"&amp;IF('Enrollment Census'!$AH104=1,"","s")&amp;" need attention",""))</f>
        <v/>
      </c>
      <c r="C113" s="91">
        <f>IF($A113="","",TRIM('Enrollment Census'!$C104&amp;" "&amp;'Enrollment Census'!$D104)&amp;" • ending "&amp;RIGHT('Enrollment Census'!$W104&amp;"",4))</f>
        <v/>
      </c>
      <c r="D113" s="91">
        <f>IF($A113="","",'Enrollment Census'!$X104)</f>
        <v/>
      </c>
      <c r="E113" s="91">
        <f>IF($A113="","",'Enrollment Census'!$S104)</f>
        <v/>
      </c>
      <c r="F113" s="91">
        <f>IF($A113="","",IF('Enrollment Census'!$AF104&lt;&gt;"","FIX",IF('Enrollment Census'!$AD104&lt;&gt;"","REVIEW","READY")))</f>
        <v/>
      </c>
      <c r="G113" s="91">
        <f>IF($A113="","",'Enrollment Census'!$AE104)</f>
        <v/>
      </c>
      <c r="H113" s="91">
        <f>IF($A113="","",'Enrollment Census'!$AF104)</f>
        <v/>
      </c>
      <c r="I113" s="91">
        <f>IF($A113="","",'Enrollment Census'!$AD104)</f>
        <v/>
      </c>
      <c r="J113">
        <f>IF($A113="","",'Enrollment Census'!$A104)</f>
        <v/>
      </c>
      <c r="K113">
        <f>IF($F113="FIX",ROW(),IF($F113="REVIEW",1000+ROW(),""))</f>
        <v/>
      </c>
    </row>
    <row r="114" ht="36" customHeight="1">
      <c r="A114" s="91">
        <f>IF(COUNTA('Enrollment Census'!$A105:$U105)&gt;0,105,"")</f>
        <v/>
      </c>
      <c r="B114" s="91">
        <f>IF($A114="","","Employee ending "&amp;RIGHT('Enrollment Census'!$A105&amp;"",4)&amp;IF('Enrollment Census'!$AH105&gt;0," • "&amp;'Enrollment Census'!$AH105&amp;" row"&amp;IF('Enrollment Census'!$AH105=1,"","s")&amp;" need attention",""))</f>
        <v/>
      </c>
      <c r="C114" s="91">
        <f>IF($A114="","",TRIM('Enrollment Census'!$C105&amp;" "&amp;'Enrollment Census'!$D105)&amp;" • ending "&amp;RIGHT('Enrollment Census'!$W105&amp;"",4))</f>
        <v/>
      </c>
      <c r="D114" s="91">
        <f>IF($A114="","",'Enrollment Census'!$X105)</f>
        <v/>
      </c>
      <c r="E114" s="91">
        <f>IF($A114="","",'Enrollment Census'!$S105)</f>
        <v/>
      </c>
      <c r="F114" s="91">
        <f>IF($A114="","",IF('Enrollment Census'!$AF105&lt;&gt;"","FIX",IF('Enrollment Census'!$AD105&lt;&gt;"","REVIEW","READY")))</f>
        <v/>
      </c>
      <c r="G114" s="91">
        <f>IF($A114="","",'Enrollment Census'!$AE105)</f>
        <v/>
      </c>
      <c r="H114" s="91">
        <f>IF($A114="","",'Enrollment Census'!$AF105)</f>
        <v/>
      </c>
      <c r="I114" s="91">
        <f>IF($A114="","",'Enrollment Census'!$AD105)</f>
        <v/>
      </c>
      <c r="J114">
        <f>IF($A114="","",'Enrollment Census'!$A105)</f>
        <v/>
      </c>
      <c r="K114">
        <f>IF($F114="FIX",ROW(),IF($F114="REVIEW",1000+ROW(),""))</f>
        <v/>
      </c>
    </row>
    <row r="115" ht="36" customHeight="1">
      <c r="A115" s="91">
        <f>IF(COUNTA('Enrollment Census'!$A106:$U106)&gt;0,106,"")</f>
        <v/>
      </c>
      <c r="B115" s="91">
        <f>IF($A115="","","Employee ending "&amp;RIGHT('Enrollment Census'!$A106&amp;"",4)&amp;IF('Enrollment Census'!$AH106&gt;0," • "&amp;'Enrollment Census'!$AH106&amp;" row"&amp;IF('Enrollment Census'!$AH106=1,"","s")&amp;" need attention",""))</f>
        <v/>
      </c>
      <c r="C115" s="91">
        <f>IF($A115="","",TRIM('Enrollment Census'!$C106&amp;" "&amp;'Enrollment Census'!$D106)&amp;" • ending "&amp;RIGHT('Enrollment Census'!$W106&amp;"",4))</f>
        <v/>
      </c>
      <c r="D115" s="91">
        <f>IF($A115="","",'Enrollment Census'!$X106)</f>
        <v/>
      </c>
      <c r="E115" s="91">
        <f>IF($A115="","",'Enrollment Census'!$S106)</f>
        <v/>
      </c>
      <c r="F115" s="91">
        <f>IF($A115="","",IF('Enrollment Census'!$AF106&lt;&gt;"","FIX",IF('Enrollment Census'!$AD106&lt;&gt;"","REVIEW","READY")))</f>
        <v/>
      </c>
      <c r="G115" s="91">
        <f>IF($A115="","",'Enrollment Census'!$AE106)</f>
        <v/>
      </c>
      <c r="H115" s="91">
        <f>IF($A115="","",'Enrollment Census'!$AF106)</f>
        <v/>
      </c>
      <c r="I115" s="91">
        <f>IF($A115="","",'Enrollment Census'!$AD106)</f>
        <v/>
      </c>
      <c r="J115">
        <f>IF($A115="","",'Enrollment Census'!$A106)</f>
        <v/>
      </c>
      <c r="K115">
        <f>IF($F115="FIX",ROW(),IF($F115="REVIEW",1000+ROW(),""))</f>
        <v/>
      </c>
    </row>
    <row r="116" ht="36" customHeight="1">
      <c r="A116" s="91">
        <f>IF(COUNTA('Enrollment Census'!$A107:$U107)&gt;0,107,"")</f>
        <v/>
      </c>
      <c r="B116" s="91">
        <f>IF($A116="","","Employee ending "&amp;RIGHT('Enrollment Census'!$A107&amp;"",4)&amp;IF('Enrollment Census'!$AH107&gt;0," • "&amp;'Enrollment Census'!$AH107&amp;" row"&amp;IF('Enrollment Census'!$AH107=1,"","s")&amp;" need attention",""))</f>
        <v/>
      </c>
      <c r="C116" s="91">
        <f>IF($A116="","",TRIM('Enrollment Census'!$C107&amp;" "&amp;'Enrollment Census'!$D107)&amp;" • ending "&amp;RIGHT('Enrollment Census'!$W107&amp;"",4))</f>
        <v/>
      </c>
      <c r="D116" s="91">
        <f>IF($A116="","",'Enrollment Census'!$X107)</f>
        <v/>
      </c>
      <c r="E116" s="91">
        <f>IF($A116="","",'Enrollment Census'!$S107)</f>
        <v/>
      </c>
      <c r="F116" s="91">
        <f>IF($A116="","",IF('Enrollment Census'!$AF107&lt;&gt;"","FIX",IF('Enrollment Census'!$AD107&lt;&gt;"","REVIEW","READY")))</f>
        <v/>
      </c>
      <c r="G116" s="91">
        <f>IF($A116="","",'Enrollment Census'!$AE107)</f>
        <v/>
      </c>
      <c r="H116" s="91">
        <f>IF($A116="","",'Enrollment Census'!$AF107)</f>
        <v/>
      </c>
      <c r="I116" s="91">
        <f>IF($A116="","",'Enrollment Census'!$AD107)</f>
        <v/>
      </c>
      <c r="J116">
        <f>IF($A116="","",'Enrollment Census'!$A107)</f>
        <v/>
      </c>
      <c r="K116">
        <f>IF($F116="FIX",ROW(),IF($F116="REVIEW",1000+ROW(),""))</f>
        <v/>
      </c>
    </row>
    <row r="117" ht="36" customHeight="1">
      <c r="A117" s="91">
        <f>IF(COUNTA('Enrollment Census'!$A108:$U108)&gt;0,108,"")</f>
        <v/>
      </c>
      <c r="B117" s="91">
        <f>IF($A117="","","Employee ending "&amp;RIGHT('Enrollment Census'!$A108&amp;"",4)&amp;IF('Enrollment Census'!$AH108&gt;0," • "&amp;'Enrollment Census'!$AH108&amp;" row"&amp;IF('Enrollment Census'!$AH108=1,"","s")&amp;" need attention",""))</f>
        <v/>
      </c>
      <c r="C117" s="91">
        <f>IF($A117="","",TRIM('Enrollment Census'!$C108&amp;" "&amp;'Enrollment Census'!$D108)&amp;" • ending "&amp;RIGHT('Enrollment Census'!$W108&amp;"",4))</f>
        <v/>
      </c>
      <c r="D117" s="91">
        <f>IF($A117="","",'Enrollment Census'!$X108)</f>
        <v/>
      </c>
      <c r="E117" s="91">
        <f>IF($A117="","",'Enrollment Census'!$S108)</f>
        <v/>
      </c>
      <c r="F117" s="91">
        <f>IF($A117="","",IF('Enrollment Census'!$AF108&lt;&gt;"","FIX",IF('Enrollment Census'!$AD108&lt;&gt;"","REVIEW","READY")))</f>
        <v/>
      </c>
      <c r="G117" s="91">
        <f>IF($A117="","",'Enrollment Census'!$AE108)</f>
        <v/>
      </c>
      <c r="H117" s="91">
        <f>IF($A117="","",'Enrollment Census'!$AF108)</f>
        <v/>
      </c>
      <c r="I117" s="91">
        <f>IF($A117="","",'Enrollment Census'!$AD108)</f>
        <v/>
      </c>
      <c r="J117">
        <f>IF($A117="","",'Enrollment Census'!$A108)</f>
        <v/>
      </c>
      <c r="K117">
        <f>IF($F117="FIX",ROW(),IF($F117="REVIEW",1000+ROW(),""))</f>
        <v/>
      </c>
    </row>
    <row r="118" ht="36" customHeight="1">
      <c r="A118" s="91">
        <f>IF(COUNTA('Enrollment Census'!$A109:$U109)&gt;0,109,"")</f>
        <v/>
      </c>
      <c r="B118" s="91">
        <f>IF($A118="","","Employee ending "&amp;RIGHT('Enrollment Census'!$A109&amp;"",4)&amp;IF('Enrollment Census'!$AH109&gt;0," • "&amp;'Enrollment Census'!$AH109&amp;" row"&amp;IF('Enrollment Census'!$AH109=1,"","s")&amp;" need attention",""))</f>
        <v/>
      </c>
      <c r="C118" s="91">
        <f>IF($A118="","",TRIM('Enrollment Census'!$C109&amp;" "&amp;'Enrollment Census'!$D109)&amp;" • ending "&amp;RIGHT('Enrollment Census'!$W109&amp;"",4))</f>
        <v/>
      </c>
      <c r="D118" s="91">
        <f>IF($A118="","",'Enrollment Census'!$X109)</f>
        <v/>
      </c>
      <c r="E118" s="91">
        <f>IF($A118="","",'Enrollment Census'!$S109)</f>
        <v/>
      </c>
      <c r="F118" s="91">
        <f>IF($A118="","",IF('Enrollment Census'!$AF109&lt;&gt;"","FIX",IF('Enrollment Census'!$AD109&lt;&gt;"","REVIEW","READY")))</f>
        <v/>
      </c>
      <c r="G118" s="91">
        <f>IF($A118="","",'Enrollment Census'!$AE109)</f>
        <v/>
      </c>
      <c r="H118" s="91">
        <f>IF($A118="","",'Enrollment Census'!$AF109)</f>
        <v/>
      </c>
      <c r="I118" s="91">
        <f>IF($A118="","",'Enrollment Census'!$AD109)</f>
        <v/>
      </c>
      <c r="J118">
        <f>IF($A118="","",'Enrollment Census'!$A109)</f>
        <v/>
      </c>
      <c r="K118">
        <f>IF($F118="FIX",ROW(),IF($F118="REVIEW",1000+ROW(),""))</f>
        <v/>
      </c>
    </row>
    <row r="119" ht="36" customHeight="1">
      <c r="A119" s="91">
        <f>IF(COUNTA('Enrollment Census'!$A110:$U110)&gt;0,110,"")</f>
        <v/>
      </c>
      <c r="B119" s="91">
        <f>IF($A119="","","Employee ending "&amp;RIGHT('Enrollment Census'!$A110&amp;"",4)&amp;IF('Enrollment Census'!$AH110&gt;0," • "&amp;'Enrollment Census'!$AH110&amp;" row"&amp;IF('Enrollment Census'!$AH110=1,"","s")&amp;" need attention",""))</f>
        <v/>
      </c>
      <c r="C119" s="91">
        <f>IF($A119="","",TRIM('Enrollment Census'!$C110&amp;" "&amp;'Enrollment Census'!$D110)&amp;" • ending "&amp;RIGHT('Enrollment Census'!$W110&amp;"",4))</f>
        <v/>
      </c>
      <c r="D119" s="91">
        <f>IF($A119="","",'Enrollment Census'!$X110)</f>
        <v/>
      </c>
      <c r="E119" s="91">
        <f>IF($A119="","",'Enrollment Census'!$S110)</f>
        <v/>
      </c>
      <c r="F119" s="91">
        <f>IF($A119="","",IF('Enrollment Census'!$AF110&lt;&gt;"","FIX",IF('Enrollment Census'!$AD110&lt;&gt;"","REVIEW","READY")))</f>
        <v/>
      </c>
      <c r="G119" s="91">
        <f>IF($A119="","",'Enrollment Census'!$AE110)</f>
        <v/>
      </c>
      <c r="H119" s="91">
        <f>IF($A119="","",'Enrollment Census'!$AF110)</f>
        <v/>
      </c>
      <c r="I119" s="91">
        <f>IF($A119="","",'Enrollment Census'!$AD110)</f>
        <v/>
      </c>
      <c r="J119">
        <f>IF($A119="","",'Enrollment Census'!$A110)</f>
        <v/>
      </c>
      <c r="K119">
        <f>IF($F119="FIX",ROW(),IF($F119="REVIEW",1000+ROW(),""))</f>
        <v/>
      </c>
    </row>
    <row r="120" ht="36" customHeight="1">
      <c r="A120" s="91">
        <f>IF(COUNTA('Enrollment Census'!$A111:$U111)&gt;0,111,"")</f>
        <v/>
      </c>
      <c r="B120" s="91">
        <f>IF($A120="","","Employee ending "&amp;RIGHT('Enrollment Census'!$A111&amp;"",4)&amp;IF('Enrollment Census'!$AH111&gt;0," • "&amp;'Enrollment Census'!$AH111&amp;" row"&amp;IF('Enrollment Census'!$AH111=1,"","s")&amp;" need attention",""))</f>
        <v/>
      </c>
      <c r="C120" s="91">
        <f>IF($A120="","",TRIM('Enrollment Census'!$C111&amp;" "&amp;'Enrollment Census'!$D111)&amp;" • ending "&amp;RIGHT('Enrollment Census'!$W111&amp;"",4))</f>
        <v/>
      </c>
      <c r="D120" s="91">
        <f>IF($A120="","",'Enrollment Census'!$X111)</f>
        <v/>
      </c>
      <c r="E120" s="91">
        <f>IF($A120="","",'Enrollment Census'!$S111)</f>
        <v/>
      </c>
      <c r="F120" s="91">
        <f>IF($A120="","",IF('Enrollment Census'!$AF111&lt;&gt;"","FIX",IF('Enrollment Census'!$AD111&lt;&gt;"","REVIEW","READY")))</f>
        <v/>
      </c>
      <c r="G120" s="91">
        <f>IF($A120="","",'Enrollment Census'!$AE111)</f>
        <v/>
      </c>
      <c r="H120" s="91">
        <f>IF($A120="","",'Enrollment Census'!$AF111)</f>
        <v/>
      </c>
      <c r="I120" s="91">
        <f>IF($A120="","",'Enrollment Census'!$AD111)</f>
        <v/>
      </c>
      <c r="J120">
        <f>IF($A120="","",'Enrollment Census'!$A111)</f>
        <v/>
      </c>
      <c r="K120">
        <f>IF($F120="FIX",ROW(),IF($F120="REVIEW",1000+ROW(),""))</f>
        <v/>
      </c>
    </row>
    <row r="121" ht="36" customHeight="1">
      <c r="A121" s="91">
        <f>IF(COUNTA('Enrollment Census'!$A112:$U112)&gt;0,112,"")</f>
        <v/>
      </c>
      <c r="B121" s="91">
        <f>IF($A121="","","Employee ending "&amp;RIGHT('Enrollment Census'!$A112&amp;"",4)&amp;IF('Enrollment Census'!$AH112&gt;0," • "&amp;'Enrollment Census'!$AH112&amp;" row"&amp;IF('Enrollment Census'!$AH112=1,"","s")&amp;" need attention",""))</f>
        <v/>
      </c>
      <c r="C121" s="91">
        <f>IF($A121="","",TRIM('Enrollment Census'!$C112&amp;" "&amp;'Enrollment Census'!$D112)&amp;" • ending "&amp;RIGHT('Enrollment Census'!$W112&amp;"",4))</f>
        <v/>
      </c>
      <c r="D121" s="91">
        <f>IF($A121="","",'Enrollment Census'!$X112)</f>
        <v/>
      </c>
      <c r="E121" s="91">
        <f>IF($A121="","",'Enrollment Census'!$S112)</f>
        <v/>
      </c>
      <c r="F121" s="91">
        <f>IF($A121="","",IF('Enrollment Census'!$AF112&lt;&gt;"","FIX",IF('Enrollment Census'!$AD112&lt;&gt;"","REVIEW","READY")))</f>
        <v/>
      </c>
      <c r="G121" s="91">
        <f>IF($A121="","",'Enrollment Census'!$AE112)</f>
        <v/>
      </c>
      <c r="H121" s="91">
        <f>IF($A121="","",'Enrollment Census'!$AF112)</f>
        <v/>
      </c>
      <c r="I121" s="91">
        <f>IF($A121="","",'Enrollment Census'!$AD112)</f>
        <v/>
      </c>
      <c r="J121">
        <f>IF($A121="","",'Enrollment Census'!$A112)</f>
        <v/>
      </c>
      <c r="K121">
        <f>IF($F121="FIX",ROW(),IF($F121="REVIEW",1000+ROW(),""))</f>
        <v/>
      </c>
    </row>
    <row r="122" ht="36" customHeight="1">
      <c r="A122" s="91">
        <f>IF(COUNTA('Enrollment Census'!$A113:$U113)&gt;0,113,"")</f>
        <v/>
      </c>
      <c r="B122" s="91">
        <f>IF($A122="","","Employee ending "&amp;RIGHT('Enrollment Census'!$A113&amp;"",4)&amp;IF('Enrollment Census'!$AH113&gt;0," • "&amp;'Enrollment Census'!$AH113&amp;" row"&amp;IF('Enrollment Census'!$AH113=1,"","s")&amp;" need attention",""))</f>
        <v/>
      </c>
      <c r="C122" s="91">
        <f>IF($A122="","",TRIM('Enrollment Census'!$C113&amp;" "&amp;'Enrollment Census'!$D113)&amp;" • ending "&amp;RIGHT('Enrollment Census'!$W113&amp;"",4))</f>
        <v/>
      </c>
      <c r="D122" s="91">
        <f>IF($A122="","",'Enrollment Census'!$X113)</f>
        <v/>
      </c>
      <c r="E122" s="91">
        <f>IF($A122="","",'Enrollment Census'!$S113)</f>
        <v/>
      </c>
      <c r="F122" s="91">
        <f>IF($A122="","",IF('Enrollment Census'!$AF113&lt;&gt;"","FIX",IF('Enrollment Census'!$AD113&lt;&gt;"","REVIEW","READY")))</f>
        <v/>
      </c>
      <c r="G122" s="91">
        <f>IF($A122="","",'Enrollment Census'!$AE113)</f>
        <v/>
      </c>
      <c r="H122" s="91">
        <f>IF($A122="","",'Enrollment Census'!$AF113)</f>
        <v/>
      </c>
      <c r="I122" s="91">
        <f>IF($A122="","",'Enrollment Census'!$AD113)</f>
        <v/>
      </c>
      <c r="J122">
        <f>IF($A122="","",'Enrollment Census'!$A113)</f>
        <v/>
      </c>
      <c r="K122">
        <f>IF($F122="FIX",ROW(),IF($F122="REVIEW",1000+ROW(),""))</f>
        <v/>
      </c>
    </row>
    <row r="123" ht="36" customHeight="1">
      <c r="A123" s="91">
        <f>IF(COUNTA('Enrollment Census'!$A114:$U114)&gt;0,114,"")</f>
        <v/>
      </c>
      <c r="B123" s="91">
        <f>IF($A123="","","Employee ending "&amp;RIGHT('Enrollment Census'!$A114&amp;"",4)&amp;IF('Enrollment Census'!$AH114&gt;0," • "&amp;'Enrollment Census'!$AH114&amp;" row"&amp;IF('Enrollment Census'!$AH114=1,"","s")&amp;" need attention",""))</f>
        <v/>
      </c>
      <c r="C123" s="91">
        <f>IF($A123="","",TRIM('Enrollment Census'!$C114&amp;" "&amp;'Enrollment Census'!$D114)&amp;" • ending "&amp;RIGHT('Enrollment Census'!$W114&amp;"",4))</f>
        <v/>
      </c>
      <c r="D123" s="91">
        <f>IF($A123="","",'Enrollment Census'!$X114)</f>
        <v/>
      </c>
      <c r="E123" s="91">
        <f>IF($A123="","",'Enrollment Census'!$S114)</f>
        <v/>
      </c>
      <c r="F123" s="91">
        <f>IF($A123="","",IF('Enrollment Census'!$AF114&lt;&gt;"","FIX",IF('Enrollment Census'!$AD114&lt;&gt;"","REVIEW","READY")))</f>
        <v/>
      </c>
      <c r="G123" s="91">
        <f>IF($A123="","",'Enrollment Census'!$AE114)</f>
        <v/>
      </c>
      <c r="H123" s="91">
        <f>IF($A123="","",'Enrollment Census'!$AF114)</f>
        <v/>
      </c>
      <c r="I123" s="91">
        <f>IF($A123="","",'Enrollment Census'!$AD114)</f>
        <v/>
      </c>
      <c r="J123">
        <f>IF($A123="","",'Enrollment Census'!$A114)</f>
        <v/>
      </c>
      <c r="K123">
        <f>IF($F123="FIX",ROW(),IF($F123="REVIEW",1000+ROW(),""))</f>
        <v/>
      </c>
    </row>
    <row r="124" ht="36" customHeight="1">
      <c r="A124" s="91">
        <f>IF(COUNTA('Enrollment Census'!$A115:$U115)&gt;0,115,"")</f>
        <v/>
      </c>
      <c r="B124" s="91">
        <f>IF($A124="","","Employee ending "&amp;RIGHT('Enrollment Census'!$A115&amp;"",4)&amp;IF('Enrollment Census'!$AH115&gt;0," • "&amp;'Enrollment Census'!$AH115&amp;" row"&amp;IF('Enrollment Census'!$AH115=1,"","s")&amp;" need attention",""))</f>
        <v/>
      </c>
      <c r="C124" s="91">
        <f>IF($A124="","",TRIM('Enrollment Census'!$C115&amp;" "&amp;'Enrollment Census'!$D115)&amp;" • ending "&amp;RIGHT('Enrollment Census'!$W115&amp;"",4))</f>
        <v/>
      </c>
      <c r="D124" s="91">
        <f>IF($A124="","",'Enrollment Census'!$X115)</f>
        <v/>
      </c>
      <c r="E124" s="91">
        <f>IF($A124="","",'Enrollment Census'!$S115)</f>
        <v/>
      </c>
      <c r="F124" s="91">
        <f>IF($A124="","",IF('Enrollment Census'!$AF115&lt;&gt;"","FIX",IF('Enrollment Census'!$AD115&lt;&gt;"","REVIEW","READY")))</f>
        <v/>
      </c>
      <c r="G124" s="91">
        <f>IF($A124="","",'Enrollment Census'!$AE115)</f>
        <v/>
      </c>
      <c r="H124" s="91">
        <f>IF($A124="","",'Enrollment Census'!$AF115)</f>
        <v/>
      </c>
      <c r="I124" s="91">
        <f>IF($A124="","",'Enrollment Census'!$AD115)</f>
        <v/>
      </c>
      <c r="J124">
        <f>IF($A124="","",'Enrollment Census'!$A115)</f>
        <v/>
      </c>
      <c r="K124">
        <f>IF($F124="FIX",ROW(),IF($F124="REVIEW",1000+ROW(),""))</f>
        <v/>
      </c>
    </row>
    <row r="125" ht="36" customHeight="1">
      <c r="A125" s="91">
        <f>IF(COUNTA('Enrollment Census'!$A116:$U116)&gt;0,116,"")</f>
        <v/>
      </c>
      <c r="B125" s="91">
        <f>IF($A125="","","Employee ending "&amp;RIGHT('Enrollment Census'!$A116&amp;"",4)&amp;IF('Enrollment Census'!$AH116&gt;0," • "&amp;'Enrollment Census'!$AH116&amp;" row"&amp;IF('Enrollment Census'!$AH116=1,"","s")&amp;" need attention",""))</f>
        <v/>
      </c>
      <c r="C125" s="91">
        <f>IF($A125="","",TRIM('Enrollment Census'!$C116&amp;" "&amp;'Enrollment Census'!$D116)&amp;" • ending "&amp;RIGHT('Enrollment Census'!$W116&amp;"",4))</f>
        <v/>
      </c>
      <c r="D125" s="91">
        <f>IF($A125="","",'Enrollment Census'!$X116)</f>
        <v/>
      </c>
      <c r="E125" s="91">
        <f>IF($A125="","",'Enrollment Census'!$S116)</f>
        <v/>
      </c>
      <c r="F125" s="91">
        <f>IF($A125="","",IF('Enrollment Census'!$AF116&lt;&gt;"","FIX",IF('Enrollment Census'!$AD116&lt;&gt;"","REVIEW","READY")))</f>
        <v/>
      </c>
      <c r="G125" s="91">
        <f>IF($A125="","",'Enrollment Census'!$AE116)</f>
        <v/>
      </c>
      <c r="H125" s="91">
        <f>IF($A125="","",'Enrollment Census'!$AF116)</f>
        <v/>
      </c>
      <c r="I125" s="91">
        <f>IF($A125="","",'Enrollment Census'!$AD116)</f>
        <v/>
      </c>
      <c r="J125">
        <f>IF($A125="","",'Enrollment Census'!$A116)</f>
        <v/>
      </c>
      <c r="K125">
        <f>IF($F125="FIX",ROW(),IF($F125="REVIEW",1000+ROW(),""))</f>
        <v/>
      </c>
    </row>
    <row r="126" ht="36" customHeight="1">
      <c r="A126" s="91">
        <f>IF(COUNTA('Enrollment Census'!$A117:$U117)&gt;0,117,"")</f>
        <v/>
      </c>
      <c r="B126" s="91">
        <f>IF($A126="","","Employee ending "&amp;RIGHT('Enrollment Census'!$A117&amp;"",4)&amp;IF('Enrollment Census'!$AH117&gt;0," • "&amp;'Enrollment Census'!$AH117&amp;" row"&amp;IF('Enrollment Census'!$AH117=1,"","s")&amp;" need attention",""))</f>
        <v/>
      </c>
      <c r="C126" s="91">
        <f>IF($A126="","",TRIM('Enrollment Census'!$C117&amp;" "&amp;'Enrollment Census'!$D117)&amp;" • ending "&amp;RIGHT('Enrollment Census'!$W117&amp;"",4))</f>
        <v/>
      </c>
      <c r="D126" s="91">
        <f>IF($A126="","",'Enrollment Census'!$X117)</f>
        <v/>
      </c>
      <c r="E126" s="91">
        <f>IF($A126="","",'Enrollment Census'!$S117)</f>
        <v/>
      </c>
      <c r="F126" s="91">
        <f>IF($A126="","",IF('Enrollment Census'!$AF117&lt;&gt;"","FIX",IF('Enrollment Census'!$AD117&lt;&gt;"","REVIEW","READY")))</f>
        <v/>
      </c>
      <c r="G126" s="91">
        <f>IF($A126="","",'Enrollment Census'!$AE117)</f>
        <v/>
      </c>
      <c r="H126" s="91">
        <f>IF($A126="","",'Enrollment Census'!$AF117)</f>
        <v/>
      </c>
      <c r="I126" s="91">
        <f>IF($A126="","",'Enrollment Census'!$AD117)</f>
        <v/>
      </c>
      <c r="J126">
        <f>IF($A126="","",'Enrollment Census'!$A117)</f>
        <v/>
      </c>
      <c r="K126">
        <f>IF($F126="FIX",ROW(),IF($F126="REVIEW",1000+ROW(),""))</f>
        <v/>
      </c>
    </row>
    <row r="127" ht="36" customHeight="1">
      <c r="A127" s="91">
        <f>IF(COUNTA('Enrollment Census'!$A118:$U118)&gt;0,118,"")</f>
        <v/>
      </c>
      <c r="B127" s="91">
        <f>IF($A127="","","Employee ending "&amp;RIGHT('Enrollment Census'!$A118&amp;"",4)&amp;IF('Enrollment Census'!$AH118&gt;0," • "&amp;'Enrollment Census'!$AH118&amp;" row"&amp;IF('Enrollment Census'!$AH118=1,"","s")&amp;" need attention",""))</f>
        <v/>
      </c>
      <c r="C127" s="91">
        <f>IF($A127="","",TRIM('Enrollment Census'!$C118&amp;" "&amp;'Enrollment Census'!$D118)&amp;" • ending "&amp;RIGHT('Enrollment Census'!$W118&amp;"",4))</f>
        <v/>
      </c>
      <c r="D127" s="91">
        <f>IF($A127="","",'Enrollment Census'!$X118)</f>
        <v/>
      </c>
      <c r="E127" s="91">
        <f>IF($A127="","",'Enrollment Census'!$S118)</f>
        <v/>
      </c>
      <c r="F127" s="91">
        <f>IF($A127="","",IF('Enrollment Census'!$AF118&lt;&gt;"","FIX",IF('Enrollment Census'!$AD118&lt;&gt;"","REVIEW","READY")))</f>
        <v/>
      </c>
      <c r="G127" s="91">
        <f>IF($A127="","",'Enrollment Census'!$AE118)</f>
        <v/>
      </c>
      <c r="H127" s="91">
        <f>IF($A127="","",'Enrollment Census'!$AF118)</f>
        <v/>
      </c>
      <c r="I127" s="91">
        <f>IF($A127="","",'Enrollment Census'!$AD118)</f>
        <v/>
      </c>
      <c r="J127">
        <f>IF($A127="","",'Enrollment Census'!$A118)</f>
        <v/>
      </c>
      <c r="K127">
        <f>IF($F127="FIX",ROW(),IF($F127="REVIEW",1000+ROW(),""))</f>
        <v/>
      </c>
    </row>
    <row r="128" ht="36" customHeight="1">
      <c r="A128" s="91">
        <f>IF(COUNTA('Enrollment Census'!$A119:$U119)&gt;0,119,"")</f>
        <v/>
      </c>
      <c r="B128" s="91">
        <f>IF($A128="","","Employee ending "&amp;RIGHT('Enrollment Census'!$A119&amp;"",4)&amp;IF('Enrollment Census'!$AH119&gt;0," • "&amp;'Enrollment Census'!$AH119&amp;" row"&amp;IF('Enrollment Census'!$AH119=1,"","s")&amp;" need attention",""))</f>
        <v/>
      </c>
      <c r="C128" s="91">
        <f>IF($A128="","",TRIM('Enrollment Census'!$C119&amp;" "&amp;'Enrollment Census'!$D119)&amp;" • ending "&amp;RIGHT('Enrollment Census'!$W119&amp;"",4))</f>
        <v/>
      </c>
      <c r="D128" s="91">
        <f>IF($A128="","",'Enrollment Census'!$X119)</f>
        <v/>
      </c>
      <c r="E128" s="91">
        <f>IF($A128="","",'Enrollment Census'!$S119)</f>
        <v/>
      </c>
      <c r="F128" s="91">
        <f>IF($A128="","",IF('Enrollment Census'!$AF119&lt;&gt;"","FIX",IF('Enrollment Census'!$AD119&lt;&gt;"","REVIEW","READY")))</f>
        <v/>
      </c>
      <c r="G128" s="91">
        <f>IF($A128="","",'Enrollment Census'!$AE119)</f>
        <v/>
      </c>
      <c r="H128" s="91">
        <f>IF($A128="","",'Enrollment Census'!$AF119)</f>
        <v/>
      </c>
      <c r="I128" s="91">
        <f>IF($A128="","",'Enrollment Census'!$AD119)</f>
        <v/>
      </c>
      <c r="J128">
        <f>IF($A128="","",'Enrollment Census'!$A119)</f>
        <v/>
      </c>
      <c r="K128">
        <f>IF($F128="FIX",ROW(),IF($F128="REVIEW",1000+ROW(),""))</f>
        <v/>
      </c>
    </row>
    <row r="129" ht="36" customHeight="1">
      <c r="A129" s="91">
        <f>IF(COUNTA('Enrollment Census'!$A120:$U120)&gt;0,120,"")</f>
        <v/>
      </c>
      <c r="B129" s="91">
        <f>IF($A129="","","Employee ending "&amp;RIGHT('Enrollment Census'!$A120&amp;"",4)&amp;IF('Enrollment Census'!$AH120&gt;0," • "&amp;'Enrollment Census'!$AH120&amp;" row"&amp;IF('Enrollment Census'!$AH120=1,"","s")&amp;" need attention",""))</f>
        <v/>
      </c>
      <c r="C129" s="91">
        <f>IF($A129="","",TRIM('Enrollment Census'!$C120&amp;" "&amp;'Enrollment Census'!$D120)&amp;" • ending "&amp;RIGHT('Enrollment Census'!$W120&amp;"",4))</f>
        <v/>
      </c>
      <c r="D129" s="91">
        <f>IF($A129="","",'Enrollment Census'!$X120)</f>
        <v/>
      </c>
      <c r="E129" s="91">
        <f>IF($A129="","",'Enrollment Census'!$S120)</f>
        <v/>
      </c>
      <c r="F129" s="91">
        <f>IF($A129="","",IF('Enrollment Census'!$AF120&lt;&gt;"","FIX",IF('Enrollment Census'!$AD120&lt;&gt;"","REVIEW","READY")))</f>
        <v/>
      </c>
      <c r="G129" s="91">
        <f>IF($A129="","",'Enrollment Census'!$AE120)</f>
        <v/>
      </c>
      <c r="H129" s="91">
        <f>IF($A129="","",'Enrollment Census'!$AF120)</f>
        <v/>
      </c>
      <c r="I129" s="91">
        <f>IF($A129="","",'Enrollment Census'!$AD120)</f>
        <v/>
      </c>
      <c r="J129">
        <f>IF($A129="","",'Enrollment Census'!$A120)</f>
        <v/>
      </c>
      <c r="K129">
        <f>IF($F129="FIX",ROW(),IF($F129="REVIEW",1000+ROW(),""))</f>
        <v/>
      </c>
    </row>
    <row r="130" ht="36" customHeight="1">
      <c r="A130" s="91">
        <f>IF(COUNTA('Enrollment Census'!$A121:$U121)&gt;0,121,"")</f>
        <v/>
      </c>
      <c r="B130" s="91">
        <f>IF($A130="","","Employee ending "&amp;RIGHT('Enrollment Census'!$A121&amp;"",4)&amp;IF('Enrollment Census'!$AH121&gt;0," • "&amp;'Enrollment Census'!$AH121&amp;" row"&amp;IF('Enrollment Census'!$AH121=1,"","s")&amp;" need attention",""))</f>
        <v/>
      </c>
      <c r="C130" s="91">
        <f>IF($A130="","",TRIM('Enrollment Census'!$C121&amp;" "&amp;'Enrollment Census'!$D121)&amp;" • ending "&amp;RIGHT('Enrollment Census'!$W121&amp;"",4))</f>
        <v/>
      </c>
      <c r="D130" s="91">
        <f>IF($A130="","",'Enrollment Census'!$X121)</f>
        <v/>
      </c>
      <c r="E130" s="91">
        <f>IF($A130="","",'Enrollment Census'!$S121)</f>
        <v/>
      </c>
      <c r="F130" s="91">
        <f>IF($A130="","",IF('Enrollment Census'!$AF121&lt;&gt;"","FIX",IF('Enrollment Census'!$AD121&lt;&gt;"","REVIEW","READY")))</f>
        <v/>
      </c>
      <c r="G130" s="91">
        <f>IF($A130="","",'Enrollment Census'!$AE121)</f>
        <v/>
      </c>
      <c r="H130" s="91">
        <f>IF($A130="","",'Enrollment Census'!$AF121)</f>
        <v/>
      </c>
      <c r="I130" s="91">
        <f>IF($A130="","",'Enrollment Census'!$AD121)</f>
        <v/>
      </c>
      <c r="J130">
        <f>IF($A130="","",'Enrollment Census'!$A121)</f>
        <v/>
      </c>
      <c r="K130">
        <f>IF($F130="FIX",ROW(),IF($F130="REVIEW",1000+ROW(),""))</f>
        <v/>
      </c>
    </row>
    <row r="131" ht="36" customHeight="1">
      <c r="A131" s="91">
        <f>IF(COUNTA('Enrollment Census'!$A122:$U122)&gt;0,122,"")</f>
        <v/>
      </c>
      <c r="B131" s="91">
        <f>IF($A131="","","Employee ending "&amp;RIGHT('Enrollment Census'!$A122&amp;"",4)&amp;IF('Enrollment Census'!$AH122&gt;0," • "&amp;'Enrollment Census'!$AH122&amp;" row"&amp;IF('Enrollment Census'!$AH122=1,"","s")&amp;" need attention",""))</f>
        <v/>
      </c>
      <c r="C131" s="91">
        <f>IF($A131="","",TRIM('Enrollment Census'!$C122&amp;" "&amp;'Enrollment Census'!$D122)&amp;" • ending "&amp;RIGHT('Enrollment Census'!$W122&amp;"",4))</f>
        <v/>
      </c>
      <c r="D131" s="91">
        <f>IF($A131="","",'Enrollment Census'!$X122)</f>
        <v/>
      </c>
      <c r="E131" s="91">
        <f>IF($A131="","",'Enrollment Census'!$S122)</f>
        <v/>
      </c>
      <c r="F131" s="91">
        <f>IF($A131="","",IF('Enrollment Census'!$AF122&lt;&gt;"","FIX",IF('Enrollment Census'!$AD122&lt;&gt;"","REVIEW","READY")))</f>
        <v/>
      </c>
      <c r="G131" s="91">
        <f>IF($A131="","",'Enrollment Census'!$AE122)</f>
        <v/>
      </c>
      <c r="H131" s="91">
        <f>IF($A131="","",'Enrollment Census'!$AF122)</f>
        <v/>
      </c>
      <c r="I131" s="91">
        <f>IF($A131="","",'Enrollment Census'!$AD122)</f>
        <v/>
      </c>
      <c r="J131">
        <f>IF($A131="","",'Enrollment Census'!$A122)</f>
        <v/>
      </c>
      <c r="K131">
        <f>IF($F131="FIX",ROW(),IF($F131="REVIEW",1000+ROW(),""))</f>
        <v/>
      </c>
    </row>
    <row r="132" ht="36" customHeight="1">
      <c r="A132" s="91">
        <f>IF(COUNTA('Enrollment Census'!$A123:$U123)&gt;0,123,"")</f>
        <v/>
      </c>
      <c r="B132" s="91">
        <f>IF($A132="","","Employee ending "&amp;RIGHT('Enrollment Census'!$A123&amp;"",4)&amp;IF('Enrollment Census'!$AH123&gt;0," • "&amp;'Enrollment Census'!$AH123&amp;" row"&amp;IF('Enrollment Census'!$AH123=1,"","s")&amp;" need attention",""))</f>
        <v/>
      </c>
      <c r="C132" s="91">
        <f>IF($A132="","",TRIM('Enrollment Census'!$C123&amp;" "&amp;'Enrollment Census'!$D123)&amp;" • ending "&amp;RIGHT('Enrollment Census'!$W123&amp;"",4))</f>
        <v/>
      </c>
      <c r="D132" s="91">
        <f>IF($A132="","",'Enrollment Census'!$X123)</f>
        <v/>
      </c>
      <c r="E132" s="91">
        <f>IF($A132="","",'Enrollment Census'!$S123)</f>
        <v/>
      </c>
      <c r="F132" s="91">
        <f>IF($A132="","",IF('Enrollment Census'!$AF123&lt;&gt;"","FIX",IF('Enrollment Census'!$AD123&lt;&gt;"","REVIEW","READY")))</f>
        <v/>
      </c>
      <c r="G132" s="91">
        <f>IF($A132="","",'Enrollment Census'!$AE123)</f>
        <v/>
      </c>
      <c r="H132" s="91">
        <f>IF($A132="","",'Enrollment Census'!$AF123)</f>
        <v/>
      </c>
      <c r="I132" s="91">
        <f>IF($A132="","",'Enrollment Census'!$AD123)</f>
        <v/>
      </c>
      <c r="J132">
        <f>IF($A132="","",'Enrollment Census'!$A123)</f>
        <v/>
      </c>
      <c r="K132">
        <f>IF($F132="FIX",ROW(),IF($F132="REVIEW",1000+ROW(),""))</f>
        <v/>
      </c>
    </row>
    <row r="133" ht="36" customHeight="1">
      <c r="A133" s="91">
        <f>IF(COUNTA('Enrollment Census'!$A124:$U124)&gt;0,124,"")</f>
        <v/>
      </c>
      <c r="B133" s="91">
        <f>IF($A133="","","Employee ending "&amp;RIGHT('Enrollment Census'!$A124&amp;"",4)&amp;IF('Enrollment Census'!$AH124&gt;0," • "&amp;'Enrollment Census'!$AH124&amp;" row"&amp;IF('Enrollment Census'!$AH124=1,"","s")&amp;" need attention",""))</f>
        <v/>
      </c>
      <c r="C133" s="91">
        <f>IF($A133="","",TRIM('Enrollment Census'!$C124&amp;" "&amp;'Enrollment Census'!$D124)&amp;" • ending "&amp;RIGHT('Enrollment Census'!$W124&amp;"",4))</f>
        <v/>
      </c>
      <c r="D133" s="91">
        <f>IF($A133="","",'Enrollment Census'!$X124)</f>
        <v/>
      </c>
      <c r="E133" s="91">
        <f>IF($A133="","",'Enrollment Census'!$S124)</f>
        <v/>
      </c>
      <c r="F133" s="91">
        <f>IF($A133="","",IF('Enrollment Census'!$AF124&lt;&gt;"","FIX",IF('Enrollment Census'!$AD124&lt;&gt;"","REVIEW","READY")))</f>
        <v/>
      </c>
      <c r="G133" s="91">
        <f>IF($A133="","",'Enrollment Census'!$AE124)</f>
        <v/>
      </c>
      <c r="H133" s="91">
        <f>IF($A133="","",'Enrollment Census'!$AF124)</f>
        <v/>
      </c>
      <c r="I133" s="91">
        <f>IF($A133="","",'Enrollment Census'!$AD124)</f>
        <v/>
      </c>
      <c r="J133">
        <f>IF($A133="","",'Enrollment Census'!$A124)</f>
        <v/>
      </c>
      <c r="K133">
        <f>IF($F133="FIX",ROW(),IF($F133="REVIEW",1000+ROW(),""))</f>
        <v/>
      </c>
    </row>
    <row r="134" ht="36" customHeight="1">
      <c r="A134" s="91">
        <f>IF(COUNTA('Enrollment Census'!$A125:$U125)&gt;0,125,"")</f>
        <v/>
      </c>
      <c r="B134" s="91">
        <f>IF($A134="","","Employee ending "&amp;RIGHT('Enrollment Census'!$A125&amp;"",4)&amp;IF('Enrollment Census'!$AH125&gt;0," • "&amp;'Enrollment Census'!$AH125&amp;" row"&amp;IF('Enrollment Census'!$AH125=1,"","s")&amp;" need attention",""))</f>
        <v/>
      </c>
      <c r="C134" s="91">
        <f>IF($A134="","",TRIM('Enrollment Census'!$C125&amp;" "&amp;'Enrollment Census'!$D125)&amp;" • ending "&amp;RIGHT('Enrollment Census'!$W125&amp;"",4))</f>
        <v/>
      </c>
      <c r="D134" s="91">
        <f>IF($A134="","",'Enrollment Census'!$X125)</f>
        <v/>
      </c>
      <c r="E134" s="91">
        <f>IF($A134="","",'Enrollment Census'!$S125)</f>
        <v/>
      </c>
      <c r="F134" s="91">
        <f>IF($A134="","",IF('Enrollment Census'!$AF125&lt;&gt;"","FIX",IF('Enrollment Census'!$AD125&lt;&gt;"","REVIEW","READY")))</f>
        <v/>
      </c>
      <c r="G134" s="91">
        <f>IF($A134="","",'Enrollment Census'!$AE125)</f>
        <v/>
      </c>
      <c r="H134" s="91">
        <f>IF($A134="","",'Enrollment Census'!$AF125)</f>
        <v/>
      </c>
      <c r="I134" s="91">
        <f>IF($A134="","",'Enrollment Census'!$AD125)</f>
        <v/>
      </c>
      <c r="J134">
        <f>IF($A134="","",'Enrollment Census'!$A125)</f>
        <v/>
      </c>
      <c r="K134">
        <f>IF($F134="FIX",ROW(),IF($F134="REVIEW",1000+ROW(),""))</f>
        <v/>
      </c>
    </row>
    <row r="135" ht="36" customHeight="1">
      <c r="A135" s="91">
        <f>IF(COUNTA('Enrollment Census'!$A126:$U126)&gt;0,126,"")</f>
        <v/>
      </c>
      <c r="B135" s="91">
        <f>IF($A135="","","Employee ending "&amp;RIGHT('Enrollment Census'!$A126&amp;"",4)&amp;IF('Enrollment Census'!$AH126&gt;0," • "&amp;'Enrollment Census'!$AH126&amp;" row"&amp;IF('Enrollment Census'!$AH126=1,"","s")&amp;" need attention",""))</f>
        <v/>
      </c>
      <c r="C135" s="91">
        <f>IF($A135="","",TRIM('Enrollment Census'!$C126&amp;" "&amp;'Enrollment Census'!$D126)&amp;" • ending "&amp;RIGHT('Enrollment Census'!$W126&amp;"",4))</f>
        <v/>
      </c>
      <c r="D135" s="91">
        <f>IF($A135="","",'Enrollment Census'!$X126)</f>
        <v/>
      </c>
      <c r="E135" s="91">
        <f>IF($A135="","",'Enrollment Census'!$S126)</f>
        <v/>
      </c>
      <c r="F135" s="91">
        <f>IF($A135="","",IF('Enrollment Census'!$AF126&lt;&gt;"","FIX",IF('Enrollment Census'!$AD126&lt;&gt;"","REVIEW","READY")))</f>
        <v/>
      </c>
      <c r="G135" s="91">
        <f>IF($A135="","",'Enrollment Census'!$AE126)</f>
        <v/>
      </c>
      <c r="H135" s="91">
        <f>IF($A135="","",'Enrollment Census'!$AF126)</f>
        <v/>
      </c>
      <c r="I135" s="91">
        <f>IF($A135="","",'Enrollment Census'!$AD126)</f>
        <v/>
      </c>
      <c r="J135">
        <f>IF($A135="","",'Enrollment Census'!$A126)</f>
        <v/>
      </c>
      <c r="K135">
        <f>IF($F135="FIX",ROW(),IF($F135="REVIEW",1000+ROW(),""))</f>
        <v/>
      </c>
    </row>
    <row r="136" ht="36" customHeight="1">
      <c r="A136" s="91">
        <f>IF(COUNTA('Enrollment Census'!$A127:$U127)&gt;0,127,"")</f>
        <v/>
      </c>
      <c r="B136" s="91">
        <f>IF($A136="","","Employee ending "&amp;RIGHT('Enrollment Census'!$A127&amp;"",4)&amp;IF('Enrollment Census'!$AH127&gt;0," • "&amp;'Enrollment Census'!$AH127&amp;" row"&amp;IF('Enrollment Census'!$AH127=1,"","s")&amp;" need attention",""))</f>
        <v/>
      </c>
      <c r="C136" s="91">
        <f>IF($A136="","",TRIM('Enrollment Census'!$C127&amp;" "&amp;'Enrollment Census'!$D127)&amp;" • ending "&amp;RIGHT('Enrollment Census'!$W127&amp;"",4))</f>
        <v/>
      </c>
      <c r="D136" s="91">
        <f>IF($A136="","",'Enrollment Census'!$X127)</f>
        <v/>
      </c>
      <c r="E136" s="91">
        <f>IF($A136="","",'Enrollment Census'!$S127)</f>
        <v/>
      </c>
      <c r="F136" s="91">
        <f>IF($A136="","",IF('Enrollment Census'!$AF127&lt;&gt;"","FIX",IF('Enrollment Census'!$AD127&lt;&gt;"","REVIEW","READY")))</f>
        <v/>
      </c>
      <c r="G136" s="91">
        <f>IF($A136="","",'Enrollment Census'!$AE127)</f>
        <v/>
      </c>
      <c r="H136" s="91">
        <f>IF($A136="","",'Enrollment Census'!$AF127)</f>
        <v/>
      </c>
      <c r="I136" s="91">
        <f>IF($A136="","",'Enrollment Census'!$AD127)</f>
        <v/>
      </c>
      <c r="J136">
        <f>IF($A136="","",'Enrollment Census'!$A127)</f>
        <v/>
      </c>
      <c r="K136">
        <f>IF($F136="FIX",ROW(),IF($F136="REVIEW",1000+ROW(),""))</f>
        <v/>
      </c>
    </row>
    <row r="137" ht="36" customHeight="1">
      <c r="A137" s="91">
        <f>IF(COUNTA('Enrollment Census'!$A128:$U128)&gt;0,128,"")</f>
        <v/>
      </c>
      <c r="B137" s="91">
        <f>IF($A137="","","Employee ending "&amp;RIGHT('Enrollment Census'!$A128&amp;"",4)&amp;IF('Enrollment Census'!$AH128&gt;0," • "&amp;'Enrollment Census'!$AH128&amp;" row"&amp;IF('Enrollment Census'!$AH128=1,"","s")&amp;" need attention",""))</f>
        <v/>
      </c>
      <c r="C137" s="91">
        <f>IF($A137="","",TRIM('Enrollment Census'!$C128&amp;" "&amp;'Enrollment Census'!$D128)&amp;" • ending "&amp;RIGHT('Enrollment Census'!$W128&amp;"",4))</f>
        <v/>
      </c>
      <c r="D137" s="91">
        <f>IF($A137="","",'Enrollment Census'!$X128)</f>
        <v/>
      </c>
      <c r="E137" s="91">
        <f>IF($A137="","",'Enrollment Census'!$S128)</f>
        <v/>
      </c>
      <c r="F137" s="91">
        <f>IF($A137="","",IF('Enrollment Census'!$AF128&lt;&gt;"","FIX",IF('Enrollment Census'!$AD128&lt;&gt;"","REVIEW","READY")))</f>
        <v/>
      </c>
      <c r="G137" s="91">
        <f>IF($A137="","",'Enrollment Census'!$AE128)</f>
        <v/>
      </c>
      <c r="H137" s="91">
        <f>IF($A137="","",'Enrollment Census'!$AF128)</f>
        <v/>
      </c>
      <c r="I137" s="91">
        <f>IF($A137="","",'Enrollment Census'!$AD128)</f>
        <v/>
      </c>
      <c r="J137">
        <f>IF($A137="","",'Enrollment Census'!$A128)</f>
        <v/>
      </c>
      <c r="K137">
        <f>IF($F137="FIX",ROW(),IF($F137="REVIEW",1000+ROW(),""))</f>
        <v/>
      </c>
    </row>
    <row r="138" ht="36" customHeight="1">
      <c r="A138" s="91">
        <f>IF(COUNTA('Enrollment Census'!$A129:$U129)&gt;0,129,"")</f>
        <v/>
      </c>
      <c r="B138" s="91">
        <f>IF($A138="","","Employee ending "&amp;RIGHT('Enrollment Census'!$A129&amp;"",4)&amp;IF('Enrollment Census'!$AH129&gt;0," • "&amp;'Enrollment Census'!$AH129&amp;" row"&amp;IF('Enrollment Census'!$AH129=1,"","s")&amp;" need attention",""))</f>
        <v/>
      </c>
      <c r="C138" s="91">
        <f>IF($A138="","",TRIM('Enrollment Census'!$C129&amp;" "&amp;'Enrollment Census'!$D129)&amp;" • ending "&amp;RIGHT('Enrollment Census'!$W129&amp;"",4))</f>
        <v/>
      </c>
      <c r="D138" s="91">
        <f>IF($A138="","",'Enrollment Census'!$X129)</f>
        <v/>
      </c>
      <c r="E138" s="91">
        <f>IF($A138="","",'Enrollment Census'!$S129)</f>
        <v/>
      </c>
      <c r="F138" s="91">
        <f>IF($A138="","",IF('Enrollment Census'!$AF129&lt;&gt;"","FIX",IF('Enrollment Census'!$AD129&lt;&gt;"","REVIEW","READY")))</f>
        <v/>
      </c>
      <c r="G138" s="91">
        <f>IF($A138="","",'Enrollment Census'!$AE129)</f>
        <v/>
      </c>
      <c r="H138" s="91">
        <f>IF($A138="","",'Enrollment Census'!$AF129)</f>
        <v/>
      </c>
      <c r="I138" s="91">
        <f>IF($A138="","",'Enrollment Census'!$AD129)</f>
        <v/>
      </c>
      <c r="J138">
        <f>IF($A138="","",'Enrollment Census'!$A129)</f>
        <v/>
      </c>
      <c r="K138">
        <f>IF($F138="FIX",ROW(),IF($F138="REVIEW",1000+ROW(),""))</f>
        <v/>
      </c>
    </row>
    <row r="139" ht="36" customHeight="1">
      <c r="A139" s="91">
        <f>IF(COUNTA('Enrollment Census'!$A130:$U130)&gt;0,130,"")</f>
        <v/>
      </c>
      <c r="B139" s="91">
        <f>IF($A139="","","Employee ending "&amp;RIGHT('Enrollment Census'!$A130&amp;"",4)&amp;IF('Enrollment Census'!$AH130&gt;0," • "&amp;'Enrollment Census'!$AH130&amp;" row"&amp;IF('Enrollment Census'!$AH130=1,"","s")&amp;" need attention",""))</f>
        <v/>
      </c>
      <c r="C139" s="91">
        <f>IF($A139="","",TRIM('Enrollment Census'!$C130&amp;" "&amp;'Enrollment Census'!$D130)&amp;" • ending "&amp;RIGHT('Enrollment Census'!$W130&amp;"",4))</f>
        <v/>
      </c>
      <c r="D139" s="91">
        <f>IF($A139="","",'Enrollment Census'!$X130)</f>
        <v/>
      </c>
      <c r="E139" s="91">
        <f>IF($A139="","",'Enrollment Census'!$S130)</f>
        <v/>
      </c>
      <c r="F139" s="91">
        <f>IF($A139="","",IF('Enrollment Census'!$AF130&lt;&gt;"","FIX",IF('Enrollment Census'!$AD130&lt;&gt;"","REVIEW","READY")))</f>
        <v/>
      </c>
      <c r="G139" s="91">
        <f>IF($A139="","",'Enrollment Census'!$AE130)</f>
        <v/>
      </c>
      <c r="H139" s="91">
        <f>IF($A139="","",'Enrollment Census'!$AF130)</f>
        <v/>
      </c>
      <c r="I139" s="91">
        <f>IF($A139="","",'Enrollment Census'!$AD130)</f>
        <v/>
      </c>
      <c r="J139">
        <f>IF($A139="","",'Enrollment Census'!$A130)</f>
        <v/>
      </c>
      <c r="K139">
        <f>IF($F139="FIX",ROW(),IF($F139="REVIEW",1000+ROW(),""))</f>
        <v/>
      </c>
    </row>
    <row r="140" ht="36" customHeight="1">
      <c r="A140" s="91">
        <f>IF(COUNTA('Enrollment Census'!$A131:$U131)&gt;0,131,"")</f>
        <v/>
      </c>
      <c r="B140" s="91">
        <f>IF($A140="","","Employee ending "&amp;RIGHT('Enrollment Census'!$A131&amp;"",4)&amp;IF('Enrollment Census'!$AH131&gt;0," • "&amp;'Enrollment Census'!$AH131&amp;" row"&amp;IF('Enrollment Census'!$AH131=1,"","s")&amp;" need attention",""))</f>
        <v/>
      </c>
      <c r="C140" s="91">
        <f>IF($A140="","",TRIM('Enrollment Census'!$C131&amp;" "&amp;'Enrollment Census'!$D131)&amp;" • ending "&amp;RIGHT('Enrollment Census'!$W131&amp;"",4))</f>
        <v/>
      </c>
      <c r="D140" s="91">
        <f>IF($A140="","",'Enrollment Census'!$X131)</f>
        <v/>
      </c>
      <c r="E140" s="91">
        <f>IF($A140="","",'Enrollment Census'!$S131)</f>
        <v/>
      </c>
      <c r="F140" s="91">
        <f>IF($A140="","",IF('Enrollment Census'!$AF131&lt;&gt;"","FIX",IF('Enrollment Census'!$AD131&lt;&gt;"","REVIEW","READY")))</f>
        <v/>
      </c>
      <c r="G140" s="91">
        <f>IF($A140="","",'Enrollment Census'!$AE131)</f>
        <v/>
      </c>
      <c r="H140" s="91">
        <f>IF($A140="","",'Enrollment Census'!$AF131)</f>
        <v/>
      </c>
      <c r="I140" s="91">
        <f>IF($A140="","",'Enrollment Census'!$AD131)</f>
        <v/>
      </c>
      <c r="J140">
        <f>IF($A140="","",'Enrollment Census'!$A131)</f>
        <v/>
      </c>
      <c r="K140">
        <f>IF($F140="FIX",ROW(),IF($F140="REVIEW",1000+ROW(),""))</f>
        <v/>
      </c>
    </row>
    <row r="141" ht="36" customHeight="1">
      <c r="A141" s="91">
        <f>IF(COUNTA('Enrollment Census'!$A132:$U132)&gt;0,132,"")</f>
        <v/>
      </c>
      <c r="B141" s="91">
        <f>IF($A141="","","Employee ending "&amp;RIGHT('Enrollment Census'!$A132&amp;"",4)&amp;IF('Enrollment Census'!$AH132&gt;0," • "&amp;'Enrollment Census'!$AH132&amp;" row"&amp;IF('Enrollment Census'!$AH132=1,"","s")&amp;" need attention",""))</f>
        <v/>
      </c>
      <c r="C141" s="91">
        <f>IF($A141="","",TRIM('Enrollment Census'!$C132&amp;" "&amp;'Enrollment Census'!$D132)&amp;" • ending "&amp;RIGHT('Enrollment Census'!$W132&amp;"",4))</f>
        <v/>
      </c>
      <c r="D141" s="91">
        <f>IF($A141="","",'Enrollment Census'!$X132)</f>
        <v/>
      </c>
      <c r="E141" s="91">
        <f>IF($A141="","",'Enrollment Census'!$S132)</f>
        <v/>
      </c>
      <c r="F141" s="91">
        <f>IF($A141="","",IF('Enrollment Census'!$AF132&lt;&gt;"","FIX",IF('Enrollment Census'!$AD132&lt;&gt;"","REVIEW","READY")))</f>
        <v/>
      </c>
      <c r="G141" s="91">
        <f>IF($A141="","",'Enrollment Census'!$AE132)</f>
        <v/>
      </c>
      <c r="H141" s="91">
        <f>IF($A141="","",'Enrollment Census'!$AF132)</f>
        <v/>
      </c>
      <c r="I141" s="91">
        <f>IF($A141="","",'Enrollment Census'!$AD132)</f>
        <v/>
      </c>
      <c r="J141">
        <f>IF($A141="","",'Enrollment Census'!$A132)</f>
        <v/>
      </c>
      <c r="K141">
        <f>IF($F141="FIX",ROW(),IF($F141="REVIEW",1000+ROW(),""))</f>
        <v/>
      </c>
    </row>
    <row r="142" ht="36" customHeight="1">
      <c r="A142" s="91">
        <f>IF(COUNTA('Enrollment Census'!$A133:$U133)&gt;0,133,"")</f>
        <v/>
      </c>
      <c r="B142" s="91">
        <f>IF($A142="","","Employee ending "&amp;RIGHT('Enrollment Census'!$A133&amp;"",4)&amp;IF('Enrollment Census'!$AH133&gt;0," • "&amp;'Enrollment Census'!$AH133&amp;" row"&amp;IF('Enrollment Census'!$AH133=1,"","s")&amp;" need attention",""))</f>
        <v/>
      </c>
      <c r="C142" s="91">
        <f>IF($A142="","",TRIM('Enrollment Census'!$C133&amp;" "&amp;'Enrollment Census'!$D133)&amp;" • ending "&amp;RIGHT('Enrollment Census'!$W133&amp;"",4))</f>
        <v/>
      </c>
      <c r="D142" s="91">
        <f>IF($A142="","",'Enrollment Census'!$X133)</f>
        <v/>
      </c>
      <c r="E142" s="91">
        <f>IF($A142="","",'Enrollment Census'!$S133)</f>
        <v/>
      </c>
      <c r="F142" s="91">
        <f>IF($A142="","",IF('Enrollment Census'!$AF133&lt;&gt;"","FIX",IF('Enrollment Census'!$AD133&lt;&gt;"","REVIEW","READY")))</f>
        <v/>
      </c>
      <c r="G142" s="91">
        <f>IF($A142="","",'Enrollment Census'!$AE133)</f>
        <v/>
      </c>
      <c r="H142" s="91">
        <f>IF($A142="","",'Enrollment Census'!$AF133)</f>
        <v/>
      </c>
      <c r="I142" s="91">
        <f>IF($A142="","",'Enrollment Census'!$AD133)</f>
        <v/>
      </c>
      <c r="J142">
        <f>IF($A142="","",'Enrollment Census'!$A133)</f>
        <v/>
      </c>
      <c r="K142">
        <f>IF($F142="FIX",ROW(),IF($F142="REVIEW",1000+ROW(),""))</f>
        <v/>
      </c>
    </row>
    <row r="143" ht="36" customHeight="1">
      <c r="A143" s="91">
        <f>IF(COUNTA('Enrollment Census'!$A134:$U134)&gt;0,134,"")</f>
        <v/>
      </c>
      <c r="B143" s="91">
        <f>IF($A143="","","Employee ending "&amp;RIGHT('Enrollment Census'!$A134&amp;"",4)&amp;IF('Enrollment Census'!$AH134&gt;0," • "&amp;'Enrollment Census'!$AH134&amp;" row"&amp;IF('Enrollment Census'!$AH134=1,"","s")&amp;" need attention",""))</f>
        <v/>
      </c>
      <c r="C143" s="91">
        <f>IF($A143="","",TRIM('Enrollment Census'!$C134&amp;" "&amp;'Enrollment Census'!$D134)&amp;" • ending "&amp;RIGHT('Enrollment Census'!$W134&amp;"",4))</f>
        <v/>
      </c>
      <c r="D143" s="91">
        <f>IF($A143="","",'Enrollment Census'!$X134)</f>
        <v/>
      </c>
      <c r="E143" s="91">
        <f>IF($A143="","",'Enrollment Census'!$S134)</f>
        <v/>
      </c>
      <c r="F143" s="91">
        <f>IF($A143="","",IF('Enrollment Census'!$AF134&lt;&gt;"","FIX",IF('Enrollment Census'!$AD134&lt;&gt;"","REVIEW","READY")))</f>
        <v/>
      </c>
      <c r="G143" s="91">
        <f>IF($A143="","",'Enrollment Census'!$AE134)</f>
        <v/>
      </c>
      <c r="H143" s="91">
        <f>IF($A143="","",'Enrollment Census'!$AF134)</f>
        <v/>
      </c>
      <c r="I143" s="91">
        <f>IF($A143="","",'Enrollment Census'!$AD134)</f>
        <v/>
      </c>
      <c r="J143">
        <f>IF($A143="","",'Enrollment Census'!$A134)</f>
        <v/>
      </c>
      <c r="K143">
        <f>IF($F143="FIX",ROW(),IF($F143="REVIEW",1000+ROW(),""))</f>
        <v/>
      </c>
    </row>
    <row r="144" ht="36" customHeight="1">
      <c r="A144" s="91">
        <f>IF(COUNTA('Enrollment Census'!$A135:$U135)&gt;0,135,"")</f>
        <v/>
      </c>
      <c r="B144" s="91">
        <f>IF($A144="","","Employee ending "&amp;RIGHT('Enrollment Census'!$A135&amp;"",4)&amp;IF('Enrollment Census'!$AH135&gt;0," • "&amp;'Enrollment Census'!$AH135&amp;" row"&amp;IF('Enrollment Census'!$AH135=1,"","s")&amp;" need attention",""))</f>
        <v/>
      </c>
      <c r="C144" s="91">
        <f>IF($A144="","",TRIM('Enrollment Census'!$C135&amp;" "&amp;'Enrollment Census'!$D135)&amp;" • ending "&amp;RIGHT('Enrollment Census'!$W135&amp;"",4))</f>
        <v/>
      </c>
      <c r="D144" s="91">
        <f>IF($A144="","",'Enrollment Census'!$X135)</f>
        <v/>
      </c>
      <c r="E144" s="91">
        <f>IF($A144="","",'Enrollment Census'!$S135)</f>
        <v/>
      </c>
      <c r="F144" s="91">
        <f>IF($A144="","",IF('Enrollment Census'!$AF135&lt;&gt;"","FIX",IF('Enrollment Census'!$AD135&lt;&gt;"","REVIEW","READY")))</f>
        <v/>
      </c>
      <c r="G144" s="91">
        <f>IF($A144="","",'Enrollment Census'!$AE135)</f>
        <v/>
      </c>
      <c r="H144" s="91">
        <f>IF($A144="","",'Enrollment Census'!$AF135)</f>
        <v/>
      </c>
      <c r="I144" s="91">
        <f>IF($A144="","",'Enrollment Census'!$AD135)</f>
        <v/>
      </c>
      <c r="J144">
        <f>IF($A144="","",'Enrollment Census'!$A135)</f>
        <v/>
      </c>
      <c r="K144">
        <f>IF($F144="FIX",ROW(),IF($F144="REVIEW",1000+ROW(),""))</f>
        <v/>
      </c>
    </row>
    <row r="145" ht="36" customHeight="1">
      <c r="A145" s="91">
        <f>IF(COUNTA('Enrollment Census'!$A136:$U136)&gt;0,136,"")</f>
        <v/>
      </c>
      <c r="B145" s="91">
        <f>IF($A145="","","Employee ending "&amp;RIGHT('Enrollment Census'!$A136&amp;"",4)&amp;IF('Enrollment Census'!$AH136&gt;0," • "&amp;'Enrollment Census'!$AH136&amp;" row"&amp;IF('Enrollment Census'!$AH136=1,"","s")&amp;" need attention",""))</f>
        <v/>
      </c>
      <c r="C145" s="91">
        <f>IF($A145="","",TRIM('Enrollment Census'!$C136&amp;" "&amp;'Enrollment Census'!$D136)&amp;" • ending "&amp;RIGHT('Enrollment Census'!$W136&amp;"",4))</f>
        <v/>
      </c>
      <c r="D145" s="91">
        <f>IF($A145="","",'Enrollment Census'!$X136)</f>
        <v/>
      </c>
      <c r="E145" s="91">
        <f>IF($A145="","",'Enrollment Census'!$S136)</f>
        <v/>
      </c>
      <c r="F145" s="91">
        <f>IF($A145="","",IF('Enrollment Census'!$AF136&lt;&gt;"","FIX",IF('Enrollment Census'!$AD136&lt;&gt;"","REVIEW","READY")))</f>
        <v/>
      </c>
      <c r="G145" s="91">
        <f>IF($A145="","",'Enrollment Census'!$AE136)</f>
        <v/>
      </c>
      <c r="H145" s="91">
        <f>IF($A145="","",'Enrollment Census'!$AF136)</f>
        <v/>
      </c>
      <c r="I145" s="91">
        <f>IF($A145="","",'Enrollment Census'!$AD136)</f>
        <v/>
      </c>
      <c r="J145">
        <f>IF($A145="","",'Enrollment Census'!$A136)</f>
        <v/>
      </c>
      <c r="K145">
        <f>IF($F145="FIX",ROW(),IF($F145="REVIEW",1000+ROW(),""))</f>
        <v/>
      </c>
    </row>
    <row r="146" ht="36" customHeight="1">
      <c r="A146" s="91">
        <f>IF(COUNTA('Enrollment Census'!$A137:$U137)&gt;0,137,"")</f>
        <v/>
      </c>
      <c r="B146" s="91">
        <f>IF($A146="","","Employee ending "&amp;RIGHT('Enrollment Census'!$A137&amp;"",4)&amp;IF('Enrollment Census'!$AH137&gt;0," • "&amp;'Enrollment Census'!$AH137&amp;" row"&amp;IF('Enrollment Census'!$AH137=1,"","s")&amp;" need attention",""))</f>
        <v/>
      </c>
      <c r="C146" s="91">
        <f>IF($A146="","",TRIM('Enrollment Census'!$C137&amp;" "&amp;'Enrollment Census'!$D137)&amp;" • ending "&amp;RIGHT('Enrollment Census'!$W137&amp;"",4))</f>
        <v/>
      </c>
      <c r="D146" s="91">
        <f>IF($A146="","",'Enrollment Census'!$X137)</f>
        <v/>
      </c>
      <c r="E146" s="91">
        <f>IF($A146="","",'Enrollment Census'!$S137)</f>
        <v/>
      </c>
      <c r="F146" s="91">
        <f>IF($A146="","",IF('Enrollment Census'!$AF137&lt;&gt;"","FIX",IF('Enrollment Census'!$AD137&lt;&gt;"","REVIEW","READY")))</f>
        <v/>
      </c>
      <c r="G146" s="91">
        <f>IF($A146="","",'Enrollment Census'!$AE137)</f>
        <v/>
      </c>
      <c r="H146" s="91">
        <f>IF($A146="","",'Enrollment Census'!$AF137)</f>
        <v/>
      </c>
      <c r="I146" s="91">
        <f>IF($A146="","",'Enrollment Census'!$AD137)</f>
        <v/>
      </c>
      <c r="J146">
        <f>IF($A146="","",'Enrollment Census'!$A137)</f>
        <v/>
      </c>
      <c r="K146">
        <f>IF($F146="FIX",ROW(),IF($F146="REVIEW",1000+ROW(),""))</f>
        <v/>
      </c>
    </row>
    <row r="147" ht="36" customHeight="1">
      <c r="A147" s="91">
        <f>IF(COUNTA('Enrollment Census'!$A138:$U138)&gt;0,138,"")</f>
        <v/>
      </c>
      <c r="B147" s="91">
        <f>IF($A147="","","Employee ending "&amp;RIGHT('Enrollment Census'!$A138&amp;"",4)&amp;IF('Enrollment Census'!$AH138&gt;0," • "&amp;'Enrollment Census'!$AH138&amp;" row"&amp;IF('Enrollment Census'!$AH138=1,"","s")&amp;" need attention",""))</f>
        <v/>
      </c>
      <c r="C147" s="91">
        <f>IF($A147="","",TRIM('Enrollment Census'!$C138&amp;" "&amp;'Enrollment Census'!$D138)&amp;" • ending "&amp;RIGHT('Enrollment Census'!$W138&amp;"",4))</f>
        <v/>
      </c>
      <c r="D147" s="91">
        <f>IF($A147="","",'Enrollment Census'!$X138)</f>
        <v/>
      </c>
      <c r="E147" s="91">
        <f>IF($A147="","",'Enrollment Census'!$S138)</f>
        <v/>
      </c>
      <c r="F147" s="91">
        <f>IF($A147="","",IF('Enrollment Census'!$AF138&lt;&gt;"","FIX",IF('Enrollment Census'!$AD138&lt;&gt;"","REVIEW","READY")))</f>
        <v/>
      </c>
      <c r="G147" s="91">
        <f>IF($A147="","",'Enrollment Census'!$AE138)</f>
        <v/>
      </c>
      <c r="H147" s="91">
        <f>IF($A147="","",'Enrollment Census'!$AF138)</f>
        <v/>
      </c>
      <c r="I147" s="91">
        <f>IF($A147="","",'Enrollment Census'!$AD138)</f>
        <v/>
      </c>
      <c r="J147">
        <f>IF($A147="","",'Enrollment Census'!$A138)</f>
        <v/>
      </c>
      <c r="K147">
        <f>IF($F147="FIX",ROW(),IF($F147="REVIEW",1000+ROW(),""))</f>
        <v/>
      </c>
    </row>
    <row r="148" ht="36" customHeight="1">
      <c r="A148" s="91">
        <f>IF(COUNTA('Enrollment Census'!$A139:$U139)&gt;0,139,"")</f>
        <v/>
      </c>
      <c r="B148" s="91">
        <f>IF($A148="","","Employee ending "&amp;RIGHT('Enrollment Census'!$A139&amp;"",4)&amp;IF('Enrollment Census'!$AH139&gt;0," • "&amp;'Enrollment Census'!$AH139&amp;" row"&amp;IF('Enrollment Census'!$AH139=1,"","s")&amp;" need attention",""))</f>
        <v/>
      </c>
      <c r="C148" s="91">
        <f>IF($A148="","",TRIM('Enrollment Census'!$C139&amp;" "&amp;'Enrollment Census'!$D139)&amp;" • ending "&amp;RIGHT('Enrollment Census'!$W139&amp;"",4))</f>
        <v/>
      </c>
      <c r="D148" s="91">
        <f>IF($A148="","",'Enrollment Census'!$X139)</f>
        <v/>
      </c>
      <c r="E148" s="91">
        <f>IF($A148="","",'Enrollment Census'!$S139)</f>
        <v/>
      </c>
      <c r="F148" s="91">
        <f>IF($A148="","",IF('Enrollment Census'!$AF139&lt;&gt;"","FIX",IF('Enrollment Census'!$AD139&lt;&gt;"","REVIEW","READY")))</f>
        <v/>
      </c>
      <c r="G148" s="91">
        <f>IF($A148="","",'Enrollment Census'!$AE139)</f>
        <v/>
      </c>
      <c r="H148" s="91">
        <f>IF($A148="","",'Enrollment Census'!$AF139)</f>
        <v/>
      </c>
      <c r="I148" s="91">
        <f>IF($A148="","",'Enrollment Census'!$AD139)</f>
        <v/>
      </c>
      <c r="J148">
        <f>IF($A148="","",'Enrollment Census'!$A139)</f>
        <v/>
      </c>
      <c r="K148">
        <f>IF($F148="FIX",ROW(),IF($F148="REVIEW",1000+ROW(),""))</f>
        <v/>
      </c>
    </row>
    <row r="149" ht="36" customHeight="1">
      <c r="A149" s="91">
        <f>IF(COUNTA('Enrollment Census'!$A140:$U140)&gt;0,140,"")</f>
        <v/>
      </c>
      <c r="B149" s="91">
        <f>IF($A149="","","Employee ending "&amp;RIGHT('Enrollment Census'!$A140&amp;"",4)&amp;IF('Enrollment Census'!$AH140&gt;0," • "&amp;'Enrollment Census'!$AH140&amp;" row"&amp;IF('Enrollment Census'!$AH140=1,"","s")&amp;" need attention",""))</f>
        <v/>
      </c>
      <c r="C149" s="91">
        <f>IF($A149="","",TRIM('Enrollment Census'!$C140&amp;" "&amp;'Enrollment Census'!$D140)&amp;" • ending "&amp;RIGHT('Enrollment Census'!$W140&amp;"",4))</f>
        <v/>
      </c>
      <c r="D149" s="91">
        <f>IF($A149="","",'Enrollment Census'!$X140)</f>
        <v/>
      </c>
      <c r="E149" s="91">
        <f>IF($A149="","",'Enrollment Census'!$S140)</f>
        <v/>
      </c>
      <c r="F149" s="91">
        <f>IF($A149="","",IF('Enrollment Census'!$AF140&lt;&gt;"","FIX",IF('Enrollment Census'!$AD140&lt;&gt;"","REVIEW","READY")))</f>
        <v/>
      </c>
      <c r="G149" s="91">
        <f>IF($A149="","",'Enrollment Census'!$AE140)</f>
        <v/>
      </c>
      <c r="H149" s="91">
        <f>IF($A149="","",'Enrollment Census'!$AF140)</f>
        <v/>
      </c>
      <c r="I149" s="91">
        <f>IF($A149="","",'Enrollment Census'!$AD140)</f>
        <v/>
      </c>
      <c r="J149">
        <f>IF($A149="","",'Enrollment Census'!$A140)</f>
        <v/>
      </c>
      <c r="K149">
        <f>IF($F149="FIX",ROW(),IF($F149="REVIEW",1000+ROW(),""))</f>
        <v/>
      </c>
    </row>
    <row r="150" ht="36" customHeight="1">
      <c r="A150" s="91">
        <f>IF(COUNTA('Enrollment Census'!$A141:$U141)&gt;0,141,"")</f>
        <v/>
      </c>
      <c r="B150" s="91">
        <f>IF($A150="","","Employee ending "&amp;RIGHT('Enrollment Census'!$A141&amp;"",4)&amp;IF('Enrollment Census'!$AH141&gt;0," • "&amp;'Enrollment Census'!$AH141&amp;" row"&amp;IF('Enrollment Census'!$AH141=1,"","s")&amp;" need attention",""))</f>
        <v/>
      </c>
      <c r="C150" s="91">
        <f>IF($A150="","",TRIM('Enrollment Census'!$C141&amp;" "&amp;'Enrollment Census'!$D141)&amp;" • ending "&amp;RIGHT('Enrollment Census'!$W141&amp;"",4))</f>
        <v/>
      </c>
      <c r="D150" s="91">
        <f>IF($A150="","",'Enrollment Census'!$X141)</f>
        <v/>
      </c>
      <c r="E150" s="91">
        <f>IF($A150="","",'Enrollment Census'!$S141)</f>
        <v/>
      </c>
      <c r="F150" s="91">
        <f>IF($A150="","",IF('Enrollment Census'!$AF141&lt;&gt;"","FIX",IF('Enrollment Census'!$AD141&lt;&gt;"","REVIEW","READY")))</f>
        <v/>
      </c>
      <c r="G150" s="91">
        <f>IF($A150="","",'Enrollment Census'!$AE141)</f>
        <v/>
      </c>
      <c r="H150" s="91">
        <f>IF($A150="","",'Enrollment Census'!$AF141)</f>
        <v/>
      </c>
      <c r="I150" s="91">
        <f>IF($A150="","",'Enrollment Census'!$AD141)</f>
        <v/>
      </c>
      <c r="J150">
        <f>IF($A150="","",'Enrollment Census'!$A141)</f>
        <v/>
      </c>
      <c r="K150">
        <f>IF($F150="FIX",ROW(),IF($F150="REVIEW",1000+ROW(),""))</f>
        <v/>
      </c>
    </row>
    <row r="151" ht="36" customHeight="1">
      <c r="A151" s="91">
        <f>IF(COUNTA('Enrollment Census'!$A142:$U142)&gt;0,142,"")</f>
        <v/>
      </c>
      <c r="B151" s="91">
        <f>IF($A151="","","Employee ending "&amp;RIGHT('Enrollment Census'!$A142&amp;"",4)&amp;IF('Enrollment Census'!$AH142&gt;0," • "&amp;'Enrollment Census'!$AH142&amp;" row"&amp;IF('Enrollment Census'!$AH142=1,"","s")&amp;" need attention",""))</f>
        <v/>
      </c>
      <c r="C151" s="91">
        <f>IF($A151="","",TRIM('Enrollment Census'!$C142&amp;" "&amp;'Enrollment Census'!$D142)&amp;" • ending "&amp;RIGHT('Enrollment Census'!$W142&amp;"",4))</f>
        <v/>
      </c>
      <c r="D151" s="91">
        <f>IF($A151="","",'Enrollment Census'!$X142)</f>
        <v/>
      </c>
      <c r="E151" s="91">
        <f>IF($A151="","",'Enrollment Census'!$S142)</f>
        <v/>
      </c>
      <c r="F151" s="91">
        <f>IF($A151="","",IF('Enrollment Census'!$AF142&lt;&gt;"","FIX",IF('Enrollment Census'!$AD142&lt;&gt;"","REVIEW","READY")))</f>
        <v/>
      </c>
      <c r="G151" s="91">
        <f>IF($A151="","",'Enrollment Census'!$AE142)</f>
        <v/>
      </c>
      <c r="H151" s="91">
        <f>IF($A151="","",'Enrollment Census'!$AF142)</f>
        <v/>
      </c>
      <c r="I151" s="91">
        <f>IF($A151="","",'Enrollment Census'!$AD142)</f>
        <v/>
      </c>
      <c r="J151">
        <f>IF($A151="","",'Enrollment Census'!$A142)</f>
        <v/>
      </c>
      <c r="K151">
        <f>IF($F151="FIX",ROW(),IF($F151="REVIEW",1000+ROW(),""))</f>
        <v/>
      </c>
    </row>
    <row r="152" ht="36" customHeight="1">
      <c r="A152" s="91">
        <f>IF(COUNTA('Enrollment Census'!$A143:$U143)&gt;0,143,"")</f>
        <v/>
      </c>
      <c r="B152" s="91">
        <f>IF($A152="","","Employee ending "&amp;RIGHT('Enrollment Census'!$A143&amp;"",4)&amp;IF('Enrollment Census'!$AH143&gt;0," • "&amp;'Enrollment Census'!$AH143&amp;" row"&amp;IF('Enrollment Census'!$AH143=1,"","s")&amp;" need attention",""))</f>
        <v/>
      </c>
      <c r="C152" s="91">
        <f>IF($A152="","",TRIM('Enrollment Census'!$C143&amp;" "&amp;'Enrollment Census'!$D143)&amp;" • ending "&amp;RIGHT('Enrollment Census'!$W143&amp;"",4))</f>
        <v/>
      </c>
      <c r="D152" s="91">
        <f>IF($A152="","",'Enrollment Census'!$X143)</f>
        <v/>
      </c>
      <c r="E152" s="91">
        <f>IF($A152="","",'Enrollment Census'!$S143)</f>
        <v/>
      </c>
      <c r="F152" s="91">
        <f>IF($A152="","",IF('Enrollment Census'!$AF143&lt;&gt;"","FIX",IF('Enrollment Census'!$AD143&lt;&gt;"","REVIEW","READY")))</f>
        <v/>
      </c>
      <c r="G152" s="91">
        <f>IF($A152="","",'Enrollment Census'!$AE143)</f>
        <v/>
      </c>
      <c r="H152" s="91">
        <f>IF($A152="","",'Enrollment Census'!$AF143)</f>
        <v/>
      </c>
      <c r="I152" s="91">
        <f>IF($A152="","",'Enrollment Census'!$AD143)</f>
        <v/>
      </c>
      <c r="J152">
        <f>IF($A152="","",'Enrollment Census'!$A143)</f>
        <v/>
      </c>
      <c r="K152">
        <f>IF($F152="FIX",ROW(),IF($F152="REVIEW",1000+ROW(),""))</f>
        <v/>
      </c>
    </row>
    <row r="153" ht="36" customHeight="1">
      <c r="A153" s="91">
        <f>IF(COUNTA('Enrollment Census'!$A144:$U144)&gt;0,144,"")</f>
        <v/>
      </c>
      <c r="B153" s="91">
        <f>IF($A153="","","Employee ending "&amp;RIGHT('Enrollment Census'!$A144&amp;"",4)&amp;IF('Enrollment Census'!$AH144&gt;0," • "&amp;'Enrollment Census'!$AH144&amp;" row"&amp;IF('Enrollment Census'!$AH144=1,"","s")&amp;" need attention",""))</f>
        <v/>
      </c>
      <c r="C153" s="91">
        <f>IF($A153="","",TRIM('Enrollment Census'!$C144&amp;" "&amp;'Enrollment Census'!$D144)&amp;" • ending "&amp;RIGHT('Enrollment Census'!$W144&amp;"",4))</f>
        <v/>
      </c>
      <c r="D153" s="91">
        <f>IF($A153="","",'Enrollment Census'!$X144)</f>
        <v/>
      </c>
      <c r="E153" s="91">
        <f>IF($A153="","",'Enrollment Census'!$S144)</f>
        <v/>
      </c>
      <c r="F153" s="91">
        <f>IF($A153="","",IF('Enrollment Census'!$AF144&lt;&gt;"","FIX",IF('Enrollment Census'!$AD144&lt;&gt;"","REVIEW","READY")))</f>
        <v/>
      </c>
      <c r="G153" s="91">
        <f>IF($A153="","",'Enrollment Census'!$AE144)</f>
        <v/>
      </c>
      <c r="H153" s="91">
        <f>IF($A153="","",'Enrollment Census'!$AF144)</f>
        <v/>
      </c>
      <c r="I153" s="91">
        <f>IF($A153="","",'Enrollment Census'!$AD144)</f>
        <v/>
      </c>
      <c r="J153">
        <f>IF($A153="","",'Enrollment Census'!$A144)</f>
        <v/>
      </c>
      <c r="K153">
        <f>IF($F153="FIX",ROW(),IF($F153="REVIEW",1000+ROW(),""))</f>
        <v/>
      </c>
    </row>
    <row r="154" ht="36" customHeight="1">
      <c r="A154" s="91">
        <f>IF(COUNTA('Enrollment Census'!$A145:$U145)&gt;0,145,"")</f>
        <v/>
      </c>
      <c r="B154" s="91">
        <f>IF($A154="","","Employee ending "&amp;RIGHT('Enrollment Census'!$A145&amp;"",4)&amp;IF('Enrollment Census'!$AH145&gt;0," • "&amp;'Enrollment Census'!$AH145&amp;" row"&amp;IF('Enrollment Census'!$AH145=1,"","s")&amp;" need attention",""))</f>
        <v/>
      </c>
      <c r="C154" s="91">
        <f>IF($A154="","",TRIM('Enrollment Census'!$C145&amp;" "&amp;'Enrollment Census'!$D145)&amp;" • ending "&amp;RIGHT('Enrollment Census'!$W145&amp;"",4))</f>
        <v/>
      </c>
      <c r="D154" s="91">
        <f>IF($A154="","",'Enrollment Census'!$X145)</f>
        <v/>
      </c>
      <c r="E154" s="91">
        <f>IF($A154="","",'Enrollment Census'!$S145)</f>
        <v/>
      </c>
      <c r="F154" s="91">
        <f>IF($A154="","",IF('Enrollment Census'!$AF145&lt;&gt;"","FIX",IF('Enrollment Census'!$AD145&lt;&gt;"","REVIEW","READY")))</f>
        <v/>
      </c>
      <c r="G154" s="91">
        <f>IF($A154="","",'Enrollment Census'!$AE145)</f>
        <v/>
      </c>
      <c r="H154" s="91">
        <f>IF($A154="","",'Enrollment Census'!$AF145)</f>
        <v/>
      </c>
      <c r="I154" s="91">
        <f>IF($A154="","",'Enrollment Census'!$AD145)</f>
        <v/>
      </c>
      <c r="J154">
        <f>IF($A154="","",'Enrollment Census'!$A145)</f>
        <v/>
      </c>
      <c r="K154">
        <f>IF($F154="FIX",ROW(),IF($F154="REVIEW",1000+ROW(),""))</f>
        <v/>
      </c>
    </row>
    <row r="155" ht="36" customHeight="1">
      <c r="A155" s="91">
        <f>IF(COUNTA('Enrollment Census'!$A146:$U146)&gt;0,146,"")</f>
        <v/>
      </c>
      <c r="B155" s="91">
        <f>IF($A155="","","Employee ending "&amp;RIGHT('Enrollment Census'!$A146&amp;"",4)&amp;IF('Enrollment Census'!$AH146&gt;0," • "&amp;'Enrollment Census'!$AH146&amp;" row"&amp;IF('Enrollment Census'!$AH146=1,"","s")&amp;" need attention",""))</f>
        <v/>
      </c>
      <c r="C155" s="91">
        <f>IF($A155="","",TRIM('Enrollment Census'!$C146&amp;" "&amp;'Enrollment Census'!$D146)&amp;" • ending "&amp;RIGHT('Enrollment Census'!$W146&amp;"",4))</f>
        <v/>
      </c>
      <c r="D155" s="91">
        <f>IF($A155="","",'Enrollment Census'!$X146)</f>
        <v/>
      </c>
      <c r="E155" s="91">
        <f>IF($A155="","",'Enrollment Census'!$S146)</f>
        <v/>
      </c>
      <c r="F155" s="91">
        <f>IF($A155="","",IF('Enrollment Census'!$AF146&lt;&gt;"","FIX",IF('Enrollment Census'!$AD146&lt;&gt;"","REVIEW","READY")))</f>
        <v/>
      </c>
      <c r="G155" s="91">
        <f>IF($A155="","",'Enrollment Census'!$AE146)</f>
        <v/>
      </c>
      <c r="H155" s="91">
        <f>IF($A155="","",'Enrollment Census'!$AF146)</f>
        <v/>
      </c>
      <c r="I155" s="91">
        <f>IF($A155="","",'Enrollment Census'!$AD146)</f>
        <v/>
      </c>
      <c r="J155">
        <f>IF($A155="","",'Enrollment Census'!$A146)</f>
        <v/>
      </c>
      <c r="K155">
        <f>IF($F155="FIX",ROW(),IF($F155="REVIEW",1000+ROW(),""))</f>
        <v/>
      </c>
    </row>
    <row r="156" ht="36" customHeight="1">
      <c r="A156" s="91">
        <f>IF(COUNTA('Enrollment Census'!$A147:$U147)&gt;0,147,"")</f>
        <v/>
      </c>
      <c r="B156" s="91">
        <f>IF($A156="","","Employee ending "&amp;RIGHT('Enrollment Census'!$A147&amp;"",4)&amp;IF('Enrollment Census'!$AH147&gt;0," • "&amp;'Enrollment Census'!$AH147&amp;" row"&amp;IF('Enrollment Census'!$AH147=1,"","s")&amp;" need attention",""))</f>
        <v/>
      </c>
      <c r="C156" s="91">
        <f>IF($A156="","",TRIM('Enrollment Census'!$C147&amp;" "&amp;'Enrollment Census'!$D147)&amp;" • ending "&amp;RIGHT('Enrollment Census'!$W147&amp;"",4))</f>
        <v/>
      </c>
      <c r="D156" s="91">
        <f>IF($A156="","",'Enrollment Census'!$X147)</f>
        <v/>
      </c>
      <c r="E156" s="91">
        <f>IF($A156="","",'Enrollment Census'!$S147)</f>
        <v/>
      </c>
      <c r="F156" s="91">
        <f>IF($A156="","",IF('Enrollment Census'!$AF147&lt;&gt;"","FIX",IF('Enrollment Census'!$AD147&lt;&gt;"","REVIEW","READY")))</f>
        <v/>
      </c>
      <c r="G156" s="91">
        <f>IF($A156="","",'Enrollment Census'!$AE147)</f>
        <v/>
      </c>
      <c r="H156" s="91">
        <f>IF($A156="","",'Enrollment Census'!$AF147)</f>
        <v/>
      </c>
      <c r="I156" s="91">
        <f>IF($A156="","",'Enrollment Census'!$AD147)</f>
        <v/>
      </c>
      <c r="J156">
        <f>IF($A156="","",'Enrollment Census'!$A147)</f>
        <v/>
      </c>
      <c r="K156">
        <f>IF($F156="FIX",ROW(),IF($F156="REVIEW",1000+ROW(),""))</f>
        <v/>
      </c>
    </row>
    <row r="157" ht="36" customHeight="1">
      <c r="A157" s="91">
        <f>IF(COUNTA('Enrollment Census'!$A148:$U148)&gt;0,148,"")</f>
        <v/>
      </c>
      <c r="B157" s="91">
        <f>IF($A157="","","Employee ending "&amp;RIGHT('Enrollment Census'!$A148&amp;"",4)&amp;IF('Enrollment Census'!$AH148&gt;0," • "&amp;'Enrollment Census'!$AH148&amp;" row"&amp;IF('Enrollment Census'!$AH148=1,"","s")&amp;" need attention",""))</f>
        <v/>
      </c>
      <c r="C157" s="91">
        <f>IF($A157="","",TRIM('Enrollment Census'!$C148&amp;" "&amp;'Enrollment Census'!$D148)&amp;" • ending "&amp;RIGHT('Enrollment Census'!$W148&amp;"",4))</f>
        <v/>
      </c>
      <c r="D157" s="91">
        <f>IF($A157="","",'Enrollment Census'!$X148)</f>
        <v/>
      </c>
      <c r="E157" s="91">
        <f>IF($A157="","",'Enrollment Census'!$S148)</f>
        <v/>
      </c>
      <c r="F157" s="91">
        <f>IF($A157="","",IF('Enrollment Census'!$AF148&lt;&gt;"","FIX",IF('Enrollment Census'!$AD148&lt;&gt;"","REVIEW","READY")))</f>
        <v/>
      </c>
      <c r="G157" s="91">
        <f>IF($A157="","",'Enrollment Census'!$AE148)</f>
        <v/>
      </c>
      <c r="H157" s="91">
        <f>IF($A157="","",'Enrollment Census'!$AF148)</f>
        <v/>
      </c>
      <c r="I157" s="91">
        <f>IF($A157="","",'Enrollment Census'!$AD148)</f>
        <v/>
      </c>
      <c r="J157">
        <f>IF($A157="","",'Enrollment Census'!$A148)</f>
        <v/>
      </c>
      <c r="K157">
        <f>IF($F157="FIX",ROW(),IF($F157="REVIEW",1000+ROW(),""))</f>
        <v/>
      </c>
    </row>
    <row r="158" ht="36" customHeight="1">
      <c r="A158" s="91">
        <f>IF(COUNTA('Enrollment Census'!$A149:$U149)&gt;0,149,"")</f>
        <v/>
      </c>
      <c r="B158" s="91">
        <f>IF($A158="","","Employee ending "&amp;RIGHT('Enrollment Census'!$A149&amp;"",4)&amp;IF('Enrollment Census'!$AH149&gt;0," • "&amp;'Enrollment Census'!$AH149&amp;" row"&amp;IF('Enrollment Census'!$AH149=1,"","s")&amp;" need attention",""))</f>
        <v/>
      </c>
      <c r="C158" s="91">
        <f>IF($A158="","",TRIM('Enrollment Census'!$C149&amp;" "&amp;'Enrollment Census'!$D149)&amp;" • ending "&amp;RIGHT('Enrollment Census'!$W149&amp;"",4))</f>
        <v/>
      </c>
      <c r="D158" s="91">
        <f>IF($A158="","",'Enrollment Census'!$X149)</f>
        <v/>
      </c>
      <c r="E158" s="91">
        <f>IF($A158="","",'Enrollment Census'!$S149)</f>
        <v/>
      </c>
      <c r="F158" s="91">
        <f>IF($A158="","",IF('Enrollment Census'!$AF149&lt;&gt;"","FIX",IF('Enrollment Census'!$AD149&lt;&gt;"","REVIEW","READY")))</f>
        <v/>
      </c>
      <c r="G158" s="91">
        <f>IF($A158="","",'Enrollment Census'!$AE149)</f>
        <v/>
      </c>
      <c r="H158" s="91">
        <f>IF($A158="","",'Enrollment Census'!$AF149)</f>
        <v/>
      </c>
      <c r="I158" s="91">
        <f>IF($A158="","",'Enrollment Census'!$AD149)</f>
        <v/>
      </c>
      <c r="J158">
        <f>IF($A158="","",'Enrollment Census'!$A149)</f>
        <v/>
      </c>
      <c r="K158">
        <f>IF($F158="FIX",ROW(),IF($F158="REVIEW",1000+ROW(),""))</f>
        <v/>
      </c>
    </row>
    <row r="159" ht="36" customHeight="1">
      <c r="A159" s="91">
        <f>IF(COUNTA('Enrollment Census'!$A150:$U150)&gt;0,150,"")</f>
        <v/>
      </c>
      <c r="B159" s="91">
        <f>IF($A159="","","Employee ending "&amp;RIGHT('Enrollment Census'!$A150&amp;"",4)&amp;IF('Enrollment Census'!$AH150&gt;0," • "&amp;'Enrollment Census'!$AH150&amp;" row"&amp;IF('Enrollment Census'!$AH150=1,"","s")&amp;" need attention",""))</f>
        <v/>
      </c>
      <c r="C159" s="91">
        <f>IF($A159="","",TRIM('Enrollment Census'!$C150&amp;" "&amp;'Enrollment Census'!$D150)&amp;" • ending "&amp;RIGHT('Enrollment Census'!$W150&amp;"",4))</f>
        <v/>
      </c>
      <c r="D159" s="91">
        <f>IF($A159="","",'Enrollment Census'!$X150)</f>
        <v/>
      </c>
      <c r="E159" s="91">
        <f>IF($A159="","",'Enrollment Census'!$S150)</f>
        <v/>
      </c>
      <c r="F159" s="91">
        <f>IF($A159="","",IF('Enrollment Census'!$AF150&lt;&gt;"","FIX",IF('Enrollment Census'!$AD150&lt;&gt;"","REVIEW","READY")))</f>
        <v/>
      </c>
      <c r="G159" s="91">
        <f>IF($A159="","",'Enrollment Census'!$AE150)</f>
        <v/>
      </c>
      <c r="H159" s="91">
        <f>IF($A159="","",'Enrollment Census'!$AF150)</f>
        <v/>
      </c>
      <c r="I159" s="91">
        <f>IF($A159="","",'Enrollment Census'!$AD150)</f>
        <v/>
      </c>
      <c r="J159">
        <f>IF($A159="","",'Enrollment Census'!$A150)</f>
        <v/>
      </c>
      <c r="K159">
        <f>IF($F159="FIX",ROW(),IF($F159="REVIEW",1000+ROW(),""))</f>
        <v/>
      </c>
    </row>
    <row r="160" ht="36" customHeight="1">
      <c r="A160" s="91">
        <f>IF(COUNTA('Enrollment Census'!$A151:$U151)&gt;0,151,"")</f>
        <v/>
      </c>
      <c r="B160" s="91">
        <f>IF($A160="","","Employee ending "&amp;RIGHT('Enrollment Census'!$A151&amp;"",4)&amp;IF('Enrollment Census'!$AH151&gt;0," • "&amp;'Enrollment Census'!$AH151&amp;" row"&amp;IF('Enrollment Census'!$AH151=1,"","s")&amp;" need attention",""))</f>
        <v/>
      </c>
      <c r="C160" s="91">
        <f>IF($A160="","",TRIM('Enrollment Census'!$C151&amp;" "&amp;'Enrollment Census'!$D151)&amp;" • ending "&amp;RIGHT('Enrollment Census'!$W151&amp;"",4))</f>
        <v/>
      </c>
      <c r="D160" s="91">
        <f>IF($A160="","",'Enrollment Census'!$X151)</f>
        <v/>
      </c>
      <c r="E160" s="91">
        <f>IF($A160="","",'Enrollment Census'!$S151)</f>
        <v/>
      </c>
      <c r="F160" s="91">
        <f>IF($A160="","",IF('Enrollment Census'!$AF151&lt;&gt;"","FIX",IF('Enrollment Census'!$AD151&lt;&gt;"","REVIEW","READY")))</f>
        <v/>
      </c>
      <c r="G160" s="91">
        <f>IF($A160="","",'Enrollment Census'!$AE151)</f>
        <v/>
      </c>
      <c r="H160" s="91">
        <f>IF($A160="","",'Enrollment Census'!$AF151)</f>
        <v/>
      </c>
      <c r="I160" s="91">
        <f>IF($A160="","",'Enrollment Census'!$AD151)</f>
        <v/>
      </c>
      <c r="J160">
        <f>IF($A160="","",'Enrollment Census'!$A151)</f>
        <v/>
      </c>
      <c r="K160">
        <f>IF($F160="FIX",ROW(),IF($F160="REVIEW",1000+ROW(),""))</f>
        <v/>
      </c>
    </row>
    <row r="161" ht="36" customHeight="1">
      <c r="A161" s="91">
        <f>IF(COUNTA('Enrollment Census'!$A152:$U152)&gt;0,152,"")</f>
        <v/>
      </c>
      <c r="B161" s="91">
        <f>IF($A161="","","Employee ending "&amp;RIGHT('Enrollment Census'!$A152&amp;"",4)&amp;IF('Enrollment Census'!$AH152&gt;0," • "&amp;'Enrollment Census'!$AH152&amp;" row"&amp;IF('Enrollment Census'!$AH152=1,"","s")&amp;" need attention",""))</f>
        <v/>
      </c>
      <c r="C161" s="91">
        <f>IF($A161="","",TRIM('Enrollment Census'!$C152&amp;" "&amp;'Enrollment Census'!$D152)&amp;" • ending "&amp;RIGHT('Enrollment Census'!$W152&amp;"",4))</f>
        <v/>
      </c>
      <c r="D161" s="91">
        <f>IF($A161="","",'Enrollment Census'!$X152)</f>
        <v/>
      </c>
      <c r="E161" s="91">
        <f>IF($A161="","",'Enrollment Census'!$S152)</f>
        <v/>
      </c>
      <c r="F161" s="91">
        <f>IF($A161="","",IF('Enrollment Census'!$AF152&lt;&gt;"","FIX",IF('Enrollment Census'!$AD152&lt;&gt;"","REVIEW","READY")))</f>
        <v/>
      </c>
      <c r="G161" s="91">
        <f>IF($A161="","",'Enrollment Census'!$AE152)</f>
        <v/>
      </c>
      <c r="H161" s="91">
        <f>IF($A161="","",'Enrollment Census'!$AF152)</f>
        <v/>
      </c>
      <c r="I161" s="91">
        <f>IF($A161="","",'Enrollment Census'!$AD152)</f>
        <v/>
      </c>
      <c r="J161">
        <f>IF($A161="","",'Enrollment Census'!$A152)</f>
        <v/>
      </c>
      <c r="K161">
        <f>IF($F161="FIX",ROW(),IF($F161="REVIEW",1000+ROW(),""))</f>
        <v/>
      </c>
    </row>
    <row r="162" ht="36" customHeight="1">
      <c r="A162" s="91">
        <f>IF(COUNTA('Enrollment Census'!$A153:$U153)&gt;0,153,"")</f>
        <v/>
      </c>
      <c r="B162" s="91">
        <f>IF($A162="","","Employee ending "&amp;RIGHT('Enrollment Census'!$A153&amp;"",4)&amp;IF('Enrollment Census'!$AH153&gt;0," • "&amp;'Enrollment Census'!$AH153&amp;" row"&amp;IF('Enrollment Census'!$AH153=1,"","s")&amp;" need attention",""))</f>
        <v/>
      </c>
      <c r="C162" s="91">
        <f>IF($A162="","",TRIM('Enrollment Census'!$C153&amp;" "&amp;'Enrollment Census'!$D153)&amp;" • ending "&amp;RIGHT('Enrollment Census'!$W153&amp;"",4))</f>
        <v/>
      </c>
      <c r="D162" s="91">
        <f>IF($A162="","",'Enrollment Census'!$X153)</f>
        <v/>
      </c>
      <c r="E162" s="91">
        <f>IF($A162="","",'Enrollment Census'!$S153)</f>
        <v/>
      </c>
      <c r="F162" s="91">
        <f>IF($A162="","",IF('Enrollment Census'!$AF153&lt;&gt;"","FIX",IF('Enrollment Census'!$AD153&lt;&gt;"","REVIEW","READY")))</f>
        <v/>
      </c>
      <c r="G162" s="91">
        <f>IF($A162="","",'Enrollment Census'!$AE153)</f>
        <v/>
      </c>
      <c r="H162" s="91">
        <f>IF($A162="","",'Enrollment Census'!$AF153)</f>
        <v/>
      </c>
      <c r="I162" s="91">
        <f>IF($A162="","",'Enrollment Census'!$AD153)</f>
        <v/>
      </c>
      <c r="J162">
        <f>IF($A162="","",'Enrollment Census'!$A153)</f>
        <v/>
      </c>
      <c r="K162">
        <f>IF($F162="FIX",ROW(),IF($F162="REVIEW",1000+ROW(),""))</f>
        <v/>
      </c>
    </row>
    <row r="163" ht="36" customHeight="1">
      <c r="A163" s="91">
        <f>IF(COUNTA('Enrollment Census'!$A154:$U154)&gt;0,154,"")</f>
        <v/>
      </c>
      <c r="B163" s="91">
        <f>IF($A163="","","Employee ending "&amp;RIGHT('Enrollment Census'!$A154&amp;"",4)&amp;IF('Enrollment Census'!$AH154&gt;0," • "&amp;'Enrollment Census'!$AH154&amp;" row"&amp;IF('Enrollment Census'!$AH154=1,"","s")&amp;" need attention",""))</f>
        <v/>
      </c>
      <c r="C163" s="91">
        <f>IF($A163="","",TRIM('Enrollment Census'!$C154&amp;" "&amp;'Enrollment Census'!$D154)&amp;" • ending "&amp;RIGHT('Enrollment Census'!$W154&amp;"",4))</f>
        <v/>
      </c>
      <c r="D163" s="91">
        <f>IF($A163="","",'Enrollment Census'!$X154)</f>
        <v/>
      </c>
      <c r="E163" s="91">
        <f>IF($A163="","",'Enrollment Census'!$S154)</f>
        <v/>
      </c>
      <c r="F163" s="91">
        <f>IF($A163="","",IF('Enrollment Census'!$AF154&lt;&gt;"","FIX",IF('Enrollment Census'!$AD154&lt;&gt;"","REVIEW","READY")))</f>
        <v/>
      </c>
      <c r="G163" s="91">
        <f>IF($A163="","",'Enrollment Census'!$AE154)</f>
        <v/>
      </c>
      <c r="H163" s="91">
        <f>IF($A163="","",'Enrollment Census'!$AF154)</f>
        <v/>
      </c>
      <c r="I163" s="91">
        <f>IF($A163="","",'Enrollment Census'!$AD154)</f>
        <v/>
      </c>
      <c r="J163">
        <f>IF($A163="","",'Enrollment Census'!$A154)</f>
        <v/>
      </c>
      <c r="K163">
        <f>IF($F163="FIX",ROW(),IF($F163="REVIEW",1000+ROW(),""))</f>
        <v/>
      </c>
    </row>
    <row r="164" ht="36" customHeight="1">
      <c r="A164" s="91">
        <f>IF(COUNTA('Enrollment Census'!$A155:$U155)&gt;0,155,"")</f>
        <v/>
      </c>
      <c r="B164" s="91">
        <f>IF($A164="","","Employee ending "&amp;RIGHT('Enrollment Census'!$A155&amp;"",4)&amp;IF('Enrollment Census'!$AH155&gt;0," • "&amp;'Enrollment Census'!$AH155&amp;" row"&amp;IF('Enrollment Census'!$AH155=1,"","s")&amp;" need attention",""))</f>
        <v/>
      </c>
      <c r="C164" s="91">
        <f>IF($A164="","",TRIM('Enrollment Census'!$C155&amp;" "&amp;'Enrollment Census'!$D155)&amp;" • ending "&amp;RIGHT('Enrollment Census'!$W155&amp;"",4))</f>
        <v/>
      </c>
      <c r="D164" s="91">
        <f>IF($A164="","",'Enrollment Census'!$X155)</f>
        <v/>
      </c>
      <c r="E164" s="91">
        <f>IF($A164="","",'Enrollment Census'!$S155)</f>
        <v/>
      </c>
      <c r="F164" s="91">
        <f>IF($A164="","",IF('Enrollment Census'!$AF155&lt;&gt;"","FIX",IF('Enrollment Census'!$AD155&lt;&gt;"","REVIEW","READY")))</f>
        <v/>
      </c>
      <c r="G164" s="91">
        <f>IF($A164="","",'Enrollment Census'!$AE155)</f>
        <v/>
      </c>
      <c r="H164" s="91">
        <f>IF($A164="","",'Enrollment Census'!$AF155)</f>
        <v/>
      </c>
      <c r="I164" s="91">
        <f>IF($A164="","",'Enrollment Census'!$AD155)</f>
        <v/>
      </c>
      <c r="J164">
        <f>IF($A164="","",'Enrollment Census'!$A155)</f>
        <v/>
      </c>
      <c r="K164">
        <f>IF($F164="FIX",ROW(),IF($F164="REVIEW",1000+ROW(),""))</f>
        <v/>
      </c>
    </row>
    <row r="165" ht="36" customHeight="1">
      <c r="A165" s="91">
        <f>IF(COUNTA('Enrollment Census'!$A156:$U156)&gt;0,156,"")</f>
        <v/>
      </c>
      <c r="B165" s="91">
        <f>IF($A165="","","Employee ending "&amp;RIGHT('Enrollment Census'!$A156&amp;"",4)&amp;IF('Enrollment Census'!$AH156&gt;0," • "&amp;'Enrollment Census'!$AH156&amp;" row"&amp;IF('Enrollment Census'!$AH156=1,"","s")&amp;" need attention",""))</f>
        <v/>
      </c>
      <c r="C165" s="91">
        <f>IF($A165="","",TRIM('Enrollment Census'!$C156&amp;" "&amp;'Enrollment Census'!$D156)&amp;" • ending "&amp;RIGHT('Enrollment Census'!$W156&amp;"",4))</f>
        <v/>
      </c>
      <c r="D165" s="91">
        <f>IF($A165="","",'Enrollment Census'!$X156)</f>
        <v/>
      </c>
      <c r="E165" s="91">
        <f>IF($A165="","",'Enrollment Census'!$S156)</f>
        <v/>
      </c>
      <c r="F165" s="91">
        <f>IF($A165="","",IF('Enrollment Census'!$AF156&lt;&gt;"","FIX",IF('Enrollment Census'!$AD156&lt;&gt;"","REVIEW","READY")))</f>
        <v/>
      </c>
      <c r="G165" s="91">
        <f>IF($A165="","",'Enrollment Census'!$AE156)</f>
        <v/>
      </c>
      <c r="H165" s="91">
        <f>IF($A165="","",'Enrollment Census'!$AF156)</f>
        <v/>
      </c>
      <c r="I165" s="91">
        <f>IF($A165="","",'Enrollment Census'!$AD156)</f>
        <v/>
      </c>
      <c r="J165">
        <f>IF($A165="","",'Enrollment Census'!$A156)</f>
        <v/>
      </c>
      <c r="K165">
        <f>IF($F165="FIX",ROW(),IF($F165="REVIEW",1000+ROW(),""))</f>
        <v/>
      </c>
    </row>
    <row r="166" ht="36" customHeight="1">
      <c r="A166" s="91">
        <f>IF(COUNTA('Enrollment Census'!$A157:$U157)&gt;0,157,"")</f>
        <v/>
      </c>
      <c r="B166" s="91">
        <f>IF($A166="","","Employee ending "&amp;RIGHT('Enrollment Census'!$A157&amp;"",4)&amp;IF('Enrollment Census'!$AH157&gt;0," • "&amp;'Enrollment Census'!$AH157&amp;" row"&amp;IF('Enrollment Census'!$AH157=1,"","s")&amp;" need attention",""))</f>
        <v/>
      </c>
      <c r="C166" s="91">
        <f>IF($A166="","",TRIM('Enrollment Census'!$C157&amp;" "&amp;'Enrollment Census'!$D157)&amp;" • ending "&amp;RIGHT('Enrollment Census'!$W157&amp;"",4))</f>
        <v/>
      </c>
      <c r="D166" s="91">
        <f>IF($A166="","",'Enrollment Census'!$X157)</f>
        <v/>
      </c>
      <c r="E166" s="91">
        <f>IF($A166="","",'Enrollment Census'!$S157)</f>
        <v/>
      </c>
      <c r="F166" s="91">
        <f>IF($A166="","",IF('Enrollment Census'!$AF157&lt;&gt;"","FIX",IF('Enrollment Census'!$AD157&lt;&gt;"","REVIEW","READY")))</f>
        <v/>
      </c>
      <c r="G166" s="91">
        <f>IF($A166="","",'Enrollment Census'!$AE157)</f>
        <v/>
      </c>
      <c r="H166" s="91">
        <f>IF($A166="","",'Enrollment Census'!$AF157)</f>
        <v/>
      </c>
      <c r="I166" s="91">
        <f>IF($A166="","",'Enrollment Census'!$AD157)</f>
        <v/>
      </c>
      <c r="J166">
        <f>IF($A166="","",'Enrollment Census'!$A157)</f>
        <v/>
      </c>
      <c r="K166">
        <f>IF($F166="FIX",ROW(),IF($F166="REVIEW",1000+ROW(),""))</f>
        <v/>
      </c>
    </row>
    <row r="167" ht="36" customHeight="1">
      <c r="A167" s="91">
        <f>IF(COUNTA('Enrollment Census'!$A158:$U158)&gt;0,158,"")</f>
        <v/>
      </c>
      <c r="B167" s="91">
        <f>IF($A167="","","Employee ending "&amp;RIGHT('Enrollment Census'!$A158&amp;"",4)&amp;IF('Enrollment Census'!$AH158&gt;0," • "&amp;'Enrollment Census'!$AH158&amp;" row"&amp;IF('Enrollment Census'!$AH158=1,"","s")&amp;" need attention",""))</f>
        <v/>
      </c>
      <c r="C167" s="91">
        <f>IF($A167="","",TRIM('Enrollment Census'!$C158&amp;" "&amp;'Enrollment Census'!$D158)&amp;" • ending "&amp;RIGHT('Enrollment Census'!$W158&amp;"",4))</f>
        <v/>
      </c>
      <c r="D167" s="91">
        <f>IF($A167="","",'Enrollment Census'!$X158)</f>
        <v/>
      </c>
      <c r="E167" s="91">
        <f>IF($A167="","",'Enrollment Census'!$S158)</f>
        <v/>
      </c>
      <c r="F167" s="91">
        <f>IF($A167="","",IF('Enrollment Census'!$AF158&lt;&gt;"","FIX",IF('Enrollment Census'!$AD158&lt;&gt;"","REVIEW","READY")))</f>
        <v/>
      </c>
      <c r="G167" s="91">
        <f>IF($A167="","",'Enrollment Census'!$AE158)</f>
        <v/>
      </c>
      <c r="H167" s="91">
        <f>IF($A167="","",'Enrollment Census'!$AF158)</f>
        <v/>
      </c>
      <c r="I167" s="91">
        <f>IF($A167="","",'Enrollment Census'!$AD158)</f>
        <v/>
      </c>
      <c r="J167">
        <f>IF($A167="","",'Enrollment Census'!$A158)</f>
        <v/>
      </c>
      <c r="K167">
        <f>IF($F167="FIX",ROW(),IF($F167="REVIEW",1000+ROW(),""))</f>
        <v/>
      </c>
    </row>
    <row r="168" ht="36" customHeight="1">
      <c r="A168" s="91">
        <f>IF(COUNTA('Enrollment Census'!$A159:$U159)&gt;0,159,"")</f>
        <v/>
      </c>
      <c r="B168" s="91">
        <f>IF($A168="","","Employee ending "&amp;RIGHT('Enrollment Census'!$A159&amp;"",4)&amp;IF('Enrollment Census'!$AH159&gt;0," • "&amp;'Enrollment Census'!$AH159&amp;" row"&amp;IF('Enrollment Census'!$AH159=1,"","s")&amp;" need attention",""))</f>
        <v/>
      </c>
      <c r="C168" s="91">
        <f>IF($A168="","",TRIM('Enrollment Census'!$C159&amp;" "&amp;'Enrollment Census'!$D159)&amp;" • ending "&amp;RIGHT('Enrollment Census'!$W159&amp;"",4))</f>
        <v/>
      </c>
      <c r="D168" s="91">
        <f>IF($A168="","",'Enrollment Census'!$X159)</f>
        <v/>
      </c>
      <c r="E168" s="91">
        <f>IF($A168="","",'Enrollment Census'!$S159)</f>
        <v/>
      </c>
      <c r="F168" s="91">
        <f>IF($A168="","",IF('Enrollment Census'!$AF159&lt;&gt;"","FIX",IF('Enrollment Census'!$AD159&lt;&gt;"","REVIEW","READY")))</f>
        <v/>
      </c>
      <c r="G168" s="91">
        <f>IF($A168="","",'Enrollment Census'!$AE159)</f>
        <v/>
      </c>
      <c r="H168" s="91">
        <f>IF($A168="","",'Enrollment Census'!$AF159)</f>
        <v/>
      </c>
      <c r="I168" s="91">
        <f>IF($A168="","",'Enrollment Census'!$AD159)</f>
        <v/>
      </c>
      <c r="J168">
        <f>IF($A168="","",'Enrollment Census'!$A159)</f>
        <v/>
      </c>
      <c r="K168">
        <f>IF($F168="FIX",ROW(),IF($F168="REVIEW",1000+ROW(),""))</f>
        <v/>
      </c>
    </row>
    <row r="169" ht="36" customHeight="1">
      <c r="A169" s="91">
        <f>IF(COUNTA('Enrollment Census'!$A160:$U160)&gt;0,160,"")</f>
        <v/>
      </c>
      <c r="B169" s="91">
        <f>IF($A169="","","Employee ending "&amp;RIGHT('Enrollment Census'!$A160&amp;"",4)&amp;IF('Enrollment Census'!$AH160&gt;0," • "&amp;'Enrollment Census'!$AH160&amp;" row"&amp;IF('Enrollment Census'!$AH160=1,"","s")&amp;" need attention",""))</f>
        <v/>
      </c>
      <c r="C169" s="91">
        <f>IF($A169="","",TRIM('Enrollment Census'!$C160&amp;" "&amp;'Enrollment Census'!$D160)&amp;" • ending "&amp;RIGHT('Enrollment Census'!$W160&amp;"",4))</f>
        <v/>
      </c>
      <c r="D169" s="91">
        <f>IF($A169="","",'Enrollment Census'!$X160)</f>
        <v/>
      </c>
      <c r="E169" s="91">
        <f>IF($A169="","",'Enrollment Census'!$S160)</f>
        <v/>
      </c>
      <c r="F169" s="91">
        <f>IF($A169="","",IF('Enrollment Census'!$AF160&lt;&gt;"","FIX",IF('Enrollment Census'!$AD160&lt;&gt;"","REVIEW","READY")))</f>
        <v/>
      </c>
      <c r="G169" s="91">
        <f>IF($A169="","",'Enrollment Census'!$AE160)</f>
        <v/>
      </c>
      <c r="H169" s="91">
        <f>IF($A169="","",'Enrollment Census'!$AF160)</f>
        <v/>
      </c>
      <c r="I169" s="91">
        <f>IF($A169="","",'Enrollment Census'!$AD160)</f>
        <v/>
      </c>
      <c r="J169">
        <f>IF($A169="","",'Enrollment Census'!$A160)</f>
        <v/>
      </c>
      <c r="K169">
        <f>IF($F169="FIX",ROW(),IF($F169="REVIEW",1000+ROW(),""))</f>
        <v/>
      </c>
    </row>
    <row r="170" ht="36" customHeight="1">
      <c r="A170" s="91">
        <f>IF(COUNTA('Enrollment Census'!$A161:$U161)&gt;0,161,"")</f>
        <v/>
      </c>
      <c r="B170" s="91">
        <f>IF($A170="","","Employee ending "&amp;RIGHT('Enrollment Census'!$A161&amp;"",4)&amp;IF('Enrollment Census'!$AH161&gt;0," • "&amp;'Enrollment Census'!$AH161&amp;" row"&amp;IF('Enrollment Census'!$AH161=1,"","s")&amp;" need attention",""))</f>
        <v/>
      </c>
      <c r="C170" s="91">
        <f>IF($A170="","",TRIM('Enrollment Census'!$C161&amp;" "&amp;'Enrollment Census'!$D161)&amp;" • ending "&amp;RIGHT('Enrollment Census'!$W161&amp;"",4))</f>
        <v/>
      </c>
      <c r="D170" s="91">
        <f>IF($A170="","",'Enrollment Census'!$X161)</f>
        <v/>
      </c>
      <c r="E170" s="91">
        <f>IF($A170="","",'Enrollment Census'!$S161)</f>
        <v/>
      </c>
      <c r="F170" s="91">
        <f>IF($A170="","",IF('Enrollment Census'!$AF161&lt;&gt;"","FIX",IF('Enrollment Census'!$AD161&lt;&gt;"","REVIEW","READY")))</f>
        <v/>
      </c>
      <c r="G170" s="91">
        <f>IF($A170="","",'Enrollment Census'!$AE161)</f>
        <v/>
      </c>
      <c r="H170" s="91">
        <f>IF($A170="","",'Enrollment Census'!$AF161)</f>
        <v/>
      </c>
      <c r="I170" s="91">
        <f>IF($A170="","",'Enrollment Census'!$AD161)</f>
        <v/>
      </c>
      <c r="J170">
        <f>IF($A170="","",'Enrollment Census'!$A161)</f>
        <v/>
      </c>
      <c r="K170">
        <f>IF($F170="FIX",ROW(),IF($F170="REVIEW",1000+ROW(),""))</f>
        <v/>
      </c>
    </row>
    <row r="171" ht="36" customHeight="1">
      <c r="A171" s="91">
        <f>IF(COUNTA('Enrollment Census'!$A162:$U162)&gt;0,162,"")</f>
        <v/>
      </c>
      <c r="B171" s="91">
        <f>IF($A171="","","Employee ending "&amp;RIGHT('Enrollment Census'!$A162&amp;"",4)&amp;IF('Enrollment Census'!$AH162&gt;0," • "&amp;'Enrollment Census'!$AH162&amp;" row"&amp;IF('Enrollment Census'!$AH162=1,"","s")&amp;" need attention",""))</f>
        <v/>
      </c>
      <c r="C171" s="91">
        <f>IF($A171="","",TRIM('Enrollment Census'!$C162&amp;" "&amp;'Enrollment Census'!$D162)&amp;" • ending "&amp;RIGHT('Enrollment Census'!$W162&amp;"",4))</f>
        <v/>
      </c>
      <c r="D171" s="91">
        <f>IF($A171="","",'Enrollment Census'!$X162)</f>
        <v/>
      </c>
      <c r="E171" s="91">
        <f>IF($A171="","",'Enrollment Census'!$S162)</f>
        <v/>
      </c>
      <c r="F171" s="91">
        <f>IF($A171="","",IF('Enrollment Census'!$AF162&lt;&gt;"","FIX",IF('Enrollment Census'!$AD162&lt;&gt;"","REVIEW","READY")))</f>
        <v/>
      </c>
      <c r="G171" s="91">
        <f>IF($A171="","",'Enrollment Census'!$AE162)</f>
        <v/>
      </c>
      <c r="H171" s="91">
        <f>IF($A171="","",'Enrollment Census'!$AF162)</f>
        <v/>
      </c>
      <c r="I171" s="91">
        <f>IF($A171="","",'Enrollment Census'!$AD162)</f>
        <v/>
      </c>
      <c r="J171">
        <f>IF($A171="","",'Enrollment Census'!$A162)</f>
        <v/>
      </c>
      <c r="K171">
        <f>IF($F171="FIX",ROW(),IF($F171="REVIEW",1000+ROW(),""))</f>
        <v/>
      </c>
    </row>
    <row r="172" ht="36" customHeight="1">
      <c r="A172" s="91">
        <f>IF(COUNTA('Enrollment Census'!$A163:$U163)&gt;0,163,"")</f>
        <v/>
      </c>
      <c r="B172" s="91">
        <f>IF($A172="","","Employee ending "&amp;RIGHT('Enrollment Census'!$A163&amp;"",4)&amp;IF('Enrollment Census'!$AH163&gt;0," • "&amp;'Enrollment Census'!$AH163&amp;" row"&amp;IF('Enrollment Census'!$AH163=1,"","s")&amp;" need attention",""))</f>
        <v/>
      </c>
      <c r="C172" s="91">
        <f>IF($A172="","",TRIM('Enrollment Census'!$C163&amp;" "&amp;'Enrollment Census'!$D163)&amp;" • ending "&amp;RIGHT('Enrollment Census'!$W163&amp;"",4))</f>
        <v/>
      </c>
      <c r="D172" s="91">
        <f>IF($A172="","",'Enrollment Census'!$X163)</f>
        <v/>
      </c>
      <c r="E172" s="91">
        <f>IF($A172="","",'Enrollment Census'!$S163)</f>
        <v/>
      </c>
      <c r="F172" s="91">
        <f>IF($A172="","",IF('Enrollment Census'!$AF163&lt;&gt;"","FIX",IF('Enrollment Census'!$AD163&lt;&gt;"","REVIEW","READY")))</f>
        <v/>
      </c>
      <c r="G172" s="91">
        <f>IF($A172="","",'Enrollment Census'!$AE163)</f>
        <v/>
      </c>
      <c r="H172" s="91">
        <f>IF($A172="","",'Enrollment Census'!$AF163)</f>
        <v/>
      </c>
      <c r="I172" s="91">
        <f>IF($A172="","",'Enrollment Census'!$AD163)</f>
        <v/>
      </c>
      <c r="J172">
        <f>IF($A172="","",'Enrollment Census'!$A163)</f>
        <v/>
      </c>
      <c r="K172">
        <f>IF($F172="FIX",ROW(),IF($F172="REVIEW",1000+ROW(),""))</f>
        <v/>
      </c>
    </row>
    <row r="173" ht="36" customHeight="1">
      <c r="A173" s="91">
        <f>IF(COUNTA('Enrollment Census'!$A164:$U164)&gt;0,164,"")</f>
        <v/>
      </c>
      <c r="B173" s="91">
        <f>IF($A173="","","Employee ending "&amp;RIGHT('Enrollment Census'!$A164&amp;"",4)&amp;IF('Enrollment Census'!$AH164&gt;0," • "&amp;'Enrollment Census'!$AH164&amp;" row"&amp;IF('Enrollment Census'!$AH164=1,"","s")&amp;" need attention",""))</f>
        <v/>
      </c>
      <c r="C173" s="91">
        <f>IF($A173="","",TRIM('Enrollment Census'!$C164&amp;" "&amp;'Enrollment Census'!$D164)&amp;" • ending "&amp;RIGHT('Enrollment Census'!$W164&amp;"",4))</f>
        <v/>
      </c>
      <c r="D173" s="91">
        <f>IF($A173="","",'Enrollment Census'!$X164)</f>
        <v/>
      </c>
      <c r="E173" s="91">
        <f>IF($A173="","",'Enrollment Census'!$S164)</f>
        <v/>
      </c>
      <c r="F173" s="91">
        <f>IF($A173="","",IF('Enrollment Census'!$AF164&lt;&gt;"","FIX",IF('Enrollment Census'!$AD164&lt;&gt;"","REVIEW","READY")))</f>
        <v/>
      </c>
      <c r="G173" s="91">
        <f>IF($A173="","",'Enrollment Census'!$AE164)</f>
        <v/>
      </c>
      <c r="H173" s="91">
        <f>IF($A173="","",'Enrollment Census'!$AF164)</f>
        <v/>
      </c>
      <c r="I173" s="91">
        <f>IF($A173="","",'Enrollment Census'!$AD164)</f>
        <v/>
      </c>
      <c r="J173">
        <f>IF($A173="","",'Enrollment Census'!$A164)</f>
        <v/>
      </c>
      <c r="K173">
        <f>IF($F173="FIX",ROW(),IF($F173="REVIEW",1000+ROW(),""))</f>
        <v/>
      </c>
    </row>
    <row r="174" ht="36" customHeight="1">
      <c r="A174" s="91">
        <f>IF(COUNTA('Enrollment Census'!$A165:$U165)&gt;0,165,"")</f>
        <v/>
      </c>
      <c r="B174" s="91">
        <f>IF($A174="","","Employee ending "&amp;RIGHT('Enrollment Census'!$A165&amp;"",4)&amp;IF('Enrollment Census'!$AH165&gt;0," • "&amp;'Enrollment Census'!$AH165&amp;" row"&amp;IF('Enrollment Census'!$AH165=1,"","s")&amp;" need attention",""))</f>
        <v/>
      </c>
      <c r="C174" s="91">
        <f>IF($A174="","",TRIM('Enrollment Census'!$C165&amp;" "&amp;'Enrollment Census'!$D165)&amp;" • ending "&amp;RIGHT('Enrollment Census'!$W165&amp;"",4))</f>
        <v/>
      </c>
      <c r="D174" s="91">
        <f>IF($A174="","",'Enrollment Census'!$X165)</f>
        <v/>
      </c>
      <c r="E174" s="91">
        <f>IF($A174="","",'Enrollment Census'!$S165)</f>
        <v/>
      </c>
      <c r="F174" s="91">
        <f>IF($A174="","",IF('Enrollment Census'!$AF165&lt;&gt;"","FIX",IF('Enrollment Census'!$AD165&lt;&gt;"","REVIEW","READY")))</f>
        <v/>
      </c>
      <c r="G174" s="91">
        <f>IF($A174="","",'Enrollment Census'!$AE165)</f>
        <v/>
      </c>
      <c r="H174" s="91">
        <f>IF($A174="","",'Enrollment Census'!$AF165)</f>
        <v/>
      </c>
      <c r="I174" s="91">
        <f>IF($A174="","",'Enrollment Census'!$AD165)</f>
        <v/>
      </c>
      <c r="J174">
        <f>IF($A174="","",'Enrollment Census'!$A165)</f>
        <v/>
      </c>
      <c r="K174">
        <f>IF($F174="FIX",ROW(),IF($F174="REVIEW",1000+ROW(),""))</f>
        <v/>
      </c>
    </row>
    <row r="175" ht="36" customHeight="1">
      <c r="A175" s="91">
        <f>IF(COUNTA('Enrollment Census'!$A166:$U166)&gt;0,166,"")</f>
        <v/>
      </c>
      <c r="B175" s="91">
        <f>IF($A175="","","Employee ending "&amp;RIGHT('Enrollment Census'!$A166&amp;"",4)&amp;IF('Enrollment Census'!$AH166&gt;0," • "&amp;'Enrollment Census'!$AH166&amp;" row"&amp;IF('Enrollment Census'!$AH166=1,"","s")&amp;" need attention",""))</f>
        <v/>
      </c>
      <c r="C175" s="91">
        <f>IF($A175="","",TRIM('Enrollment Census'!$C166&amp;" "&amp;'Enrollment Census'!$D166)&amp;" • ending "&amp;RIGHT('Enrollment Census'!$W166&amp;"",4))</f>
        <v/>
      </c>
      <c r="D175" s="91">
        <f>IF($A175="","",'Enrollment Census'!$X166)</f>
        <v/>
      </c>
      <c r="E175" s="91">
        <f>IF($A175="","",'Enrollment Census'!$S166)</f>
        <v/>
      </c>
      <c r="F175" s="91">
        <f>IF($A175="","",IF('Enrollment Census'!$AF166&lt;&gt;"","FIX",IF('Enrollment Census'!$AD166&lt;&gt;"","REVIEW","READY")))</f>
        <v/>
      </c>
      <c r="G175" s="91">
        <f>IF($A175="","",'Enrollment Census'!$AE166)</f>
        <v/>
      </c>
      <c r="H175" s="91">
        <f>IF($A175="","",'Enrollment Census'!$AF166)</f>
        <v/>
      </c>
      <c r="I175" s="91">
        <f>IF($A175="","",'Enrollment Census'!$AD166)</f>
        <v/>
      </c>
      <c r="J175">
        <f>IF($A175="","",'Enrollment Census'!$A166)</f>
        <v/>
      </c>
      <c r="K175">
        <f>IF($F175="FIX",ROW(),IF($F175="REVIEW",1000+ROW(),""))</f>
        <v/>
      </c>
    </row>
    <row r="176" ht="36" customHeight="1">
      <c r="A176" s="91">
        <f>IF(COUNTA('Enrollment Census'!$A167:$U167)&gt;0,167,"")</f>
        <v/>
      </c>
      <c r="B176" s="91">
        <f>IF($A176="","","Employee ending "&amp;RIGHT('Enrollment Census'!$A167&amp;"",4)&amp;IF('Enrollment Census'!$AH167&gt;0," • "&amp;'Enrollment Census'!$AH167&amp;" row"&amp;IF('Enrollment Census'!$AH167=1,"","s")&amp;" need attention",""))</f>
        <v/>
      </c>
      <c r="C176" s="91">
        <f>IF($A176="","",TRIM('Enrollment Census'!$C167&amp;" "&amp;'Enrollment Census'!$D167)&amp;" • ending "&amp;RIGHT('Enrollment Census'!$W167&amp;"",4))</f>
        <v/>
      </c>
      <c r="D176" s="91">
        <f>IF($A176="","",'Enrollment Census'!$X167)</f>
        <v/>
      </c>
      <c r="E176" s="91">
        <f>IF($A176="","",'Enrollment Census'!$S167)</f>
        <v/>
      </c>
      <c r="F176" s="91">
        <f>IF($A176="","",IF('Enrollment Census'!$AF167&lt;&gt;"","FIX",IF('Enrollment Census'!$AD167&lt;&gt;"","REVIEW","READY")))</f>
        <v/>
      </c>
      <c r="G176" s="91">
        <f>IF($A176="","",'Enrollment Census'!$AE167)</f>
        <v/>
      </c>
      <c r="H176" s="91">
        <f>IF($A176="","",'Enrollment Census'!$AF167)</f>
        <v/>
      </c>
      <c r="I176" s="91">
        <f>IF($A176="","",'Enrollment Census'!$AD167)</f>
        <v/>
      </c>
      <c r="J176">
        <f>IF($A176="","",'Enrollment Census'!$A167)</f>
        <v/>
      </c>
      <c r="K176">
        <f>IF($F176="FIX",ROW(),IF($F176="REVIEW",1000+ROW(),""))</f>
        <v/>
      </c>
    </row>
    <row r="177" ht="36" customHeight="1">
      <c r="A177" s="91">
        <f>IF(COUNTA('Enrollment Census'!$A168:$U168)&gt;0,168,"")</f>
        <v/>
      </c>
      <c r="B177" s="91">
        <f>IF($A177="","","Employee ending "&amp;RIGHT('Enrollment Census'!$A168&amp;"",4)&amp;IF('Enrollment Census'!$AH168&gt;0," • "&amp;'Enrollment Census'!$AH168&amp;" row"&amp;IF('Enrollment Census'!$AH168=1,"","s")&amp;" need attention",""))</f>
        <v/>
      </c>
      <c r="C177" s="91">
        <f>IF($A177="","",TRIM('Enrollment Census'!$C168&amp;" "&amp;'Enrollment Census'!$D168)&amp;" • ending "&amp;RIGHT('Enrollment Census'!$W168&amp;"",4))</f>
        <v/>
      </c>
      <c r="D177" s="91">
        <f>IF($A177="","",'Enrollment Census'!$X168)</f>
        <v/>
      </c>
      <c r="E177" s="91">
        <f>IF($A177="","",'Enrollment Census'!$S168)</f>
        <v/>
      </c>
      <c r="F177" s="91">
        <f>IF($A177="","",IF('Enrollment Census'!$AF168&lt;&gt;"","FIX",IF('Enrollment Census'!$AD168&lt;&gt;"","REVIEW","READY")))</f>
        <v/>
      </c>
      <c r="G177" s="91">
        <f>IF($A177="","",'Enrollment Census'!$AE168)</f>
        <v/>
      </c>
      <c r="H177" s="91">
        <f>IF($A177="","",'Enrollment Census'!$AF168)</f>
        <v/>
      </c>
      <c r="I177" s="91">
        <f>IF($A177="","",'Enrollment Census'!$AD168)</f>
        <v/>
      </c>
      <c r="J177">
        <f>IF($A177="","",'Enrollment Census'!$A168)</f>
        <v/>
      </c>
      <c r="K177">
        <f>IF($F177="FIX",ROW(),IF($F177="REVIEW",1000+ROW(),""))</f>
        <v/>
      </c>
    </row>
    <row r="178" ht="36" customHeight="1">
      <c r="A178" s="91">
        <f>IF(COUNTA('Enrollment Census'!$A169:$U169)&gt;0,169,"")</f>
        <v/>
      </c>
      <c r="B178" s="91">
        <f>IF($A178="","","Employee ending "&amp;RIGHT('Enrollment Census'!$A169&amp;"",4)&amp;IF('Enrollment Census'!$AH169&gt;0," • "&amp;'Enrollment Census'!$AH169&amp;" row"&amp;IF('Enrollment Census'!$AH169=1,"","s")&amp;" need attention",""))</f>
        <v/>
      </c>
      <c r="C178" s="91">
        <f>IF($A178="","",TRIM('Enrollment Census'!$C169&amp;" "&amp;'Enrollment Census'!$D169)&amp;" • ending "&amp;RIGHT('Enrollment Census'!$W169&amp;"",4))</f>
        <v/>
      </c>
      <c r="D178" s="91">
        <f>IF($A178="","",'Enrollment Census'!$X169)</f>
        <v/>
      </c>
      <c r="E178" s="91">
        <f>IF($A178="","",'Enrollment Census'!$S169)</f>
        <v/>
      </c>
      <c r="F178" s="91">
        <f>IF($A178="","",IF('Enrollment Census'!$AF169&lt;&gt;"","FIX",IF('Enrollment Census'!$AD169&lt;&gt;"","REVIEW","READY")))</f>
        <v/>
      </c>
      <c r="G178" s="91">
        <f>IF($A178="","",'Enrollment Census'!$AE169)</f>
        <v/>
      </c>
      <c r="H178" s="91">
        <f>IF($A178="","",'Enrollment Census'!$AF169)</f>
        <v/>
      </c>
      <c r="I178" s="91">
        <f>IF($A178="","",'Enrollment Census'!$AD169)</f>
        <v/>
      </c>
      <c r="J178">
        <f>IF($A178="","",'Enrollment Census'!$A169)</f>
        <v/>
      </c>
      <c r="K178">
        <f>IF($F178="FIX",ROW(),IF($F178="REVIEW",1000+ROW(),""))</f>
        <v/>
      </c>
    </row>
    <row r="179" ht="36" customHeight="1">
      <c r="A179" s="91">
        <f>IF(COUNTA('Enrollment Census'!$A170:$U170)&gt;0,170,"")</f>
        <v/>
      </c>
      <c r="B179" s="91">
        <f>IF($A179="","","Employee ending "&amp;RIGHT('Enrollment Census'!$A170&amp;"",4)&amp;IF('Enrollment Census'!$AH170&gt;0," • "&amp;'Enrollment Census'!$AH170&amp;" row"&amp;IF('Enrollment Census'!$AH170=1,"","s")&amp;" need attention",""))</f>
        <v/>
      </c>
      <c r="C179" s="91">
        <f>IF($A179="","",TRIM('Enrollment Census'!$C170&amp;" "&amp;'Enrollment Census'!$D170)&amp;" • ending "&amp;RIGHT('Enrollment Census'!$W170&amp;"",4))</f>
        <v/>
      </c>
      <c r="D179" s="91">
        <f>IF($A179="","",'Enrollment Census'!$X170)</f>
        <v/>
      </c>
      <c r="E179" s="91">
        <f>IF($A179="","",'Enrollment Census'!$S170)</f>
        <v/>
      </c>
      <c r="F179" s="91">
        <f>IF($A179="","",IF('Enrollment Census'!$AF170&lt;&gt;"","FIX",IF('Enrollment Census'!$AD170&lt;&gt;"","REVIEW","READY")))</f>
        <v/>
      </c>
      <c r="G179" s="91">
        <f>IF($A179="","",'Enrollment Census'!$AE170)</f>
        <v/>
      </c>
      <c r="H179" s="91">
        <f>IF($A179="","",'Enrollment Census'!$AF170)</f>
        <v/>
      </c>
      <c r="I179" s="91">
        <f>IF($A179="","",'Enrollment Census'!$AD170)</f>
        <v/>
      </c>
      <c r="J179">
        <f>IF($A179="","",'Enrollment Census'!$A170)</f>
        <v/>
      </c>
      <c r="K179">
        <f>IF($F179="FIX",ROW(),IF($F179="REVIEW",1000+ROW(),""))</f>
        <v/>
      </c>
    </row>
    <row r="180" ht="36" customHeight="1">
      <c r="A180" s="91">
        <f>IF(COUNTA('Enrollment Census'!$A171:$U171)&gt;0,171,"")</f>
        <v/>
      </c>
      <c r="B180" s="91">
        <f>IF($A180="","","Employee ending "&amp;RIGHT('Enrollment Census'!$A171&amp;"",4)&amp;IF('Enrollment Census'!$AH171&gt;0," • "&amp;'Enrollment Census'!$AH171&amp;" row"&amp;IF('Enrollment Census'!$AH171=1,"","s")&amp;" need attention",""))</f>
        <v/>
      </c>
      <c r="C180" s="91">
        <f>IF($A180="","",TRIM('Enrollment Census'!$C171&amp;" "&amp;'Enrollment Census'!$D171)&amp;" • ending "&amp;RIGHT('Enrollment Census'!$W171&amp;"",4))</f>
        <v/>
      </c>
      <c r="D180" s="91">
        <f>IF($A180="","",'Enrollment Census'!$X171)</f>
        <v/>
      </c>
      <c r="E180" s="91">
        <f>IF($A180="","",'Enrollment Census'!$S171)</f>
        <v/>
      </c>
      <c r="F180" s="91">
        <f>IF($A180="","",IF('Enrollment Census'!$AF171&lt;&gt;"","FIX",IF('Enrollment Census'!$AD171&lt;&gt;"","REVIEW","READY")))</f>
        <v/>
      </c>
      <c r="G180" s="91">
        <f>IF($A180="","",'Enrollment Census'!$AE171)</f>
        <v/>
      </c>
      <c r="H180" s="91">
        <f>IF($A180="","",'Enrollment Census'!$AF171)</f>
        <v/>
      </c>
      <c r="I180" s="91">
        <f>IF($A180="","",'Enrollment Census'!$AD171)</f>
        <v/>
      </c>
      <c r="J180">
        <f>IF($A180="","",'Enrollment Census'!$A171)</f>
        <v/>
      </c>
      <c r="K180">
        <f>IF($F180="FIX",ROW(),IF($F180="REVIEW",1000+ROW(),""))</f>
        <v/>
      </c>
    </row>
    <row r="181" ht="36" customHeight="1">
      <c r="A181" s="91">
        <f>IF(COUNTA('Enrollment Census'!$A172:$U172)&gt;0,172,"")</f>
        <v/>
      </c>
      <c r="B181" s="91">
        <f>IF($A181="","","Employee ending "&amp;RIGHT('Enrollment Census'!$A172&amp;"",4)&amp;IF('Enrollment Census'!$AH172&gt;0," • "&amp;'Enrollment Census'!$AH172&amp;" row"&amp;IF('Enrollment Census'!$AH172=1,"","s")&amp;" need attention",""))</f>
        <v/>
      </c>
      <c r="C181" s="91">
        <f>IF($A181="","",TRIM('Enrollment Census'!$C172&amp;" "&amp;'Enrollment Census'!$D172)&amp;" • ending "&amp;RIGHT('Enrollment Census'!$W172&amp;"",4))</f>
        <v/>
      </c>
      <c r="D181" s="91">
        <f>IF($A181="","",'Enrollment Census'!$X172)</f>
        <v/>
      </c>
      <c r="E181" s="91">
        <f>IF($A181="","",'Enrollment Census'!$S172)</f>
        <v/>
      </c>
      <c r="F181" s="91">
        <f>IF($A181="","",IF('Enrollment Census'!$AF172&lt;&gt;"","FIX",IF('Enrollment Census'!$AD172&lt;&gt;"","REVIEW","READY")))</f>
        <v/>
      </c>
      <c r="G181" s="91">
        <f>IF($A181="","",'Enrollment Census'!$AE172)</f>
        <v/>
      </c>
      <c r="H181" s="91">
        <f>IF($A181="","",'Enrollment Census'!$AF172)</f>
        <v/>
      </c>
      <c r="I181" s="91">
        <f>IF($A181="","",'Enrollment Census'!$AD172)</f>
        <v/>
      </c>
      <c r="J181">
        <f>IF($A181="","",'Enrollment Census'!$A172)</f>
        <v/>
      </c>
      <c r="K181">
        <f>IF($F181="FIX",ROW(),IF($F181="REVIEW",1000+ROW(),""))</f>
        <v/>
      </c>
    </row>
    <row r="182" ht="36" customHeight="1">
      <c r="A182" s="91">
        <f>IF(COUNTA('Enrollment Census'!$A173:$U173)&gt;0,173,"")</f>
        <v/>
      </c>
      <c r="B182" s="91">
        <f>IF($A182="","","Employee ending "&amp;RIGHT('Enrollment Census'!$A173&amp;"",4)&amp;IF('Enrollment Census'!$AH173&gt;0," • "&amp;'Enrollment Census'!$AH173&amp;" row"&amp;IF('Enrollment Census'!$AH173=1,"","s")&amp;" need attention",""))</f>
        <v/>
      </c>
      <c r="C182" s="91">
        <f>IF($A182="","",TRIM('Enrollment Census'!$C173&amp;" "&amp;'Enrollment Census'!$D173)&amp;" • ending "&amp;RIGHT('Enrollment Census'!$W173&amp;"",4))</f>
        <v/>
      </c>
      <c r="D182" s="91">
        <f>IF($A182="","",'Enrollment Census'!$X173)</f>
        <v/>
      </c>
      <c r="E182" s="91">
        <f>IF($A182="","",'Enrollment Census'!$S173)</f>
        <v/>
      </c>
      <c r="F182" s="91">
        <f>IF($A182="","",IF('Enrollment Census'!$AF173&lt;&gt;"","FIX",IF('Enrollment Census'!$AD173&lt;&gt;"","REVIEW","READY")))</f>
        <v/>
      </c>
      <c r="G182" s="91">
        <f>IF($A182="","",'Enrollment Census'!$AE173)</f>
        <v/>
      </c>
      <c r="H182" s="91">
        <f>IF($A182="","",'Enrollment Census'!$AF173)</f>
        <v/>
      </c>
      <c r="I182" s="91">
        <f>IF($A182="","",'Enrollment Census'!$AD173)</f>
        <v/>
      </c>
      <c r="J182">
        <f>IF($A182="","",'Enrollment Census'!$A173)</f>
        <v/>
      </c>
      <c r="K182">
        <f>IF($F182="FIX",ROW(),IF($F182="REVIEW",1000+ROW(),""))</f>
        <v/>
      </c>
    </row>
    <row r="183" ht="36" customHeight="1">
      <c r="A183" s="91">
        <f>IF(COUNTA('Enrollment Census'!$A174:$U174)&gt;0,174,"")</f>
        <v/>
      </c>
      <c r="B183" s="91">
        <f>IF($A183="","","Employee ending "&amp;RIGHT('Enrollment Census'!$A174&amp;"",4)&amp;IF('Enrollment Census'!$AH174&gt;0," • "&amp;'Enrollment Census'!$AH174&amp;" row"&amp;IF('Enrollment Census'!$AH174=1,"","s")&amp;" need attention",""))</f>
        <v/>
      </c>
      <c r="C183" s="91">
        <f>IF($A183="","",TRIM('Enrollment Census'!$C174&amp;" "&amp;'Enrollment Census'!$D174)&amp;" • ending "&amp;RIGHT('Enrollment Census'!$W174&amp;"",4))</f>
        <v/>
      </c>
      <c r="D183" s="91">
        <f>IF($A183="","",'Enrollment Census'!$X174)</f>
        <v/>
      </c>
      <c r="E183" s="91">
        <f>IF($A183="","",'Enrollment Census'!$S174)</f>
        <v/>
      </c>
      <c r="F183" s="91">
        <f>IF($A183="","",IF('Enrollment Census'!$AF174&lt;&gt;"","FIX",IF('Enrollment Census'!$AD174&lt;&gt;"","REVIEW","READY")))</f>
        <v/>
      </c>
      <c r="G183" s="91">
        <f>IF($A183="","",'Enrollment Census'!$AE174)</f>
        <v/>
      </c>
      <c r="H183" s="91">
        <f>IF($A183="","",'Enrollment Census'!$AF174)</f>
        <v/>
      </c>
      <c r="I183" s="91">
        <f>IF($A183="","",'Enrollment Census'!$AD174)</f>
        <v/>
      </c>
      <c r="J183">
        <f>IF($A183="","",'Enrollment Census'!$A174)</f>
        <v/>
      </c>
      <c r="K183">
        <f>IF($F183="FIX",ROW(),IF($F183="REVIEW",1000+ROW(),""))</f>
        <v/>
      </c>
    </row>
    <row r="184" ht="36" customHeight="1">
      <c r="A184" s="91">
        <f>IF(COUNTA('Enrollment Census'!$A175:$U175)&gt;0,175,"")</f>
        <v/>
      </c>
      <c r="B184" s="91">
        <f>IF($A184="","","Employee ending "&amp;RIGHT('Enrollment Census'!$A175&amp;"",4)&amp;IF('Enrollment Census'!$AH175&gt;0," • "&amp;'Enrollment Census'!$AH175&amp;" row"&amp;IF('Enrollment Census'!$AH175=1,"","s")&amp;" need attention",""))</f>
        <v/>
      </c>
      <c r="C184" s="91">
        <f>IF($A184="","",TRIM('Enrollment Census'!$C175&amp;" "&amp;'Enrollment Census'!$D175)&amp;" • ending "&amp;RIGHT('Enrollment Census'!$W175&amp;"",4))</f>
        <v/>
      </c>
      <c r="D184" s="91">
        <f>IF($A184="","",'Enrollment Census'!$X175)</f>
        <v/>
      </c>
      <c r="E184" s="91">
        <f>IF($A184="","",'Enrollment Census'!$S175)</f>
        <v/>
      </c>
      <c r="F184" s="91">
        <f>IF($A184="","",IF('Enrollment Census'!$AF175&lt;&gt;"","FIX",IF('Enrollment Census'!$AD175&lt;&gt;"","REVIEW","READY")))</f>
        <v/>
      </c>
      <c r="G184" s="91">
        <f>IF($A184="","",'Enrollment Census'!$AE175)</f>
        <v/>
      </c>
      <c r="H184" s="91">
        <f>IF($A184="","",'Enrollment Census'!$AF175)</f>
        <v/>
      </c>
      <c r="I184" s="91">
        <f>IF($A184="","",'Enrollment Census'!$AD175)</f>
        <v/>
      </c>
      <c r="J184">
        <f>IF($A184="","",'Enrollment Census'!$A175)</f>
        <v/>
      </c>
      <c r="K184">
        <f>IF($F184="FIX",ROW(),IF($F184="REVIEW",1000+ROW(),""))</f>
        <v/>
      </c>
    </row>
    <row r="185" ht="36" customHeight="1">
      <c r="A185" s="91">
        <f>IF(COUNTA('Enrollment Census'!$A176:$U176)&gt;0,176,"")</f>
        <v/>
      </c>
      <c r="B185" s="91">
        <f>IF($A185="","","Employee ending "&amp;RIGHT('Enrollment Census'!$A176&amp;"",4)&amp;IF('Enrollment Census'!$AH176&gt;0," • "&amp;'Enrollment Census'!$AH176&amp;" row"&amp;IF('Enrollment Census'!$AH176=1,"","s")&amp;" need attention",""))</f>
        <v/>
      </c>
      <c r="C185" s="91">
        <f>IF($A185="","",TRIM('Enrollment Census'!$C176&amp;" "&amp;'Enrollment Census'!$D176)&amp;" • ending "&amp;RIGHT('Enrollment Census'!$W176&amp;"",4))</f>
        <v/>
      </c>
      <c r="D185" s="91">
        <f>IF($A185="","",'Enrollment Census'!$X176)</f>
        <v/>
      </c>
      <c r="E185" s="91">
        <f>IF($A185="","",'Enrollment Census'!$S176)</f>
        <v/>
      </c>
      <c r="F185" s="91">
        <f>IF($A185="","",IF('Enrollment Census'!$AF176&lt;&gt;"","FIX",IF('Enrollment Census'!$AD176&lt;&gt;"","REVIEW","READY")))</f>
        <v/>
      </c>
      <c r="G185" s="91">
        <f>IF($A185="","",'Enrollment Census'!$AE176)</f>
        <v/>
      </c>
      <c r="H185" s="91">
        <f>IF($A185="","",'Enrollment Census'!$AF176)</f>
        <v/>
      </c>
      <c r="I185" s="91">
        <f>IF($A185="","",'Enrollment Census'!$AD176)</f>
        <v/>
      </c>
      <c r="J185">
        <f>IF($A185="","",'Enrollment Census'!$A176)</f>
        <v/>
      </c>
      <c r="K185">
        <f>IF($F185="FIX",ROW(),IF($F185="REVIEW",1000+ROW(),""))</f>
        <v/>
      </c>
    </row>
    <row r="186" ht="36" customHeight="1">
      <c r="A186" s="91">
        <f>IF(COUNTA('Enrollment Census'!$A177:$U177)&gt;0,177,"")</f>
        <v/>
      </c>
      <c r="B186" s="91">
        <f>IF($A186="","","Employee ending "&amp;RIGHT('Enrollment Census'!$A177&amp;"",4)&amp;IF('Enrollment Census'!$AH177&gt;0," • "&amp;'Enrollment Census'!$AH177&amp;" row"&amp;IF('Enrollment Census'!$AH177=1,"","s")&amp;" need attention",""))</f>
        <v/>
      </c>
      <c r="C186" s="91">
        <f>IF($A186="","",TRIM('Enrollment Census'!$C177&amp;" "&amp;'Enrollment Census'!$D177)&amp;" • ending "&amp;RIGHT('Enrollment Census'!$W177&amp;"",4))</f>
        <v/>
      </c>
      <c r="D186" s="91">
        <f>IF($A186="","",'Enrollment Census'!$X177)</f>
        <v/>
      </c>
      <c r="E186" s="91">
        <f>IF($A186="","",'Enrollment Census'!$S177)</f>
        <v/>
      </c>
      <c r="F186" s="91">
        <f>IF($A186="","",IF('Enrollment Census'!$AF177&lt;&gt;"","FIX",IF('Enrollment Census'!$AD177&lt;&gt;"","REVIEW","READY")))</f>
        <v/>
      </c>
      <c r="G186" s="91">
        <f>IF($A186="","",'Enrollment Census'!$AE177)</f>
        <v/>
      </c>
      <c r="H186" s="91">
        <f>IF($A186="","",'Enrollment Census'!$AF177)</f>
        <v/>
      </c>
      <c r="I186" s="91">
        <f>IF($A186="","",'Enrollment Census'!$AD177)</f>
        <v/>
      </c>
      <c r="J186">
        <f>IF($A186="","",'Enrollment Census'!$A177)</f>
        <v/>
      </c>
      <c r="K186">
        <f>IF($F186="FIX",ROW(),IF($F186="REVIEW",1000+ROW(),""))</f>
        <v/>
      </c>
    </row>
    <row r="187" ht="36" customHeight="1">
      <c r="A187" s="91">
        <f>IF(COUNTA('Enrollment Census'!$A178:$U178)&gt;0,178,"")</f>
        <v/>
      </c>
      <c r="B187" s="91">
        <f>IF($A187="","","Employee ending "&amp;RIGHT('Enrollment Census'!$A178&amp;"",4)&amp;IF('Enrollment Census'!$AH178&gt;0," • "&amp;'Enrollment Census'!$AH178&amp;" row"&amp;IF('Enrollment Census'!$AH178=1,"","s")&amp;" need attention",""))</f>
        <v/>
      </c>
      <c r="C187" s="91">
        <f>IF($A187="","",TRIM('Enrollment Census'!$C178&amp;" "&amp;'Enrollment Census'!$D178)&amp;" • ending "&amp;RIGHT('Enrollment Census'!$W178&amp;"",4))</f>
        <v/>
      </c>
      <c r="D187" s="91">
        <f>IF($A187="","",'Enrollment Census'!$X178)</f>
        <v/>
      </c>
      <c r="E187" s="91">
        <f>IF($A187="","",'Enrollment Census'!$S178)</f>
        <v/>
      </c>
      <c r="F187" s="91">
        <f>IF($A187="","",IF('Enrollment Census'!$AF178&lt;&gt;"","FIX",IF('Enrollment Census'!$AD178&lt;&gt;"","REVIEW","READY")))</f>
        <v/>
      </c>
      <c r="G187" s="91">
        <f>IF($A187="","",'Enrollment Census'!$AE178)</f>
        <v/>
      </c>
      <c r="H187" s="91">
        <f>IF($A187="","",'Enrollment Census'!$AF178)</f>
        <v/>
      </c>
      <c r="I187" s="91">
        <f>IF($A187="","",'Enrollment Census'!$AD178)</f>
        <v/>
      </c>
      <c r="J187">
        <f>IF($A187="","",'Enrollment Census'!$A178)</f>
        <v/>
      </c>
      <c r="K187">
        <f>IF($F187="FIX",ROW(),IF($F187="REVIEW",1000+ROW(),""))</f>
        <v/>
      </c>
    </row>
    <row r="188" ht="36" customHeight="1">
      <c r="A188" s="91">
        <f>IF(COUNTA('Enrollment Census'!$A179:$U179)&gt;0,179,"")</f>
        <v/>
      </c>
      <c r="B188" s="91">
        <f>IF($A188="","","Employee ending "&amp;RIGHT('Enrollment Census'!$A179&amp;"",4)&amp;IF('Enrollment Census'!$AH179&gt;0," • "&amp;'Enrollment Census'!$AH179&amp;" row"&amp;IF('Enrollment Census'!$AH179=1,"","s")&amp;" need attention",""))</f>
        <v/>
      </c>
      <c r="C188" s="91">
        <f>IF($A188="","",TRIM('Enrollment Census'!$C179&amp;" "&amp;'Enrollment Census'!$D179)&amp;" • ending "&amp;RIGHT('Enrollment Census'!$W179&amp;"",4))</f>
        <v/>
      </c>
      <c r="D188" s="91">
        <f>IF($A188="","",'Enrollment Census'!$X179)</f>
        <v/>
      </c>
      <c r="E188" s="91">
        <f>IF($A188="","",'Enrollment Census'!$S179)</f>
        <v/>
      </c>
      <c r="F188" s="91">
        <f>IF($A188="","",IF('Enrollment Census'!$AF179&lt;&gt;"","FIX",IF('Enrollment Census'!$AD179&lt;&gt;"","REVIEW","READY")))</f>
        <v/>
      </c>
      <c r="G188" s="91">
        <f>IF($A188="","",'Enrollment Census'!$AE179)</f>
        <v/>
      </c>
      <c r="H188" s="91">
        <f>IF($A188="","",'Enrollment Census'!$AF179)</f>
        <v/>
      </c>
      <c r="I188" s="91">
        <f>IF($A188="","",'Enrollment Census'!$AD179)</f>
        <v/>
      </c>
      <c r="J188">
        <f>IF($A188="","",'Enrollment Census'!$A179)</f>
        <v/>
      </c>
      <c r="K188">
        <f>IF($F188="FIX",ROW(),IF($F188="REVIEW",1000+ROW(),""))</f>
        <v/>
      </c>
    </row>
    <row r="189" ht="36" customHeight="1">
      <c r="A189" s="91">
        <f>IF(COUNTA('Enrollment Census'!$A180:$U180)&gt;0,180,"")</f>
        <v/>
      </c>
      <c r="B189" s="91">
        <f>IF($A189="","","Employee ending "&amp;RIGHT('Enrollment Census'!$A180&amp;"",4)&amp;IF('Enrollment Census'!$AH180&gt;0," • "&amp;'Enrollment Census'!$AH180&amp;" row"&amp;IF('Enrollment Census'!$AH180=1,"","s")&amp;" need attention",""))</f>
        <v/>
      </c>
      <c r="C189" s="91">
        <f>IF($A189="","",TRIM('Enrollment Census'!$C180&amp;" "&amp;'Enrollment Census'!$D180)&amp;" • ending "&amp;RIGHT('Enrollment Census'!$W180&amp;"",4))</f>
        <v/>
      </c>
      <c r="D189" s="91">
        <f>IF($A189="","",'Enrollment Census'!$X180)</f>
        <v/>
      </c>
      <c r="E189" s="91">
        <f>IF($A189="","",'Enrollment Census'!$S180)</f>
        <v/>
      </c>
      <c r="F189" s="91">
        <f>IF($A189="","",IF('Enrollment Census'!$AF180&lt;&gt;"","FIX",IF('Enrollment Census'!$AD180&lt;&gt;"","REVIEW","READY")))</f>
        <v/>
      </c>
      <c r="G189" s="91">
        <f>IF($A189="","",'Enrollment Census'!$AE180)</f>
        <v/>
      </c>
      <c r="H189" s="91">
        <f>IF($A189="","",'Enrollment Census'!$AF180)</f>
        <v/>
      </c>
      <c r="I189" s="91">
        <f>IF($A189="","",'Enrollment Census'!$AD180)</f>
        <v/>
      </c>
      <c r="J189">
        <f>IF($A189="","",'Enrollment Census'!$A180)</f>
        <v/>
      </c>
      <c r="K189">
        <f>IF($F189="FIX",ROW(),IF($F189="REVIEW",1000+ROW(),""))</f>
        <v/>
      </c>
    </row>
    <row r="190" ht="36" customHeight="1">
      <c r="A190" s="91">
        <f>IF(COUNTA('Enrollment Census'!$A181:$U181)&gt;0,181,"")</f>
        <v/>
      </c>
      <c r="B190" s="91">
        <f>IF($A190="","","Employee ending "&amp;RIGHT('Enrollment Census'!$A181&amp;"",4)&amp;IF('Enrollment Census'!$AH181&gt;0," • "&amp;'Enrollment Census'!$AH181&amp;" row"&amp;IF('Enrollment Census'!$AH181=1,"","s")&amp;" need attention",""))</f>
        <v/>
      </c>
      <c r="C190" s="91">
        <f>IF($A190="","",TRIM('Enrollment Census'!$C181&amp;" "&amp;'Enrollment Census'!$D181)&amp;" • ending "&amp;RIGHT('Enrollment Census'!$W181&amp;"",4))</f>
        <v/>
      </c>
      <c r="D190" s="91">
        <f>IF($A190="","",'Enrollment Census'!$X181)</f>
        <v/>
      </c>
      <c r="E190" s="91">
        <f>IF($A190="","",'Enrollment Census'!$S181)</f>
        <v/>
      </c>
      <c r="F190" s="91">
        <f>IF($A190="","",IF('Enrollment Census'!$AF181&lt;&gt;"","FIX",IF('Enrollment Census'!$AD181&lt;&gt;"","REVIEW","READY")))</f>
        <v/>
      </c>
      <c r="G190" s="91">
        <f>IF($A190="","",'Enrollment Census'!$AE181)</f>
        <v/>
      </c>
      <c r="H190" s="91">
        <f>IF($A190="","",'Enrollment Census'!$AF181)</f>
        <v/>
      </c>
      <c r="I190" s="91">
        <f>IF($A190="","",'Enrollment Census'!$AD181)</f>
        <v/>
      </c>
      <c r="J190">
        <f>IF($A190="","",'Enrollment Census'!$A181)</f>
        <v/>
      </c>
      <c r="K190">
        <f>IF($F190="FIX",ROW(),IF($F190="REVIEW",1000+ROW(),""))</f>
        <v/>
      </c>
    </row>
    <row r="191" ht="36" customHeight="1">
      <c r="A191" s="91">
        <f>IF(COUNTA('Enrollment Census'!$A182:$U182)&gt;0,182,"")</f>
        <v/>
      </c>
      <c r="B191" s="91">
        <f>IF($A191="","","Employee ending "&amp;RIGHT('Enrollment Census'!$A182&amp;"",4)&amp;IF('Enrollment Census'!$AH182&gt;0," • "&amp;'Enrollment Census'!$AH182&amp;" row"&amp;IF('Enrollment Census'!$AH182=1,"","s")&amp;" need attention",""))</f>
        <v/>
      </c>
      <c r="C191" s="91">
        <f>IF($A191="","",TRIM('Enrollment Census'!$C182&amp;" "&amp;'Enrollment Census'!$D182)&amp;" • ending "&amp;RIGHT('Enrollment Census'!$W182&amp;"",4))</f>
        <v/>
      </c>
      <c r="D191" s="91">
        <f>IF($A191="","",'Enrollment Census'!$X182)</f>
        <v/>
      </c>
      <c r="E191" s="91">
        <f>IF($A191="","",'Enrollment Census'!$S182)</f>
        <v/>
      </c>
      <c r="F191" s="91">
        <f>IF($A191="","",IF('Enrollment Census'!$AF182&lt;&gt;"","FIX",IF('Enrollment Census'!$AD182&lt;&gt;"","REVIEW","READY")))</f>
        <v/>
      </c>
      <c r="G191" s="91">
        <f>IF($A191="","",'Enrollment Census'!$AE182)</f>
        <v/>
      </c>
      <c r="H191" s="91">
        <f>IF($A191="","",'Enrollment Census'!$AF182)</f>
        <v/>
      </c>
      <c r="I191" s="91">
        <f>IF($A191="","",'Enrollment Census'!$AD182)</f>
        <v/>
      </c>
      <c r="J191">
        <f>IF($A191="","",'Enrollment Census'!$A182)</f>
        <v/>
      </c>
      <c r="K191">
        <f>IF($F191="FIX",ROW(),IF($F191="REVIEW",1000+ROW(),""))</f>
        <v/>
      </c>
    </row>
    <row r="192" ht="36" customHeight="1">
      <c r="A192" s="91">
        <f>IF(COUNTA('Enrollment Census'!$A183:$U183)&gt;0,183,"")</f>
        <v/>
      </c>
      <c r="B192" s="91">
        <f>IF($A192="","","Employee ending "&amp;RIGHT('Enrollment Census'!$A183&amp;"",4)&amp;IF('Enrollment Census'!$AH183&gt;0," • "&amp;'Enrollment Census'!$AH183&amp;" row"&amp;IF('Enrollment Census'!$AH183=1,"","s")&amp;" need attention",""))</f>
        <v/>
      </c>
      <c r="C192" s="91">
        <f>IF($A192="","",TRIM('Enrollment Census'!$C183&amp;" "&amp;'Enrollment Census'!$D183)&amp;" • ending "&amp;RIGHT('Enrollment Census'!$W183&amp;"",4))</f>
        <v/>
      </c>
      <c r="D192" s="91">
        <f>IF($A192="","",'Enrollment Census'!$X183)</f>
        <v/>
      </c>
      <c r="E192" s="91">
        <f>IF($A192="","",'Enrollment Census'!$S183)</f>
        <v/>
      </c>
      <c r="F192" s="91">
        <f>IF($A192="","",IF('Enrollment Census'!$AF183&lt;&gt;"","FIX",IF('Enrollment Census'!$AD183&lt;&gt;"","REVIEW","READY")))</f>
        <v/>
      </c>
      <c r="G192" s="91">
        <f>IF($A192="","",'Enrollment Census'!$AE183)</f>
        <v/>
      </c>
      <c r="H192" s="91">
        <f>IF($A192="","",'Enrollment Census'!$AF183)</f>
        <v/>
      </c>
      <c r="I192" s="91">
        <f>IF($A192="","",'Enrollment Census'!$AD183)</f>
        <v/>
      </c>
      <c r="J192">
        <f>IF($A192="","",'Enrollment Census'!$A183)</f>
        <v/>
      </c>
      <c r="K192">
        <f>IF($F192="FIX",ROW(),IF($F192="REVIEW",1000+ROW(),""))</f>
        <v/>
      </c>
    </row>
    <row r="193" ht="36" customHeight="1">
      <c r="A193" s="91">
        <f>IF(COUNTA('Enrollment Census'!$A184:$U184)&gt;0,184,"")</f>
        <v/>
      </c>
      <c r="B193" s="91">
        <f>IF($A193="","","Employee ending "&amp;RIGHT('Enrollment Census'!$A184&amp;"",4)&amp;IF('Enrollment Census'!$AH184&gt;0," • "&amp;'Enrollment Census'!$AH184&amp;" row"&amp;IF('Enrollment Census'!$AH184=1,"","s")&amp;" need attention",""))</f>
        <v/>
      </c>
      <c r="C193" s="91">
        <f>IF($A193="","",TRIM('Enrollment Census'!$C184&amp;" "&amp;'Enrollment Census'!$D184)&amp;" • ending "&amp;RIGHT('Enrollment Census'!$W184&amp;"",4))</f>
        <v/>
      </c>
      <c r="D193" s="91">
        <f>IF($A193="","",'Enrollment Census'!$X184)</f>
        <v/>
      </c>
      <c r="E193" s="91">
        <f>IF($A193="","",'Enrollment Census'!$S184)</f>
        <v/>
      </c>
      <c r="F193" s="91">
        <f>IF($A193="","",IF('Enrollment Census'!$AF184&lt;&gt;"","FIX",IF('Enrollment Census'!$AD184&lt;&gt;"","REVIEW","READY")))</f>
        <v/>
      </c>
      <c r="G193" s="91">
        <f>IF($A193="","",'Enrollment Census'!$AE184)</f>
        <v/>
      </c>
      <c r="H193" s="91">
        <f>IF($A193="","",'Enrollment Census'!$AF184)</f>
        <v/>
      </c>
      <c r="I193" s="91">
        <f>IF($A193="","",'Enrollment Census'!$AD184)</f>
        <v/>
      </c>
      <c r="J193">
        <f>IF($A193="","",'Enrollment Census'!$A184)</f>
        <v/>
      </c>
      <c r="K193">
        <f>IF($F193="FIX",ROW(),IF($F193="REVIEW",1000+ROW(),""))</f>
        <v/>
      </c>
    </row>
    <row r="194" ht="36" customHeight="1">
      <c r="A194" s="91">
        <f>IF(COUNTA('Enrollment Census'!$A185:$U185)&gt;0,185,"")</f>
        <v/>
      </c>
      <c r="B194" s="91">
        <f>IF($A194="","","Employee ending "&amp;RIGHT('Enrollment Census'!$A185&amp;"",4)&amp;IF('Enrollment Census'!$AH185&gt;0," • "&amp;'Enrollment Census'!$AH185&amp;" row"&amp;IF('Enrollment Census'!$AH185=1,"","s")&amp;" need attention",""))</f>
        <v/>
      </c>
      <c r="C194" s="91">
        <f>IF($A194="","",TRIM('Enrollment Census'!$C185&amp;" "&amp;'Enrollment Census'!$D185)&amp;" • ending "&amp;RIGHT('Enrollment Census'!$W185&amp;"",4))</f>
        <v/>
      </c>
      <c r="D194" s="91">
        <f>IF($A194="","",'Enrollment Census'!$X185)</f>
        <v/>
      </c>
      <c r="E194" s="91">
        <f>IF($A194="","",'Enrollment Census'!$S185)</f>
        <v/>
      </c>
      <c r="F194" s="91">
        <f>IF($A194="","",IF('Enrollment Census'!$AF185&lt;&gt;"","FIX",IF('Enrollment Census'!$AD185&lt;&gt;"","REVIEW","READY")))</f>
        <v/>
      </c>
      <c r="G194" s="91">
        <f>IF($A194="","",'Enrollment Census'!$AE185)</f>
        <v/>
      </c>
      <c r="H194" s="91">
        <f>IF($A194="","",'Enrollment Census'!$AF185)</f>
        <v/>
      </c>
      <c r="I194" s="91">
        <f>IF($A194="","",'Enrollment Census'!$AD185)</f>
        <v/>
      </c>
      <c r="J194">
        <f>IF($A194="","",'Enrollment Census'!$A185)</f>
        <v/>
      </c>
      <c r="K194">
        <f>IF($F194="FIX",ROW(),IF($F194="REVIEW",1000+ROW(),""))</f>
        <v/>
      </c>
    </row>
    <row r="195" ht="36" customHeight="1">
      <c r="A195" s="91">
        <f>IF(COUNTA('Enrollment Census'!$A186:$U186)&gt;0,186,"")</f>
        <v/>
      </c>
      <c r="B195" s="91">
        <f>IF($A195="","","Employee ending "&amp;RIGHT('Enrollment Census'!$A186&amp;"",4)&amp;IF('Enrollment Census'!$AH186&gt;0," • "&amp;'Enrollment Census'!$AH186&amp;" row"&amp;IF('Enrollment Census'!$AH186=1,"","s")&amp;" need attention",""))</f>
        <v/>
      </c>
      <c r="C195" s="91">
        <f>IF($A195="","",TRIM('Enrollment Census'!$C186&amp;" "&amp;'Enrollment Census'!$D186)&amp;" • ending "&amp;RIGHT('Enrollment Census'!$W186&amp;"",4))</f>
        <v/>
      </c>
      <c r="D195" s="91">
        <f>IF($A195="","",'Enrollment Census'!$X186)</f>
        <v/>
      </c>
      <c r="E195" s="91">
        <f>IF($A195="","",'Enrollment Census'!$S186)</f>
        <v/>
      </c>
      <c r="F195" s="91">
        <f>IF($A195="","",IF('Enrollment Census'!$AF186&lt;&gt;"","FIX",IF('Enrollment Census'!$AD186&lt;&gt;"","REVIEW","READY")))</f>
        <v/>
      </c>
      <c r="G195" s="91">
        <f>IF($A195="","",'Enrollment Census'!$AE186)</f>
        <v/>
      </c>
      <c r="H195" s="91">
        <f>IF($A195="","",'Enrollment Census'!$AF186)</f>
        <v/>
      </c>
      <c r="I195" s="91">
        <f>IF($A195="","",'Enrollment Census'!$AD186)</f>
        <v/>
      </c>
      <c r="J195">
        <f>IF($A195="","",'Enrollment Census'!$A186)</f>
        <v/>
      </c>
      <c r="K195">
        <f>IF($F195="FIX",ROW(),IF($F195="REVIEW",1000+ROW(),""))</f>
        <v/>
      </c>
    </row>
    <row r="196" ht="36" customHeight="1">
      <c r="A196" s="91">
        <f>IF(COUNTA('Enrollment Census'!$A187:$U187)&gt;0,187,"")</f>
        <v/>
      </c>
      <c r="B196" s="91">
        <f>IF($A196="","","Employee ending "&amp;RIGHT('Enrollment Census'!$A187&amp;"",4)&amp;IF('Enrollment Census'!$AH187&gt;0," • "&amp;'Enrollment Census'!$AH187&amp;" row"&amp;IF('Enrollment Census'!$AH187=1,"","s")&amp;" need attention",""))</f>
        <v/>
      </c>
      <c r="C196" s="91">
        <f>IF($A196="","",TRIM('Enrollment Census'!$C187&amp;" "&amp;'Enrollment Census'!$D187)&amp;" • ending "&amp;RIGHT('Enrollment Census'!$W187&amp;"",4))</f>
        <v/>
      </c>
      <c r="D196" s="91">
        <f>IF($A196="","",'Enrollment Census'!$X187)</f>
        <v/>
      </c>
      <c r="E196" s="91">
        <f>IF($A196="","",'Enrollment Census'!$S187)</f>
        <v/>
      </c>
      <c r="F196" s="91">
        <f>IF($A196="","",IF('Enrollment Census'!$AF187&lt;&gt;"","FIX",IF('Enrollment Census'!$AD187&lt;&gt;"","REVIEW","READY")))</f>
        <v/>
      </c>
      <c r="G196" s="91">
        <f>IF($A196="","",'Enrollment Census'!$AE187)</f>
        <v/>
      </c>
      <c r="H196" s="91">
        <f>IF($A196="","",'Enrollment Census'!$AF187)</f>
        <v/>
      </c>
      <c r="I196" s="91">
        <f>IF($A196="","",'Enrollment Census'!$AD187)</f>
        <v/>
      </c>
      <c r="J196">
        <f>IF($A196="","",'Enrollment Census'!$A187)</f>
        <v/>
      </c>
      <c r="K196">
        <f>IF($F196="FIX",ROW(),IF($F196="REVIEW",1000+ROW(),""))</f>
        <v/>
      </c>
    </row>
    <row r="197" ht="36" customHeight="1">
      <c r="A197" s="91">
        <f>IF(COUNTA('Enrollment Census'!$A188:$U188)&gt;0,188,"")</f>
        <v/>
      </c>
      <c r="B197" s="91">
        <f>IF($A197="","","Employee ending "&amp;RIGHT('Enrollment Census'!$A188&amp;"",4)&amp;IF('Enrollment Census'!$AH188&gt;0," • "&amp;'Enrollment Census'!$AH188&amp;" row"&amp;IF('Enrollment Census'!$AH188=1,"","s")&amp;" need attention",""))</f>
        <v/>
      </c>
      <c r="C197" s="91">
        <f>IF($A197="","",TRIM('Enrollment Census'!$C188&amp;" "&amp;'Enrollment Census'!$D188)&amp;" • ending "&amp;RIGHT('Enrollment Census'!$W188&amp;"",4))</f>
        <v/>
      </c>
      <c r="D197" s="91">
        <f>IF($A197="","",'Enrollment Census'!$X188)</f>
        <v/>
      </c>
      <c r="E197" s="91">
        <f>IF($A197="","",'Enrollment Census'!$S188)</f>
        <v/>
      </c>
      <c r="F197" s="91">
        <f>IF($A197="","",IF('Enrollment Census'!$AF188&lt;&gt;"","FIX",IF('Enrollment Census'!$AD188&lt;&gt;"","REVIEW","READY")))</f>
        <v/>
      </c>
      <c r="G197" s="91">
        <f>IF($A197="","",'Enrollment Census'!$AE188)</f>
        <v/>
      </c>
      <c r="H197" s="91">
        <f>IF($A197="","",'Enrollment Census'!$AF188)</f>
        <v/>
      </c>
      <c r="I197" s="91">
        <f>IF($A197="","",'Enrollment Census'!$AD188)</f>
        <v/>
      </c>
      <c r="J197">
        <f>IF($A197="","",'Enrollment Census'!$A188)</f>
        <v/>
      </c>
      <c r="K197">
        <f>IF($F197="FIX",ROW(),IF($F197="REVIEW",1000+ROW(),""))</f>
        <v/>
      </c>
    </row>
    <row r="198" ht="36" customHeight="1">
      <c r="A198" s="91">
        <f>IF(COUNTA('Enrollment Census'!$A189:$U189)&gt;0,189,"")</f>
        <v/>
      </c>
      <c r="B198" s="91">
        <f>IF($A198="","","Employee ending "&amp;RIGHT('Enrollment Census'!$A189&amp;"",4)&amp;IF('Enrollment Census'!$AH189&gt;0," • "&amp;'Enrollment Census'!$AH189&amp;" row"&amp;IF('Enrollment Census'!$AH189=1,"","s")&amp;" need attention",""))</f>
        <v/>
      </c>
      <c r="C198" s="91">
        <f>IF($A198="","",TRIM('Enrollment Census'!$C189&amp;" "&amp;'Enrollment Census'!$D189)&amp;" • ending "&amp;RIGHT('Enrollment Census'!$W189&amp;"",4))</f>
        <v/>
      </c>
      <c r="D198" s="91">
        <f>IF($A198="","",'Enrollment Census'!$X189)</f>
        <v/>
      </c>
      <c r="E198" s="91">
        <f>IF($A198="","",'Enrollment Census'!$S189)</f>
        <v/>
      </c>
      <c r="F198" s="91">
        <f>IF($A198="","",IF('Enrollment Census'!$AF189&lt;&gt;"","FIX",IF('Enrollment Census'!$AD189&lt;&gt;"","REVIEW","READY")))</f>
        <v/>
      </c>
      <c r="G198" s="91">
        <f>IF($A198="","",'Enrollment Census'!$AE189)</f>
        <v/>
      </c>
      <c r="H198" s="91">
        <f>IF($A198="","",'Enrollment Census'!$AF189)</f>
        <v/>
      </c>
      <c r="I198" s="91">
        <f>IF($A198="","",'Enrollment Census'!$AD189)</f>
        <v/>
      </c>
      <c r="J198">
        <f>IF($A198="","",'Enrollment Census'!$A189)</f>
        <v/>
      </c>
      <c r="K198">
        <f>IF($F198="FIX",ROW(),IF($F198="REVIEW",1000+ROW(),""))</f>
        <v/>
      </c>
    </row>
    <row r="199" ht="36" customHeight="1">
      <c r="A199" s="91">
        <f>IF(COUNTA('Enrollment Census'!$A190:$U190)&gt;0,190,"")</f>
        <v/>
      </c>
      <c r="B199" s="91">
        <f>IF($A199="","","Employee ending "&amp;RIGHT('Enrollment Census'!$A190&amp;"",4)&amp;IF('Enrollment Census'!$AH190&gt;0," • "&amp;'Enrollment Census'!$AH190&amp;" row"&amp;IF('Enrollment Census'!$AH190=1,"","s")&amp;" need attention",""))</f>
        <v/>
      </c>
      <c r="C199" s="91">
        <f>IF($A199="","",TRIM('Enrollment Census'!$C190&amp;" "&amp;'Enrollment Census'!$D190)&amp;" • ending "&amp;RIGHT('Enrollment Census'!$W190&amp;"",4))</f>
        <v/>
      </c>
      <c r="D199" s="91">
        <f>IF($A199="","",'Enrollment Census'!$X190)</f>
        <v/>
      </c>
      <c r="E199" s="91">
        <f>IF($A199="","",'Enrollment Census'!$S190)</f>
        <v/>
      </c>
      <c r="F199" s="91">
        <f>IF($A199="","",IF('Enrollment Census'!$AF190&lt;&gt;"","FIX",IF('Enrollment Census'!$AD190&lt;&gt;"","REVIEW","READY")))</f>
        <v/>
      </c>
      <c r="G199" s="91">
        <f>IF($A199="","",'Enrollment Census'!$AE190)</f>
        <v/>
      </c>
      <c r="H199" s="91">
        <f>IF($A199="","",'Enrollment Census'!$AF190)</f>
        <v/>
      </c>
      <c r="I199" s="91">
        <f>IF($A199="","",'Enrollment Census'!$AD190)</f>
        <v/>
      </c>
      <c r="J199">
        <f>IF($A199="","",'Enrollment Census'!$A190)</f>
        <v/>
      </c>
      <c r="K199">
        <f>IF($F199="FIX",ROW(),IF($F199="REVIEW",1000+ROW(),""))</f>
        <v/>
      </c>
    </row>
    <row r="200" ht="36" customHeight="1">
      <c r="A200" s="91">
        <f>IF(COUNTA('Enrollment Census'!$A191:$U191)&gt;0,191,"")</f>
        <v/>
      </c>
      <c r="B200" s="91">
        <f>IF($A200="","","Employee ending "&amp;RIGHT('Enrollment Census'!$A191&amp;"",4)&amp;IF('Enrollment Census'!$AH191&gt;0," • "&amp;'Enrollment Census'!$AH191&amp;" row"&amp;IF('Enrollment Census'!$AH191=1,"","s")&amp;" need attention",""))</f>
        <v/>
      </c>
      <c r="C200" s="91">
        <f>IF($A200="","",TRIM('Enrollment Census'!$C191&amp;" "&amp;'Enrollment Census'!$D191)&amp;" • ending "&amp;RIGHT('Enrollment Census'!$W191&amp;"",4))</f>
        <v/>
      </c>
      <c r="D200" s="91">
        <f>IF($A200="","",'Enrollment Census'!$X191)</f>
        <v/>
      </c>
      <c r="E200" s="91">
        <f>IF($A200="","",'Enrollment Census'!$S191)</f>
        <v/>
      </c>
      <c r="F200" s="91">
        <f>IF($A200="","",IF('Enrollment Census'!$AF191&lt;&gt;"","FIX",IF('Enrollment Census'!$AD191&lt;&gt;"","REVIEW","READY")))</f>
        <v/>
      </c>
      <c r="G200" s="91">
        <f>IF($A200="","",'Enrollment Census'!$AE191)</f>
        <v/>
      </c>
      <c r="H200" s="91">
        <f>IF($A200="","",'Enrollment Census'!$AF191)</f>
        <v/>
      </c>
      <c r="I200" s="91">
        <f>IF($A200="","",'Enrollment Census'!$AD191)</f>
        <v/>
      </c>
      <c r="J200">
        <f>IF($A200="","",'Enrollment Census'!$A191)</f>
        <v/>
      </c>
      <c r="K200">
        <f>IF($F200="FIX",ROW(),IF($F200="REVIEW",1000+ROW(),""))</f>
        <v/>
      </c>
    </row>
    <row r="201" ht="36" customHeight="1">
      <c r="A201" s="91">
        <f>IF(COUNTA('Enrollment Census'!$A192:$U192)&gt;0,192,"")</f>
        <v/>
      </c>
      <c r="B201" s="91">
        <f>IF($A201="","","Employee ending "&amp;RIGHT('Enrollment Census'!$A192&amp;"",4)&amp;IF('Enrollment Census'!$AH192&gt;0," • "&amp;'Enrollment Census'!$AH192&amp;" row"&amp;IF('Enrollment Census'!$AH192=1,"","s")&amp;" need attention",""))</f>
        <v/>
      </c>
      <c r="C201" s="91">
        <f>IF($A201="","",TRIM('Enrollment Census'!$C192&amp;" "&amp;'Enrollment Census'!$D192)&amp;" • ending "&amp;RIGHT('Enrollment Census'!$W192&amp;"",4))</f>
        <v/>
      </c>
      <c r="D201" s="91">
        <f>IF($A201="","",'Enrollment Census'!$X192)</f>
        <v/>
      </c>
      <c r="E201" s="91">
        <f>IF($A201="","",'Enrollment Census'!$S192)</f>
        <v/>
      </c>
      <c r="F201" s="91">
        <f>IF($A201="","",IF('Enrollment Census'!$AF192&lt;&gt;"","FIX",IF('Enrollment Census'!$AD192&lt;&gt;"","REVIEW","READY")))</f>
        <v/>
      </c>
      <c r="G201" s="91">
        <f>IF($A201="","",'Enrollment Census'!$AE192)</f>
        <v/>
      </c>
      <c r="H201" s="91">
        <f>IF($A201="","",'Enrollment Census'!$AF192)</f>
        <v/>
      </c>
      <c r="I201" s="91">
        <f>IF($A201="","",'Enrollment Census'!$AD192)</f>
        <v/>
      </c>
      <c r="J201">
        <f>IF($A201="","",'Enrollment Census'!$A192)</f>
        <v/>
      </c>
      <c r="K201">
        <f>IF($F201="FIX",ROW(),IF($F201="REVIEW",1000+ROW(),""))</f>
        <v/>
      </c>
    </row>
    <row r="202" ht="36" customHeight="1">
      <c r="A202" s="91">
        <f>IF(COUNTA('Enrollment Census'!$A193:$U193)&gt;0,193,"")</f>
        <v/>
      </c>
      <c r="B202" s="91">
        <f>IF($A202="","","Employee ending "&amp;RIGHT('Enrollment Census'!$A193&amp;"",4)&amp;IF('Enrollment Census'!$AH193&gt;0," • "&amp;'Enrollment Census'!$AH193&amp;" row"&amp;IF('Enrollment Census'!$AH193=1,"","s")&amp;" need attention",""))</f>
        <v/>
      </c>
      <c r="C202" s="91">
        <f>IF($A202="","",TRIM('Enrollment Census'!$C193&amp;" "&amp;'Enrollment Census'!$D193)&amp;" • ending "&amp;RIGHT('Enrollment Census'!$W193&amp;"",4))</f>
        <v/>
      </c>
      <c r="D202" s="91">
        <f>IF($A202="","",'Enrollment Census'!$X193)</f>
        <v/>
      </c>
      <c r="E202" s="91">
        <f>IF($A202="","",'Enrollment Census'!$S193)</f>
        <v/>
      </c>
      <c r="F202" s="91">
        <f>IF($A202="","",IF('Enrollment Census'!$AF193&lt;&gt;"","FIX",IF('Enrollment Census'!$AD193&lt;&gt;"","REVIEW","READY")))</f>
        <v/>
      </c>
      <c r="G202" s="91">
        <f>IF($A202="","",'Enrollment Census'!$AE193)</f>
        <v/>
      </c>
      <c r="H202" s="91">
        <f>IF($A202="","",'Enrollment Census'!$AF193)</f>
        <v/>
      </c>
      <c r="I202" s="91">
        <f>IF($A202="","",'Enrollment Census'!$AD193)</f>
        <v/>
      </c>
      <c r="J202">
        <f>IF($A202="","",'Enrollment Census'!$A193)</f>
        <v/>
      </c>
      <c r="K202">
        <f>IF($F202="FIX",ROW(),IF($F202="REVIEW",1000+ROW(),""))</f>
        <v/>
      </c>
    </row>
    <row r="203" ht="36" customHeight="1">
      <c r="A203" s="91">
        <f>IF(COUNTA('Enrollment Census'!$A194:$U194)&gt;0,194,"")</f>
        <v/>
      </c>
      <c r="B203" s="91">
        <f>IF($A203="","","Employee ending "&amp;RIGHT('Enrollment Census'!$A194&amp;"",4)&amp;IF('Enrollment Census'!$AH194&gt;0," • "&amp;'Enrollment Census'!$AH194&amp;" row"&amp;IF('Enrollment Census'!$AH194=1,"","s")&amp;" need attention",""))</f>
        <v/>
      </c>
      <c r="C203" s="91">
        <f>IF($A203="","",TRIM('Enrollment Census'!$C194&amp;" "&amp;'Enrollment Census'!$D194)&amp;" • ending "&amp;RIGHT('Enrollment Census'!$W194&amp;"",4))</f>
        <v/>
      </c>
      <c r="D203" s="91">
        <f>IF($A203="","",'Enrollment Census'!$X194)</f>
        <v/>
      </c>
      <c r="E203" s="91">
        <f>IF($A203="","",'Enrollment Census'!$S194)</f>
        <v/>
      </c>
      <c r="F203" s="91">
        <f>IF($A203="","",IF('Enrollment Census'!$AF194&lt;&gt;"","FIX",IF('Enrollment Census'!$AD194&lt;&gt;"","REVIEW","READY")))</f>
        <v/>
      </c>
      <c r="G203" s="91">
        <f>IF($A203="","",'Enrollment Census'!$AE194)</f>
        <v/>
      </c>
      <c r="H203" s="91">
        <f>IF($A203="","",'Enrollment Census'!$AF194)</f>
        <v/>
      </c>
      <c r="I203" s="91">
        <f>IF($A203="","",'Enrollment Census'!$AD194)</f>
        <v/>
      </c>
      <c r="J203">
        <f>IF($A203="","",'Enrollment Census'!$A194)</f>
        <v/>
      </c>
      <c r="K203">
        <f>IF($F203="FIX",ROW(),IF($F203="REVIEW",1000+ROW(),""))</f>
        <v/>
      </c>
    </row>
    <row r="204" ht="36" customHeight="1">
      <c r="A204" s="91">
        <f>IF(COUNTA('Enrollment Census'!$A195:$U195)&gt;0,195,"")</f>
        <v/>
      </c>
      <c r="B204" s="91">
        <f>IF($A204="","","Employee ending "&amp;RIGHT('Enrollment Census'!$A195&amp;"",4)&amp;IF('Enrollment Census'!$AH195&gt;0," • "&amp;'Enrollment Census'!$AH195&amp;" row"&amp;IF('Enrollment Census'!$AH195=1,"","s")&amp;" need attention",""))</f>
        <v/>
      </c>
      <c r="C204" s="91">
        <f>IF($A204="","",TRIM('Enrollment Census'!$C195&amp;" "&amp;'Enrollment Census'!$D195)&amp;" • ending "&amp;RIGHT('Enrollment Census'!$W195&amp;"",4))</f>
        <v/>
      </c>
      <c r="D204" s="91">
        <f>IF($A204="","",'Enrollment Census'!$X195)</f>
        <v/>
      </c>
      <c r="E204" s="91">
        <f>IF($A204="","",'Enrollment Census'!$S195)</f>
        <v/>
      </c>
      <c r="F204" s="91">
        <f>IF($A204="","",IF('Enrollment Census'!$AF195&lt;&gt;"","FIX",IF('Enrollment Census'!$AD195&lt;&gt;"","REVIEW","READY")))</f>
        <v/>
      </c>
      <c r="G204" s="91">
        <f>IF($A204="","",'Enrollment Census'!$AE195)</f>
        <v/>
      </c>
      <c r="H204" s="91">
        <f>IF($A204="","",'Enrollment Census'!$AF195)</f>
        <v/>
      </c>
      <c r="I204" s="91">
        <f>IF($A204="","",'Enrollment Census'!$AD195)</f>
        <v/>
      </c>
      <c r="J204">
        <f>IF($A204="","",'Enrollment Census'!$A195)</f>
        <v/>
      </c>
      <c r="K204">
        <f>IF($F204="FIX",ROW(),IF($F204="REVIEW",1000+ROW(),""))</f>
        <v/>
      </c>
    </row>
    <row r="205" ht="36" customHeight="1">
      <c r="A205" s="91">
        <f>IF(COUNTA('Enrollment Census'!$A196:$U196)&gt;0,196,"")</f>
        <v/>
      </c>
      <c r="B205" s="91">
        <f>IF($A205="","","Employee ending "&amp;RIGHT('Enrollment Census'!$A196&amp;"",4)&amp;IF('Enrollment Census'!$AH196&gt;0," • "&amp;'Enrollment Census'!$AH196&amp;" row"&amp;IF('Enrollment Census'!$AH196=1,"","s")&amp;" need attention",""))</f>
        <v/>
      </c>
      <c r="C205" s="91">
        <f>IF($A205="","",TRIM('Enrollment Census'!$C196&amp;" "&amp;'Enrollment Census'!$D196)&amp;" • ending "&amp;RIGHT('Enrollment Census'!$W196&amp;"",4))</f>
        <v/>
      </c>
      <c r="D205" s="91">
        <f>IF($A205="","",'Enrollment Census'!$X196)</f>
        <v/>
      </c>
      <c r="E205" s="91">
        <f>IF($A205="","",'Enrollment Census'!$S196)</f>
        <v/>
      </c>
      <c r="F205" s="91">
        <f>IF($A205="","",IF('Enrollment Census'!$AF196&lt;&gt;"","FIX",IF('Enrollment Census'!$AD196&lt;&gt;"","REVIEW","READY")))</f>
        <v/>
      </c>
      <c r="G205" s="91">
        <f>IF($A205="","",'Enrollment Census'!$AE196)</f>
        <v/>
      </c>
      <c r="H205" s="91">
        <f>IF($A205="","",'Enrollment Census'!$AF196)</f>
        <v/>
      </c>
      <c r="I205" s="91">
        <f>IF($A205="","",'Enrollment Census'!$AD196)</f>
        <v/>
      </c>
      <c r="J205">
        <f>IF($A205="","",'Enrollment Census'!$A196)</f>
        <v/>
      </c>
      <c r="K205">
        <f>IF($F205="FIX",ROW(),IF($F205="REVIEW",1000+ROW(),""))</f>
        <v/>
      </c>
    </row>
    <row r="206" ht="36" customHeight="1">
      <c r="A206" s="91">
        <f>IF(COUNTA('Enrollment Census'!$A197:$U197)&gt;0,197,"")</f>
        <v/>
      </c>
      <c r="B206" s="91">
        <f>IF($A206="","","Employee ending "&amp;RIGHT('Enrollment Census'!$A197&amp;"",4)&amp;IF('Enrollment Census'!$AH197&gt;0," • "&amp;'Enrollment Census'!$AH197&amp;" row"&amp;IF('Enrollment Census'!$AH197=1,"","s")&amp;" need attention",""))</f>
        <v/>
      </c>
      <c r="C206" s="91">
        <f>IF($A206="","",TRIM('Enrollment Census'!$C197&amp;" "&amp;'Enrollment Census'!$D197)&amp;" • ending "&amp;RIGHT('Enrollment Census'!$W197&amp;"",4))</f>
        <v/>
      </c>
      <c r="D206" s="91">
        <f>IF($A206="","",'Enrollment Census'!$X197)</f>
        <v/>
      </c>
      <c r="E206" s="91">
        <f>IF($A206="","",'Enrollment Census'!$S197)</f>
        <v/>
      </c>
      <c r="F206" s="91">
        <f>IF($A206="","",IF('Enrollment Census'!$AF197&lt;&gt;"","FIX",IF('Enrollment Census'!$AD197&lt;&gt;"","REVIEW","READY")))</f>
        <v/>
      </c>
      <c r="G206" s="91">
        <f>IF($A206="","",'Enrollment Census'!$AE197)</f>
        <v/>
      </c>
      <c r="H206" s="91">
        <f>IF($A206="","",'Enrollment Census'!$AF197)</f>
        <v/>
      </c>
      <c r="I206" s="91">
        <f>IF($A206="","",'Enrollment Census'!$AD197)</f>
        <v/>
      </c>
      <c r="J206">
        <f>IF($A206="","",'Enrollment Census'!$A197)</f>
        <v/>
      </c>
      <c r="K206">
        <f>IF($F206="FIX",ROW(),IF($F206="REVIEW",1000+ROW(),""))</f>
        <v/>
      </c>
    </row>
    <row r="207" ht="36" customHeight="1">
      <c r="A207" s="91">
        <f>IF(COUNTA('Enrollment Census'!$A198:$U198)&gt;0,198,"")</f>
        <v/>
      </c>
      <c r="B207" s="91">
        <f>IF($A207="","","Employee ending "&amp;RIGHT('Enrollment Census'!$A198&amp;"",4)&amp;IF('Enrollment Census'!$AH198&gt;0," • "&amp;'Enrollment Census'!$AH198&amp;" row"&amp;IF('Enrollment Census'!$AH198=1,"","s")&amp;" need attention",""))</f>
        <v/>
      </c>
      <c r="C207" s="91">
        <f>IF($A207="","",TRIM('Enrollment Census'!$C198&amp;" "&amp;'Enrollment Census'!$D198)&amp;" • ending "&amp;RIGHT('Enrollment Census'!$W198&amp;"",4))</f>
        <v/>
      </c>
      <c r="D207" s="91">
        <f>IF($A207="","",'Enrollment Census'!$X198)</f>
        <v/>
      </c>
      <c r="E207" s="91">
        <f>IF($A207="","",'Enrollment Census'!$S198)</f>
        <v/>
      </c>
      <c r="F207" s="91">
        <f>IF($A207="","",IF('Enrollment Census'!$AF198&lt;&gt;"","FIX",IF('Enrollment Census'!$AD198&lt;&gt;"","REVIEW","READY")))</f>
        <v/>
      </c>
      <c r="G207" s="91">
        <f>IF($A207="","",'Enrollment Census'!$AE198)</f>
        <v/>
      </c>
      <c r="H207" s="91">
        <f>IF($A207="","",'Enrollment Census'!$AF198)</f>
        <v/>
      </c>
      <c r="I207" s="91">
        <f>IF($A207="","",'Enrollment Census'!$AD198)</f>
        <v/>
      </c>
      <c r="J207">
        <f>IF($A207="","",'Enrollment Census'!$A198)</f>
        <v/>
      </c>
      <c r="K207">
        <f>IF($F207="FIX",ROW(),IF($F207="REVIEW",1000+ROW(),""))</f>
        <v/>
      </c>
    </row>
    <row r="208" ht="36" customHeight="1">
      <c r="A208" s="91">
        <f>IF(COUNTA('Enrollment Census'!$A199:$U199)&gt;0,199,"")</f>
        <v/>
      </c>
      <c r="B208" s="91">
        <f>IF($A208="","","Employee ending "&amp;RIGHT('Enrollment Census'!$A199&amp;"",4)&amp;IF('Enrollment Census'!$AH199&gt;0," • "&amp;'Enrollment Census'!$AH199&amp;" row"&amp;IF('Enrollment Census'!$AH199=1,"","s")&amp;" need attention",""))</f>
        <v/>
      </c>
      <c r="C208" s="91">
        <f>IF($A208="","",TRIM('Enrollment Census'!$C199&amp;" "&amp;'Enrollment Census'!$D199)&amp;" • ending "&amp;RIGHT('Enrollment Census'!$W199&amp;"",4))</f>
        <v/>
      </c>
      <c r="D208" s="91">
        <f>IF($A208="","",'Enrollment Census'!$X199)</f>
        <v/>
      </c>
      <c r="E208" s="91">
        <f>IF($A208="","",'Enrollment Census'!$S199)</f>
        <v/>
      </c>
      <c r="F208" s="91">
        <f>IF($A208="","",IF('Enrollment Census'!$AF199&lt;&gt;"","FIX",IF('Enrollment Census'!$AD199&lt;&gt;"","REVIEW","READY")))</f>
        <v/>
      </c>
      <c r="G208" s="91">
        <f>IF($A208="","",'Enrollment Census'!$AE199)</f>
        <v/>
      </c>
      <c r="H208" s="91">
        <f>IF($A208="","",'Enrollment Census'!$AF199)</f>
        <v/>
      </c>
      <c r="I208" s="91">
        <f>IF($A208="","",'Enrollment Census'!$AD199)</f>
        <v/>
      </c>
      <c r="J208">
        <f>IF($A208="","",'Enrollment Census'!$A199)</f>
        <v/>
      </c>
      <c r="K208">
        <f>IF($F208="FIX",ROW(),IF($F208="REVIEW",1000+ROW(),""))</f>
        <v/>
      </c>
    </row>
    <row r="209" ht="36" customHeight="1">
      <c r="A209" s="91">
        <f>IF(COUNTA('Enrollment Census'!$A200:$U200)&gt;0,200,"")</f>
        <v/>
      </c>
      <c r="B209" s="91">
        <f>IF($A209="","","Employee ending "&amp;RIGHT('Enrollment Census'!$A200&amp;"",4)&amp;IF('Enrollment Census'!$AH200&gt;0," • "&amp;'Enrollment Census'!$AH200&amp;" row"&amp;IF('Enrollment Census'!$AH200=1,"","s")&amp;" need attention",""))</f>
        <v/>
      </c>
      <c r="C209" s="91">
        <f>IF($A209="","",TRIM('Enrollment Census'!$C200&amp;" "&amp;'Enrollment Census'!$D200)&amp;" • ending "&amp;RIGHT('Enrollment Census'!$W200&amp;"",4))</f>
        <v/>
      </c>
      <c r="D209" s="91">
        <f>IF($A209="","",'Enrollment Census'!$X200)</f>
        <v/>
      </c>
      <c r="E209" s="91">
        <f>IF($A209="","",'Enrollment Census'!$S200)</f>
        <v/>
      </c>
      <c r="F209" s="91">
        <f>IF($A209="","",IF('Enrollment Census'!$AF200&lt;&gt;"","FIX",IF('Enrollment Census'!$AD200&lt;&gt;"","REVIEW","READY")))</f>
        <v/>
      </c>
      <c r="G209" s="91">
        <f>IF($A209="","",'Enrollment Census'!$AE200)</f>
        <v/>
      </c>
      <c r="H209" s="91">
        <f>IF($A209="","",'Enrollment Census'!$AF200)</f>
        <v/>
      </c>
      <c r="I209" s="91">
        <f>IF($A209="","",'Enrollment Census'!$AD200)</f>
        <v/>
      </c>
      <c r="J209">
        <f>IF($A209="","",'Enrollment Census'!$A200)</f>
        <v/>
      </c>
      <c r="K209">
        <f>IF($F209="FIX",ROW(),IF($F209="REVIEW",1000+ROW(),""))</f>
        <v/>
      </c>
    </row>
    <row r="210" ht="36" customHeight="1">
      <c r="A210" s="91">
        <f>IF(COUNTA('Enrollment Census'!$A201:$U201)&gt;0,201,"")</f>
        <v/>
      </c>
      <c r="B210" s="91">
        <f>IF($A210="","","Employee ending "&amp;RIGHT('Enrollment Census'!$A201&amp;"",4)&amp;IF('Enrollment Census'!$AH201&gt;0," • "&amp;'Enrollment Census'!$AH201&amp;" row"&amp;IF('Enrollment Census'!$AH201=1,"","s")&amp;" need attention",""))</f>
        <v/>
      </c>
      <c r="C210" s="91">
        <f>IF($A210="","",TRIM('Enrollment Census'!$C201&amp;" "&amp;'Enrollment Census'!$D201)&amp;" • ending "&amp;RIGHT('Enrollment Census'!$W201&amp;"",4))</f>
        <v/>
      </c>
      <c r="D210" s="91">
        <f>IF($A210="","",'Enrollment Census'!$X201)</f>
        <v/>
      </c>
      <c r="E210" s="91">
        <f>IF($A210="","",'Enrollment Census'!$S201)</f>
        <v/>
      </c>
      <c r="F210" s="91">
        <f>IF($A210="","",IF('Enrollment Census'!$AF201&lt;&gt;"","FIX",IF('Enrollment Census'!$AD201&lt;&gt;"","REVIEW","READY")))</f>
        <v/>
      </c>
      <c r="G210" s="91">
        <f>IF($A210="","",'Enrollment Census'!$AE201)</f>
        <v/>
      </c>
      <c r="H210" s="91">
        <f>IF($A210="","",'Enrollment Census'!$AF201)</f>
        <v/>
      </c>
      <c r="I210" s="91">
        <f>IF($A210="","",'Enrollment Census'!$AD201)</f>
        <v/>
      </c>
      <c r="J210">
        <f>IF($A210="","",'Enrollment Census'!$A201)</f>
        <v/>
      </c>
      <c r="K210">
        <f>IF($F210="FIX",ROW(),IF($F210="REVIEW",1000+ROW(),""))</f>
        <v/>
      </c>
    </row>
    <row r="211" ht="36" customHeight="1">
      <c r="A211" s="91">
        <f>IF(COUNTA('Enrollment Census'!$A202:$U202)&gt;0,202,"")</f>
        <v/>
      </c>
      <c r="B211" s="91">
        <f>IF($A211="","","Employee ending "&amp;RIGHT('Enrollment Census'!$A202&amp;"",4)&amp;IF('Enrollment Census'!$AH202&gt;0," • "&amp;'Enrollment Census'!$AH202&amp;" row"&amp;IF('Enrollment Census'!$AH202=1,"","s")&amp;" need attention",""))</f>
        <v/>
      </c>
      <c r="C211" s="91">
        <f>IF($A211="","",TRIM('Enrollment Census'!$C202&amp;" "&amp;'Enrollment Census'!$D202)&amp;" • ending "&amp;RIGHT('Enrollment Census'!$W202&amp;"",4))</f>
        <v/>
      </c>
      <c r="D211" s="91">
        <f>IF($A211="","",'Enrollment Census'!$X202)</f>
        <v/>
      </c>
      <c r="E211" s="91">
        <f>IF($A211="","",'Enrollment Census'!$S202)</f>
        <v/>
      </c>
      <c r="F211" s="91">
        <f>IF($A211="","",IF('Enrollment Census'!$AF202&lt;&gt;"","FIX",IF('Enrollment Census'!$AD202&lt;&gt;"","REVIEW","READY")))</f>
        <v/>
      </c>
      <c r="G211" s="91">
        <f>IF($A211="","",'Enrollment Census'!$AE202)</f>
        <v/>
      </c>
      <c r="H211" s="91">
        <f>IF($A211="","",'Enrollment Census'!$AF202)</f>
        <v/>
      </c>
      <c r="I211" s="91">
        <f>IF($A211="","",'Enrollment Census'!$AD202)</f>
        <v/>
      </c>
      <c r="J211">
        <f>IF($A211="","",'Enrollment Census'!$A202)</f>
        <v/>
      </c>
      <c r="K211">
        <f>IF($F211="FIX",ROW(),IF($F211="REVIEW",1000+ROW(),""))</f>
        <v/>
      </c>
    </row>
    <row r="212" ht="36" customHeight="1">
      <c r="A212" s="91">
        <f>IF(COUNTA('Enrollment Census'!$A203:$U203)&gt;0,203,"")</f>
        <v/>
      </c>
      <c r="B212" s="91">
        <f>IF($A212="","","Employee ending "&amp;RIGHT('Enrollment Census'!$A203&amp;"",4)&amp;IF('Enrollment Census'!$AH203&gt;0," • "&amp;'Enrollment Census'!$AH203&amp;" row"&amp;IF('Enrollment Census'!$AH203=1,"","s")&amp;" need attention",""))</f>
        <v/>
      </c>
      <c r="C212" s="91">
        <f>IF($A212="","",TRIM('Enrollment Census'!$C203&amp;" "&amp;'Enrollment Census'!$D203)&amp;" • ending "&amp;RIGHT('Enrollment Census'!$W203&amp;"",4))</f>
        <v/>
      </c>
      <c r="D212" s="91">
        <f>IF($A212="","",'Enrollment Census'!$X203)</f>
        <v/>
      </c>
      <c r="E212" s="91">
        <f>IF($A212="","",'Enrollment Census'!$S203)</f>
        <v/>
      </c>
      <c r="F212" s="91">
        <f>IF($A212="","",IF('Enrollment Census'!$AF203&lt;&gt;"","FIX",IF('Enrollment Census'!$AD203&lt;&gt;"","REVIEW","READY")))</f>
        <v/>
      </c>
      <c r="G212" s="91">
        <f>IF($A212="","",'Enrollment Census'!$AE203)</f>
        <v/>
      </c>
      <c r="H212" s="91">
        <f>IF($A212="","",'Enrollment Census'!$AF203)</f>
        <v/>
      </c>
      <c r="I212" s="91">
        <f>IF($A212="","",'Enrollment Census'!$AD203)</f>
        <v/>
      </c>
      <c r="J212">
        <f>IF($A212="","",'Enrollment Census'!$A203)</f>
        <v/>
      </c>
      <c r="K212">
        <f>IF($F212="FIX",ROW(),IF($F212="REVIEW",1000+ROW(),""))</f>
        <v/>
      </c>
    </row>
    <row r="213" ht="36" customHeight="1">
      <c r="A213" s="91">
        <f>IF(COUNTA('Enrollment Census'!$A204:$U204)&gt;0,204,"")</f>
        <v/>
      </c>
      <c r="B213" s="91">
        <f>IF($A213="","","Employee ending "&amp;RIGHT('Enrollment Census'!$A204&amp;"",4)&amp;IF('Enrollment Census'!$AH204&gt;0," • "&amp;'Enrollment Census'!$AH204&amp;" row"&amp;IF('Enrollment Census'!$AH204=1,"","s")&amp;" need attention",""))</f>
        <v/>
      </c>
      <c r="C213" s="91">
        <f>IF($A213="","",TRIM('Enrollment Census'!$C204&amp;" "&amp;'Enrollment Census'!$D204)&amp;" • ending "&amp;RIGHT('Enrollment Census'!$W204&amp;"",4))</f>
        <v/>
      </c>
      <c r="D213" s="91">
        <f>IF($A213="","",'Enrollment Census'!$X204)</f>
        <v/>
      </c>
      <c r="E213" s="91">
        <f>IF($A213="","",'Enrollment Census'!$S204)</f>
        <v/>
      </c>
      <c r="F213" s="91">
        <f>IF($A213="","",IF('Enrollment Census'!$AF204&lt;&gt;"","FIX",IF('Enrollment Census'!$AD204&lt;&gt;"","REVIEW","READY")))</f>
        <v/>
      </c>
      <c r="G213" s="91">
        <f>IF($A213="","",'Enrollment Census'!$AE204)</f>
        <v/>
      </c>
      <c r="H213" s="91">
        <f>IF($A213="","",'Enrollment Census'!$AF204)</f>
        <v/>
      </c>
      <c r="I213" s="91">
        <f>IF($A213="","",'Enrollment Census'!$AD204)</f>
        <v/>
      </c>
      <c r="J213">
        <f>IF($A213="","",'Enrollment Census'!$A204)</f>
        <v/>
      </c>
      <c r="K213">
        <f>IF($F213="FIX",ROW(),IF($F213="REVIEW",1000+ROW(),""))</f>
        <v/>
      </c>
    </row>
    <row r="214" ht="36" customHeight="1">
      <c r="A214" s="91">
        <f>IF(COUNTA('Enrollment Census'!$A205:$U205)&gt;0,205,"")</f>
        <v/>
      </c>
      <c r="B214" s="91">
        <f>IF($A214="","","Employee ending "&amp;RIGHT('Enrollment Census'!$A205&amp;"",4)&amp;IF('Enrollment Census'!$AH205&gt;0," • "&amp;'Enrollment Census'!$AH205&amp;" row"&amp;IF('Enrollment Census'!$AH205=1,"","s")&amp;" need attention",""))</f>
        <v/>
      </c>
      <c r="C214" s="91">
        <f>IF($A214="","",TRIM('Enrollment Census'!$C205&amp;" "&amp;'Enrollment Census'!$D205)&amp;" • ending "&amp;RIGHT('Enrollment Census'!$W205&amp;"",4))</f>
        <v/>
      </c>
      <c r="D214" s="91">
        <f>IF($A214="","",'Enrollment Census'!$X205)</f>
        <v/>
      </c>
      <c r="E214" s="91">
        <f>IF($A214="","",'Enrollment Census'!$S205)</f>
        <v/>
      </c>
      <c r="F214" s="91">
        <f>IF($A214="","",IF('Enrollment Census'!$AF205&lt;&gt;"","FIX",IF('Enrollment Census'!$AD205&lt;&gt;"","REVIEW","READY")))</f>
        <v/>
      </c>
      <c r="G214" s="91">
        <f>IF($A214="","",'Enrollment Census'!$AE205)</f>
        <v/>
      </c>
      <c r="H214" s="91">
        <f>IF($A214="","",'Enrollment Census'!$AF205)</f>
        <v/>
      </c>
      <c r="I214" s="91">
        <f>IF($A214="","",'Enrollment Census'!$AD205)</f>
        <v/>
      </c>
      <c r="J214">
        <f>IF($A214="","",'Enrollment Census'!$A205)</f>
        <v/>
      </c>
      <c r="K214">
        <f>IF($F214="FIX",ROW(),IF($F214="REVIEW",1000+ROW(),""))</f>
        <v/>
      </c>
    </row>
    <row r="215" ht="36" customHeight="1">
      <c r="A215" s="91">
        <f>IF(COUNTA('Enrollment Census'!$A206:$U206)&gt;0,206,"")</f>
        <v/>
      </c>
      <c r="B215" s="91">
        <f>IF($A215="","","Employee ending "&amp;RIGHT('Enrollment Census'!$A206&amp;"",4)&amp;IF('Enrollment Census'!$AH206&gt;0," • "&amp;'Enrollment Census'!$AH206&amp;" row"&amp;IF('Enrollment Census'!$AH206=1,"","s")&amp;" need attention",""))</f>
        <v/>
      </c>
      <c r="C215" s="91">
        <f>IF($A215="","",TRIM('Enrollment Census'!$C206&amp;" "&amp;'Enrollment Census'!$D206)&amp;" • ending "&amp;RIGHT('Enrollment Census'!$W206&amp;"",4))</f>
        <v/>
      </c>
      <c r="D215" s="91">
        <f>IF($A215="","",'Enrollment Census'!$X206)</f>
        <v/>
      </c>
      <c r="E215" s="91">
        <f>IF($A215="","",'Enrollment Census'!$S206)</f>
        <v/>
      </c>
      <c r="F215" s="91">
        <f>IF($A215="","",IF('Enrollment Census'!$AF206&lt;&gt;"","FIX",IF('Enrollment Census'!$AD206&lt;&gt;"","REVIEW","READY")))</f>
        <v/>
      </c>
      <c r="G215" s="91">
        <f>IF($A215="","",'Enrollment Census'!$AE206)</f>
        <v/>
      </c>
      <c r="H215" s="91">
        <f>IF($A215="","",'Enrollment Census'!$AF206)</f>
        <v/>
      </c>
      <c r="I215" s="91">
        <f>IF($A215="","",'Enrollment Census'!$AD206)</f>
        <v/>
      </c>
      <c r="J215">
        <f>IF($A215="","",'Enrollment Census'!$A206)</f>
        <v/>
      </c>
      <c r="K215">
        <f>IF($F215="FIX",ROW(),IF($F215="REVIEW",1000+ROW(),""))</f>
        <v/>
      </c>
    </row>
    <row r="216" ht="36" customHeight="1">
      <c r="A216" s="91">
        <f>IF(COUNTA('Enrollment Census'!$A207:$U207)&gt;0,207,"")</f>
        <v/>
      </c>
      <c r="B216" s="91">
        <f>IF($A216="","","Employee ending "&amp;RIGHT('Enrollment Census'!$A207&amp;"",4)&amp;IF('Enrollment Census'!$AH207&gt;0," • "&amp;'Enrollment Census'!$AH207&amp;" row"&amp;IF('Enrollment Census'!$AH207=1,"","s")&amp;" need attention",""))</f>
        <v/>
      </c>
      <c r="C216" s="91">
        <f>IF($A216="","",TRIM('Enrollment Census'!$C207&amp;" "&amp;'Enrollment Census'!$D207)&amp;" • ending "&amp;RIGHT('Enrollment Census'!$W207&amp;"",4))</f>
        <v/>
      </c>
      <c r="D216" s="91">
        <f>IF($A216="","",'Enrollment Census'!$X207)</f>
        <v/>
      </c>
      <c r="E216" s="91">
        <f>IF($A216="","",'Enrollment Census'!$S207)</f>
        <v/>
      </c>
      <c r="F216" s="91">
        <f>IF($A216="","",IF('Enrollment Census'!$AF207&lt;&gt;"","FIX",IF('Enrollment Census'!$AD207&lt;&gt;"","REVIEW","READY")))</f>
        <v/>
      </c>
      <c r="G216" s="91">
        <f>IF($A216="","",'Enrollment Census'!$AE207)</f>
        <v/>
      </c>
      <c r="H216" s="91">
        <f>IF($A216="","",'Enrollment Census'!$AF207)</f>
        <v/>
      </c>
      <c r="I216" s="91">
        <f>IF($A216="","",'Enrollment Census'!$AD207)</f>
        <v/>
      </c>
      <c r="J216">
        <f>IF($A216="","",'Enrollment Census'!$A207)</f>
        <v/>
      </c>
      <c r="K216">
        <f>IF($F216="FIX",ROW(),IF($F216="REVIEW",1000+ROW(),""))</f>
        <v/>
      </c>
    </row>
    <row r="217" ht="36" customHeight="1">
      <c r="A217" s="91">
        <f>IF(COUNTA('Enrollment Census'!$A208:$U208)&gt;0,208,"")</f>
        <v/>
      </c>
      <c r="B217" s="91">
        <f>IF($A217="","","Employee ending "&amp;RIGHT('Enrollment Census'!$A208&amp;"",4)&amp;IF('Enrollment Census'!$AH208&gt;0," • "&amp;'Enrollment Census'!$AH208&amp;" row"&amp;IF('Enrollment Census'!$AH208=1,"","s")&amp;" need attention",""))</f>
        <v/>
      </c>
      <c r="C217" s="91">
        <f>IF($A217="","",TRIM('Enrollment Census'!$C208&amp;" "&amp;'Enrollment Census'!$D208)&amp;" • ending "&amp;RIGHT('Enrollment Census'!$W208&amp;"",4))</f>
        <v/>
      </c>
      <c r="D217" s="91">
        <f>IF($A217="","",'Enrollment Census'!$X208)</f>
        <v/>
      </c>
      <c r="E217" s="91">
        <f>IF($A217="","",'Enrollment Census'!$S208)</f>
        <v/>
      </c>
      <c r="F217" s="91">
        <f>IF($A217="","",IF('Enrollment Census'!$AF208&lt;&gt;"","FIX",IF('Enrollment Census'!$AD208&lt;&gt;"","REVIEW","READY")))</f>
        <v/>
      </c>
      <c r="G217" s="91">
        <f>IF($A217="","",'Enrollment Census'!$AE208)</f>
        <v/>
      </c>
      <c r="H217" s="91">
        <f>IF($A217="","",'Enrollment Census'!$AF208)</f>
        <v/>
      </c>
      <c r="I217" s="91">
        <f>IF($A217="","",'Enrollment Census'!$AD208)</f>
        <v/>
      </c>
      <c r="J217">
        <f>IF($A217="","",'Enrollment Census'!$A208)</f>
        <v/>
      </c>
      <c r="K217">
        <f>IF($F217="FIX",ROW(),IF($F217="REVIEW",1000+ROW(),""))</f>
        <v/>
      </c>
    </row>
    <row r="218" ht="36" customHeight="1">
      <c r="A218" s="91">
        <f>IF(COUNTA('Enrollment Census'!$A209:$U209)&gt;0,209,"")</f>
        <v/>
      </c>
      <c r="B218" s="91">
        <f>IF($A218="","","Employee ending "&amp;RIGHT('Enrollment Census'!$A209&amp;"",4)&amp;IF('Enrollment Census'!$AH209&gt;0," • "&amp;'Enrollment Census'!$AH209&amp;" row"&amp;IF('Enrollment Census'!$AH209=1,"","s")&amp;" need attention",""))</f>
        <v/>
      </c>
      <c r="C218" s="91">
        <f>IF($A218="","",TRIM('Enrollment Census'!$C209&amp;" "&amp;'Enrollment Census'!$D209)&amp;" • ending "&amp;RIGHT('Enrollment Census'!$W209&amp;"",4))</f>
        <v/>
      </c>
      <c r="D218" s="91">
        <f>IF($A218="","",'Enrollment Census'!$X209)</f>
        <v/>
      </c>
      <c r="E218" s="91">
        <f>IF($A218="","",'Enrollment Census'!$S209)</f>
        <v/>
      </c>
      <c r="F218" s="91">
        <f>IF($A218="","",IF('Enrollment Census'!$AF209&lt;&gt;"","FIX",IF('Enrollment Census'!$AD209&lt;&gt;"","REVIEW","READY")))</f>
        <v/>
      </c>
      <c r="G218" s="91">
        <f>IF($A218="","",'Enrollment Census'!$AE209)</f>
        <v/>
      </c>
      <c r="H218" s="91">
        <f>IF($A218="","",'Enrollment Census'!$AF209)</f>
        <v/>
      </c>
      <c r="I218" s="91">
        <f>IF($A218="","",'Enrollment Census'!$AD209)</f>
        <v/>
      </c>
      <c r="J218">
        <f>IF($A218="","",'Enrollment Census'!$A209)</f>
        <v/>
      </c>
      <c r="K218">
        <f>IF($F218="FIX",ROW(),IF($F218="REVIEW",1000+ROW(),""))</f>
        <v/>
      </c>
    </row>
    <row r="219" ht="36" customHeight="1">
      <c r="A219" s="91">
        <f>IF(COUNTA('Enrollment Census'!$A210:$U210)&gt;0,210,"")</f>
        <v/>
      </c>
      <c r="B219" s="91">
        <f>IF($A219="","","Employee ending "&amp;RIGHT('Enrollment Census'!$A210&amp;"",4)&amp;IF('Enrollment Census'!$AH210&gt;0," • "&amp;'Enrollment Census'!$AH210&amp;" row"&amp;IF('Enrollment Census'!$AH210=1,"","s")&amp;" need attention",""))</f>
        <v/>
      </c>
      <c r="C219" s="91">
        <f>IF($A219="","",TRIM('Enrollment Census'!$C210&amp;" "&amp;'Enrollment Census'!$D210)&amp;" • ending "&amp;RIGHT('Enrollment Census'!$W210&amp;"",4))</f>
        <v/>
      </c>
      <c r="D219" s="91">
        <f>IF($A219="","",'Enrollment Census'!$X210)</f>
        <v/>
      </c>
      <c r="E219" s="91">
        <f>IF($A219="","",'Enrollment Census'!$S210)</f>
        <v/>
      </c>
      <c r="F219" s="91">
        <f>IF($A219="","",IF('Enrollment Census'!$AF210&lt;&gt;"","FIX",IF('Enrollment Census'!$AD210&lt;&gt;"","REVIEW","READY")))</f>
        <v/>
      </c>
      <c r="G219" s="91">
        <f>IF($A219="","",'Enrollment Census'!$AE210)</f>
        <v/>
      </c>
      <c r="H219" s="91">
        <f>IF($A219="","",'Enrollment Census'!$AF210)</f>
        <v/>
      </c>
      <c r="I219" s="91">
        <f>IF($A219="","",'Enrollment Census'!$AD210)</f>
        <v/>
      </c>
      <c r="J219">
        <f>IF($A219="","",'Enrollment Census'!$A210)</f>
        <v/>
      </c>
      <c r="K219">
        <f>IF($F219="FIX",ROW(),IF($F219="REVIEW",1000+ROW(),""))</f>
        <v/>
      </c>
    </row>
    <row r="220" ht="36" customHeight="1">
      <c r="A220" s="91">
        <f>IF(COUNTA('Enrollment Census'!$A211:$U211)&gt;0,211,"")</f>
        <v/>
      </c>
      <c r="B220" s="91">
        <f>IF($A220="","","Employee ending "&amp;RIGHT('Enrollment Census'!$A211&amp;"",4)&amp;IF('Enrollment Census'!$AH211&gt;0," • "&amp;'Enrollment Census'!$AH211&amp;" row"&amp;IF('Enrollment Census'!$AH211=1,"","s")&amp;" need attention",""))</f>
        <v/>
      </c>
      <c r="C220" s="91">
        <f>IF($A220="","",TRIM('Enrollment Census'!$C211&amp;" "&amp;'Enrollment Census'!$D211)&amp;" • ending "&amp;RIGHT('Enrollment Census'!$W211&amp;"",4))</f>
        <v/>
      </c>
      <c r="D220" s="91">
        <f>IF($A220="","",'Enrollment Census'!$X211)</f>
        <v/>
      </c>
      <c r="E220" s="91">
        <f>IF($A220="","",'Enrollment Census'!$S211)</f>
        <v/>
      </c>
      <c r="F220" s="91">
        <f>IF($A220="","",IF('Enrollment Census'!$AF211&lt;&gt;"","FIX",IF('Enrollment Census'!$AD211&lt;&gt;"","REVIEW","READY")))</f>
        <v/>
      </c>
      <c r="G220" s="91">
        <f>IF($A220="","",'Enrollment Census'!$AE211)</f>
        <v/>
      </c>
      <c r="H220" s="91">
        <f>IF($A220="","",'Enrollment Census'!$AF211)</f>
        <v/>
      </c>
      <c r="I220" s="91">
        <f>IF($A220="","",'Enrollment Census'!$AD211)</f>
        <v/>
      </c>
      <c r="J220">
        <f>IF($A220="","",'Enrollment Census'!$A211)</f>
        <v/>
      </c>
      <c r="K220">
        <f>IF($F220="FIX",ROW(),IF($F220="REVIEW",1000+ROW(),""))</f>
        <v/>
      </c>
    </row>
    <row r="221" ht="36" customHeight="1">
      <c r="A221" s="91">
        <f>IF(COUNTA('Enrollment Census'!$A212:$U212)&gt;0,212,"")</f>
        <v/>
      </c>
      <c r="B221" s="91">
        <f>IF($A221="","","Employee ending "&amp;RIGHT('Enrollment Census'!$A212&amp;"",4)&amp;IF('Enrollment Census'!$AH212&gt;0," • "&amp;'Enrollment Census'!$AH212&amp;" row"&amp;IF('Enrollment Census'!$AH212=1,"","s")&amp;" need attention",""))</f>
        <v/>
      </c>
      <c r="C221" s="91">
        <f>IF($A221="","",TRIM('Enrollment Census'!$C212&amp;" "&amp;'Enrollment Census'!$D212)&amp;" • ending "&amp;RIGHT('Enrollment Census'!$W212&amp;"",4))</f>
        <v/>
      </c>
      <c r="D221" s="91">
        <f>IF($A221="","",'Enrollment Census'!$X212)</f>
        <v/>
      </c>
      <c r="E221" s="91">
        <f>IF($A221="","",'Enrollment Census'!$S212)</f>
        <v/>
      </c>
      <c r="F221" s="91">
        <f>IF($A221="","",IF('Enrollment Census'!$AF212&lt;&gt;"","FIX",IF('Enrollment Census'!$AD212&lt;&gt;"","REVIEW","READY")))</f>
        <v/>
      </c>
      <c r="G221" s="91">
        <f>IF($A221="","",'Enrollment Census'!$AE212)</f>
        <v/>
      </c>
      <c r="H221" s="91">
        <f>IF($A221="","",'Enrollment Census'!$AF212)</f>
        <v/>
      </c>
      <c r="I221" s="91">
        <f>IF($A221="","",'Enrollment Census'!$AD212)</f>
        <v/>
      </c>
      <c r="J221">
        <f>IF($A221="","",'Enrollment Census'!$A212)</f>
        <v/>
      </c>
      <c r="K221">
        <f>IF($F221="FIX",ROW(),IF($F221="REVIEW",1000+ROW(),""))</f>
        <v/>
      </c>
    </row>
    <row r="222" ht="36" customHeight="1">
      <c r="A222" s="91">
        <f>IF(COUNTA('Enrollment Census'!$A213:$U213)&gt;0,213,"")</f>
        <v/>
      </c>
      <c r="B222" s="91">
        <f>IF($A222="","","Employee ending "&amp;RIGHT('Enrollment Census'!$A213&amp;"",4)&amp;IF('Enrollment Census'!$AH213&gt;0," • "&amp;'Enrollment Census'!$AH213&amp;" row"&amp;IF('Enrollment Census'!$AH213=1,"","s")&amp;" need attention",""))</f>
        <v/>
      </c>
      <c r="C222" s="91">
        <f>IF($A222="","",TRIM('Enrollment Census'!$C213&amp;" "&amp;'Enrollment Census'!$D213)&amp;" • ending "&amp;RIGHT('Enrollment Census'!$W213&amp;"",4))</f>
        <v/>
      </c>
      <c r="D222" s="91">
        <f>IF($A222="","",'Enrollment Census'!$X213)</f>
        <v/>
      </c>
      <c r="E222" s="91">
        <f>IF($A222="","",'Enrollment Census'!$S213)</f>
        <v/>
      </c>
      <c r="F222" s="91">
        <f>IF($A222="","",IF('Enrollment Census'!$AF213&lt;&gt;"","FIX",IF('Enrollment Census'!$AD213&lt;&gt;"","REVIEW","READY")))</f>
        <v/>
      </c>
      <c r="G222" s="91">
        <f>IF($A222="","",'Enrollment Census'!$AE213)</f>
        <v/>
      </c>
      <c r="H222" s="91">
        <f>IF($A222="","",'Enrollment Census'!$AF213)</f>
        <v/>
      </c>
      <c r="I222" s="91">
        <f>IF($A222="","",'Enrollment Census'!$AD213)</f>
        <v/>
      </c>
      <c r="J222">
        <f>IF($A222="","",'Enrollment Census'!$A213)</f>
        <v/>
      </c>
      <c r="K222">
        <f>IF($F222="FIX",ROW(),IF($F222="REVIEW",1000+ROW(),""))</f>
        <v/>
      </c>
    </row>
    <row r="223" ht="36" customHeight="1">
      <c r="A223" s="91">
        <f>IF(COUNTA('Enrollment Census'!$A214:$U214)&gt;0,214,"")</f>
        <v/>
      </c>
      <c r="B223" s="91">
        <f>IF($A223="","","Employee ending "&amp;RIGHT('Enrollment Census'!$A214&amp;"",4)&amp;IF('Enrollment Census'!$AH214&gt;0," • "&amp;'Enrollment Census'!$AH214&amp;" row"&amp;IF('Enrollment Census'!$AH214=1,"","s")&amp;" need attention",""))</f>
        <v/>
      </c>
      <c r="C223" s="91">
        <f>IF($A223="","",TRIM('Enrollment Census'!$C214&amp;" "&amp;'Enrollment Census'!$D214)&amp;" • ending "&amp;RIGHT('Enrollment Census'!$W214&amp;"",4))</f>
        <v/>
      </c>
      <c r="D223" s="91">
        <f>IF($A223="","",'Enrollment Census'!$X214)</f>
        <v/>
      </c>
      <c r="E223" s="91">
        <f>IF($A223="","",'Enrollment Census'!$S214)</f>
        <v/>
      </c>
      <c r="F223" s="91">
        <f>IF($A223="","",IF('Enrollment Census'!$AF214&lt;&gt;"","FIX",IF('Enrollment Census'!$AD214&lt;&gt;"","REVIEW","READY")))</f>
        <v/>
      </c>
      <c r="G223" s="91">
        <f>IF($A223="","",'Enrollment Census'!$AE214)</f>
        <v/>
      </c>
      <c r="H223" s="91">
        <f>IF($A223="","",'Enrollment Census'!$AF214)</f>
        <v/>
      </c>
      <c r="I223" s="91">
        <f>IF($A223="","",'Enrollment Census'!$AD214)</f>
        <v/>
      </c>
      <c r="J223">
        <f>IF($A223="","",'Enrollment Census'!$A214)</f>
        <v/>
      </c>
      <c r="K223">
        <f>IF($F223="FIX",ROW(),IF($F223="REVIEW",1000+ROW(),""))</f>
        <v/>
      </c>
    </row>
    <row r="224" ht="36" customHeight="1">
      <c r="A224" s="91">
        <f>IF(COUNTA('Enrollment Census'!$A215:$U215)&gt;0,215,"")</f>
        <v/>
      </c>
      <c r="B224" s="91">
        <f>IF($A224="","","Employee ending "&amp;RIGHT('Enrollment Census'!$A215&amp;"",4)&amp;IF('Enrollment Census'!$AH215&gt;0," • "&amp;'Enrollment Census'!$AH215&amp;" row"&amp;IF('Enrollment Census'!$AH215=1,"","s")&amp;" need attention",""))</f>
        <v/>
      </c>
      <c r="C224" s="91">
        <f>IF($A224="","",TRIM('Enrollment Census'!$C215&amp;" "&amp;'Enrollment Census'!$D215)&amp;" • ending "&amp;RIGHT('Enrollment Census'!$W215&amp;"",4))</f>
        <v/>
      </c>
      <c r="D224" s="91">
        <f>IF($A224="","",'Enrollment Census'!$X215)</f>
        <v/>
      </c>
      <c r="E224" s="91">
        <f>IF($A224="","",'Enrollment Census'!$S215)</f>
        <v/>
      </c>
      <c r="F224" s="91">
        <f>IF($A224="","",IF('Enrollment Census'!$AF215&lt;&gt;"","FIX",IF('Enrollment Census'!$AD215&lt;&gt;"","REVIEW","READY")))</f>
        <v/>
      </c>
      <c r="G224" s="91">
        <f>IF($A224="","",'Enrollment Census'!$AE215)</f>
        <v/>
      </c>
      <c r="H224" s="91">
        <f>IF($A224="","",'Enrollment Census'!$AF215)</f>
        <v/>
      </c>
      <c r="I224" s="91">
        <f>IF($A224="","",'Enrollment Census'!$AD215)</f>
        <v/>
      </c>
      <c r="J224">
        <f>IF($A224="","",'Enrollment Census'!$A215)</f>
        <v/>
      </c>
      <c r="K224">
        <f>IF($F224="FIX",ROW(),IF($F224="REVIEW",1000+ROW(),""))</f>
        <v/>
      </c>
    </row>
    <row r="225" ht="36" customHeight="1">
      <c r="A225" s="91">
        <f>IF(COUNTA('Enrollment Census'!$A216:$U216)&gt;0,216,"")</f>
        <v/>
      </c>
      <c r="B225" s="91">
        <f>IF($A225="","","Employee ending "&amp;RIGHT('Enrollment Census'!$A216&amp;"",4)&amp;IF('Enrollment Census'!$AH216&gt;0," • "&amp;'Enrollment Census'!$AH216&amp;" row"&amp;IF('Enrollment Census'!$AH216=1,"","s")&amp;" need attention",""))</f>
        <v/>
      </c>
      <c r="C225" s="91">
        <f>IF($A225="","",TRIM('Enrollment Census'!$C216&amp;" "&amp;'Enrollment Census'!$D216)&amp;" • ending "&amp;RIGHT('Enrollment Census'!$W216&amp;"",4))</f>
        <v/>
      </c>
      <c r="D225" s="91">
        <f>IF($A225="","",'Enrollment Census'!$X216)</f>
        <v/>
      </c>
      <c r="E225" s="91">
        <f>IF($A225="","",'Enrollment Census'!$S216)</f>
        <v/>
      </c>
      <c r="F225" s="91">
        <f>IF($A225="","",IF('Enrollment Census'!$AF216&lt;&gt;"","FIX",IF('Enrollment Census'!$AD216&lt;&gt;"","REVIEW","READY")))</f>
        <v/>
      </c>
      <c r="G225" s="91">
        <f>IF($A225="","",'Enrollment Census'!$AE216)</f>
        <v/>
      </c>
      <c r="H225" s="91">
        <f>IF($A225="","",'Enrollment Census'!$AF216)</f>
        <v/>
      </c>
      <c r="I225" s="91">
        <f>IF($A225="","",'Enrollment Census'!$AD216)</f>
        <v/>
      </c>
      <c r="J225">
        <f>IF($A225="","",'Enrollment Census'!$A216)</f>
        <v/>
      </c>
      <c r="K225">
        <f>IF($F225="FIX",ROW(),IF($F225="REVIEW",1000+ROW(),""))</f>
        <v/>
      </c>
    </row>
    <row r="226" ht="36" customHeight="1">
      <c r="A226" s="91">
        <f>IF(COUNTA('Enrollment Census'!$A217:$U217)&gt;0,217,"")</f>
        <v/>
      </c>
      <c r="B226" s="91">
        <f>IF($A226="","","Employee ending "&amp;RIGHT('Enrollment Census'!$A217&amp;"",4)&amp;IF('Enrollment Census'!$AH217&gt;0," • "&amp;'Enrollment Census'!$AH217&amp;" row"&amp;IF('Enrollment Census'!$AH217=1,"","s")&amp;" need attention",""))</f>
        <v/>
      </c>
      <c r="C226" s="91">
        <f>IF($A226="","",TRIM('Enrollment Census'!$C217&amp;" "&amp;'Enrollment Census'!$D217)&amp;" • ending "&amp;RIGHT('Enrollment Census'!$W217&amp;"",4))</f>
        <v/>
      </c>
      <c r="D226" s="91">
        <f>IF($A226="","",'Enrollment Census'!$X217)</f>
        <v/>
      </c>
      <c r="E226" s="91">
        <f>IF($A226="","",'Enrollment Census'!$S217)</f>
        <v/>
      </c>
      <c r="F226" s="91">
        <f>IF($A226="","",IF('Enrollment Census'!$AF217&lt;&gt;"","FIX",IF('Enrollment Census'!$AD217&lt;&gt;"","REVIEW","READY")))</f>
        <v/>
      </c>
      <c r="G226" s="91">
        <f>IF($A226="","",'Enrollment Census'!$AE217)</f>
        <v/>
      </c>
      <c r="H226" s="91">
        <f>IF($A226="","",'Enrollment Census'!$AF217)</f>
        <v/>
      </c>
      <c r="I226" s="91">
        <f>IF($A226="","",'Enrollment Census'!$AD217)</f>
        <v/>
      </c>
      <c r="J226">
        <f>IF($A226="","",'Enrollment Census'!$A217)</f>
        <v/>
      </c>
      <c r="K226">
        <f>IF($F226="FIX",ROW(),IF($F226="REVIEW",1000+ROW(),""))</f>
        <v/>
      </c>
    </row>
    <row r="227" ht="36" customHeight="1">
      <c r="A227" s="91">
        <f>IF(COUNTA('Enrollment Census'!$A218:$U218)&gt;0,218,"")</f>
        <v/>
      </c>
      <c r="B227" s="91">
        <f>IF($A227="","","Employee ending "&amp;RIGHT('Enrollment Census'!$A218&amp;"",4)&amp;IF('Enrollment Census'!$AH218&gt;0," • "&amp;'Enrollment Census'!$AH218&amp;" row"&amp;IF('Enrollment Census'!$AH218=1,"","s")&amp;" need attention",""))</f>
        <v/>
      </c>
      <c r="C227" s="91">
        <f>IF($A227="","",TRIM('Enrollment Census'!$C218&amp;" "&amp;'Enrollment Census'!$D218)&amp;" • ending "&amp;RIGHT('Enrollment Census'!$W218&amp;"",4))</f>
        <v/>
      </c>
      <c r="D227" s="91">
        <f>IF($A227="","",'Enrollment Census'!$X218)</f>
        <v/>
      </c>
      <c r="E227" s="91">
        <f>IF($A227="","",'Enrollment Census'!$S218)</f>
        <v/>
      </c>
      <c r="F227" s="91">
        <f>IF($A227="","",IF('Enrollment Census'!$AF218&lt;&gt;"","FIX",IF('Enrollment Census'!$AD218&lt;&gt;"","REVIEW","READY")))</f>
        <v/>
      </c>
      <c r="G227" s="91">
        <f>IF($A227="","",'Enrollment Census'!$AE218)</f>
        <v/>
      </c>
      <c r="H227" s="91">
        <f>IF($A227="","",'Enrollment Census'!$AF218)</f>
        <v/>
      </c>
      <c r="I227" s="91">
        <f>IF($A227="","",'Enrollment Census'!$AD218)</f>
        <v/>
      </c>
      <c r="J227">
        <f>IF($A227="","",'Enrollment Census'!$A218)</f>
        <v/>
      </c>
      <c r="K227">
        <f>IF($F227="FIX",ROW(),IF($F227="REVIEW",1000+ROW(),""))</f>
        <v/>
      </c>
    </row>
    <row r="228" ht="36" customHeight="1">
      <c r="A228" s="91">
        <f>IF(COUNTA('Enrollment Census'!$A219:$U219)&gt;0,219,"")</f>
        <v/>
      </c>
      <c r="B228" s="91">
        <f>IF($A228="","","Employee ending "&amp;RIGHT('Enrollment Census'!$A219&amp;"",4)&amp;IF('Enrollment Census'!$AH219&gt;0," • "&amp;'Enrollment Census'!$AH219&amp;" row"&amp;IF('Enrollment Census'!$AH219=1,"","s")&amp;" need attention",""))</f>
        <v/>
      </c>
      <c r="C228" s="91">
        <f>IF($A228="","",TRIM('Enrollment Census'!$C219&amp;" "&amp;'Enrollment Census'!$D219)&amp;" • ending "&amp;RIGHT('Enrollment Census'!$W219&amp;"",4))</f>
        <v/>
      </c>
      <c r="D228" s="91">
        <f>IF($A228="","",'Enrollment Census'!$X219)</f>
        <v/>
      </c>
      <c r="E228" s="91">
        <f>IF($A228="","",'Enrollment Census'!$S219)</f>
        <v/>
      </c>
      <c r="F228" s="91">
        <f>IF($A228="","",IF('Enrollment Census'!$AF219&lt;&gt;"","FIX",IF('Enrollment Census'!$AD219&lt;&gt;"","REVIEW","READY")))</f>
        <v/>
      </c>
      <c r="G228" s="91">
        <f>IF($A228="","",'Enrollment Census'!$AE219)</f>
        <v/>
      </c>
      <c r="H228" s="91">
        <f>IF($A228="","",'Enrollment Census'!$AF219)</f>
        <v/>
      </c>
      <c r="I228" s="91">
        <f>IF($A228="","",'Enrollment Census'!$AD219)</f>
        <v/>
      </c>
      <c r="J228">
        <f>IF($A228="","",'Enrollment Census'!$A219)</f>
        <v/>
      </c>
      <c r="K228">
        <f>IF($F228="FIX",ROW(),IF($F228="REVIEW",1000+ROW(),""))</f>
        <v/>
      </c>
    </row>
    <row r="229" ht="36" customHeight="1">
      <c r="A229" s="91">
        <f>IF(COUNTA('Enrollment Census'!$A220:$U220)&gt;0,220,"")</f>
        <v/>
      </c>
      <c r="B229" s="91">
        <f>IF($A229="","","Employee ending "&amp;RIGHT('Enrollment Census'!$A220&amp;"",4)&amp;IF('Enrollment Census'!$AH220&gt;0," • "&amp;'Enrollment Census'!$AH220&amp;" row"&amp;IF('Enrollment Census'!$AH220=1,"","s")&amp;" need attention",""))</f>
        <v/>
      </c>
      <c r="C229" s="91">
        <f>IF($A229="","",TRIM('Enrollment Census'!$C220&amp;" "&amp;'Enrollment Census'!$D220)&amp;" • ending "&amp;RIGHT('Enrollment Census'!$W220&amp;"",4))</f>
        <v/>
      </c>
      <c r="D229" s="91">
        <f>IF($A229="","",'Enrollment Census'!$X220)</f>
        <v/>
      </c>
      <c r="E229" s="91">
        <f>IF($A229="","",'Enrollment Census'!$S220)</f>
        <v/>
      </c>
      <c r="F229" s="91">
        <f>IF($A229="","",IF('Enrollment Census'!$AF220&lt;&gt;"","FIX",IF('Enrollment Census'!$AD220&lt;&gt;"","REVIEW","READY")))</f>
        <v/>
      </c>
      <c r="G229" s="91">
        <f>IF($A229="","",'Enrollment Census'!$AE220)</f>
        <v/>
      </c>
      <c r="H229" s="91">
        <f>IF($A229="","",'Enrollment Census'!$AF220)</f>
        <v/>
      </c>
      <c r="I229" s="91">
        <f>IF($A229="","",'Enrollment Census'!$AD220)</f>
        <v/>
      </c>
      <c r="J229">
        <f>IF($A229="","",'Enrollment Census'!$A220)</f>
        <v/>
      </c>
      <c r="K229">
        <f>IF($F229="FIX",ROW(),IF($F229="REVIEW",1000+ROW(),""))</f>
        <v/>
      </c>
    </row>
    <row r="230" ht="36" customHeight="1">
      <c r="A230" s="91">
        <f>IF(COUNTA('Enrollment Census'!$A221:$U221)&gt;0,221,"")</f>
        <v/>
      </c>
      <c r="B230" s="91">
        <f>IF($A230="","","Employee ending "&amp;RIGHT('Enrollment Census'!$A221&amp;"",4)&amp;IF('Enrollment Census'!$AH221&gt;0," • "&amp;'Enrollment Census'!$AH221&amp;" row"&amp;IF('Enrollment Census'!$AH221=1,"","s")&amp;" need attention",""))</f>
        <v/>
      </c>
      <c r="C230" s="91">
        <f>IF($A230="","",TRIM('Enrollment Census'!$C221&amp;" "&amp;'Enrollment Census'!$D221)&amp;" • ending "&amp;RIGHT('Enrollment Census'!$W221&amp;"",4))</f>
        <v/>
      </c>
      <c r="D230" s="91">
        <f>IF($A230="","",'Enrollment Census'!$X221)</f>
        <v/>
      </c>
      <c r="E230" s="91">
        <f>IF($A230="","",'Enrollment Census'!$S221)</f>
        <v/>
      </c>
      <c r="F230" s="91">
        <f>IF($A230="","",IF('Enrollment Census'!$AF221&lt;&gt;"","FIX",IF('Enrollment Census'!$AD221&lt;&gt;"","REVIEW","READY")))</f>
        <v/>
      </c>
      <c r="G230" s="91">
        <f>IF($A230="","",'Enrollment Census'!$AE221)</f>
        <v/>
      </c>
      <c r="H230" s="91">
        <f>IF($A230="","",'Enrollment Census'!$AF221)</f>
        <v/>
      </c>
      <c r="I230" s="91">
        <f>IF($A230="","",'Enrollment Census'!$AD221)</f>
        <v/>
      </c>
      <c r="J230">
        <f>IF($A230="","",'Enrollment Census'!$A221)</f>
        <v/>
      </c>
      <c r="K230">
        <f>IF($F230="FIX",ROW(),IF($F230="REVIEW",1000+ROW(),""))</f>
        <v/>
      </c>
    </row>
    <row r="231" ht="36" customHeight="1">
      <c r="A231" s="91">
        <f>IF(COUNTA('Enrollment Census'!$A222:$U222)&gt;0,222,"")</f>
        <v/>
      </c>
      <c r="B231" s="91">
        <f>IF($A231="","","Employee ending "&amp;RIGHT('Enrollment Census'!$A222&amp;"",4)&amp;IF('Enrollment Census'!$AH222&gt;0," • "&amp;'Enrollment Census'!$AH222&amp;" row"&amp;IF('Enrollment Census'!$AH222=1,"","s")&amp;" need attention",""))</f>
        <v/>
      </c>
      <c r="C231" s="91">
        <f>IF($A231="","",TRIM('Enrollment Census'!$C222&amp;" "&amp;'Enrollment Census'!$D222)&amp;" • ending "&amp;RIGHT('Enrollment Census'!$W222&amp;"",4))</f>
        <v/>
      </c>
      <c r="D231" s="91">
        <f>IF($A231="","",'Enrollment Census'!$X222)</f>
        <v/>
      </c>
      <c r="E231" s="91">
        <f>IF($A231="","",'Enrollment Census'!$S222)</f>
        <v/>
      </c>
      <c r="F231" s="91">
        <f>IF($A231="","",IF('Enrollment Census'!$AF222&lt;&gt;"","FIX",IF('Enrollment Census'!$AD222&lt;&gt;"","REVIEW","READY")))</f>
        <v/>
      </c>
      <c r="G231" s="91">
        <f>IF($A231="","",'Enrollment Census'!$AE222)</f>
        <v/>
      </c>
      <c r="H231" s="91">
        <f>IF($A231="","",'Enrollment Census'!$AF222)</f>
        <v/>
      </c>
      <c r="I231" s="91">
        <f>IF($A231="","",'Enrollment Census'!$AD222)</f>
        <v/>
      </c>
      <c r="J231">
        <f>IF($A231="","",'Enrollment Census'!$A222)</f>
        <v/>
      </c>
      <c r="K231">
        <f>IF($F231="FIX",ROW(),IF($F231="REVIEW",1000+ROW(),""))</f>
        <v/>
      </c>
    </row>
    <row r="232" ht="36" customHeight="1">
      <c r="A232" s="91">
        <f>IF(COUNTA('Enrollment Census'!$A223:$U223)&gt;0,223,"")</f>
        <v/>
      </c>
      <c r="B232" s="91">
        <f>IF($A232="","","Employee ending "&amp;RIGHT('Enrollment Census'!$A223&amp;"",4)&amp;IF('Enrollment Census'!$AH223&gt;0," • "&amp;'Enrollment Census'!$AH223&amp;" row"&amp;IF('Enrollment Census'!$AH223=1,"","s")&amp;" need attention",""))</f>
        <v/>
      </c>
      <c r="C232" s="91">
        <f>IF($A232="","",TRIM('Enrollment Census'!$C223&amp;" "&amp;'Enrollment Census'!$D223)&amp;" • ending "&amp;RIGHT('Enrollment Census'!$W223&amp;"",4))</f>
        <v/>
      </c>
      <c r="D232" s="91">
        <f>IF($A232="","",'Enrollment Census'!$X223)</f>
        <v/>
      </c>
      <c r="E232" s="91">
        <f>IF($A232="","",'Enrollment Census'!$S223)</f>
        <v/>
      </c>
      <c r="F232" s="91">
        <f>IF($A232="","",IF('Enrollment Census'!$AF223&lt;&gt;"","FIX",IF('Enrollment Census'!$AD223&lt;&gt;"","REVIEW","READY")))</f>
        <v/>
      </c>
      <c r="G232" s="91">
        <f>IF($A232="","",'Enrollment Census'!$AE223)</f>
        <v/>
      </c>
      <c r="H232" s="91">
        <f>IF($A232="","",'Enrollment Census'!$AF223)</f>
        <v/>
      </c>
      <c r="I232" s="91">
        <f>IF($A232="","",'Enrollment Census'!$AD223)</f>
        <v/>
      </c>
      <c r="J232">
        <f>IF($A232="","",'Enrollment Census'!$A223)</f>
        <v/>
      </c>
      <c r="K232">
        <f>IF($F232="FIX",ROW(),IF($F232="REVIEW",1000+ROW(),""))</f>
        <v/>
      </c>
    </row>
    <row r="233" ht="36" customHeight="1">
      <c r="A233" s="91">
        <f>IF(COUNTA('Enrollment Census'!$A224:$U224)&gt;0,224,"")</f>
        <v/>
      </c>
      <c r="B233" s="91">
        <f>IF($A233="","","Employee ending "&amp;RIGHT('Enrollment Census'!$A224&amp;"",4)&amp;IF('Enrollment Census'!$AH224&gt;0," • "&amp;'Enrollment Census'!$AH224&amp;" row"&amp;IF('Enrollment Census'!$AH224=1,"","s")&amp;" need attention",""))</f>
        <v/>
      </c>
      <c r="C233" s="91">
        <f>IF($A233="","",TRIM('Enrollment Census'!$C224&amp;" "&amp;'Enrollment Census'!$D224)&amp;" • ending "&amp;RIGHT('Enrollment Census'!$W224&amp;"",4))</f>
        <v/>
      </c>
      <c r="D233" s="91">
        <f>IF($A233="","",'Enrollment Census'!$X224)</f>
        <v/>
      </c>
      <c r="E233" s="91">
        <f>IF($A233="","",'Enrollment Census'!$S224)</f>
        <v/>
      </c>
      <c r="F233" s="91">
        <f>IF($A233="","",IF('Enrollment Census'!$AF224&lt;&gt;"","FIX",IF('Enrollment Census'!$AD224&lt;&gt;"","REVIEW","READY")))</f>
        <v/>
      </c>
      <c r="G233" s="91">
        <f>IF($A233="","",'Enrollment Census'!$AE224)</f>
        <v/>
      </c>
      <c r="H233" s="91">
        <f>IF($A233="","",'Enrollment Census'!$AF224)</f>
        <v/>
      </c>
      <c r="I233" s="91">
        <f>IF($A233="","",'Enrollment Census'!$AD224)</f>
        <v/>
      </c>
      <c r="J233">
        <f>IF($A233="","",'Enrollment Census'!$A224)</f>
        <v/>
      </c>
      <c r="K233">
        <f>IF($F233="FIX",ROW(),IF($F233="REVIEW",1000+ROW(),""))</f>
        <v/>
      </c>
    </row>
    <row r="234" ht="36" customHeight="1">
      <c r="A234" s="91">
        <f>IF(COUNTA('Enrollment Census'!$A225:$U225)&gt;0,225,"")</f>
        <v/>
      </c>
      <c r="B234" s="91">
        <f>IF($A234="","","Employee ending "&amp;RIGHT('Enrollment Census'!$A225&amp;"",4)&amp;IF('Enrollment Census'!$AH225&gt;0," • "&amp;'Enrollment Census'!$AH225&amp;" row"&amp;IF('Enrollment Census'!$AH225=1,"","s")&amp;" need attention",""))</f>
        <v/>
      </c>
      <c r="C234" s="91">
        <f>IF($A234="","",TRIM('Enrollment Census'!$C225&amp;" "&amp;'Enrollment Census'!$D225)&amp;" • ending "&amp;RIGHT('Enrollment Census'!$W225&amp;"",4))</f>
        <v/>
      </c>
      <c r="D234" s="91">
        <f>IF($A234="","",'Enrollment Census'!$X225)</f>
        <v/>
      </c>
      <c r="E234" s="91">
        <f>IF($A234="","",'Enrollment Census'!$S225)</f>
        <v/>
      </c>
      <c r="F234" s="91">
        <f>IF($A234="","",IF('Enrollment Census'!$AF225&lt;&gt;"","FIX",IF('Enrollment Census'!$AD225&lt;&gt;"","REVIEW","READY")))</f>
        <v/>
      </c>
      <c r="G234" s="91">
        <f>IF($A234="","",'Enrollment Census'!$AE225)</f>
        <v/>
      </c>
      <c r="H234" s="91">
        <f>IF($A234="","",'Enrollment Census'!$AF225)</f>
        <v/>
      </c>
      <c r="I234" s="91">
        <f>IF($A234="","",'Enrollment Census'!$AD225)</f>
        <v/>
      </c>
      <c r="J234">
        <f>IF($A234="","",'Enrollment Census'!$A225)</f>
        <v/>
      </c>
      <c r="K234">
        <f>IF($F234="FIX",ROW(),IF($F234="REVIEW",1000+ROW(),""))</f>
        <v/>
      </c>
    </row>
    <row r="235" ht="36" customHeight="1">
      <c r="A235" s="91">
        <f>IF(COUNTA('Enrollment Census'!$A226:$U226)&gt;0,226,"")</f>
        <v/>
      </c>
      <c r="B235" s="91">
        <f>IF($A235="","","Employee ending "&amp;RIGHT('Enrollment Census'!$A226&amp;"",4)&amp;IF('Enrollment Census'!$AH226&gt;0," • "&amp;'Enrollment Census'!$AH226&amp;" row"&amp;IF('Enrollment Census'!$AH226=1,"","s")&amp;" need attention",""))</f>
        <v/>
      </c>
      <c r="C235" s="91">
        <f>IF($A235="","",TRIM('Enrollment Census'!$C226&amp;" "&amp;'Enrollment Census'!$D226)&amp;" • ending "&amp;RIGHT('Enrollment Census'!$W226&amp;"",4))</f>
        <v/>
      </c>
      <c r="D235" s="91">
        <f>IF($A235="","",'Enrollment Census'!$X226)</f>
        <v/>
      </c>
      <c r="E235" s="91">
        <f>IF($A235="","",'Enrollment Census'!$S226)</f>
        <v/>
      </c>
      <c r="F235" s="91">
        <f>IF($A235="","",IF('Enrollment Census'!$AF226&lt;&gt;"","FIX",IF('Enrollment Census'!$AD226&lt;&gt;"","REVIEW","READY")))</f>
        <v/>
      </c>
      <c r="G235" s="91">
        <f>IF($A235="","",'Enrollment Census'!$AE226)</f>
        <v/>
      </c>
      <c r="H235" s="91">
        <f>IF($A235="","",'Enrollment Census'!$AF226)</f>
        <v/>
      </c>
      <c r="I235" s="91">
        <f>IF($A235="","",'Enrollment Census'!$AD226)</f>
        <v/>
      </c>
      <c r="J235">
        <f>IF($A235="","",'Enrollment Census'!$A226)</f>
        <v/>
      </c>
      <c r="K235">
        <f>IF($F235="FIX",ROW(),IF($F235="REVIEW",1000+ROW(),""))</f>
        <v/>
      </c>
    </row>
    <row r="236" ht="36" customHeight="1">
      <c r="A236" s="91">
        <f>IF(COUNTA('Enrollment Census'!$A227:$U227)&gt;0,227,"")</f>
        <v/>
      </c>
      <c r="B236" s="91">
        <f>IF($A236="","","Employee ending "&amp;RIGHT('Enrollment Census'!$A227&amp;"",4)&amp;IF('Enrollment Census'!$AH227&gt;0," • "&amp;'Enrollment Census'!$AH227&amp;" row"&amp;IF('Enrollment Census'!$AH227=1,"","s")&amp;" need attention",""))</f>
        <v/>
      </c>
      <c r="C236" s="91">
        <f>IF($A236="","",TRIM('Enrollment Census'!$C227&amp;" "&amp;'Enrollment Census'!$D227)&amp;" • ending "&amp;RIGHT('Enrollment Census'!$W227&amp;"",4))</f>
        <v/>
      </c>
      <c r="D236" s="91">
        <f>IF($A236="","",'Enrollment Census'!$X227)</f>
        <v/>
      </c>
      <c r="E236" s="91">
        <f>IF($A236="","",'Enrollment Census'!$S227)</f>
        <v/>
      </c>
      <c r="F236" s="91">
        <f>IF($A236="","",IF('Enrollment Census'!$AF227&lt;&gt;"","FIX",IF('Enrollment Census'!$AD227&lt;&gt;"","REVIEW","READY")))</f>
        <v/>
      </c>
      <c r="G236" s="91">
        <f>IF($A236="","",'Enrollment Census'!$AE227)</f>
        <v/>
      </c>
      <c r="H236" s="91">
        <f>IF($A236="","",'Enrollment Census'!$AF227)</f>
        <v/>
      </c>
      <c r="I236" s="91">
        <f>IF($A236="","",'Enrollment Census'!$AD227)</f>
        <v/>
      </c>
      <c r="J236">
        <f>IF($A236="","",'Enrollment Census'!$A227)</f>
        <v/>
      </c>
      <c r="K236">
        <f>IF($F236="FIX",ROW(),IF($F236="REVIEW",1000+ROW(),""))</f>
        <v/>
      </c>
    </row>
    <row r="237" ht="36" customHeight="1">
      <c r="A237" s="91">
        <f>IF(COUNTA('Enrollment Census'!$A228:$U228)&gt;0,228,"")</f>
        <v/>
      </c>
      <c r="B237" s="91">
        <f>IF($A237="","","Employee ending "&amp;RIGHT('Enrollment Census'!$A228&amp;"",4)&amp;IF('Enrollment Census'!$AH228&gt;0," • "&amp;'Enrollment Census'!$AH228&amp;" row"&amp;IF('Enrollment Census'!$AH228=1,"","s")&amp;" need attention",""))</f>
        <v/>
      </c>
      <c r="C237" s="91">
        <f>IF($A237="","",TRIM('Enrollment Census'!$C228&amp;" "&amp;'Enrollment Census'!$D228)&amp;" • ending "&amp;RIGHT('Enrollment Census'!$W228&amp;"",4))</f>
        <v/>
      </c>
      <c r="D237" s="91">
        <f>IF($A237="","",'Enrollment Census'!$X228)</f>
        <v/>
      </c>
      <c r="E237" s="91">
        <f>IF($A237="","",'Enrollment Census'!$S228)</f>
        <v/>
      </c>
      <c r="F237" s="91">
        <f>IF($A237="","",IF('Enrollment Census'!$AF228&lt;&gt;"","FIX",IF('Enrollment Census'!$AD228&lt;&gt;"","REVIEW","READY")))</f>
        <v/>
      </c>
      <c r="G237" s="91">
        <f>IF($A237="","",'Enrollment Census'!$AE228)</f>
        <v/>
      </c>
      <c r="H237" s="91">
        <f>IF($A237="","",'Enrollment Census'!$AF228)</f>
        <v/>
      </c>
      <c r="I237" s="91">
        <f>IF($A237="","",'Enrollment Census'!$AD228)</f>
        <v/>
      </c>
      <c r="J237">
        <f>IF($A237="","",'Enrollment Census'!$A228)</f>
        <v/>
      </c>
      <c r="K237">
        <f>IF($F237="FIX",ROW(),IF($F237="REVIEW",1000+ROW(),""))</f>
        <v/>
      </c>
    </row>
    <row r="238" ht="36" customHeight="1">
      <c r="A238" s="91">
        <f>IF(COUNTA('Enrollment Census'!$A229:$U229)&gt;0,229,"")</f>
        <v/>
      </c>
      <c r="B238" s="91">
        <f>IF($A238="","","Employee ending "&amp;RIGHT('Enrollment Census'!$A229&amp;"",4)&amp;IF('Enrollment Census'!$AH229&gt;0," • "&amp;'Enrollment Census'!$AH229&amp;" row"&amp;IF('Enrollment Census'!$AH229=1,"","s")&amp;" need attention",""))</f>
        <v/>
      </c>
      <c r="C238" s="91">
        <f>IF($A238="","",TRIM('Enrollment Census'!$C229&amp;" "&amp;'Enrollment Census'!$D229)&amp;" • ending "&amp;RIGHT('Enrollment Census'!$W229&amp;"",4))</f>
        <v/>
      </c>
      <c r="D238" s="91">
        <f>IF($A238="","",'Enrollment Census'!$X229)</f>
        <v/>
      </c>
      <c r="E238" s="91">
        <f>IF($A238="","",'Enrollment Census'!$S229)</f>
        <v/>
      </c>
      <c r="F238" s="91">
        <f>IF($A238="","",IF('Enrollment Census'!$AF229&lt;&gt;"","FIX",IF('Enrollment Census'!$AD229&lt;&gt;"","REVIEW","READY")))</f>
        <v/>
      </c>
      <c r="G238" s="91">
        <f>IF($A238="","",'Enrollment Census'!$AE229)</f>
        <v/>
      </c>
      <c r="H238" s="91">
        <f>IF($A238="","",'Enrollment Census'!$AF229)</f>
        <v/>
      </c>
      <c r="I238" s="91">
        <f>IF($A238="","",'Enrollment Census'!$AD229)</f>
        <v/>
      </c>
      <c r="J238">
        <f>IF($A238="","",'Enrollment Census'!$A229)</f>
        <v/>
      </c>
      <c r="K238">
        <f>IF($F238="FIX",ROW(),IF($F238="REVIEW",1000+ROW(),""))</f>
        <v/>
      </c>
    </row>
    <row r="239" ht="36" customHeight="1">
      <c r="A239" s="91">
        <f>IF(COUNTA('Enrollment Census'!$A230:$U230)&gt;0,230,"")</f>
        <v/>
      </c>
      <c r="B239" s="91">
        <f>IF($A239="","","Employee ending "&amp;RIGHT('Enrollment Census'!$A230&amp;"",4)&amp;IF('Enrollment Census'!$AH230&gt;0," • "&amp;'Enrollment Census'!$AH230&amp;" row"&amp;IF('Enrollment Census'!$AH230=1,"","s")&amp;" need attention",""))</f>
        <v/>
      </c>
      <c r="C239" s="91">
        <f>IF($A239="","",TRIM('Enrollment Census'!$C230&amp;" "&amp;'Enrollment Census'!$D230)&amp;" • ending "&amp;RIGHT('Enrollment Census'!$W230&amp;"",4))</f>
        <v/>
      </c>
      <c r="D239" s="91">
        <f>IF($A239="","",'Enrollment Census'!$X230)</f>
        <v/>
      </c>
      <c r="E239" s="91">
        <f>IF($A239="","",'Enrollment Census'!$S230)</f>
        <v/>
      </c>
      <c r="F239" s="91">
        <f>IF($A239="","",IF('Enrollment Census'!$AF230&lt;&gt;"","FIX",IF('Enrollment Census'!$AD230&lt;&gt;"","REVIEW","READY")))</f>
        <v/>
      </c>
      <c r="G239" s="91">
        <f>IF($A239="","",'Enrollment Census'!$AE230)</f>
        <v/>
      </c>
      <c r="H239" s="91">
        <f>IF($A239="","",'Enrollment Census'!$AF230)</f>
        <v/>
      </c>
      <c r="I239" s="91">
        <f>IF($A239="","",'Enrollment Census'!$AD230)</f>
        <v/>
      </c>
      <c r="J239">
        <f>IF($A239="","",'Enrollment Census'!$A230)</f>
        <v/>
      </c>
      <c r="K239">
        <f>IF($F239="FIX",ROW(),IF($F239="REVIEW",1000+ROW(),""))</f>
        <v/>
      </c>
    </row>
    <row r="240" ht="36" customHeight="1">
      <c r="A240" s="91">
        <f>IF(COUNTA('Enrollment Census'!$A231:$U231)&gt;0,231,"")</f>
        <v/>
      </c>
      <c r="B240" s="91">
        <f>IF($A240="","","Employee ending "&amp;RIGHT('Enrollment Census'!$A231&amp;"",4)&amp;IF('Enrollment Census'!$AH231&gt;0," • "&amp;'Enrollment Census'!$AH231&amp;" row"&amp;IF('Enrollment Census'!$AH231=1,"","s")&amp;" need attention",""))</f>
        <v/>
      </c>
      <c r="C240" s="91">
        <f>IF($A240="","",TRIM('Enrollment Census'!$C231&amp;" "&amp;'Enrollment Census'!$D231)&amp;" • ending "&amp;RIGHT('Enrollment Census'!$W231&amp;"",4))</f>
        <v/>
      </c>
      <c r="D240" s="91">
        <f>IF($A240="","",'Enrollment Census'!$X231)</f>
        <v/>
      </c>
      <c r="E240" s="91">
        <f>IF($A240="","",'Enrollment Census'!$S231)</f>
        <v/>
      </c>
      <c r="F240" s="91">
        <f>IF($A240="","",IF('Enrollment Census'!$AF231&lt;&gt;"","FIX",IF('Enrollment Census'!$AD231&lt;&gt;"","REVIEW","READY")))</f>
        <v/>
      </c>
      <c r="G240" s="91">
        <f>IF($A240="","",'Enrollment Census'!$AE231)</f>
        <v/>
      </c>
      <c r="H240" s="91">
        <f>IF($A240="","",'Enrollment Census'!$AF231)</f>
        <v/>
      </c>
      <c r="I240" s="91">
        <f>IF($A240="","",'Enrollment Census'!$AD231)</f>
        <v/>
      </c>
      <c r="J240">
        <f>IF($A240="","",'Enrollment Census'!$A231)</f>
        <v/>
      </c>
      <c r="K240">
        <f>IF($F240="FIX",ROW(),IF($F240="REVIEW",1000+ROW(),""))</f>
        <v/>
      </c>
    </row>
    <row r="241" ht="36" customHeight="1">
      <c r="A241" s="91">
        <f>IF(COUNTA('Enrollment Census'!$A232:$U232)&gt;0,232,"")</f>
        <v/>
      </c>
      <c r="B241" s="91">
        <f>IF($A241="","","Employee ending "&amp;RIGHT('Enrollment Census'!$A232&amp;"",4)&amp;IF('Enrollment Census'!$AH232&gt;0," • "&amp;'Enrollment Census'!$AH232&amp;" row"&amp;IF('Enrollment Census'!$AH232=1,"","s")&amp;" need attention",""))</f>
        <v/>
      </c>
      <c r="C241" s="91">
        <f>IF($A241="","",TRIM('Enrollment Census'!$C232&amp;" "&amp;'Enrollment Census'!$D232)&amp;" • ending "&amp;RIGHT('Enrollment Census'!$W232&amp;"",4))</f>
        <v/>
      </c>
      <c r="D241" s="91">
        <f>IF($A241="","",'Enrollment Census'!$X232)</f>
        <v/>
      </c>
      <c r="E241" s="91">
        <f>IF($A241="","",'Enrollment Census'!$S232)</f>
        <v/>
      </c>
      <c r="F241" s="91">
        <f>IF($A241="","",IF('Enrollment Census'!$AF232&lt;&gt;"","FIX",IF('Enrollment Census'!$AD232&lt;&gt;"","REVIEW","READY")))</f>
        <v/>
      </c>
      <c r="G241" s="91">
        <f>IF($A241="","",'Enrollment Census'!$AE232)</f>
        <v/>
      </c>
      <c r="H241" s="91">
        <f>IF($A241="","",'Enrollment Census'!$AF232)</f>
        <v/>
      </c>
      <c r="I241" s="91">
        <f>IF($A241="","",'Enrollment Census'!$AD232)</f>
        <v/>
      </c>
      <c r="J241">
        <f>IF($A241="","",'Enrollment Census'!$A232)</f>
        <v/>
      </c>
      <c r="K241">
        <f>IF($F241="FIX",ROW(),IF($F241="REVIEW",1000+ROW(),""))</f>
        <v/>
      </c>
    </row>
    <row r="242" ht="36" customHeight="1">
      <c r="A242" s="91">
        <f>IF(COUNTA('Enrollment Census'!$A233:$U233)&gt;0,233,"")</f>
        <v/>
      </c>
      <c r="B242" s="91">
        <f>IF($A242="","","Employee ending "&amp;RIGHT('Enrollment Census'!$A233&amp;"",4)&amp;IF('Enrollment Census'!$AH233&gt;0," • "&amp;'Enrollment Census'!$AH233&amp;" row"&amp;IF('Enrollment Census'!$AH233=1,"","s")&amp;" need attention",""))</f>
        <v/>
      </c>
      <c r="C242" s="91">
        <f>IF($A242="","",TRIM('Enrollment Census'!$C233&amp;" "&amp;'Enrollment Census'!$D233)&amp;" • ending "&amp;RIGHT('Enrollment Census'!$W233&amp;"",4))</f>
        <v/>
      </c>
      <c r="D242" s="91">
        <f>IF($A242="","",'Enrollment Census'!$X233)</f>
        <v/>
      </c>
      <c r="E242" s="91">
        <f>IF($A242="","",'Enrollment Census'!$S233)</f>
        <v/>
      </c>
      <c r="F242" s="91">
        <f>IF($A242="","",IF('Enrollment Census'!$AF233&lt;&gt;"","FIX",IF('Enrollment Census'!$AD233&lt;&gt;"","REVIEW","READY")))</f>
        <v/>
      </c>
      <c r="G242" s="91">
        <f>IF($A242="","",'Enrollment Census'!$AE233)</f>
        <v/>
      </c>
      <c r="H242" s="91">
        <f>IF($A242="","",'Enrollment Census'!$AF233)</f>
        <v/>
      </c>
      <c r="I242" s="91">
        <f>IF($A242="","",'Enrollment Census'!$AD233)</f>
        <v/>
      </c>
      <c r="J242">
        <f>IF($A242="","",'Enrollment Census'!$A233)</f>
        <v/>
      </c>
      <c r="K242">
        <f>IF($F242="FIX",ROW(),IF($F242="REVIEW",1000+ROW(),""))</f>
        <v/>
      </c>
    </row>
    <row r="243" ht="36" customHeight="1">
      <c r="A243" s="91">
        <f>IF(COUNTA('Enrollment Census'!$A234:$U234)&gt;0,234,"")</f>
        <v/>
      </c>
      <c r="B243" s="91">
        <f>IF($A243="","","Employee ending "&amp;RIGHT('Enrollment Census'!$A234&amp;"",4)&amp;IF('Enrollment Census'!$AH234&gt;0," • "&amp;'Enrollment Census'!$AH234&amp;" row"&amp;IF('Enrollment Census'!$AH234=1,"","s")&amp;" need attention",""))</f>
        <v/>
      </c>
      <c r="C243" s="91">
        <f>IF($A243="","",TRIM('Enrollment Census'!$C234&amp;" "&amp;'Enrollment Census'!$D234)&amp;" • ending "&amp;RIGHT('Enrollment Census'!$W234&amp;"",4))</f>
        <v/>
      </c>
      <c r="D243" s="91">
        <f>IF($A243="","",'Enrollment Census'!$X234)</f>
        <v/>
      </c>
      <c r="E243" s="91">
        <f>IF($A243="","",'Enrollment Census'!$S234)</f>
        <v/>
      </c>
      <c r="F243" s="91">
        <f>IF($A243="","",IF('Enrollment Census'!$AF234&lt;&gt;"","FIX",IF('Enrollment Census'!$AD234&lt;&gt;"","REVIEW","READY")))</f>
        <v/>
      </c>
      <c r="G243" s="91">
        <f>IF($A243="","",'Enrollment Census'!$AE234)</f>
        <v/>
      </c>
      <c r="H243" s="91">
        <f>IF($A243="","",'Enrollment Census'!$AF234)</f>
        <v/>
      </c>
      <c r="I243" s="91">
        <f>IF($A243="","",'Enrollment Census'!$AD234)</f>
        <v/>
      </c>
      <c r="J243">
        <f>IF($A243="","",'Enrollment Census'!$A234)</f>
        <v/>
      </c>
      <c r="K243">
        <f>IF($F243="FIX",ROW(),IF($F243="REVIEW",1000+ROW(),""))</f>
        <v/>
      </c>
    </row>
    <row r="244" ht="36" customHeight="1">
      <c r="A244" s="91">
        <f>IF(COUNTA('Enrollment Census'!$A235:$U235)&gt;0,235,"")</f>
        <v/>
      </c>
      <c r="B244" s="91">
        <f>IF($A244="","","Employee ending "&amp;RIGHT('Enrollment Census'!$A235&amp;"",4)&amp;IF('Enrollment Census'!$AH235&gt;0," • "&amp;'Enrollment Census'!$AH235&amp;" row"&amp;IF('Enrollment Census'!$AH235=1,"","s")&amp;" need attention",""))</f>
        <v/>
      </c>
      <c r="C244" s="91">
        <f>IF($A244="","",TRIM('Enrollment Census'!$C235&amp;" "&amp;'Enrollment Census'!$D235)&amp;" • ending "&amp;RIGHT('Enrollment Census'!$W235&amp;"",4))</f>
        <v/>
      </c>
      <c r="D244" s="91">
        <f>IF($A244="","",'Enrollment Census'!$X235)</f>
        <v/>
      </c>
      <c r="E244" s="91">
        <f>IF($A244="","",'Enrollment Census'!$S235)</f>
        <v/>
      </c>
      <c r="F244" s="91">
        <f>IF($A244="","",IF('Enrollment Census'!$AF235&lt;&gt;"","FIX",IF('Enrollment Census'!$AD235&lt;&gt;"","REVIEW","READY")))</f>
        <v/>
      </c>
      <c r="G244" s="91">
        <f>IF($A244="","",'Enrollment Census'!$AE235)</f>
        <v/>
      </c>
      <c r="H244" s="91">
        <f>IF($A244="","",'Enrollment Census'!$AF235)</f>
        <v/>
      </c>
      <c r="I244" s="91">
        <f>IF($A244="","",'Enrollment Census'!$AD235)</f>
        <v/>
      </c>
      <c r="J244">
        <f>IF($A244="","",'Enrollment Census'!$A235)</f>
        <v/>
      </c>
      <c r="K244">
        <f>IF($F244="FIX",ROW(),IF($F244="REVIEW",1000+ROW(),""))</f>
        <v/>
      </c>
    </row>
    <row r="245" ht="36" customHeight="1">
      <c r="A245" s="91">
        <f>IF(COUNTA('Enrollment Census'!$A236:$U236)&gt;0,236,"")</f>
        <v/>
      </c>
      <c r="B245" s="91">
        <f>IF($A245="","","Employee ending "&amp;RIGHT('Enrollment Census'!$A236&amp;"",4)&amp;IF('Enrollment Census'!$AH236&gt;0," • "&amp;'Enrollment Census'!$AH236&amp;" row"&amp;IF('Enrollment Census'!$AH236=1,"","s")&amp;" need attention",""))</f>
        <v/>
      </c>
      <c r="C245" s="91">
        <f>IF($A245="","",TRIM('Enrollment Census'!$C236&amp;" "&amp;'Enrollment Census'!$D236)&amp;" • ending "&amp;RIGHT('Enrollment Census'!$W236&amp;"",4))</f>
        <v/>
      </c>
      <c r="D245" s="91">
        <f>IF($A245="","",'Enrollment Census'!$X236)</f>
        <v/>
      </c>
      <c r="E245" s="91">
        <f>IF($A245="","",'Enrollment Census'!$S236)</f>
        <v/>
      </c>
      <c r="F245" s="91">
        <f>IF($A245="","",IF('Enrollment Census'!$AF236&lt;&gt;"","FIX",IF('Enrollment Census'!$AD236&lt;&gt;"","REVIEW","READY")))</f>
        <v/>
      </c>
      <c r="G245" s="91">
        <f>IF($A245="","",'Enrollment Census'!$AE236)</f>
        <v/>
      </c>
      <c r="H245" s="91">
        <f>IF($A245="","",'Enrollment Census'!$AF236)</f>
        <v/>
      </c>
      <c r="I245" s="91">
        <f>IF($A245="","",'Enrollment Census'!$AD236)</f>
        <v/>
      </c>
      <c r="J245">
        <f>IF($A245="","",'Enrollment Census'!$A236)</f>
        <v/>
      </c>
      <c r="K245">
        <f>IF($F245="FIX",ROW(),IF($F245="REVIEW",1000+ROW(),""))</f>
        <v/>
      </c>
    </row>
    <row r="246" ht="36" customHeight="1">
      <c r="A246" s="91">
        <f>IF(COUNTA('Enrollment Census'!$A237:$U237)&gt;0,237,"")</f>
        <v/>
      </c>
      <c r="B246" s="91">
        <f>IF($A246="","","Employee ending "&amp;RIGHT('Enrollment Census'!$A237&amp;"",4)&amp;IF('Enrollment Census'!$AH237&gt;0," • "&amp;'Enrollment Census'!$AH237&amp;" row"&amp;IF('Enrollment Census'!$AH237=1,"","s")&amp;" need attention",""))</f>
        <v/>
      </c>
      <c r="C246" s="91">
        <f>IF($A246="","",TRIM('Enrollment Census'!$C237&amp;" "&amp;'Enrollment Census'!$D237)&amp;" • ending "&amp;RIGHT('Enrollment Census'!$W237&amp;"",4))</f>
        <v/>
      </c>
      <c r="D246" s="91">
        <f>IF($A246="","",'Enrollment Census'!$X237)</f>
        <v/>
      </c>
      <c r="E246" s="91">
        <f>IF($A246="","",'Enrollment Census'!$S237)</f>
        <v/>
      </c>
      <c r="F246" s="91">
        <f>IF($A246="","",IF('Enrollment Census'!$AF237&lt;&gt;"","FIX",IF('Enrollment Census'!$AD237&lt;&gt;"","REVIEW","READY")))</f>
        <v/>
      </c>
      <c r="G246" s="91">
        <f>IF($A246="","",'Enrollment Census'!$AE237)</f>
        <v/>
      </c>
      <c r="H246" s="91">
        <f>IF($A246="","",'Enrollment Census'!$AF237)</f>
        <v/>
      </c>
      <c r="I246" s="91">
        <f>IF($A246="","",'Enrollment Census'!$AD237)</f>
        <v/>
      </c>
      <c r="J246">
        <f>IF($A246="","",'Enrollment Census'!$A237)</f>
        <v/>
      </c>
      <c r="K246">
        <f>IF($F246="FIX",ROW(),IF($F246="REVIEW",1000+ROW(),""))</f>
        <v/>
      </c>
    </row>
    <row r="247" ht="36" customHeight="1">
      <c r="A247" s="91">
        <f>IF(COUNTA('Enrollment Census'!$A238:$U238)&gt;0,238,"")</f>
        <v/>
      </c>
      <c r="B247" s="91">
        <f>IF($A247="","","Employee ending "&amp;RIGHT('Enrollment Census'!$A238&amp;"",4)&amp;IF('Enrollment Census'!$AH238&gt;0," • "&amp;'Enrollment Census'!$AH238&amp;" row"&amp;IF('Enrollment Census'!$AH238=1,"","s")&amp;" need attention",""))</f>
        <v/>
      </c>
      <c r="C247" s="91">
        <f>IF($A247="","",TRIM('Enrollment Census'!$C238&amp;" "&amp;'Enrollment Census'!$D238)&amp;" • ending "&amp;RIGHT('Enrollment Census'!$W238&amp;"",4))</f>
        <v/>
      </c>
      <c r="D247" s="91">
        <f>IF($A247="","",'Enrollment Census'!$X238)</f>
        <v/>
      </c>
      <c r="E247" s="91">
        <f>IF($A247="","",'Enrollment Census'!$S238)</f>
        <v/>
      </c>
      <c r="F247" s="91">
        <f>IF($A247="","",IF('Enrollment Census'!$AF238&lt;&gt;"","FIX",IF('Enrollment Census'!$AD238&lt;&gt;"","REVIEW","READY")))</f>
        <v/>
      </c>
      <c r="G247" s="91">
        <f>IF($A247="","",'Enrollment Census'!$AE238)</f>
        <v/>
      </c>
      <c r="H247" s="91">
        <f>IF($A247="","",'Enrollment Census'!$AF238)</f>
        <v/>
      </c>
      <c r="I247" s="91">
        <f>IF($A247="","",'Enrollment Census'!$AD238)</f>
        <v/>
      </c>
      <c r="J247">
        <f>IF($A247="","",'Enrollment Census'!$A238)</f>
        <v/>
      </c>
      <c r="K247">
        <f>IF($F247="FIX",ROW(),IF($F247="REVIEW",1000+ROW(),""))</f>
        <v/>
      </c>
    </row>
    <row r="248" ht="36" customHeight="1">
      <c r="A248" s="91">
        <f>IF(COUNTA('Enrollment Census'!$A239:$U239)&gt;0,239,"")</f>
        <v/>
      </c>
      <c r="B248" s="91">
        <f>IF($A248="","","Employee ending "&amp;RIGHT('Enrollment Census'!$A239&amp;"",4)&amp;IF('Enrollment Census'!$AH239&gt;0," • "&amp;'Enrollment Census'!$AH239&amp;" row"&amp;IF('Enrollment Census'!$AH239=1,"","s")&amp;" need attention",""))</f>
        <v/>
      </c>
      <c r="C248" s="91">
        <f>IF($A248="","",TRIM('Enrollment Census'!$C239&amp;" "&amp;'Enrollment Census'!$D239)&amp;" • ending "&amp;RIGHT('Enrollment Census'!$W239&amp;"",4))</f>
        <v/>
      </c>
      <c r="D248" s="91">
        <f>IF($A248="","",'Enrollment Census'!$X239)</f>
        <v/>
      </c>
      <c r="E248" s="91">
        <f>IF($A248="","",'Enrollment Census'!$S239)</f>
        <v/>
      </c>
      <c r="F248" s="91">
        <f>IF($A248="","",IF('Enrollment Census'!$AF239&lt;&gt;"","FIX",IF('Enrollment Census'!$AD239&lt;&gt;"","REVIEW","READY")))</f>
        <v/>
      </c>
      <c r="G248" s="91">
        <f>IF($A248="","",'Enrollment Census'!$AE239)</f>
        <v/>
      </c>
      <c r="H248" s="91">
        <f>IF($A248="","",'Enrollment Census'!$AF239)</f>
        <v/>
      </c>
      <c r="I248" s="91">
        <f>IF($A248="","",'Enrollment Census'!$AD239)</f>
        <v/>
      </c>
      <c r="J248">
        <f>IF($A248="","",'Enrollment Census'!$A239)</f>
        <v/>
      </c>
      <c r="K248">
        <f>IF($F248="FIX",ROW(),IF($F248="REVIEW",1000+ROW(),""))</f>
        <v/>
      </c>
    </row>
    <row r="249" ht="36" customHeight="1">
      <c r="A249" s="91">
        <f>IF(COUNTA('Enrollment Census'!$A240:$U240)&gt;0,240,"")</f>
        <v/>
      </c>
      <c r="B249" s="91">
        <f>IF($A249="","","Employee ending "&amp;RIGHT('Enrollment Census'!$A240&amp;"",4)&amp;IF('Enrollment Census'!$AH240&gt;0," • "&amp;'Enrollment Census'!$AH240&amp;" row"&amp;IF('Enrollment Census'!$AH240=1,"","s")&amp;" need attention",""))</f>
        <v/>
      </c>
      <c r="C249" s="91">
        <f>IF($A249="","",TRIM('Enrollment Census'!$C240&amp;" "&amp;'Enrollment Census'!$D240)&amp;" • ending "&amp;RIGHT('Enrollment Census'!$W240&amp;"",4))</f>
        <v/>
      </c>
      <c r="D249" s="91">
        <f>IF($A249="","",'Enrollment Census'!$X240)</f>
        <v/>
      </c>
      <c r="E249" s="91">
        <f>IF($A249="","",'Enrollment Census'!$S240)</f>
        <v/>
      </c>
      <c r="F249" s="91">
        <f>IF($A249="","",IF('Enrollment Census'!$AF240&lt;&gt;"","FIX",IF('Enrollment Census'!$AD240&lt;&gt;"","REVIEW","READY")))</f>
        <v/>
      </c>
      <c r="G249" s="91">
        <f>IF($A249="","",'Enrollment Census'!$AE240)</f>
        <v/>
      </c>
      <c r="H249" s="91">
        <f>IF($A249="","",'Enrollment Census'!$AF240)</f>
        <v/>
      </c>
      <c r="I249" s="91">
        <f>IF($A249="","",'Enrollment Census'!$AD240)</f>
        <v/>
      </c>
      <c r="J249">
        <f>IF($A249="","",'Enrollment Census'!$A240)</f>
        <v/>
      </c>
      <c r="K249">
        <f>IF($F249="FIX",ROW(),IF($F249="REVIEW",1000+ROW(),""))</f>
        <v/>
      </c>
    </row>
    <row r="250" ht="36" customHeight="1">
      <c r="A250" s="91">
        <f>IF(COUNTA('Enrollment Census'!$A241:$U241)&gt;0,241,"")</f>
        <v/>
      </c>
      <c r="B250" s="91">
        <f>IF($A250="","","Employee ending "&amp;RIGHT('Enrollment Census'!$A241&amp;"",4)&amp;IF('Enrollment Census'!$AH241&gt;0," • "&amp;'Enrollment Census'!$AH241&amp;" row"&amp;IF('Enrollment Census'!$AH241=1,"","s")&amp;" need attention",""))</f>
        <v/>
      </c>
      <c r="C250" s="91">
        <f>IF($A250="","",TRIM('Enrollment Census'!$C241&amp;" "&amp;'Enrollment Census'!$D241)&amp;" • ending "&amp;RIGHT('Enrollment Census'!$W241&amp;"",4))</f>
        <v/>
      </c>
      <c r="D250" s="91">
        <f>IF($A250="","",'Enrollment Census'!$X241)</f>
        <v/>
      </c>
      <c r="E250" s="91">
        <f>IF($A250="","",'Enrollment Census'!$S241)</f>
        <v/>
      </c>
      <c r="F250" s="91">
        <f>IF($A250="","",IF('Enrollment Census'!$AF241&lt;&gt;"","FIX",IF('Enrollment Census'!$AD241&lt;&gt;"","REVIEW","READY")))</f>
        <v/>
      </c>
      <c r="G250" s="91">
        <f>IF($A250="","",'Enrollment Census'!$AE241)</f>
        <v/>
      </c>
      <c r="H250" s="91">
        <f>IF($A250="","",'Enrollment Census'!$AF241)</f>
        <v/>
      </c>
      <c r="I250" s="91">
        <f>IF($A250="","",'Enrollment Census'!$AD241)</f>
        <v/>
      </c>
      <c r="J250">
        <f>IF($A250="","",'Enrollment Census'!$A241)</f>
        <v/>
      </c>
      <c r="K250">
        <f>IF($F250="FIX",ROW(),IF($F250="REVIEW",1000+ROW(),""))</f>
        <v/>
      </c>
    </row>
    <row r="251" ht="36" customHeight="1">
      <c r="A251" s="91">
        <f>IF(COUNTA('Enrollment Census'!$A242:$U242)&gt;0,242,"")</f>
        <v/>
      </c>
      <c r="B251" s="91">
        <f>IF($A251="","","Employee ending "&amp;RIGHT('Enrollment Census'!$A242&amp;"",4)&amp;IF('Enrollment Census'!$AH242&gt;0," • "&amp;'Enrollment Census'!$AH242&amp;" row"&amp;IF('Enrollment Census'!$AH242=1,"","s")&amp;" need attention",""))</f>
        <v/>
      </c>
      <c r="C251" s="91">
        <f>IF($A251="","",TRIM('Enrollment Census'!$C242&amp;" "&amp;'Enrollment Census'!$D242)&amp;" • ending "&amp;RIGHT('Enrollment Census'!$W242&amp;"",4))</f>
        <v/>
      </c>
      <c r="D251" s="91">
        <f>IF($A251="","",'Enrollment Census'!$X242)</f>
        <v/>
      </c>
      <c r="E251" s="91">
        <f>IF($A251="","",'Enrollment Census'!$S242)</f>
        <v/>
      </c>
      <c r="F251" s="91">
        <f>IF($A251="","",IF('Enrollment Census'!$AF242&lt;&gt;"","FIX",IF('Enrollment Census'!$AD242&lt;&gt;"","REVIEW","READY")))</f>
        <v/>
      </c>
      <c r="G251" s="91">
        <f>IF($A251="","",'Enrollment Census'!$AE242)</f>
        <v/>
      </c>
      <c r="H251" s="91">
        <f>IF($A251="","",'Enrollment Census'!$AF242)</f>
        <v/>
      </c>
      <c r="I251" s="91">
        <f>IF($A251="","",'Enrollment Census'!$AD242)</f>
        <v/>
      </c>
      <c r="J251">
        <f>IF($A251="","",'Enrollment Census'!$A242)</f>
        <v/>
      </c>
      <c r="K251">
        <f>IF($F251="FIX",ROW(),IF($F251="REVIEW",1000+ROW(),""))</f>
        <v/>
      </c>
    </row>
    <row r="252" ht="36" customHeight="1">
      <c r="A252" s="91">
        <f>IF(COUNTA('Enrollment Census'!$A243:$U243)&gt;0,243,"")</f>
        <v/>
      </c>
      <c r="B252" s="91">
        <f>IF($A252="","","Employee ending "&amp;RIGHT('Enrollment Census'!$A243&amp;"",4)&amp;IF('Enrollment Census'!$AH243&gt;0," • "&amp;'Enrollment Census'!$AH243&amp;" row"&amp;IF('Enrollment Census'!$AH243=1,"","s")&amp;" need attention",""))</f>
        <v/>
      </c>
      <c r="C252" s="91">
        <f>IF($A252="","",TRIM('Enrollment Census'!$C243&amp;" "&amp;'Enrollment Census'!$D243)&amp;" • ending "&amp;RIGHT('Enrollment Census'!$W243&amp;"",4))</f>
        <v/>
      </c>
      <c r="D252" s="91">
        <f>IF($A252="","",'Enrollment Census'!$X243)</f>
        <v/>
      </c>
      <c r="E252" s="91">
        <f>IF($A252="","",'Enrollment Census'!$S243)</f>
        <v/>
      </c>
      <c r="F252" s="91">
        <f>IF($A252="","",IF('Enrollment Census'!$AF243&lt;&gt;"","FIX",IF('Enrollment Census'!$AD243&lt;&gt;"","REVIEW","READY")))</f>
        <v/>
      </c>
      <c r="G252" s="91">
        <f>IF($A252="","",'Enrollment Census'!$AE243)</f>
        <v/>
      </c>
      <c r="H252" s="91">
        <f>IF($A252="","",'Enrollment Census'!$AF243)</f>
        <v/>
      </c>
      <c r="I252" s="91">
        <f>IF($A252="","",'Enrollment Census'!$AD243)</f>
        <v/>
      </c>
      <c r="J252">
        <f>IF($A252="","",'Enrollment Census'!$A243)</f>
        <v/>
      </c>
      <c r="K252">
        <f>IF($F252="FIX",ROW(),IF($F252="REVIEW",1000+ROW(),""))</f>
        <v/>
      </c>
    </row>
    <row r="253" ht="36" customHeight="1">
      <c r="A253" s="91">
        <f>IF(COUNTA('Enrollment Census'!$A244:$U244)&gt;0,244,"")</f>
        <v/>
      </c>
      <c r="B253" s="91">
        <f>IF($A253="","","Employee ending "&amp;RIGHT('Enrollment Census'!$A244&amp;"",4)&amp;IF('Enrollment Census'!$AH244&gt;0," • "&amp;'Enrollment Census'!$AH244&amp;" row"&amp;IF('Enrollment Census'!$AH244=1,"","s")&amp;" need attention",""))</f>
        <v/>
      </c>
      <c r="C253" s="91">
        <f>IF($A253="","",TRIM('Enrollment Census'!$C244&amp;" "&amp;'Enrollment Census'!$D244)&amp;" • ending "&amp;RIGHT('Enrollment Census'!$W244&amp;"",4))</f>
        <v/>
      </c>
      <c r="D253" s="91">
        <f>IF($A253="","",'Enrollment Census'!$X244)</f>
        <v/>
      </c>
      <c r="E253" s="91">
        <f>IF($A253="","",'Enrollment Census'!$S244)</f>
        <v/>
      </c>
      <c r="F253" s="91">
        <f>IF($A253="","",IF('Enrollment Census'!$AF244&lt;&gt;"","FIX",IF('Enrollment Census'!$AD244&lt;&gt;"","REVIEW","READY")))</f>
        <v/>
      </c>
      <c r="G253" s="91">
        <f>IF($A253="","",'Enrollment Census'!$AE244)</f>
        <v/>
      </c>
      <c r="H253" s="91">
        <f>IF($A253="","",'Enrollment Census'!$AF244)</f>
        <v/>
      </c>
      <c r="I253" s="91">
        <f>IF($A253="","",'Enrollment Census'!$AD244)</f>
        <v/>
      </c>
      <c r="J253">
        <f>IF($A253="","",'Enrollment Census'!$A244)</f>
        <v/>
      </c>
      <c r="K253">
        <f>IF($F253="FIX",ROW(),IF($F253="REVIEW",1000+ROW(),""))</f>
        <v/>
      </c>
    </row>
    <row r="254" ht="36" customHeight="1">
      <c r="A254" s="91">
        <f>IF(COUNTA('Enrollment Census'!$A245:$U245)&gt;0,245,"")</f>
        <v/>
      </c>
      <c r="B254" s="91">
        <f>IF($A254="","","Employee ending "&amp;RIGHT('Enrollment Census'!$A245&amp;"",4)&amp;IF('Enrollment Census'!$AH245&gt;0," • "&amp;'Enrollment Census'!$AH245&amp;" row"&amp;IF('Enrollment Census'!$AH245=1,"","s")&amp;" need attention",""))</f>
        <v/>
      </c>
      <c r="C254" s="91">
        <f>IF($A254="","",TRIM('Enrollment Census'!$C245&amp;" "&amp;'Enrollment Census'!$D245)&amp;" • ending "&amp;RIGHT('Enrollment Census'!$W245&amp;"",4))</f>
        <v/>
      </c>
      <c r="D254" s="91">
        <f>IF($A254="","",'Enrollment Census'!$X245)</f>
        <v/>
      </c>
      <c r="E254" s="91">
        <f>IF($A254="","",'Enrollment Census'!$S245)</f>
        <v/>
      </c>
      <c r="F254" s="91">
        <f>IF($A254="","",IF('Enrollment Census'!$AF245&lt;&gt;"","FIX",IF('Enrollment Census'!$AD245&lt;&gt;"","REVIEW","READY")))</f>
        <v/>
      </c>
      <c r="G254" s="91">
        <f>IF($A254="","",'Enrollment Census'!$AE245)</f>
        <v/>
      </c>
      <c r="H254" s="91">
        <f>IF($A254="","",'Enrollment Census'!$AF245)</f>
        <v/>
      </c>
      <c r="I254" s="91">
        <f>IF($A254="","",'Enrollment Census'!$AD245)</f>
        <v/>
      </c>
      <c r="J254">
        <f>IF($A254="","",'Enrollment Census'!$A245)</f>
        <v/>
      </c>
      <c r="K254">
        <f>IF($F254="FIX",ROW(),IF($F254="REVIEW",1000+ROW(),""))</f>
        <v/>
      </c>
    </row>
    <row r="255" ht="36" customHeight="1">
      <c r="A255" s="91">
        <f>IF(COUNTA('Enrollment Census'!$A246:$U246)&gt;0,246,"")</f>
        <v/>
      </c>
      <c r="B255" s="91">
        <f>IF($A255="","","Employee ending "&amp;RIGHT('Enrollment Census'!$A246&amp;"",4)&amp;IF('Enrollment Census'!$AH246&gt;0," • "&amp;'Enrollment Census'!$AH246&amp;" row"&amp;IF('Enrollment Census'!$AH246=1,"","s")&amp;" need attention",""))</f>
        <v/>
      </c>
      <c r="C255" s="91">
        <f>IF($A255="","",TRIM('Enrollment Census'!$C246&amp;" "&amp;'Enrollment Census'!$D246)&amp;" • ending "&amp;RIGHT('Enrollment Census'!$W246&amp;"",4))</f>
        <v/>
      </c>
      <c r="D255" s="91">
        <f>IF($A255="","",'Enrollment Census'!$X246)</f>
        <v/>
      </c>
      <c r="E255" s="91">
        <f>IF($A255="","",'Enrollment Census'!$S246)</f>
        <v/>
      </c>
      <c r="F255" s="91">
        <f>IF($A255="","",IF('Enrollment Census'!$AF246&lt;&gt;"","FIX",IF('Enrollment Census'!$AD246&lt;&gt;"","REVIEW","READY")))</f>
        <v/>
      </c>
      <c r="G255" s="91">
        <f>IF($A255="","",'Enrollment Census'!$AE246)</f>
        <v/>
      </c>
      <c r="H255" s="91">
        <f>IF($A255="","",'Enrollment Census'!$AF246)</f>
        <v/>
      </c>
      <c r="I255" s="91">
        <f>IF($A255="","",'Enrollment Census'!$AD246)</f>
        <v/>
      </c>
      <c r="J255">
        <f>IF($A255="","",'Enrollment Census'!$A246)</f>
        <v/>
      </c>
      <c r="K255">
        <f>IF($F255="FIX",ROW(),IF($F255="REVIEW",1000+ROW(),""))</f>
        <v/>
      </c>
    </row>
    <row r="256" ht="36" customHeight="1">
      <c r="A256" s="91">
        <f>IF(COUNTA('Enrollment Census'!$A247:$U247)&gt;0,247,"")</f>
        <v/>
      </c>
      <c r="B256" s="91">
        <f>IF($A256="","","Employee ending "&amp;RIGHT('Enrollment Census'!$A247&amp;"",4)&amp;IF('Enrollment Census'!$AH247&gt;0," • "&amp;'Enrollment Census'!$AH247&amp;" row"&amp;IF('Enrollment Census'!$AH247=1,"","s")&amp;" need attention",""))</f>
        <v/>
      </c>
      <c r="C256" s="91">
        <f>IF($A256="","",TRIM('Enrollment Census'!$C247&amp;" "&amp;'Enrollment Census'!$D247)&amp;" • ending "&amp;RIGHT('Enrollment Census'!$W247&amp;"",4))</f>
        <v/>
      </c>
      <c r="D256" s="91">
        <f>IF($A256="","",'Enrollment Census'!$X247)</f>
        <v/>
      </c>
      <c r="E256" s="91">
        <f>IF($A256="","",'Enrollment Census'!$S247)</f>
        <v/>
      </c>
      <c r="F256" s="91">
        <f>IF($A256="","",IF('Enrollment Census'!$AF247&lt;&gt;"","FIX",IF('Enrollment Census'!$AD247&lt;&gt;"","REVIEW","READY")))</f>
        <v/>
      </c>
      <c r="G256" s="91">
        <f>IF($A256="","",'Enrollment Census'!$AE247)</f>
        <v/>
      </c>
      <c r="H256" s="91">
        <f>IF($A256="","",'Enrollment Census'!$AF247)</f>
        <v/>
      </c>
      <c r="I256" s="91">
        <f>IF($A256="","",'Enrollment Census'!$AD247)</f>
        <v/>
      </c>
      <c r="J256">
        <f>IF($A256="","",'Enrollment Census'!$A247)</f>
        <v/>
      </c>
      <c r="K256">
        <f>IF($F256="FIX",ROW(),IF($F256="REVIEW",1000+ROW(),""))</f>
        <v/>
      </c>
    </row>
    <row r="257" ht="36" customHeight="1">
      <c r="A257" s="91">
        <f>IF(COUNTA('Enrollment Census'!$A248:$U248)&gt;0,248,"")</f>
        <v/>
      </c>
      <c r="B257" s="91">
        <f>IF($A257="","","Employee ending "&amp;RIGHT('Enrollment Census'!$A248&amp;"",4)&amp;IF('Enrollment Census'!$AH248&gt;0," • "&amp;'Enrollment Census'!$AH248&amp;" row"&amp;IF('Enrollment Census'!$AH248=1,"","s")&amp;" need attention",""))</f>
        <v/>
      </c>
      <c r="C257" s="91">
        <f>IF($A257="","",TRIM('Enrollment Census'!$C248&amp;" "&amp;'Enrollment Census'!$D248)&amp;" • ending "&amp;RIGHT('Enrollment Census'!$W248&amp;"",4))</f>
        <v/>
      </c>
      <c r="D257" s="91">
        <f>IF($A257="","",'Enrollment Census'!$X248)</f>
        <v/>
      </c>
      <c r="E257" s="91">
        <f>IF($A257="","",'Enrollment Census'!$S248)</f>
        <v/>
      </c>
      <c r="F257" s="91">
        <f>IF($A257="","",IF('Enrollment Census'!$AF248&lt;&gt;"","FIX",IF('Enrollment Census'!$AD248&lt;&gt;"","REVIEW","READY")))</f>
        <v/>
      </c>
      <c r="G257" s="91">
        <f>IF($A257="","",'Enrollment Census'!$AE248)</f>
        <v/>
      </c>
      <c r="H257" s="91">
        <f>IF($A257="","",'Enrollment Census'!$AF248)</f>
        <v/>
      </c>
      <c r="I257" s="91">
        <f>IF($A257="","",'Enrollment Census'!$AD248)</f>
        <v/>
      </c>
      <c r="J257">
        <f>IF($A257="","",'Enrollment Census'!$A248)</f>
        <v/>
      </c>
      <c r="K257">
        <f>IF($F257="FIX",ROW(),IF($F257="REVIEW",1000+ROW(),""))</f>
        <v/>
      </c>
    </row>
    <row r="258" ht="36" customHeight="1">
      <c r="A258" s="91">
        <f>IF(COUNTA('Enrollment Census'!$A249:$U249)&gt;0,249,"")</f>
        <v/>
      </c>
      <c r="B258" s="91">
        <f>IF($A258="","","Employee ending "&amp;RIGHT('Enrollment Census'!$A249&amp;"",4)&amp;IF('Enrollment Census'!$AH249&gt;0," • "&amp;'Enrollment Census'!$AH249&amp;" row"&amp;IF('Enrollment Census'!$AH249=1,"","s")&amp;" need attention",""))</f>
        <v/>
      </c>
      <c r="C258" s="91">
        <f>IF($A258="","",TRIM('Enrollment Census'!$C249&amp;" "&amp;'Enrollment Census'!$D249)&amp;" • ending "&amp;RIGHT('Enrollment Census'!$W249&amp;"",4))</f>
        <v/>
      </c>
      <c r="D258" s="91">
        <f>IF($A258="","",'Enrollment Census'!$X249)</f>
        <v/>
      </c>
      <c r="E258" s="91">
        <f>IF($A258="","",'Enrollment Census'!$S249)</f>
        <v/>
      </c>
      <c r="F258" s="91">
        <f>IF($A258="","",IF('Enrollment Census'!$AF249&lt;&gt;"","FIX",IF('Enrollment Census'!$AD249&lt;&gt;"","REVIEW","READY")))</f>
        <v/>
      </c>
      <c r="G258" s="91">
        <f>IF($A258="","",'Enrollment Census'!$AE249)</f>
        <v/>
      </c>
      <c r="H258" s="91">
        <f>IF($A258="","",'Enrollment Census'!$AF249)</f>
        <v/>
      </c>
      <c r="I258" s="91">
        <f>IF($A258="","",'Enrollment Census'!$AD249)</f>
        <v/>
      </c>
      <c r="J258">
        <f>IF($A258="","",'Enrollment Census'!$A249)</f>
        <v/>
      </c>
      <c r="K258">
        <f>IF($F258="FIX",ROW(),IF($F258="REVIEW",1000+ROW(),""))</f>
        <v/>
      </c>
    </row>
    <row r="259" ht="36" customHeight="1">
      <c r="A259" s="91">
        <f>IF(COUNTA('Enrollment Census'!$A250:$U250)&gt;0,250,"")</f>
        <v/>
      </c>
      <c r="B259" s="91">
        <f>IF($A259="","","Employee ending "&amp;RIGHT('Enrollment Census'!$A250&amp;"",4)&amp;IF('Enrollment Census'!$AH250&gt;0," • "&amp;'Enrollment Census'!$AH250&amp;" row"&amp;IF('Enrollment Census'!$AH250=1,"","s")&amp;" need attention",""))</f>
        <v/>
      </c>
      <c r="C259" s="91">
        <f>IF($A259="","",TRIM('Enrollment Census'!$C250&amp;" "&amp;'Enrollment Census'!$D250)&amp;" • ending "&amp;RIGHT('Enrollment Census'!$W250&amp;"",4))</f>
        <v/>
      </c>
      <c r="D259" s="91">
        <f>IF($A259="","",'Enrollment Census'!$X250)</f>
        <v/>
      </c>
      <c r="E259" s="91">
        <f>IF($A259="","",'Enrollment Census'!$S250)</f>
        <v/>
      </c>
      <c r="F259" s="91">
        <f>IF($A259="","",IF('Enrollment Census'!$AF250&lt;&gt;"","FIX",IF('Enrollment Census'!$AD250&lt;&gt;"","REVIEW","READY")))</f>
        <v/>
      </c>
      <c r="G259" s="91">
        <f>IF($A259="","",'Enrollment Census'!$AE250)</f>
        <v/>
      </c>
      <c r="H259" s="91">
        <f>IF($A259="","",'Enrollment Census'!$AF250)</f>
        <v/>
      </c>
      <c r="I259" s="91">
        <f>IF($A259="","",'Enrollment Census'!$AD250)</f>
        <v/>
      </c>
      <c r="J259">
        <f>IF($A259="","",'Enrollment Census'!$A250)</f>
        <v/>
      </c>
      <c r="K259">
        <f>IF($F259="FIX",ROW(),IF($F259="REVIEW",1000+ROW(),""))</f>
        <v/>
      </c>
    </row>
    <row r="260" ht="36" customHeight="1">
      <c r="A260" s="91">
        <f>IF(COUNTA('Enrollment Census'!$A251:$U251)&gt;0,251,"")</f>
        <v/>
      </c>
      <c r="B260" s="91">
        <f>IF($A260="","","Employee ending "&amp;RIGHT('Enrollment Census'!$A251&amp;"",4)&amp;IF('Enrollment Census'!$AH251&gt;0," • "&amp;'Enrollment Census'!$AH251&amp;" row"&amp;IF('Enrollment Census'!$AH251=1,"","s")&amp;" need attention",""))</f>
        <v/>
      </c>
      <c r="C260" s="91">
        <f>IF($A260="","",TRIM('Enrollment Census'!$C251&amp;" "&amp;'Enrollment Census'!$D251)&amp;" • ending "&amp;RIGHT('Enrollment Census'!$W251&amp;"",4))</f>
        <v/>
      </c>
      <c r="D260" s="91">
        <f>IF($A260="","",'Enrollment Census'!$X251)</f>
        <v/>
      </c>
      <c r="E260" s="91">
        <f>IF($A260="","",'Enrollment Census'!$S251)</f>
        <v/>
      </c>
      <c r="F260" s="91">
        <f>IF($A260="","",IF('Enrollment Census'!$AF251&lt;&gt;"","FIX",IF('Enrollment Census'!$AD251&lt;&gt;"","REVIEW","READY")))</f>
        <v/>
      </c>
      <c r="G260" s="91">
        <f>IF($A260="","",'Enrollment Census'!$AE251)</f>
        <v/>
      </c>
      <c r="H260" s="91">
        <f>IF($A260="","",'Enrollment Census'!$AF251)</f>
        <v/>
      </c>
      <c r="I260" s="91">
        <f>IF($A260="","",'Enrollment Census'!$AD251)</f>
        <v/>
      </c>
      <c r="J260">
        <f>IF($A260="","",'Enrollment Census'!$A251)</f>
        <v/>
      </c>
      <c r="K260">
        <f>IF($F260="FIX",ROW(),IF($F260="REVIEW",1000+ROW(),""))</f>
        <v/>
      </c>
    </row>
    <row r="261" ht="36" customHeight="1">
      <c r="A261" s="91">
        <f>IF(COUNTA('Enrollment Census'!$A252:$U252)&gt;0,252,"")</f>
        <v/>
      </c>
      <c r="B261" s="91">
        <f>IF($A261="","","Employee ending "&amp;RIGHT('Enrollment Census'!$A252&amp;"",4)&amp;IF('Enrollment Census'!$AH252&gt;0," • "&amp;'Enrollment Census'!$AH252&amp;" row"&amp;IF('Enrollment Census'!$AH252=1,"","s")&amp;" need attention",""))</f>
        <v/>
      </c>
      <c r="C261" s="91">
        <f>IF($A261="","",TRIM('Enrollment Census'!$C252&amp;" "&amp;'Enrollment Census'!$D252)&amp;" • ending "&amp;RIGHT('Enrollment Census'!$W252&amp;"",4))</f>
        <v/>
      </c>
      <c r="D261" s="91">
        <f>IF($A261="","",'Enrollment Census'!$X252)</f>
        <v/>
      </c>
      <c r="E261" s="91">
        <f>IF($A261="","",'Enrollment Census'!$S252)</f>
        <v/>
      </c>
      <c r="F261" s="91">
        <f>IF($A261="","",IF('Enrollment Census'!$AF252&lt;&gt;"","FIX",IF('Enrollment Census'!$AD252&lt;&gt;"","REVIEW","READY")))</f>
        <v/>
      </c>
      <c r="G261" s="91">
        <f>IF($A261="","",'Enrollment Census'!$AE252)</f>
        <v/>
      </c>
      <c r="H261" s="91">
        <f>IF($A261="","",'Enrollment Census'!$AF252)</f>
        <v/>
      </c>
      <c r="I261" s="91">
        <f>IF($A261="","",'Enrollment Census'!$AD252)</f>
        <v/>
      </c>
      <c r="J261">
        <f>IF($A261="","",'Enrollment Census'!$A252)</f>
        <v/>
      </c>
      <c r="K261">
        <f>IF($F261="FIX",ROW(),IF($F261="REVIEW",1000+ROW(),""))</f>
        <v/>
      </c>
    </row>
    <row r="262" ht="36" customHeight="1">
      <c r="A262" s="91">
        <f>IF(COUNTA('Enrollment Census'!$A253:$U253)&gt;0,253,"")</f>
        <v/>
      </c>
      <c r="B262" s="91">
        <f>IF($A262="","","Employee ending "&amp;RIGHT('Enrollment Census'!$A253&amp;"",4)&amp;IF('Enrollment Census'!$AH253&gt;0," • "&amp;'Enrollment Census'!$AH253&amp;" row"&amp;IF('Enrollment Census'!$AH253=1,"","s")&amp;" need attention",""))</f>
        <v/>
      </c>
      <c r="C262" s="91">
        <f>IF($A262="","",TRIM('Enrollment Census'!$C253&amp;" "&amp;'Enrollment Census'!$D253)&amp;" • ending "&amp;RIGHT('Enrollment Census'!$W253&amp;"",4))</f>
        <v/>
      </c>
      <c r="D262" s="91">
        <f>IF($A262="","",'Enrollment Census'!$X253)</f>
        <v/>
      </c>
      <c r="E262" s="91">
        <f>IF($A262="","",'Enrollment Census'!$S253)</f>
        <v/>
      </c>
      <c r="F262" s="91">
        <f>IF($A262="","",IF('Enrollment Census'!$AF253&lt;&gt;"","FIX",IF('Enrollment Census'!$AD253&lt;&gt;"","REVIEW","READY")))</f>
        <v/>
      </c>
      <c r="G262" s="91">
        <f>IF($A262="","",'Enrollment Census'!$AE253)</f>
        <v/>
      </c>
      <c r="H262" s="91">
        <f>IF($A262="","",'Enrollment Census'!$AF253)</f>
        <v/>
      </c>
      <c r="I262" s="91">
        <f>IF($A262="","",'Enrollment Census'!$AD253)</f>
        <v/>
      </c>
      <c r="J262">
        <f>IF($A262="","",'Enrollment Census'!$A253)</f>
        <v/>
      </c>
      <c r="K262">
        <f>IF($F262="FIX",ROW(),IF($F262="REVIEW",1000+ROW(),""))</f>
        <v/>
      </c>
    </row>
    <row r="263" ht="36" customHeight="1">
      <c r="A263" s="91">
        <f>IF(COUNTA('Enrollment Census'!$A254:$U254)&gt;0,254,"")</f>
        <v/>
      </c>
      <c r="B263" s="91">
        <f>IF($A263="","","Employee ending "&amp;RIGHT('Enrollment Census'!$A254&amp;"",4)&amp;IF('Enrollment Census'!$AH254&gt;0," • "&amp;'Enrollment Census'!$AH254&amp;" row"&amp;IF('Enrollment Census'!$AH254=1,"","s")&amp;" need attention",""))</f>
        <v/>
      </c>
      <c r="C263" s="91">
        <f>IF($A263="","",TRIM('Enrollment Census'!$C254&amp;" "&amp;'Enrollment Census'!$D254)&amp;" • ending "&amp;RIGHT('Enrollment Census'!$W254&amp;"",4))</f>
        <v/>
      </c>
      <c r="D263" s="91">
        <f>IF($A263="","",'Enrollment Census'!$X254)</f>
        <v/>
      </c>
      <c r="E263" s="91">
        <f>IF($A263="","",'Enrollment Census'!$S254)</f>
        <v/>
      </c>
      <c r="F263" s="91">
        <f>IF($A263="","",IF('Enrollment Census'!$AF254&lt;&gt;"","FIX",IF('Enrollment Census'!$AD254&lt;&gt;"","REVIEW","READY")))</f>
        <v/>
      </c>
      <c r="G263" s="91">
        <f>IF($A263="","",'Enrollment Census'!$AE254)</f>
        <v/>
      </c>
      <c r="H263" s="91">
        <f>IF($A263="","",'Enrollment Census'!$AF254)</f>
        <v/>
      </c>
      <c r="I263" s="91">
        <f>IF($A263="","",'Enrollment Census'!$AD254)</f>
        <v/>
      </c>
      <c r="J263">
        <f>IF($A263="","",'Enrollment Census'!$A254)</f>
        <v/>
      </c>
      <c r="K263">
        <f>IF($F263="FIX",ROW(),IF($F263="REVIEW",1000+ROW(),""))</f>
        <v/>
      </c>
    </row>
    <row r="264" ht="36" customHeight="1">
      <c r="A264" s="91">
        <f>IF(COUNTA('Enrollment Census'!$A255:$U255)&gt;0,255,"")</f>
        <v/>
      </c>
      <c r="B264" s="91">
        <f>IF($A264="","","Employee ending "&amp;RIGHT('Enrollment Census'!$A255&amp;"",4)&amp;IF('Enrollment Census'!$AH255&gt;0," • "&amp;'Enrollment Census'!$AH255&amp;" row"&amp;IF('Enrollment Census'!$AH255=1,"","s")&amp;" need attention",""))</f>
        <v/>
      </c>
      <c r="C264" s="91">
        <f>IF($A264="","",TRIM('Enrollment Census'!$C255&amp;" "&amp;'Enrollment Census'!$D255)&amp;" • ending "&amp;RIGHT('Enrollment Census'!$W255&amp;"",4))</f>
        <v/>
      </c>
      <c r="D264" s="91">
        <f>IF($A264="","",'Enrollment Census'!$X255)</f>
        <v/>
      </c>
      <c r="E264" s="91">
        <f>IF($A264="","",'Enrollment Census'!$S255)</f>
        <v/>
      </c>
      <c r="F264" s="91">
        <f>IF($A264="","",IF('Enrollment Census'!$AF255&lt;&gt;"","FIX",IF('Enrollment Census'!$AD255&lt;&gt;"","REVIEW","READY")))</f>
        <v/>
      </c>
      <c r="G264" s="91">
        <f>IF($A264="","",'Enrollment Census'!$AE255)</f>
        <v/>
      </c>
      <c r="H264" s="91">
        <f>IF($A264="","",'Enrollment Census'!$AF255)</f>
        <v/>
      </c>
      <c r="I264" s="91">
        <f>IF($A264="","",'Enrollment Census'!$AD255)</f>
        <v/>
      </c>
      <c r="J264">
        <f>IF($A264="","",'Enrollment Census'!$A255)</f>
        <v/>
      </c>
      <c r="K264">
        <f>IF($F264="FIX",ROW(),IF($F264="REVIEW",1000+ROW(),""))</f>
        <v/>
      </c>
    </row>
    <row r="265" ht="36" customHeight="1">
      <c r="A265" s="91">
        <f>IF(COUNTA('Enrollment Census'!$A256:$U256)&gt;0,256,"")</f>
        <v/>
      </c>
      <c r="B265" s="91">
        <f>IF($A265="","","Employee ending "&amp;RIGHT('Enrollment Census'!$A256&amp;"",4)&amp;IF('Enrollment Census'!$AH256&gt;0," • "&amp;'Enrollment Census'!$AH256&amp;" row"&amp;IF('Enrollment Census'!$AH256=1,"","s")&amp;" need attention",""))</f>
        <v/>
      </c>
      <c r="C265" s="91">
        <f>IF($A265="","",TRIM('Enrollment Census'!$C256&amp;" "&amp;'Enrollment Census'!$D256)&amp;" • ending "&amp;RIGHT('Enrollment Census'!$W256&amp;"",4))</f>
        <v/>
      </c>
      <c r="D265" s="91">
        <f>IF($A265="","",'Enrollment Census'!$X256)</f>
        <v/>
      </c>
      <c r="E265" s="91">
        <f>IF($A265="","",'Enrollment Census'!$S256)</f>
        <v/>
      </c>
      <c r="F265" s="91">
        <f>IF($A265="","",IF('Enrollment Census'!$AF256&lt;&gt;"","FIX",IF('Enrollment Census'!$AD256&lt;&gt;"","REVIEW","READY")))</f>
        <v/>
      </c>
      <c r="G265" s="91">
        <f>IF($A265="","",'Enrollment Census'!$AE256)</f>
        <v/>
      </c>
      <c r="H265" s="91">
        <f>IF($A265="","",'Enrollment Census'!$AF256)</f>
        <v/>
      </c>
      <c r="I265" s="91">
        <f>IF($A265="","",'Enrollment Census'!$AD256)</f>
        <v/>
      </c>
      <c r="J265">
        <f>IF($A265="","",'Enrollment Census'!$A256)</f>
        <v/>
      </c>
      <c r="K265">
        <f>IF($F265="FIX",ROW(),IF($F265="REVIEW",1000+ROW(),""))</f>
        <v/>
      </c>
    </row>
    <row r="266" ht="36" customHeight="1">
      <c r="A266" s="91">
        <f>IF(COUNTA('Enrollment Census'!$A257:$U257)&gt;0,257,"")</f>
        <v/>
      </c>
      <c r="B266" s="91">
        <f>IF($A266="","","Employee ending "&amp;RIGHT('Enrollment Census'!$A257&amp;"",4)&amp;IF('Enrollment Census'!$AH257&gt;0," • "&amp;'Enrollment Census'!$AH257&amp;" row"&amp;IF('Enrollment Census'!$AH257=1,"","s")&amp;" need attention",""))</f>
        <v/>
      </c>
      <c r="C266" s="91">
        <f>IF($A266="","",TRIM('Enrollment Census'!$C257&amp;" "&amp;'Enrollment Census'!$D257)&amp;" • ending "&amp;RIGHT('Enrollment Census'!$W257&amp;"",4))</f>
        <v/>
      </c>
      <c r="D266" s="91">
        <f>IF($A266="","",'Enrollment Census'!$X257)</f>
        <v/>
      </c>
      <c r="E266" s="91">
        <f>IF($A266="","",'Enrollment Census'!$S257)</f>
        <v/>
      </c>
      <c r="F266" s="91">
        <f>IF($A266="","",IF('Enrollment Census'!$AF257&lt;&gt;"","FIX",IF('Enrollment Census'!$AD257&lt;&gt;"","REVIEW","READY")))</f>
        <v/>
      </c>
      <c r="G266" s="91">
        <f>IF($A266="","",'Enrollment Census'!$AE257)</f>
        <v/>
      </c>
      <c r="H266" s="91">
        <f>IF($A266="","",'Enrollment Census'!$AF257)</f>
        <v/>
      </c>
      <c r="I266" s="91">
        <f>IF($A266="","",'Enrollment Census'!$AD257)</f>
        <v/>
      </c>
      <c r="J266">
        <f>IF($A266="","",'Enrollment Census'!$A257)</f>
        <v/>
      </c>
      <c r="K266">
        <f>IF($F266="FIX",ROW(),IF($F266="REVIEW",1000+ROW(),""))</f>
        <v/>
      </c>
    </row>
    <row r="267" ht="36" customHeight="1">
      <c r="A267" s="91">
        <f>IF(COUNTA('Enrollment Census'!$A258:$U258)&gt;0,258,"")</f>
        <v/>
      </c>
      <c r="B267" s="91">
        <f>IF($A267="","","Employee ending "&amp;RIGHT('Enrollment Census'!$A258&amp;"",4)&amp;IF('Enrollment Census'!$AH258&gt;0," • "&amp;'Enrollment Census'!$AH258&amp;" row"&amp;IF('Enrollment Census'!$AH258=1,"","s")&amp;" need attention",""))</f>
        <v/>
      </c>
      <c r="C267" s="91">
        <f>IF($A267="","",TRIM('Enrollment Census'!$C258&amp;" "&amp;'Enrollment Census'!$D258)&amp;" • ending "&amp;RIGHT('Enrollment Census'!$W258&amp;"",4))</f>
        <v/>
      </c>
      <c r="D267" s="91">
        <f>IF($A267="","",'Enrollment Census'!$X258)</f>
        <v/>
      </c>
      <c r="E267" s="91">
        <f>IF($A267="","",'Enrollment Census'!$S258)</f>
        <v/>
      </c>
      <c r="F267" s="91">
        <f>IF($A267="","",IF('Enrollment Census'!$AF258&lt;&gt;"","FIX",IF('Enrollment Census'!$AD258&lt;&gt;"","REVIEW","READY")))</f>
        <v/>
      </c>
      <c r="G267" s="91">
        <f>IF($A267="","",'Enrollment Census'!$AE258)</f>
        <v/>
      </c>
      <c r="H267" s="91">
        <f>IF($A267="","",'Enrollment Census'!$AF258)</f>
        <v/>
      </c>
      <c r="I267" s="91">
        <f>IF($A267="","",'Enrollment Census'!$AD258)</f>
        <v/>
      </c>
      <c r="J267">
        <f>IF($A267="","",'Enrollment Census'!$A258)</f>
        <v/>
      </c>
      <c r="K267">
        <f>IF($F267="FIX",ROW(),IF($F267="REVIEW",1000+ROW(),""))</f>
        <v/>
      </c>
    </row>
    <row r="268" ht="36" customHeight="1">
      <c r="A268" s="91">
        <f>IF(COUNTA('Enrollment Census'!$A259:$U259)&gt;0,259,"")</f>
        <v/>
      </c>
      <c r="B268" s="91">
        <f>IF($A268="","","Employee ending "&amp;RIGHT('Enrollment Census'!$A259&amp;"",4)&amp;IF('Enrollment Census'!$AH259&gt;0," • "&amp;'Enrollment Census'!$AH259&amp;" row"&amp;IF('Enrollment Census'!$AH259=1,"","s")&amp;" need attention",""))</f>
        <v/>
      </c>
      <c r="C268" s="91">
        <f>IF($A268="","",TRIM('Enrollment Census'!$C259&amp;" "&amp;'Enrollment Census'!$D259)&amp;" • ending "&amp;RIGHT('Enrollment Census'!$W259&amp;"",4))</f>
        <v/>
      </c>
      <c r="D268" s="91">
        <f>IF($A268="","",'Enrollment Census'!$X259)</f>
        <v/>
      </c>
      <c r="E268" s="91">
        <f>IF($A268="","",'Enrollment Census'!$S259)</f>
        <v/>
      </c>
      <c r="F268" s="91">
        <f>IF($A268="","",IF('Enrollment Census'!$AF259&lt;&gt;"","FIX",IF('Enrollment Census'!$AD259&lt;&gt;"","REVIEW","READY")))</f>
        <v/>
      </c>
      <c r="G268" s="91">
        <f>IF($A268="","",'Enrollment Census'!$AE259)</f>
        <v/>
      </c>
      <c r="H268" s="91">
        <f>IF($A268="","",'Enrollment Census'!$AF259)</f>
        <v/>
      </c>
      <c r="I268" s="91">
        <f>IF($A268="","",'Enrollment Census'!$AD259)</f>
        <v/>
      </c>
      <c r="J268">
        <f>IF($A268="","",'Enrollment Census'!$A259)</f>
        <v/>
      </c>
      <c r="K268">
        <f>IF($F268="FIX",ROW(),IF($F268="REVIEW",1000+ROW(),""))</f>
        <v/>
      </c>
    </row>
    <row r="269" ht="36" customHeight="1">
      <c r="A269" s="91">
        <f>IF(COUNTA('Enrollment Census'!$A260:$U260)&gt;0,260,"")</f>
        <v/>
      </c>
      <c r="B269" s="91">
        <f>IF($A269="","","Employee ending "&amp;RIGHT('Enrollment Census'!$A260&amp;"",4)&amp;IF('Enrollment Census'!$AH260&gt;0," • "&amp;'Enrollment Census'!$AH260&amp;" row"&amp;IF('Enrollment Census'!$AH260=1,"","s")&amp;" need attention",""))</f>
        <v/>
      </c>
      <c r="C269" s="91">
        <f>IF($A269="","",TRIM('Enrollment Census'!$C260&amp;" "&amp;'Enrollment Census'!$D260)&amp;" • ending "&amp;RIGHT('Enrollment Census'!$W260&amp;"",4))</f>
        <v/>
      </c>
      <c r="D269" s="91">
        <f>IF($A269="","",'Enrollment Census'!$X260)</f>
        <v/>
      </c>
      <c r="E269" s="91">
        <f>IF($A269="","",'Enrollment Census'!$S260)</f>
        <v/>
      </c>
      <c r="F269" s="91">
        <f>IF($A269="","",IF('Enrollment Census'!$AF260&lt;&gt;"","FIX",IF('Enrollment Census'!$AD260&lt;&gt;"","REVIEW","READY")))</f>
        <v/>
      </c>
      <c r="G269" s="91">
        <f>IF($A269="","",'Enrollment Census'!$AE260)</f>
        <v/>
      </c>
      <c r="H269" s="91">
        <f>IF($A269="","",'Enrollment Census'!$AF260)</f>
        <v/>
      </c>
      <c r="I269" s="91">
        <f>IF($A269="","",'Enrollment Census'!$AD260)</f>
        <v/>
      </c>
      <c r="J269">
        <f>IF($A269="","",'Enrollment Census'!$A260)</f>
        <v/>
      </c>
      <c r="K269">
        <f>IF($F269="FIX",ROW(),IF($F269="REVIEW",1000+ROW(),""))</f>
        <v/>
      </c>
    </row>
    <row r="270" ht="36" customHeight="1">
      <c r="A270" s="91">
        <f>IF(COUNTA('Enrollment Census'!$A261:$U261)&gt;0,261,"")</f>
        <v/>
      </c>
      <c r="B270" s="91">
        <f>IF($A270="","","Employee ending "&amp;RIGHT('Enrollment Census'!$A261&amp;"",4)&amp;IF('Enrollment Census'!$AH261&gt;0," • "&amp;'Enrollment Census'!$AH261&amp;" row"&amp;IF('Enrollment Census'!$AH261=1,"","s")&amp;" need attention",""))</f>
        <v/>
      </c>
      <c r="C270" s="91">
        <f>IF($A270="","",TRIM('Enrollment Census'!$C261&amp;" "&amp;'Enrollment Census'!$D261)&amp;" • ending "&amp;RIGHT('Enrollment Census'!$W261&amp;"",4))</f>
        <v/>
      </c>
      <c r="D270" s="91">
        <f>IF($A270="","",'Enrollment Census'!$X261)</f>
        <v/>
      </c>
      <c r="E270" s="91">
        <f>IF($A270="","",'Enrollment Census'!$S261)</f>
        <v/>
      </c>
      <c r="F270" s="91">
        <f>IF($A270="","",IF('Enrollment Census'!$AF261&lt;&gt;"","FIX",IF('Enrollment Census'!$AD261&lt;&gt;"","REVIEW","READY")))</f>
        <v/>
      </c>
      <c r="G270" s="91">
        <f>IF($A270="","",'Enrollment Census'!$AE261)</f>
        <v/>
      </c>
      <c r="H270" s="91">
        <f>IF($A270="","",'Enrollment Census'!$AF261)</f>
        <v/>
      </c>
      <c r="I270" s="91">
        <f>IF($A270="","",'Enrollment Census'!$AD261)</f>
        <v/>
      </c>
      <c r="J270">
        <f>IF($A270="","",'Enrollment Census'!$A261)</f>
        <v/>
      </c>
      <c r="K270">
        <f>IF($F270="FIX",ROW(),IF($F270="REVIEW",1000+ROW(),""))</f>
        <v/>
      </c>
    </row>
    <row r="271" ht="36" customHeight="1">
      <c r="A271" s="91">
        <f>IF(COUNTA('Enrollment Census'!$A262:$U262)&gt;0,262,"")</f>
        <v/>
      </c>
      <c r="B271" s="91">
        <f>IF($A271="","","Employee ending "&amp;RIGHT('Enrollment Census'!$A262&amp;"",4)&amp;IF('Enrollment Census'!$AH262&gt;0," • "&amp;'Enrollment Census'!$AH262&amp;" row"&amp;IF('Enrollment Census'!$AH262=1,"","s")&amp;" need attention",""))</f>
        <v/>
      </c>
      <c r="C271" s="91">
        <f>IF($A271="","",TRIM('Enrollment Census'!$C262&amp;" "&amp;'Enrollment Census'!$D262)&amp;" • ending "&amp;RIGHT('Enrollment Census'!$W262&amp;"",4))</f>
        <v/>
      </c>
      <c r="D271" s="91">
        <f>IF($A271="","",'Enrollment Census'!$X262)</f>
        <v/>
      </c>
      <c r="E271" s="91">
        <f>IF($A271="","",'Enrollment Census'!$S262)</f>
        <v/>
      </c>
      <c r="F271" s="91">
        <f>IF($A271="","",IF('Enrollment Census'!$AF262&lt;&gt;"","FIX",IF('Enrollment Census'!$AD262&lt;&gt;"","REVIEW","READY")))</f>
        <v/>
      </c>
      <c r="G271" s="91">
        <f>IF($A271="","",'Enrollment Census'!$AE262)</f>
        <v/>
      </c>
      <c r="H271" s="91">
        <f>IF($A271="","",'Enrollment Census'!$AF262)</f>
        <v/>
      </c>
      <c r="I271" s="91">
        <f>IF($A271="","",'Enrollment Census'!$AD262)</f>
        <v/>
      </c>
      <c r="J271">
        <f>IF($A271="","",'Enrollment Census'!$A262)</f>
        <v/>
      </c>
      <c r="K271">
        <f>IF($F271="FIX",ROW(),IF($F271="REVIEW",1000+ROW(),""))</f>
        <v/>
      </c>
    </row>
    <row r="272" ht="36" customHeight="1">
      <c r="A272" s="91">
        <f>IF(COUNTA('Enrollment Census'!$A263:$U263)&gt;0,263,"")</f>
        <v/>
      </c>
      <c r="B272" s="91">
        <f>IF($A272="","","Employee ending "&amp;RIGHT('Enrollment Census'!$A263&amp;"",4)&amp;IF('Enrollment Census'!$AH263&gt;0," • "&amp;'Enrollment Census'!$AH263&amp;" row"&amp;IF('Enrollment Census'!$AH263=1,"","s")&amp;" need attention",""))</f>
        <v/>
      </c>
      <c r="C272" s="91">
        <f>IF($A272="","",TRIM('Enrollment Census'!$C263&amp;" "&amp;'Enrollment Census'!$D263)&amp;" • ending "&amp;RIGHT('Enrollment Census'!$W263&amp;"",4))</f>
        <v/>
      </c>
      <c r="D272" s="91">
        <f>IF($A272="","",'Enrollment Census'!$X263)</f>
        <v/>
      </c>
      <c r="E272" s="91">
        <f>IF($A272="","",'Enrollment Census'!$S263)</f>
        <v/>
      </c>
      <c r="F272" s="91">
        <f>IF($A272="","",IF('Enrollment Census'!$AF263&lt;&gt;"","FIX",IF('Enrollment Census'!$AD263&lt;&gt;"","REVIEW","READY")))</f>
        <v/>
      </c>
      <c r="G272" s="91">
        <f>IF($A272="","",'Enrollment Census'!$AE263)</f>
        <v/>
      </c>
      <c r="H272" s="91">
        <f>IF($A272="","",'Enrollment Census'!$AF263)</f>
        <v/>
      </c>
      <c r="I272" s="91">
        <f>IF($A272="","",'Enrollment Census'!$AD263)</f>
        <v/>
      </c>
      <c r="J272">
        <f>IF($A272="","",'Enrollment Census'!$A263)</f>
        <v/>
      </c>
      <c r="K272">
        <f>IF($F272="FIX",ROW(),IF($F272="REVIEW",1000+ROW(),""))</f>
        <v/>
      </c>
    </row>
    <row r="273" ht="36" customHeight="1">
      <c r="A273" s="91">
        <f>IF(COUNTA('Enrollment Census'!$A264:$U264)&gt;0,264,"")</f>
        <v/>
      </c>
      <c r="B273" s="91">
        <f>IF($A273="","","Employee ending "&amp;RIGHT('Enrollment Census'!$A264&amp;"",4)&amp;IF('Enrollment Census'!$AH264&gt;0," • "&amp;'Enrollment Census'!$AH264&amp;" row"&amp;IF('Enrollment Census'!$AH264=1,"","s")&amp;" need attention",""))</f>
        <v/>
      </c>
      <c r="C273" s="91">
        <f>IF($A273="","",TRIM('Enrollment Census'!$C264&amp;" "&amp;'Enrollment Census'!$D264)&amp;" • ending "&amp;RIGHT('Enrollment Census'!$W264&amp;"",4))</f>
        <v/>
      </c>
      <c r="D273" s="91">
        <f>IF($A273="","",'Enrollment Census'!$X264)</f>
        <v/>
      </c>
      <c r="E273" s="91">
        <f>IF($A273="","",'Enrollment Census'!$S264)</f>
        <v/>
      </c>
      <c r="F273" s="91">
        <f>IF($A273="","",IF('Enrollment Census'!$AF264&lt;&gt;"","FIX",IF('Enrollment Census'!$AD264&lt;&gt;"","REVIEW","READY")))</f>
        <v/>
      </c>
      <c r="G273" s="91">
        <f>IF($A273="","",'Enrollment Census'!$AE264)</f>
        <v/>
      </c>
      <c r="H273" s="91">
        <f>IF($A273="","",'Enrollment Census'!$AF264)</f>
        <v/>
      </c>
      <c r="I273" s="91">
        <f>IF($A273="","",'Enrollment Census'!$AD264)</f>
        <v/>
      </c>
      <c r="J273">
        <f>IF($A273="","",'Enrollment Census'!$A264)</f>
        <v/>
      </c>
      <c r="K273">
        <f>IF($F273="FIX",ROW(),IF($F273="REVIEW",1000+ROW(),""))</f>
        <v/>
      </c>
    </row>
    <row r="274" ht="36" customHeight="1">
      <c r="A274" s="91">
        <f>IF(COUNTA('Enrollment Census'!$A265:$U265)&gt;0,265,"")</f>
        <v/>
      </c>
      <c r="B274" s="91">
        <f>IF($A274="","","Employee ending "&amp;RIGHT('Enrollment Census'!$A265&amp;"",4)&amp;IF('Enrollment Census'!$AH265&gt;0," • "&amp;'Enrollment Census'!$AH265&amp;" row"&amp;IF('Enrollment Census'!$AH265=1,"","s")&amp;" need attention",""))</f>
        <v/>
      </c>
      <c r="C274" s="91">
        <f>IF($A274="","",TRIM('Enrollment Census'!$C265&amp;" "&amp;'Enrollment Census'!$D265)&amp;" • ending "&amp;RIGHT('Enrollment Census'!$W265&amp;"",4))</f>
        <v/>
      </c>
      <c r="D274" s="91">
        <f>IF($A274="","",'Enrollment Census'!$X265)</f>
        <v/>
      </c>
      <c r="E274" s="91">
        <f>IF($A274="","",'Enrollment Census'!$S265)</f>
        <v/>
      </c>
      <c r="F274" s="91">
        <f>IF($A274="","",IF('Enrollment Census'!$AF265&lt;&gt;"","FIX",IF('Enrollment Census'!$AD265&lt;&gt;"","REVIEW","READY")))</f>
        <v/>
      </c>
      <c r="G274" s="91">
        <f>IF($A274="","",'Enrollment Census'!$AE265)</f>
        <v/>
      </c>
      <c r="H274" s="91">
        <f>IF($A274="","",'Enrollment Census'!$AF265)</f>
        <v/>
      </c>
      <c r="I274" s="91">
        <f>IF($A274="","",'Enrollment Census'!$AD265)</f>
        <v/>
      </c>
      <c r="J274">
        <f>IF($A274="","",'Enrollment Census'!$A265)</f>
        <v/>
      </c>
      <c r="K274">
        <f>IF($F274="FIX",ROW(),IF($F274="REVIEW",1000+ROW(),""))</f>
        <v/>
      </c>
    </row>
    <row r="275" ht="36" customHeight="1">
      <c r="A275" s="91">
        <f>IF(COUNTA('Enrollment Census'!$A266:$U266)&gt;0,266,"")</f>
        <v/>
      </c>
      <c r="B275" s="91">
        <f>IF($A275="","","Employee ending "&amp;RIGHT('Enrollment Census'!$A266&amp;"",4)&amp;IF('Enrollment Census'!$AH266&gt;0," • "&amp;'Enrollment Census'!$AH266&amp;" row"&amp;IF('Enrollment Census'!$AH266=1,"","s")&amp;" need attention",""))</f>
        <v/>
      </c>
      <c r="C275" s="91">
        <f>IF($A275="","",TRIM('Enrollment Census'!$C266&amp;" "&amp;'Enrollment Census'!$D266)&amp;" • ending "&amp;RIGHT('Enrollment Census'!$W266&amp;"",4))</f>
        <v/>
      </c>
      <c r="D275" s="91">
        <f>IF($A275="","",'Enrollment Census'!$X266)</f>
        <v/>
      </c>
      <c r="E275" s="91">
        <f>IF($A275="","",'Enrollment Census'!$S266)</f>
        <v/>
      </c>
      <c r="F275" s="91">
        <f>IF($A275="","",IF('Enrollment Census'!$AF266&lt;&gt;"","FIX",IF('Enrollment Census'!$AD266&lt;&gt;"","REVIEW","READY")))</f>
        <v/>
      </c>
      <c r="G275" s="91">
        <f>IF($A275="","",'Enrollment Census'!$AE266)</f>
        <v/>
      </c>
      <c r="H275" s="91">
        <f>IF($A275="","",'Enrollment Census'!$AF266)</f>
        <v/>
      </c>
      <c r="I275" s="91">
        <f>IF($A275="","",'Enrollment Census'!$AD266)</f>
        <v/>
      </c>
      <c r="J275">
        <f>IF($A275="","",'Enrollment Census'!$A266)</f>
        <v/>
      </c>
      <c r="K275">
        <f>IF($F275="FIX",ROW(),IF($F275="REVIEW",1000+ROW(),""))</f>
        <v/>
      </c>
    </row>
    <row r="276" ht="36" customHeight="1">
      <c r="A276" s="91">
        <f>IF(COUNTA('Enrollment Census'!$A267:$U267)&gt;0,267,"")</f>
        <v/>
      </c>
      <c r="B276" s="91">
        <f>IF($A276="","","Employee ending "&amp;RIGHT('Enrollment Census'!$A267&amp;"",4)&amp;IF('Enrollment Census'!$AH267&gt;0," • "&amp;'Enrollment Census'!$AH267&amp;" row"&amp;IF('Enrollment Census'!$AH267=1,"","s")&amp;" need attention",""))</f>
        <v/>
      </c>
      <c r="C276" s="91">
        <f>IF($A276="","",TRIM('Enrollment Census'!$C267&amp;" "&amp;'Enrollment Census'!$D267)&amp;" • ending "&amp;RIGHT('Enrollment Census'!$W267&amp;"",4))</f>
        <v/>
      </c>
      <c r="D276" s="91">
        <f>IF($A276="","",'Enrollment Census'!$X267)</f>
        <v/>
      </c>
      <c r="E276" s="91">
        <f>IF($A276="","",'Enrollment Census'!$S267)</f>
        <v/>
      </c>
      <c r="F276" s="91">
        <f>IF($A276="","",IF('Enrollment Census'!$AF267&lt;&gt;"","FIX",IF('Enrollment Census'!$AD267&lt;&gt;"","REVIEW","READY")))</f>
        <v/>
      </c>
      <c r="G276" s="91">
        <f>IF($A276="","",'Enrollment Census'!$AE267)</f>
        <v/>
      </c>
      <c r="H276" s="91">
        <f>IF($A276="","",'Enrollment Census'!$AF267)</f>
        <v/>
      </c>
      <c r="I276" s="91">
        <f>IF($A276="","",'Enrollment Census'!$AD267)</f>
        <v/>
      </c>
      <c r="J276">
        <f>IF($A276="","",'Enrollment Census'!$A267)</f>
        <v/>
      </c>
      <c r="K276">
        <f>IF($F276="FIX",ROW(),IF($F276="REVIEW",1000+ROW(),""))</f>
        <v/>
      </c>
    </row>
    <row r="277" ht="36" customHeight="1">
      <c r="A277" s="91">
        <f>IF(COUNTA('Enrollment Census'!$A268:$U268)&gt;0,268,"")</f>
        <v/>
      </c>
      <c r="B277" s="91">
        <f>IF($A277="","","Employee ending "&amp;RIGHT('Enrollment Census'!$A268&amp;"",4)&amp;IF('Enrollment Census'!$AH268&gt;0," • "&amp;'Enrollment Census'!$AH268&amp;" row"&amp;IF('Enrollment Census'!$AH268=1,"","s")&amp;" need attention",""))</f>
        <v/>
      </c>
      <c r="C277" s="91">
        <f>IF($A277="","",TRIM('Enrollment Census'!$C268&amp;" "&amp;'Enrollment Census'!$D268)&amp;" • ending "&amp;RIGHT('Enrollment Census'!$W268&amp;"",4))</f>
        <v/>
      </c>
      <c r="D277" s="91">
        <f>IF($A277="","",'Enrollment Census'!$X268)</f>
        <v/>
      </c>
      <c r="E277" s="91">
        <f>IF($A277="","",'Enrollment Census'!$S268)</f>
        <v/>
      </c>
      <c r="F277" s="91">
        <f>IF($A277="","",IF('Enrollment Census'!$AF268&lt;&gt;"","FIX",IF('Enrollment Census'!$AD268&lt;&gt;"","REVIEW","READY")))</f>
        <v/>
      </c>
      <c r="G277" s="91">
        <f>IF($A277="","",'Enrollment Census'!$AE268)</f>
        <v/>
      </c>
      <c r="H277" s="91">
        <f>IF($A277="","",'Enrollment Census'!$AF268)</f>
        <v/>
      </c>
      <c r="I277" s="91">
        <f>IF($A277="","",'Enrollment Census'!$AD268)</f>
        <v/>
      </c>
      <c r="J277">
        <f>IF($A277="","",'Enrollment Census'!$A268)</f>
        <v/>
      </c>
      <c r="K277">
        <f>IF($F277="FIX",ROW(),IF($F277="REVIEW",1000+ROW(),""))</f>
        <v/>
      </c>
    </row>
    <row r="278" ht="36" customHeight="1">
      <c r="A278" s="91">
        <f>IF(COUNTA('Enrollment Census'!$A269:$U269)&gt;0,269,"")</f>
        <v/>
      </c>
      <c r="B278" s="91">
        <f>IF($A278="","","Employee ending "&amp;RIGHT('Enrollment Census'!$A269&amp;"",4)&amp;IF('Enrollment Census'!$AH269&gt;0," • "&amp;'Enrollment Census'!$AH269&amp;" row"&amp;IF('Enrollment Census'!$AH269=1,"","s")&amp;" need attention",""))</f>
        <v/>
      </c>
      <c r="C278" s="91">
        <f>IF($A278="","",TRIM('Enrollment Census'!$C269&amp;" "&amp;'Enrollment Census'!$D269)&amp;" • ending "&amp;RIGHT('Enrollment Census'!$W269&amp;"",4))</f>
        <v/>
      </c>
      <c r="D278" s="91">
        <f>IF($A278="","",'Enrollment Census'!$X269)</f>
        <v/>
      </c>
      <c r="E278" s="91">
        <f>IF($A278="","",'Enrollment Census'!$S269)</f>
        <v/>
      </c>
      <c r="F278" s="91">
        <f>IF($A278="","",IF('Enrollment Census'!$AF269&lt;&gt;"","FIX",IF('Enrollment Census'!$AD269&lt;&gt;"","REVIEW","READY")))</f>
        <v/>
      </c>
      <c r="G278" s="91">
        <f>IF($A278="","",'Enrollment Census'!$AE269)</f>
        <v/>
      </c>
      <c r="H278" s="91">
        <f>IF($A278="","",'Enrollment Census'!$AF269)</f>
        <v/>
      </c>
      <c r="I278" s="91">
        <f>IF($A278="","",'Enrollment Census'!$AD269)</f>
        <v/>
      </c>
      <c r="J278">
        <f>IF($A278="","",'Enrollment Census'!$A269)</f>
        <v/>
      </c>
      <c r="K278">
        <f>IF($F278="FIX",ROW(),IF($F278="REVIEW",1000+ROW(),""))</f>
        <v/>
      </c>
    </row>
    <row r="279" ht="36" customHeight="1">
      <c r="A279" s="91">
        <f>IF(COUNTA('Enrollment Census'!$A270:$U270)&gt;0,270,"")</f>
        <v/>
      </c>
      <c r="B279" s="91">
        <f>IF($A279="","","Employee ending "&amp;RIGHT('Enrollment Census'!$A270&amp;"",4)&amp;IF('Enrollment Census'!$AH270&gt;0," • "&amp;'Enrollment Census'!$AH270&amp;" row"&amp;IF('Enrollment Census'!$AH270=1,"","s")&amp;" need attention",""))</f>
        <v/>
      </c>
      <c r="C279" s="91">
        <f>IF($A279="","",TRIM('Enrollment Census'!$C270&amp;" "&amp;'Enrollment Census'!$D270)&amp;" • ending "&amp;RIGHT('Enrollment Census'!$W270&amp;"",4))</f>
        <v/>
      </c>
      <c r="D279" s="91">
        <f>IF($A279="","",'Enrollment Census'!$X270)</f>
        <v/>
      </c>
      <c r="E279" s="91">
        <f>IF($A279="","",'Enrollment Census'!$S270)</f>
        <v/>
      </c>
      <c r="F279" s="91">
        <f>IF($A279="","",IF('Enrollment Census'!$AF270&lt;&gt;"","FIX",IF('Enrollment Census'!$AD270&lt;&gt;"","REVIEW","READY")))</f>
        <v/>
      </c>
      <c r="G279" s="91">
        <f>IF($A279="","",'Enrollment Census'!$AE270)</f>
        <v/>
      </c>
      <c r="H279" s="91">
        <f>IF($A279="","",'Enrollment Census'!$AF270)</f>
        <v/>
      </c>
      <c r="I279" s="91">
        <f>IF($A279="","",'Enrollment Census'!$AD270)</f>
        <v/>
      </c>
      <c r="J279">
        <f>IF($A279="","",'Enrollment Census'!$A270)</f>
        <v/>
      </c>
      <c r="K279">
        <f>IF($F279="FIX",ROW(),IF($F279="REVIEW",1000+ROW(),""))</f>
        <v/>
      </c>
    </row>
    <row r="280" ht="36" customHeight="1">
      <c r="A280" s="91">
        <f>IF(COUNTA('Enrollment Census'!$A271:$U271)&gt;0,271,"")</f>
        <v/>
      </c>
      <c r="B280" s="91">
        <f>IF($A280="","","Employee ending "&amp;RIGHT('Enrollment Census'!$A271&amp;"",4)&amp;IF('Enrollment Census'!$AH271&gt;0," • "&amp;'Enrollment Census'!$AH271&amp;" row"&amp;IF('Enrollment Census'!$AH271=1,"","s")&amp;" need attention",""))</f>
        <v/>
      </c>
      <c r="C280" s="91">
        <f>IF($A280="","",TRIM('Enrollment Census'!$C271&amp;" "&amp;'Enrollment Census'!$D271)&amp;" • ending "&amp;RIGHT('Enrollment Census'!$W271&amp;"",4))</f>
        <v/>
      </c>
      <c r="D280" s="91">
        <f>IF($A280="","",'Enrollment Census'!$X271)</f>
        <v/>
      </c>
      <c r="E280" s="91">
        <f>IF($A280="","",'Enrollment Census'!$S271)</f>
        <v/>
      </c>
      <c r="F280" s="91">
        <f>IF($A280="","",IF('Enrollment Census'!$AF271&lt;&gt;"","FIX",IF('Enrollment Census'!$AD271&lt;&gt;"","REVIEW","READY")))</f>
        <v/>
      </c>
      <c r="G280" s="91">
        <f>IF($A280="","",'Enrollment Census'!$AE271)</f>
        <v/>
      </c>
      <c r="H280" s="91">
        <f>IF($A280="","",'Enrollment Census'!$AF271)</f>
        <v/>
      </c>
      <c r="I280" s="91">
        <f>IF($A280="","",'Enrollment Census'!$AD271)</f>
        <v/>
      </c>
      <c r="J280">
        <f>IF($A280="","",'Enrollment Census'!$A271)</f>
        <v/>
      </c>
      <c r="K280">
        <f>IF($F280="FIX",ROW(),IF($F280="REVIEW",1000+ROW(),""))</f>
        <v/>
      </c>
    </row>
    <row r="281" ht="36" customHeight="1">
      <c r="A281" s="91">
        <f>IF(COUNTA('Enrollment Census'!$A272:$U272)&gt;0,272,"")</f>
        <v/>
      </c>
      <c r="B281" s="91">
        <f>IF($A281="","","Employee ending "&amp;RIGHT('Enrollment Census'!$A272&amp;"",4)&amp;IF('Enrollment Census'!$AH272&gt;0," • "&amp;'Enrollment Census'!$AH272&amp;" row"&amp;IF('Enrollment Census'!$AH272=1,"","s")&amp;" need attention",""))</f>
        <v/>
      </c>
      <c r="C281" s="91">
        <f>IF($A281="","",TRIM('Enrollment Census'!$C272&amp;" "&amp;'Enrollment Census'!$D272)&amp;" • ending "&amp;RIGHT('Enrollment Census'!$W272&amp;"",4))</f>
        <v/>
      </c>
      <c r="D281" s="91">
        <f>IF($A281="","",'Enrollment Census'!$X272)</f>
        <v/>
      </c>
      <c r="E281" s="91">
        <f>IF($A281="","",'Enrollment Census'!$S272)</f>
        <v/>
      </c>
      <c r="F281" s="91">
        <f>IF($A281="","",IF('Enrollment Census'!$AF272&lt;&gt;"","FIX",IF('Enrollment Census'!$AD272&lt;&gt;"","REVIEW","READY")))</f>
        <v/>
      </c>
      <c r="G281" s="91">
        <f>IF($A281="","",'Enrollment Census'!$AE272)</f>
        <v/>
      </c>
      <c r="H281" s="91">
        <f>IF($A281="","",'Enrollment Census'!$AF272)</f>
        <v/>
      </c>
      <c r="I281" s="91">
        <f>IF($A281="","",'Enrollment Census'!$AD272)</f>
        <v/>
      </c>
      <c r="J281">
        <f>IF($A281="","",'Enrollment Census'!$A272)</f>
        <v/>
      </c>
      <c r="K281">
        <f>IF($F281="FIX",ROW(),IF($F281="REVIEW",1000+ROW(),""))</f>
        <v/>
      </c>
    </row>
    <row r="282" ht="36" customHeight="1">
      <c r="A282" s="91">
        <f>IF(COUNTA('Enrollment Census'!$A273:$U273)&gt;0,273,"")</f>
        <v/>
      </c>
      <c r="B282" s="91">
        <f>IF($A282="","","Employee ending "&amp;RIGHT('Enrollment Census'!$A273&amp;"",4)&amp;IF('Enrollment Census'!$AH273&gt;0," • "&amp;'Enrollment Census'!$AH273&amp;" row"&amp;IF('Enrollment Census'!$AH273=1,"","s")&amp;" need attention",""))</f>
        <v/>
      </c>
      <c r="C282" s="91">
        <f>IF($A282="","",TRIM('Enrollment Census'!$C273&amp;" "&amp;'Enrollment Census'!$D273)&amp;" • ending "&amp;RIGHT('Enrollment Census'!$W273&amp;"",4))</f>
        <v/>
      </c>
      <c r="D282" s="91">
        <f>IF($A282="","",'Enrollment Census'!$X273)</f>
        <v/>
      </c>
      <c r="E282" s="91">
        <f>IF($A282="","",'Enrollment Census'!$S273)</f>
        <v/>
      </c>
      <c r="F282" s="91">
        <f>IF($A282="","",IF('Enrollment Census'!$AF273&lt;&gt;"","FIX",IF('Enrollment Census'!$AD273&lt;&gt;"","REVIEW","READY")))</f>
        <v/>
      </c>
      <c r="G282" s="91">
        <f>IF($A282="","",'Enrollment Census'!$AE273)</f>
        <v/>
      </c>
      <c r="H282" s="91">
        <f>IF($A282="","",'Enrollment Census'!$AF273)</f>
        <v/>
      </c>
      <c r="I282" s="91">
        <f>IF($A282="","",'Enrollment Census'!$AD273)</f>
        <v/>
      </c>
      <c r="J282">
        <f>IF($A282="","",'Enrollment Census'!$A273)</f>
        <v/>
      </c>
      <c r="K282">
        <f>IF($F282="FIX",ROW(),IF($F282="REVIEW",1000+ROW(),""))</f>
        <v/>
      </c>
    </row>
    <row r="283" ht="36" customHeight="1">
      <c r="A283" s="91">
        <f>IF(COUNTA('Enrollment Census'!$A274:$U274)&gt;0,274,"")</f>
        <v/>
      </c>
      <c r="B283" s="91">
        <f>IF($A283="","","Employee ending "&amp;RIGHT('Enrollment Census'!$A274&amp;"",4)&amp;IF('Enrollment Census'!$AH274&gt;0," • "&amp;'Enrollment Census'!$AH274&amp;" row"&amp;IF('Enrollment Census'!$AH274=1,"","s")&amp;" need attention",""))</f>
        <v/>
      </c>
      <c r="C283" s="91">
        <f>IF($A283="","",TRIM('Enrollment Census'!$C274&amp;" "&amp;'Enrollment Census'!$D274)&amp;" • ending "&amp;RIGHT('Enrollment Census'!$W274&amp;"",4))</f>
        <v/>
      </c>
      <c r="D283" s="91">
        <f>IF($A283="","",'Enrollment Census'!$X274)</f>
        <v/>
      </c>
      <c r="E283" s="91">
        <f>IF($A283="","",'Enrollment Census'!$S274)</f>
        <v/>
      </c>
      <c r="F283" s="91">
        <f>IF($A283="","",IF('Enrollment Census'!$AF274&lt;&gt;"","FIX",IF('Enrollment Census'!$AD274&lt;&gt;"","REVIEW","READY")))</f>
        <v/>
      </c>
      <c r="G283" s="91">
        <f>IF($A283="","",'Enrollment Census'!$AE274)</f>
        <v/>
      </c>
      <c r="H283" s="91">
        <f>IF($A283="","",'Enrollment Census'!$AF274)</f>
        <v/>
      </c>
      <c r="I283" s="91">
        <f>IF($A283="","",'Enrollment Census'!$AD274)</f>
        <v/>
      </c>
      <c r="J283">
        <f>IF($A283="","",'Enrollment Census'!$A274)</f>
        <v/>
      </c>
      <c r="K283">
        <f>IF($F283="FIX",ROW(),IF($F283="REVIEW",1000+ROW(),""))</f>
        <v/>
      </c>
    </row>
    <row r="284" ht="36" customHeight="1">
      <c r="A284" s="91">
        <f>IF(COUNTA('Enrollment Census'!$A275:$U275)&gt;0,275,"")</f>
        <v/>
      </c>
      <c r="B284" s="91">
        <f>IF($A284="","","Employee ending "&amp;RIGHT('Enrollment Census'!$A275&amp;"",4)&amp;IF('Enrollment Census'!$AH275&gt;0," • "&amp;'Enrollment Census'!$AH275&amp;" row"&amp;IF('Enrollment Census'!$AH275=1,"","s")&amp;" need attention",""))</f>
        <v/>
      </c>
      <c r="C284" s="91">
        <f>IF($A284="","",TRIM('Enrollment Census'!$C275&amp;" "&amp;'Enrollment Census'!$D275)&amp;" • ending "&amp;RIGHT('Enrollment Census'!$W275&amp;"",4))</f>
        <v/>
      </c>
      <c r="D284" s="91">
        <f>IF($A284="","",'Enrollment Census'!$X275)</f>
        <v/>
      </c>
      <c r="E284" s="91">
        <f>IF($A284="","",'Enrollment Census'!$S275)</f>
        <v/>
      </c>
      <c r="F284" s="91">
        <f>IF($A284="","",IF('Enrollment Census'!$AF275&lt;&gt;"","FIX",IF('Enrollment Census'!$AD275&lt;&gt;"","REVIEW","READY")))</f>
        <v/>
      </c>
      <c r="G284" s="91">
        <f>IF($A284="","",'Enrollment Census'!$AE275)</f>
        <v/>
      </c>
      <c r="H284" s="91">
        <f>IF($A284="","",'Enrollment Census'!$AF275)</f>
        <v/>
      </c>
      <c r="I284" s="91">
        <f>IF($A284="","",'Enrollment Census'!$AD275)</f>
        <v/>
      </c>
      <c r="J284">
        <f>IF($A284="","",'Enrollment Census'!$A275)</f>
        <v/>
      </c>
      <c r="K284">
        <f>IF($F284="FIX",ROW(),IF($F284="REVIEW",1000+ROW(),""))</f>
        <v/>
      </c>
    </row>
    <row r="285" ht="36" customHeight="1">
      <c r="A285" s="91">
        <f>IF(COUNTA('Enrollment Census'!$A276:$U276)&gt;0,276,"")</f>
        <v/>
      </c>
      <c r="B285" s="91">
        <f>IF($A285="","","Employee ending "&amp;RIGHT('Enrollment Census'!$A276&amp;"",4)&amp;IF('Enrollment Census'!$AH276&gt;0," • "&amp;'Enrollment Census'!$AH276&amp;" row"&amp;IF('Enrollment Census'!$AH276=1,"","s")&amp;" need attention",""))</f>
        <v/>
      </c>
      <c r="C285" s="91">
        <f>IF($A285="","",TRIM('Enrollment Census'!$C276&amp;" "&amp;'Enrollment Census'!$D276)&amp;" • ending "&amp;RIGHT('Enrollment Census'!$W276&amp;"",4))</f>
        <v/>
      </c>
      <c r="D285" s="91">
        <f>IF($A285="","",'Enrollment Census'!$X276)</f>
        <v/>
      </c>
      <c r="E285" s="91">
        <f>IF($A285="","",'Enrollment Census'!$S276)</f>
        <v/>
      </c>
      <c r="F285" s="91">
        <f>IF($A285="","",IF('Enrollment Census'!$AF276&lt;&gt;"","FIX",IF('Enrollment Census'!$AD276&lt;&gt;"","REVIEW","READY")))</f>
        <v/>
      </c>
      <c r="G285" s="91">
        <f>IF($A285="","",'Enrollment Census'!$AE276)</f>
        <v/>
      </c>
      <c r="H285" s="91">
        <f>IF($A285="","",'Enrollment Census'!$AF276)</f>
        <v/>
      </c>
      <c r="I285" s="91">
        <f>IF($A285="","",'Enrollment Census'!$AD276)</f>
        <v/>
      </c>
      <c r="J285">
        <f>IF($A285="","",'Enrollment Census'!$A276)</f>
        <v/>
      </c>
      <c r="K285">
        <f>IF($F285="FIX",ROW(),IF($F285="REVIEW",1000+ROW(),""))</f>
        <v/>
      </c>
    </row>
    <row r="286" ht="36" customHeight="1">
      <c r="A286" s="91">
        <f>IF(COUNTA('Enrollment Census'!$A277:$U277)&gt;0,277,"")</f>
        <v/>
      </c>
      <c r="B286" s="91">
        <f>IF($A286="","","Employee ending "&amp;RIGHT('Enrollment Census'!$A277&amp;"",4)&amp;IF('Enrollment Census'!$AH277&gt;0," • "&amp;'Enrollment Census'!$AH277&amp;" row"&amp;IF('Enrollment Census'!$AH277=1,"","s")&amp;" need attention",""))</f>
        <v/>
      </c>
      <c r="C286" s="91">
        <f>IF($A286="","",TRIM('Enrollment Census'!$C277&amp;" "&amp;'Enrollment Census'!$D277)&amp;" • ending "&amp;RIGHT('Enrollment Census'!$W277&amp;"",4))</f>
        <v/>
      </c>
      <c r="D286" s="91">
        <f>IF($A286="","",'Enrollment Census'!$X277)</f>
        <v/>
      </c>
      <c r="E286" s="91">
        <f>IF($A286="","",'Enrollment Census'!$S277)</f>
        <v/>
      </c>
      <c r="F286" s="91">
        <f>IF($A286="","",IF('Enrollment Census'!$AF277&lt;&gt;"","FIX",IF('Enrollment Census'!$AD277&lt;&gt;"","REVIEW","READY")))</f>
        <v/>
      </c>
      <c r="G286" s="91">
        <f>IF($A286="","",'Enrollment Census'!$AE277)</f>
        <v/>
      </c>
      <c r="H286" s="91">
        <f>IF($A286="","",'Enrollment Census'!$AF277)</f>
        <v/>
      </c>
      <c r="I286" s="91">
        <f>IF($A286="","",'Enrollment Census'!$AD277)</f>
        <v/>
      </c>
      <c r="J286">
        <f>IF($A286="","",'Enrollment Census'!$A277)</f>
        <v/>
      </c>
      <c r="K286">
        <f>IF($F286="FIX",ROW(),IF($F286="REVIEW",1000+ROW(),""))</f>
        <v/>
      </c>
    </row>
    <row r="287" ht="36" customHeight="1">
      <c r="A287" s="91">
        <f>IF(COUNTA('Enrollment Census'!$A278:$U278)&gt;0,278,"")</f>
        <v/>
      </c>
      <c r="B287" s="91">
        <f>IF($A287="","","Employee ending "&amp;RIGHT('Enrollment Census'!$A278&amp;"",4)&amp;IF('Enrollment Census'!$AH278&gt;0," • "&amp;'Enrollment Census'!$AH278&amp;" row"&amp;IF('Enrollment Census'!$AH278=1,"","s")&amp;" need attention",""))</f>
        <v/>
      </c>
      <c r="C287" s="91">
        <f>IF($A287="","",TRIM('Enrollment Census'!$C278&amp;" "&amp;'Enrollment Census'!$D278)&amp;" • ending "&amp;RIGHT('Enrollment Census'!$W278&amp;"",4))</f>
        <v/>
      </c>
      <c r="D287" s="91">
        <f>IF($A287="","",'Enrollment Census'!$X278)</f>
        <v/>
      </c>
      <c r="E287" s="91">
        <f>IF($A287="","",'Enrollment Census'!$S278)</f>
        <v/>
      </c>
      <c r="F287" s="91">
        <f>IF($A287="","",IF('Enrollment Census'!$AF278&lt;&gt;"","FIX",IF('Enrollment Census'!$AD278&lt;&gt;"","REVIEW","READY")))</f>
        <v/>
      </c>
      <c r="G287" s="91">
        <f>IF($A287="","",'Enrollment Census'!$AE278)</f>
        <v/>
      </c>
      <c r="H287" s="91">
        <f>IF($A287="","",'Enrollment Census'!$AF278)</f>
        <v/>
      </c>
      <c r="I287" s="91">
        <f>IF($A287="","",'Enrollment Census'!$AD278)</f>
        <v/>
      </c>
      <c r="J287">
        <f>IF($A287="","",'Enrollment Census'!$A278)</f>
        <v/>
      </c>
      <c r="K287">
        <f>IF($F287="FIX",ROW(),IF($F287="REVIEW",1000+ROW(),""))</f>
        <v/>
      </c>
    </row>
    <row r="288" ht="36" customHeight="1">
      <c r="A288" s="91">
        <f>IF(COUNTA('Enrollment Census'!$A279:$U279)&gt;0,279,"")</f>
        <v/>
      </c>
      <c r="B288" s="91">
        <f>IF($A288="","","Employee ending "&amp;RIGHT('Enrollment Census'!$A279&amp;"",4)&amp;IF('Enrollment Census'!$AH279&gt;0," • "&amp;'Enrollment Census'!$AH279&amp;" row"&amp;IF('Enrollment Census'!$AH279=1,"","s")&amp;" need attention",""))</f>
        <v/>
      </c>
      <c r="C288" s="91">
        <f>IF($A288="","",TRIM('Enrollment Census'!$C279&amp;" "&amp;'Enrollment Census'!$D279)&amp;" • ending "&amp;RIGHT('Enrollment Census'!$W279&amp;"",4))</f>
        <v/>
      </c>
      <c r="D288" s="91">
        <f>IF($A288="","",'Enrollment Census'!$X279)</f>
        <v/>
      </c>
      <c r="E288" s="91">
        <f>IF($A288="","",'Enrollment Census'!$S279)</f>
        <v/>
      </c>
      <c r="F288" s="91">
        <f>IF($A288="","",IF('Enrollment Census'!$AF279&lt;&gt;"","FIX",IF('Enrollment Census'!$AD279&lt;&gt;"","REVIEW","READY")))</f>
        <v/>
      </c>
      <c r="G288" s="91">
        <f>IF($A288="","",'Enrollment Census'!$AE279)</f>
        <v/>
      </c>
      <c r="H288" s="91">
        <f>IF($A288="","",'Enrollment Census'!$AF279)</f>
        <v/>
      </c>
      <c r="I288" s="91">
        <f>IF($A288="","",'Enrollment Census'!$AD279)</f>
        <v/>
      </c>
      <c r="J288">
        <f>IF($A288="","",'Enrollment Census'!$A279)</f>
        <v/>
      </c>
      <c r="K288">
        <f>IF($F288="FIX",ROW(),IF($F288="REVIEW",1000+ROW(),""))</f>
        <v/>
      </c>
    </row>
    <row r="289" ht="36" customHeight="1">
      <c r="A289" s="91">
        <f>IF(COUNTA('Enrollment Census'!$A280:$U280)&gt;0,280,"")</f>
        <v/>
      </c>
      <c r="B289" s="91">
        <f>IF($A289="","","Employee ending "&amp;RIGHT('Enrollment Census'!$A280&amp;"",4)&amp;IF('Enrollment Census'!$AH280&gt;0," • "&amp;'Enrollment Census'!$AH280&amp;" row"&amp;IF('Enrollment Census'!$AH280=1,"","s")&amp;" need attention",""))</f>
        <v/>
      </c>
      <c r="C289" s="91">
        <f>IF($A289="","",TRIM('Enrollment Census'!$C280&amp;" "&amp;'Enrollment Census'!$D280)&amp;" • ending "&amp;RIGHT('Enrollment Census'!$W280&amp;"",4))</f>
        <v/>
      </c>
      <c r="D289" s="91">
        <f>IF($A289="","",'Enrollment Census'!$X280)</f>
        <v/>
      </c>
      <c r="E289" s="91">
        <f>IF($A289="","",'Enrollment Census'!$S280)</f>
        <v/>
      </c>
      <c r="F289" s="91">
        <f>IF($A289="","",IF('Enrollment Census'!$AF280&lt;&gt;"","FIX",IF('Enrollment Census'!$AD280&lt;&gt;"","REVIEW","READY")))</f>
        <v/>
      </c>
      <c r="G289" s="91">
        <f>IF($A289="","",'Enrollment Census'!$AE280)</f>
        <v/>
      </c>
      <c r="H289" s="91">
        <f>IF($A289="","",'Enrollment Census'!$AF280)</f>
        <v/>
      </c>
      <c r="I289" s="91">
        <f>IF($A289="","",'Enrollment Census'!$AD280)</f>
        <v/>
      </c>
      <c r="J289">
        <f>IF($A289="","",'Enrollment Census'!$A280)</f>
        <v/>
      </c>
      <c r="K289">
        <f>IF($F289="FIX",ROW(),IF($F289="REVIEW",1000+ROW(),""))</f>
        <v/>
      </c>
    </row>
    <row r="290" ht="36" customHeight="1">
      <c r="A290" s="91">
        <f>IF(COUNTA('Enrollment Census'!$A281:$U281)&gt;0,281,"")</f>
        <v/>
      </c>
      <c r="B290" s="91">
        <f>IF($A290="","","Employee ending "&amp;RIGHT('Enrollment Census'!$A281&amp;"",4)&amp;IF('Enrollment Census'!$AH281&gt;0," • "&amp;'Enrollment Census'!$AH281&amp;" row"&amp;IF('Enrollment Census'!$AH281=1,"","s")&amp;" need attention",""))</f>
        <v/>
      </c>
      <c r="C290" s="91">
        <f>IF($A290="","",TRIM('Enrollment Census'!$C281&amp;" "&amp;'Enrollment Census'!$D281)&amp;" • ending "&amp;RIGHT('Enrollment Census'!$W281&amp;"",4))</f>
        <v/>
      </c>
      <c r="D290" s="91">
        <f>IF($A290="","",'Enrollment Census'!$X281)</f>
        <v/>
      </c>
      <c r="E290" s="91">
        <f>IF($A290="","",'Enrollment Census'!$S281)</f>
        <v/>
      </c>
      <c r="F290" s="91">
        <f>IF($A290="","",IF('Enrollment Census'!$AF281&lt;&gt;"","FIX",IF('Enrollment Census'!$AD281&lt;&gt;"","REVIEW","READY")))</f>
        <v/>
      </c>
      <c r="G290" s="91">
        <f>IF($A290="","",'Enrollment Census'!$AE281)</f>
        <v/>
      </c>
      <c r="H290" s="91">
        <f>IF($A290="","",'Enrollment Census'!$AF281)</f>
        <v/>
      </c>
      <c r="I290" s="91">
        <f>IF($A290="","",'Enrollment Census'!$AD281)</f>
        <v/>
      </c>
      <c r="J290">
        <f>IF($A290="","",'Enrollment Census'!$A281)</f>
        <v/>
      </c>
      <c r="K290">
        <f>IF($F290="FIX",ROW(),IF($F290="REVIEW",1000+ROW(),""))</f>
        <v/>
      </c>
    </row>
    <row r="291" ht="36" customHeight="1">
      <c r="A291" s="91">
        <f>IF(COUNTA('Enrollment Census'!$A282:$U282)&gt;0,282,"")</f>
        <v/>
      </c>
      <c r="B291" s="91">
        <f>IF($A291="","","Employee ending "&amp;RIGHT('Enrollment Census'!$A282&amp;"",4)&amp;IF('Enrollment Census'!$AH282&gt;0," • "&amp;'Enrollment Census'!$AH282&amp;" row"&amp;IF('Enrollment Census'!$AH282=1,"","s")&amp;" need attention",""))</f>
        <v/>
      </c>
      <c r="C291" s="91">
        <f>IF($A291="","",TRIM('Enrollment Census'!$C282&amp;" "&amp;'Enrollment Census'!$D282)&amp;" • ending "&amp;RIGHT('Enrollment Census'!$W282&amp;"",4))</f>
        <v/>
      </c>
      <c r="D291" s="91">
        <f>IF($A291="","",'Enrollment Census'!$X282)</f>
        <v/>
      </c>
      <c r="E291" s="91">
        <f>IF($A291="","",'Enrollment Census'!$S282)</f>
        <v/>
      </c>
      <c r="F291" s="91">
        <f>IF($A291="","",IF('Enrollment Census'!$AF282&lt;&gt;"","FIX",IF('Enrollment Census'!$AD282&lt;&gt;"","REVIEW","READY")))</f>
        <v/>
      </c>
      <c r="G291" s="91">
        <f>IF($A291="","",'Enrollment Census'!$AE282)</f>
        <v/>
      </c>
      <c r="H291" s="91">
        <f>IF($A291="","",'Enrollment Census'!$AF282)</f>
        <v/>
      </c>
      <c r="I291" s="91">
        <f>IF($A291="","",'Enrollment Census'!$AD282)</f>
        <v/>
      </c>
      <c r="J291">
        <f>IF($A291="","",'Enrollment Census'!$A282)</f>
        <v/>
      </c>
      <c r="K291">
        <f>IF($F291="FIX",ROW(),IF($F291="REVIEW",1000+ROW(),""))</f>
        <v/>
      </c>
    </row>
    <row r="292" ht="36" customHeight="1">
      <c r="A292" s="91">
        <f>IF(COUNTA('Enrollment Census'!$A283:$U283)&gt;0,283,"")</f>
        <v/>
      </c>
      <c r="B292" s="91">
        <f>IF($A292="","","Employee ending "&amp;RIGHT('Enrollment Census'!$A283&amp;"",4)&amp;IF('Enrollment Census'!$AH283&gt;0," • "&amp;'Enrollment Census'!$AH283&amp;" row"&amp;IF('Enrollment Census'!$AH283=1,"","s")&amp;" need attention",""))</f>
        <v/>
      </c>
      <c r="C292" s="91">
        <f>IF($A292="","",TRIM('Enrollment Census'!$C283&amp;" "&amp;'Enrollment Census'!$D283)&amp;" • ending "&amp;RIGHT('Enrollment Census'!$W283&amp;"",4))</f>
        <v/>
      </c>
      <c r="D292" s="91">
        <f>IF($A292="","",'Enrollment Census'!$X283)</f>
        <v/>
      </c>
      <c r="E292" s="91">
        <f>IF($A292="","",'Enrollment Census'!$S283)</f>
        <v/>
      </c>
      <c r="F292" s="91">
        <f>IF($A292="","",IF('Enrollment Census'!$AF283&lt;&gt;"","FIX",IF('Enrollment Census'!$AD283&lt;&gt;"","REVIEW","READY")))</f>
        <v/>
      </c>
      <c r="G292" s="91">
        <f>IF($A292="","",'Enrollment Census'!$AE283)</f>
        <v/>
      </c>
      <c r="H292" s="91">
        <f>IF($A292="","",'Enrollment Census'!$AF283)</f>
        <v/>
      </c>
      <c r="I292" s="91">
        <f>IF($A292="","",'Enrollment Census'!$AD283)</f>
        <v/>
      </c>
      <c r="J292">
        <f>IF($A292="","",'Enrollment Census'!$A283)</f>
        <v/>
      </c>
      <c r="K292">
        <f>IF($F292="FIX",ROW(),IF($F292="REVIEW",1000+ROW(),""))</f>
        <v/>
      </c>
    </row>
    <row r="293" ht="36" customHeight="1">
      <c r="A293" s="91">
        <f>IF(COUNTA('Enrollment Census'!$A284:$U284)&gt;0,284,"")</f>
        <v/>
      </c>
      <c r="B293" s="91">
        <f>IF($A293="","","Employee ending "&amp;RIGHT('Enrollment Census'!$A284&amp;"",4)&amp;IF('Enrollment Census'!$AH284&gt;0," • "&amp;'Enrollment Census'!$AH284&amp;" row"&amp;IF('Enrollment Census'!$AH284=1,"","s")&amp;" need attention",""))</f>
        <v/>
      </c>
      <c r="C293" s="91">
        <f>IF($A293="","",TRIM('Enrollment Census'!$C284&amp;" "&amp;'Enrollment Census'!$D284)&amp;" • ending "&amp;RIGHT('Enrollment Census'!$W284&amp;"",4))</f>
        <v/>
      </c>
      <c r="D293" s="91">
        <f>IF($A293="","",'Enrollment Census'!$X284)</f>
        <v/>
      </c>
      <c r="E293" s="91">
        <f>IF($A293="","",'Enrollment Census'!$S284)</f>
        <v/>
      </c>
      <c r="F293" s="91">
        <f>IF($A293="","",IF('Enrollment Census'!$AF284&lt;&gt;"","FIX",IF('Enrollment Census'!$AD284&lt;&gt;"","REVIEW","READY")))</f>
        <v/>
      </c>
      <c r="G293" s="91">
        <f>IF($A293="","",'Enrollment Census'!$AE284)</f>
        <v/>
      </c>
      <c r="H293" s="91">
        <f>IF($A293="","",'Enrollment Census'!$AF284)</f>
        <v/>
      </c>
      <c r="I293" s="91">
        <f>IF($A293="","",'Enrollment Census'!$AD284)</f>
        <v/>
      </c>
      <c r="J293">
        <f>IF($A293="","",'Enrollment Census'!$A284)</f>
        <v/>
      </c>
      <c r="K293">
        <f>IF($F293="FIX",ROW(),IF($F293="REVIEW",1000+ROW(),""))</f>
        <v/>
      </c>
    </row>
    <row r="294" ht="36" customHeight="1">
      <c r="A294" s="91">
        <f>IF(COUNTA('Enrollment Census'!$A285:$U285)&gt;0,285,"")</f>
        <v/>
      </c>
      <c r="B294" s="91">
        <f>IF($A294="","","Employee ending "&amp;RIGHT('Enrollment Census'!$A285&amp;"",4)&amp;IF('Enrollment Census'!$AH285&gt;0," • "&amp;'Enrollment Census'!$AH285&amp;" row"&amp;IF('Enrollment Census'!$AH285=1,"","s")&amp;" need attention",""))</f>
        <v/>
      </c>
      <c r="C294" s="91">
        <f>IF($A294="","",TRIM('Enrollment Census'!$C285&amp;" "&amp;'Enrollment Census'!$D285)&amp;" • ending "&amp;RIGHT('Enrollment Census'!$W285&amp;"",4))</f>
        <v/>
      </c>
      <c r="D294" s="91">
        <f>IF($A294="","",'Enrollment Census'!$X285)</f>
        <v/>
      </c>
      <c r="E294" s="91">
        <f>IF($A294="","",'Enrollment Census'!$S285)</f>
        <v/>
      </c>
      <c r="F294" s="91">
        <f>IF($A294="","",IF('Enrollment Census'!$AF285&lt;&gt;"","FIX",IF('Enrollment Census'!$AD285&lt;&gt;"","REVIEW","READY")))</f>
        <v/>
      </c>
      <c r="G294" s="91">
        <f>IF($A294="","",'Enrollment Census'!$AE285)</f>
        <v/>
      </c>
      <c r="H294" s="91">
        <f>IF($A294="","",'Enrollment Census'!$AF285)</f>
        <v/>
      </c>
      <c r="I294" s="91">
        <f>IF($A294="","",'Enrollment Census'!$AD285)</f>
        <v/>
      </c>
      <c r="J294">
        <f>IF($A294="","",'Enrollment Census'!$A285)</f>
        <v/>
      </c>
      <c r="K294">
        <f>IF($F294="FIX",ROW(),IF($F294="REVIEW",1000+ROW(),""))</f>
        <v/>
      </c>
    </row>
    <row r="295" ht="36" customHeight="1">
      <c r="A295" s="91">
        <f>IF(COUNTA('Enrollment Census'!$A286:$U286)&gt;0,286,"")</f>
        <v/>
      </c>
      <c r="B295" s="91">
        <f>IF($A295="","","Employee ending "&amp;RIGHT('Enrollment Census'!$A286&amp;"",4)&amp;IF('Enrollment Census'!$AH286&gt;0," • "&amp;'Enrollment Census'!$AH286&amp;" row"&amp;IF('Enrollment Census'!$AH286=1,"","s")&amp;" need attention",""))</f>
        <v/>
      </c>
      <c r="C295" s="91">
        <f>IF($A295="","",TRIM('Enrollment Census'!$C286&amp;" "&amp;'Enrollment Census'!$D286)&amp;" • ending "&amp;RIGHT('Enrollment Census'!$W286&amp;"",4))</f>
        <v/>
      </c>
      <c r="D295" s="91">
        <f>IF($A295="","",'Enrollment Census'!$X286)</f>
        <v/>
      </c>
      <c r="E295" s="91">
        <f>IF($A295="","",'Enrollment Census'!$S286)</f>
        <v/>
      </c>
      <c r="F295" s="91">
        <f>IF($A295="","",IF('Enrollment Census'!$AF286&lt;&gt;"","FIX",IF('Enrollment Census'!$AD286&lt;&gt;"","REVIEW","READY")))</f>
        <v/>
      </c>
      <c r="G295" s="91">
        <f>IF($A295="","",'Enrollment Census'!$AE286)</f>
        <v/>
      </c>
      <c r="H295" s="91">
        <f>IF($A295="","",'Enrollment Census'!$AF286)</f>
        <v/>
      </c>
      <c r="I295" s="91">
        <f>IF($A295="","",'Enrollment Census'!$AD286)</f>
        <v/>
      </c>
      <c r="J295">
        <f>IF($A295="","",'Enrollment Census'!$A286)</f>
        <v/>
      </c>
      <c r="K295">
        <f>IF($F295="FIX",ROW(),IF($F295="REVIEW",1000+ROW(),""))</f>
        <v/>
      </c>
    </row>
    <row r="296" ht="36" customHeight="1">
      <c r="A296" s="91">
        <f>IF(COUNTA('Enrollment Census'!$A287:$U287)&gt;0,287,"")</f>
        <v/>
      </c>
      <c r="B296" s="91">
        <f>IF($A296="","","Employee ending "&amp;RIGHT('Enrollment Census'!$A287&amp;"",4)&amp;IF('Enrollment Census'!$AH287&gt;0," • "&amp;'Enrollment Census'!$AH287&amp;" row"&amp;IF('Enrollment Census'!$AH287=1,"","s")&amp;" need attention",""))</f>
        <v/>
      </c>
      <c r="C296" s="91">
        <f>IF($A296="","",TRIM('Enrollment Census'!$C287&amp;" "&amp;'Enrollment Census'!$D287)&amp;" • ending "&amp;RIGHT('Enrollment Census'!$W287&amp;"",4))</f>
        <v/>
      </c>
      <c r="D296" s="91">
        <f>IF($A296="","",'Enrollment Census'!$X287)</f>
        <v/>
      </c>
      <c r="E296" s="91">
        <f>IF($A296="","",'Enrollment Census'!$S287)</f>
        <v/>
      </c>
      <c r="F296" s="91">
        <f>IF($A296="","",IF('Enrollment Census'!$AF287&lt;&gt;"","FIX",IF('Enrollment Census'!$AD287&lt;&gt;"","REVIEW","READY")))</f>
        <v/>
      </c>
      <c r="G296" s="91">
        <f>IF($A296="","",'Enrollment Census'!$AE287)</f>
        <v/>
      </c>
      <c r="H296" s="91">
        <f>IF($A296="","",'Enrollment Census'!$AF287)</f>
        <v/>
      </c>
      <c r="I296" s="91">
        <f>IF($A296="","",'Enrollment Census'!$AD287)</f>
        <v/>
      </c>
      <c r="J296">
        <f>IF($A296="","",'Enrollment Census'!$A287)</f>
        <v/>
      </c>
      <c r="K296">
        <f>IF($F296="FIX",ROW(),IF($F296="REVIEW",1000+ROW(),""))</f>
        <v/>
      </c>
    </row>
    <row r="297" ht="36" customHeight="1">
      <c r="A297" s="91">
        <f>IF(COUNTA('Enrollment Census'!$A288:$U288)&gt;0,288,"")</f>
        <v/>
      </c>
      <c r="B297" s="91">
        <f>IF($A297="","","Employee ending "&amp;RIGHT('Enrollment Census'!$A288&amp;"",4)&amp;IF('Enrollment Census'!$AH288&gt;0," • "&amp;'Enrollment Census'!$AH288&amp;" row"&amp;IF('Enrollment Census'!$AH288=1,"","s")&amp;" need attention",""))</f>
        <v/>
      </c>
      <c r="C297" s="91">
        <f>IF($A297="","",TRIM('Enrollment Census'!$C288&amp;" "&amp;'Enrollment Census'!$D288)&amp;" • ending "&amp;RIGHT('Enrollment Census'!$W288&amp;"",4))</f>
        <v/>
      </c>
      <c r="D297" s="91">
        <f>IF($A297="","",'Enrollment Census'!$X288)</f>
        <v/>
      </c>
      <c r="E297" s="91">
        <f>IF($A297="","",'Enrollment Census'!$S288)</f>
        <v/>
      </c>
      <c r="F297" s="91">
        <f>IF($A297="","",IF('Enrollment Census'!$AF288&lt;&gt;"","FIX",IF('Enrollment Census'!$AD288&lt;&gt;"","REVIEW","READY")))</f>
        <v/>
      </c>
      <c r="G297" s="91">
        <f>IF($A297="","",'Enrollment Census'!$AE288)</f>
        <v/>
      </c>
      <c r="H297" s="91">
        <f>IF($A297="","",'Enrollment Census'!$AF288)</f>
        <v/>
      </c>
      <c r="I297" s="91">
        <f>IF($A297="","",'Enrollment Census'!$AD288)</f>
        <v/>
      </c>
      <c r="J297">
        <f>IF($A297="","",'Enrollment Census'!$A288)</f>
        <v/>
      </c>
      <c r="K297">
        <f>IF($F297="FIX",ROW(),IF($F297="REVIEW",1000+ROW(),""))</f>
        <v/>
      </c>
    </row>
    <row r="298" ht="36" customHeight="1">
      <c r="A298" s="91">
        <f>IF(COUNTA('Enrollment Census'!$A289:$U289)&gt;0,289,"")</f>
        <v/>
      </c>
      <c r="B298" s="91">
        <f>IF($A298="","","Employee ending "&amp;RIGHT('Enrollment Census'!$A289&amp;"",4)&amp;IF('Enrollment Census'!$AH289&gt;0," • "&amp;'Enrollment Census'!$AH289&amp;" row"&amp;IF('Enrollment Census'!$AH289=1,"","s")&amp;" need attention",""))</f>
        <v/>
      </c>
      <c r="C298" s="91">
        <f>IF($A298="","",TRIM('Enrollment Census'!$C289&amp;" "&amp;'Enrollment Census'!$D289)&amp;" • ending "&amp;RIGHT('Enrollment Census'!$W289&amp;"",4))</f>
        <v/>
      </c>
      <c r="D298" s="91">
        <f>IF($A298="","",'Enrollment Census'!$X289)</f>
        <v/>
      </c>
      <c r="E298" s="91">
        <f>IF($A298="","",'Enrollment Census'!$S289)</f>
        <v/>
      </c>
      <c r="F298" s="91">
        <f>IF($A298="","",IF('Enrollment Census'!$AF289&lt;&gt;"","FIX",IF('Enrollment Census'!$AD289&lt;&gt;"","REVIEW","READY")))</f>
        <v/>
      </c>
      <c r="G298" s="91">
        <f>IF($A298="","",'Enrollment Census'!$AE289)</f>
        <v/>
      </c>
      <c r="H298" s="91">
        <f>IF($A298="","",'Enrollment Census'!$AF289)</f>
        <v/>
      </c>
      <c r="I298" s="91">
        <f>IF($A298="","",'Enrollment Census'!$AD289)</f>
        <v/>
      </c>
      <c r="J298">
        <f>IF($A298="","",'Enrollment Census'!$A289)</f>
        <v/>
      </c>
      <c r="K298">
        <f>IF($F298="FIX",ROW(),IF($F298="REVIEW",1000+ROW(),""))</f>
        <v/>
      </c>
    </row>
    <row r="299" ht="36" customHeight="1">
      <c r="A299" s="91">
        <f>IF(COUNTA('Enrollment Census'!$A290:$U290)&gt;0,290,"")</f>
        <v/>
      </c>
      <c r="B299" s="91">
        <f>IF($A299="","","Employee ending "&amp;RIGHT('Enrollment Census'!$A290&amp;"",4)&amp;IF('Enrollment Census'!$AH290&gt;0," • "&amp;'Enrollment Census'!$AH290&amp;" row"&amp;IF('Enrollment Census'!$AH290=1,"","s")&amp;" need attention",""))</f>
        <v/>
      </c>
      <c r="C299" s="91">
        <f>IF($A299="","",TRIM('Enrollment Census'!$C290&amp;" "&amp;'Enrollment Census'!$D290)&amp;" • ending "&amp;RIGHT('Enrollment Census'!$W290&amp;"",4))</f>
        <v/>
      </c>
      <c r="D299" s="91">
        <f>IF($A299="","",'Enrollment Census'!$X290)</f>
        <v/>
      </c>
      <c r="E299" s="91">
        <f>IF($A299="","",'Enrollment Census'!$S290)</f>
        <v/>
      </c>
      <c r="F299" s="91">
        <f>IF($A299="","",IF('Enrollment Census'!$AF290&lt;&gt;"","FIX",IF('Enrollment Census'!$AD290&lt;&gt;"","REVIEW","READY")))</f>
        <v/>
      </c>
      <c r="G299" s="91">
        <f>IF($A299="","",'Enrollment Census'!$AE290)</f>
        <v/>
      </c>
      <c r="H299" s="91">
        <f>IF($A299="","",'Enrollment Census'!$AF290)</f>
        <v/>
      </c>
      <c r="I299" s="91">
        <f>IF($A299="","",'Enrollment Census'!$AD290)</f>
        <v/>
      </c>
      <c r="J299">
        <f>IF($A299="","",'Enrollment Census'!$A290)</f>
        <v/>
      </c>
      <c r="K299">
        <f>IF($F299="FIX",ROW(),IF($F299="REVIEW",1000+ROW(),""))</f>
        <v/>
      </c>
    </row>
    <row r="300" ht="36" customHeight="1">
      <c r="A300" s="91">
        <f>IF(COUNTA('Enrollment Census'!$A291:$U291)&gt;0,291,"")</f>
        <v/>
      </c>
      <c r="B300" s="91">
        <f>IF($A300="","","Employee ending "&amp;RIGHT('Enrollment Census'!$A291&amp;"",4)&amp;IF('Enrollment Census'!$AH291&gt;0," • "&amp;'Enrollment Census'!$AH291&amp;" row"&amp;IF('Enrollment Census'!$AH291=1,"","s")&amp;" need attention",""))</f>
        <v/>
      </c>
      <c r="C300" s="91">
        <f>IF($A300="","",TRIM('Enrollment Census'!$C291&amp;" "&amp;'Enrollment Census'!$D291)&amp;" • ending "&amp;RIGHT('Enrollment Census'!$W291&amp;"",4))</f>
        <v/>
      </c>
      <c r="D300" s="91">
        <f>IF($A300="","",'Enrollment Census'!$X291)</f>
        <v/>
      </c>
      <c r="E300" s="91">
        <f>IF($A300="","",'Enrollment Census'!$S291)</f>
        <v/>
      </c>
      <c r="F300" s="91">
        <f>IF($A300="","",IF('Enrollment Census'!$AF291&lt;&gt;"","FIX",IF('Enrollment Census'!$AD291&lt;&gt;"","REVIEW","READY")))</f>
        <v/>
      </c>
      <c r="G300" s="91">
        <f>IF($A300="","",'Enrollment Census'!$AE291)</f>
        <v/>
      </c>
      <c r="H300" s="91">
        <f>IF($A300="","",'Enrollment Census'!$AF291)</f>
        <v/>
      </c>
      <c r="I300" s="91">
        <f>IF($A300="","",'Enrollment Census'!$AD291)</f>
        <v/>
      </c>
      <c r="J300">
        <f>IF($A300="","",'Enrollment Census'!$A291)</f>
        <v/>
      </c>
      <c r="K300">
        <f>IF($F300="FIX",ROW(),IF($F300="REVIEW",1000+ROW(),""))</f>
        <v/>
      </c>
    </row>
    <row r="301" ht="36" customHeight="1">
      <c r="A301" s="91">
        <f>IF(COUNTA('Enrollment Census'!$A292:$U292)&gt;0,292,"")</f>
        <v/>
      </c>
      <c r="B301" s="91">
        <f>IF($A301="","","Employee ending "&amp;RIGHT('Enrollment Census'!$A292&amp;"",4)&amp;IF('Enrollment Census'!$AH292&gt;0," • "&amp;'Enrollment Census'!$AH292&amp;" row"&amp;IF('Enrollment Census'!$AH292=1,"","s")&amp;" need attention",""))</f>
        <v/>
      </c>
      <c r="C301" s="91">
        <f>IF($A301="","",TRIM('Enrollment Census'!$C292&amp;" "&amp;'Enrollment Census'!$D292)&amp;" • ending "&amp;RIGHT('Enrollment Census'!$W292&amp;"",4))</f>
        <v/>
      </c>
      <c r="D301" s="91">
        <f>IF($A301="","",'Enrollment Census'!$X292)</f>
        <v/>
      </c>
      <c r="E301" s="91">
        <f>IF($A301="","",'Enrollment Census'!$S292)</f>
        <v/>
      </c>
      <c r="F301" s="91">
        <f>IF($A301="","",IF('Enrollment Census'!$AF292&lt;&gt;"","FIX",IF('Enrollment Census'!$AD292&lt;&gt;"","REVIEW","READY")))</f>
        <v/>
      </c>
      <c r="G301" s="91">
        <f>IF($A301="","",'Enrollment Census'!$AE292)</f>
        <v/>
      </c>
      <c r="H301" s="91">
        <f>IF($A301="","",'Enrollment Census'!$AF292)</f>
        <v/>
      </c>
      <c r="I301" s="91">
        <f>IF($A301="","",'Enrollment Census'!$AD292)</f>
        <v/>
      </c>
      <c r="J301">
        <f>IF($A301="","",'Enrollment Census'!$A292)</f>
        <v/>
      </c>
      <c r="K301">
        <f>IF($F301="FIX",ROW(),IF($F301="REVIEW",1000+ROW(),""))</f>
        <v/>
      </c>
    </row>
    <row r="302" ht="36" customHeight="1">
      <c r="A302" s="91">
        <f>IF(COUNTA('Enrollment Census'!$A293:$U293)&gt;0,293,"")</f>
        <v/>
      </c>
      <c r="B302" s="91">
        <f>IF($A302="","","Employee ending "&amp;RIGHT('Enrollment Census'!$A293&amp;"",4)&amp;IF('Enrollment Census'!$AH293&gt;0," • "&amp;'Enrollment Census'!$AH293&amp;" row"&amp;IF('Enrollment Census'!$AH293=1,"","s")&amp;" need attention",""))</f>
        <v/>
      </c>
      <c r="C302" s="91">
        <f>IF($A302="","",TRIM('Enrollment Census'!$C293&amp;" "&amp;'Enrollment Census'!$D293)&amp;" • ending "&amp;RIGHT('Enrollment Census'!$W293&amp;"",4))</f>
        <v/>
      </c>
      <c r="D302" s="91">
        <f>IF($A302="","",'Enrollment Census'!$X293)</f>
        <v/>
      </c>
      <c r="E302" s="91">
        <f>IF($A302="","",'Enrollment Census'!$S293)</f>
        <v/>
      </c>
      <c r="F302" s="91">
        <f>IF($A302="","",IF('Enrollment Census'!$AF293&lt;&gt;"","FIX",IF('Enrollment Census'!$AD293&lt;&gt;"","REVIEW","READY")))</f>
        <v/>
      </c>
      <c r="G302" s="91">
        <f>IF($A302="","",'Enrollment Census'!$AE293)</f>
        <v/>
      </c>
      <c r="H302" s="91">
        <f>IF($A302="","",'Enrollment Census'!$AF293)</f>
        <v/>
      </c>
      <c r="I302" s="91">
        <f>IF($A302="","",'Enrollment Census'!$AD293)</f>
        <v/>
      </c>
      <c r="J302">
        <f>IF($A302="","",'Enrollment Census'!$A293)</f>
        <v/>
      </c>
      <c r="K302">
        <f>IF($F302="FIX",ROW(),IF($F302="REVIEW",1000+ROW(),""))</f>
        <v/>
      </c>
    </row>
    <row r="303" ht="36" customHeight="1">
      <c r="A303" s="91">
        <f>IF(COUNTA('Enrollment Census'!$A294:$U294)&gt;0,294,"")</f>
        <v/>
      </c>
      <c r="B303" s="91">
        <f>IF($A303="","","Employee ending "&amp;RIGHT('Enrollment Census'!$A294&amp;"",4)&amp;IF('Enrollment Census'!$AH294&gt;0," • "&amp;'Enrollment Census'!$AH294&amp;" row"&amp;IF('Enrollment Census'!$AH294=1,"","s")&amp;" need attention",""))</f>
        <v/>
      </c>
      <c r="C303" s="91">
        <f>IF($A303="","",TRIM('Enrollment Census'!$C294&amp;" "&amp;'Enrollment Census'!$D294)&amp;" • ending "&amp;RIGHT('Enrollment Census'!$W294&amp;"",4))</f>
        <v/>
      </c>
      <c r="D303" s="91">
        <f>IF($A303="","",'Enrollment Census'!$X294)</f>
        <v/>
      </c>
      <c r="E303" s="91">
        <f>IF($A303="","",'Enrollment Census'!$S294)</f>
        <v/>
      </c>
      <c r="F303" s="91">
        <f>IF($A303="","",IF('Enrollment Census'!$AF294&lt;&gt;"","FIX",IF('Enrollment Census'!$AD294&lt;&gt;"","REVIEW","READY")))</f>
        <v/>
      </c>
      <c r="G303" s="91">
        <f>IF($A303="","",'Enrollment Census'!$AE294)</f>
        <v/>
      </c>
      <c r="H303" s="91">
        <f>IF($A303="","",'Enrollment Census'!$AF294)</f>
        <v/>
      </c>
      <c r="I303" s="91">
        <f>IF($A303="","",'Enrollment Census'!$AD294)</f>
        <v/>
      </c>
      <c r="J303">
        <f>IF($A303="","",'Enrollment Census'!$A294)</f>
        <v/>
      </c>
      <c r="K303">
        <f>IF($F303="FIX",ROW(),IF($F303="REVIEW",1000+ROW(),""))</f>
        <v/>
      </c>
    </row>
    <row r="304" ht="36" customHeight="1">
      <c r="A304" s="91">
        <f>IF(COUNTA('Enrollment Census'!$A295:$U295)&gt;0,295,"")</f>
        <v/>
      </c>
      <c r="B304" s="91">
        <f>IF($A304="","","Employee ending "&amp;RIGHT('Enrollment Census'!$A295&amp;"",4)&amp;IF('Enrollment Census'!$AH295&gt;0," • "&amp;'Enrollment Census'!$AH295&amp;" row"&amp;IF('Enrollment Census'!$AH295=1,"","s")&amp;" need attention",""))</f>
        <v/>
      </c>
      <c r="C304" s="91">
        <f>IF($A304="","",TRIM('Enrollment Census'!$C295&amp;" "&amp;'Enrollment Census'!$D295)&amp;" • ending "&amp;RIGHT('Enrollment Census'!$W295&amp;"",4))</f>
        <v/>
      </c>
      <c r="D304" s="91">
        <f>IF($A304="","",'Enrollment Census'!$X295)</f>
        <v/>
      </c>
      <c r="E304" s="91">
        <f>IF($A304="","",'Enrollment Census'!$S295)</f>
        <v/>
      </c>
      <c r="F304" s="91">
        <f>IF($A304="","",IF('Enrollment Census'!$AF295&lt;&gt;"","FIX",IF('Enrollment Census'!$AD295&lt;&gt;"","REVIEW","READY")))</f>
        <v/>
      </c>
      <c r="G304" s="91">
        <f>IF($A304="","",'Enrollment Census'!$AE295)</f>
        <v/>
      </c>
      <c r="H304" s="91">
        <f>IF($A304="","",'Enrollment Census'!$AF295)</f>
        <v/>
      </c>
      <c r="I304" s="91">
        <f>IF($A304="","",'Enrollment Census'!$AD295)</f>
        <v/>
      </c>
      <c r="J304">
        <f>IF($A304="","",'Enrollment Census'!$A295)</f>
        <v/>
      </c>
      <c r="K304">
        <f>IF($F304="FIX",ROW(),IF($F304="REVIEW",1000+ROW(),""))</f>
        <v/>
      </c>
    </row>
    <row r="305" ht="36" customHeight="1">
      <c r="A305" s="91">
        <f>IF(COUNTA('Enrollment Census'!$A296:$U296)&gt;0,296,"")</f>
        <v/>
      </c>
      <c r="B305" s="91">
        <f>IF($A305="","","Employee ending "&amp;RIGHT('Enrollment Census'!$A296&amp;"",4)&amp;IF('Enrollment Census'!$AH296&gt;0," • "&amp;'Enrollment Census'!$AH296&amp;" row"&amp;IF('Enrollment Census'!$AH296=1,"","s")&amp;" need attention",""))</f>
        <v/>
      </c>
      <c r="C305" s="91">
        <f>IF($A305="","",TRIM('Enrollment Census'!$C296&amp;" "&amp;'Enrollment Census'!$D296)&amp;" • ending "&amp;RIGHT('Enrollment Census'!$W296&amp;"",4))</f>
        <v/>
      </c>
      <c r="D305" s="91">
        <f>IF($A305="","",'Enrollment Census'!$X296)</f>
        <v/>
      </c>
      <c r="E305" s="91">
        <f>IF($A305="","",'Enrollment Census'!$S296)</f>
        <v/>
      </c>
      <c r="F305" s="91">
        <f>IF($A305="","",IF('Enrollment Census'!$AF296&lt;&gt;"","FIX",IF('Enrollment Census'!$AD296&lt;&gt;"","REVIEW","READY")))</f>
        <v/>
      </c>
      <c r="G305" s="91">
        <f>IF($A305="","",'Enrollment Census'!$AE296)</f>
        <v/>
      </c>
      <c r="H305" s="91">
        <f>IF($A305="","",'Enrollment Census'!$AF296)</f>
        <v/>
      </c>
      <c r="I305" s="91">
        <f>IF($A305="","",'Enrollment Census'!$AD296)</f>
        <v/>
      </c>
      <c r="J305">
        <f>IF($A305="","",'Enrollment Census'!$A296)</f>
        <v/>
      </c>
      <c r="K305">
        <f>IF($F305="FIX",ROW(),IF($F305="REVIEW",1000+ROW(),""))</f>
        <v/>
      </c>
    </row>
    <row r="306" ht="36" customHeight="1">
      <c r="A306" s="91">
        <f>IF(COUNTA('Enrollment Census'!$A297:$U297)&gt;0,297,"")</f>
        <v/>
      </c>
      <c r="B306" s="91">
        <f>IF($A306="","","Employee ending "&amp;RIGHT('Enrollment Census'!$A297&amp;"",4)&amp;IF('Enrollment Census'!$AH297&gt;0," • "&amp;'Enrollment Census'!$AH297&amp;" row"&amp;IF('Enrollment Census'!$AH297=1,"","s")&amp;" need attention",""))</f>
        <v/>
      </c>
      <c r="C306" s="91">
        <f>IF($A306="","",TRIM('Enrollment Census'!$C297&amp;" "&amp;'Enrollment Census'!$D297)&amp;" • ending "&amp;RIGHT('Enrollment Census'!$W297&amp;"",4))</f>
        <v/>
      </c>
      <c r="D306" s="91">
        <f>IF($A306="","",'Enrollment Census'!$X297)</f>
        <v/>
      </c>
      <c r="E306" s="91">
        <f>IF($A306="","",'Enrollment Census'!$S297)</f>
        <v/>
      </c>
      <c r="F306" s="91">
        <f>IF($A306="","",IF('Enrollment Census'!$AF297&lt;&gt;"","FIX",IF('Enrollment Census'!$AD297&lt;&gt;"","REVIEW","READY")))</f>
        <v/>
      </c>
      <c r="G306" s="91">
        <f>IF($A306="","",'Enrollment Census'!$AE297)</f>
        <v/>
      </c>
      <c r="H306" s="91">
        <f>IF($A306="","",'Enrollment Census'!$AF297)</f>
        <v/>
      </c>
      <c r="I306" s="91">
        <f>IF($A306="","",'Enrollment Census'!$AD297)</f>
        <v/>
      </c>
      <c r="J306">
        <f>IF($A306="","",'Enrollment Census'!$A297)</f>
        <v/>
      </c>
      <c r="K306">
        <f>IF($F306="FIX",ROW(),IF($F306="REVIEW",1000+ROW(),""))</f>
        <v/>
      </c>
    </row>
    <row r="307" ht="36" customHeight="1">
      <c r="A307" s="91">
        <f>IF(COUNTA('Enrollment Census'!$A298:$U298)&gt;0,298,"")</f>
        <v/>
      </c>
      <c r="B307" s="91">
        <f>IF($A307="","","Employee ending "&amp;RIGHT('Enrollment Census'!$A298&amp;"",4)&amp;IF('Enrollment Census'!$AH298&gt;0," • "&amp;'Enrollment Census'!$AH298&amp;" row"&amp;IF('Enrollment Census'!$AH298=1,"","s")&amp;" need attention",""))</f>
        <v/>
      </c>
      <c r="C307" s="91">
        <f>IF($A307="","",TRIM('Enrollment Census'!$C298&amp;" "&amp;'Enrollment Census'!$D298)&amp;" • ending "&amp;RIGHT('Enrollment Census'!$W298&amp;"",4))</f>
        <v/>
      </c>
      <c r="D307" s="91">
        <f>IF($A307="","",'Enrollment Census'!$X298)</f>
        <v/>
      </c>
      <c r="E307" s="91">
        <f>IF($A307="","",'Enrollment Census'!$S298)</f>
        <v/>
      </c>
      <c r="F307" s="91">
        <f>IF($A307="","",IF('Enrollment Census'!$AF298&lt;&gt;"","FIX",IF('Enrollment Census'!$AD298&lt;&gt;"","REVIEW","READY")))</f>
        <v/>
      </c>
      <c r="G307" s="91">
        <f>IF($A307="","",'Enrollment Census'!$AE298)</f>
        <v/>
      </c>
      <c r="H307" s="91">
        <f>IF($A307="","",'Enrollment Census'!$AF298)</f>
        <v/>
      </c>
      <c r="I307" s="91">
        <f>IF($A307="","",'Enrollment Census'!$AD298)</f>
        <v/>
      </c>
      <c r="J307">
        <f>IF($A307="","",'Enrollment Census'!$A298)</f>
        <v/>
      </c>
      <c r="K307">
        <f>IF($F307="FIX",ROW(),IF($F307="REVIEW",1000+ROW(),""))</f>
        <v/>
      </c>
    </row>
    <row r="308" ht="36" customHeight="1">
      <c r="A308" s="91">
        <f>IF(COUNTA('Enrollment Census'!$A299:$U299)&gt;0,299,"")</f>
        <v/>
      </c>
      <c r="B308" s="91">
        <f>IF($A308="","","Employee ending "&amp;RIGHT('Enrollment Census'!$A299&amp;"",4)&amp;IF('Enrollment Census'!$AH299&gt;0," • "&amp;'Enrollment Census'!$AH299&amp;" row"&amp;IF('Enrollment Census'!$AH299=1,"","s")&amp;" need attention",""))</f>
        <v/>
      </c>
      <c r="C308" s="91">
        <f>IF($A308="","",TRIM('Enrollment Census'!$C299&amp;" "&amp;'Enrollment Census'!$D299)&amp;" • ending "&amp;RIGHT('Enrollment Census'!$W299&amp;"",4))</f>
        <v/>
      </c>
      <c r="D308" s="91">
        <f>IF($A308="","",'Enrollment Census'!$X299)</f>
        <v/>
      </c>
      <c r="E308" s="91">
        <f>IF($A308="","",'Enrollment Census'!$S299)</f>
        <v/>
      </c>
      <c r="F308" s="91">
        <f>IF($A308="","",IF('Enrollment Census'!$AF299&lt;&gt;"","FIX",IF('Enrollment Census'!$AD299&lt;&gt;"","REVIEW","READY")))</f>
        <v/>
      </c>
      <c r="G308" s="91">
        <f>IF($A308="","",'Enrollment Census'!$AE299)</f>
        <v/>
      </c>
      <c r="H308" s="91">
        <f>IF($A308="","",'Enrollment Census'!$AF299)</f>
        <v/>
      </c>
      <c r="I308" s="91">
        <f>IF($A308="","",'Enrollment Census'!$AD299)</f>
        <v/>
      </c>
      <c r="J308">
        <f>IF($A308="","",'Enrollment Census'!$A299)</f>
        <v/>
      </c>
      <c r="K308">
        <f>IF($F308="FIX",ROW(),IF($F308="REVIEW",1000+ROW(),""))</f>
        <v/>
      </c>
    </row>
    <row r="309" ht="36" customHeight="1">
      <c r="A309" s="91">
        <f>IF(COUNTA('Enrollment Census'!$A300:$U300)&gt;0,300,"")</f>
        <v/>
      </c>
      <c r="B309" s="91">
        <f>IF($A309="","","Employee ending "&amp;RIGHT('Enrollment Census'!$A300&amp;"",4)&amp;IF('Enrollment Census'!$AH300&gt;0," • "&amp;'Enrollment Census'!$AH300&amp;" row"&amp;IF('Enrollment Census'!$AH300=1,"","s")&amp;" need attention",""))</f>
        <v/>
      </c>
      <c r="C309" s="91">
        <f>IF($A309="","",TRIM('Enrollment Census'!$C300&amp;" "&amp;'Enrollment Census'!$D300)&amp;" • ending "&amp;RIGHT('Enrollment Census'!$W300&amp;"",4))</f>
        <v/>
      </c>
      <c r="D309" s="91">
        <f>IF($A309="","",'Enrollment Census'!$X300)</f>
        <v/>
      </c>
      <c r="E309" s="91">
        <f>IF($A309="","",'Enrollment Census'!$S300)</f>
        <v/>
      </c>
      <c r="F309" s="91">
        <f>IF($A309="","",IF('Enrollment Census'!$AF300&lt;&gt;"","FIX",IF('Enrollment Census'!$AD300&lt;&gt;"","REVIEW","READY")))</f>
        <v/>
      </c>
      <c r="G309" s="91">
        <f>IF($A309="","",'Enrollment Census'!$AE300)</f>
        <v/>
      </c>
      <c r="H309" s="91">
        <f>IF($A309="","",'Enrollment Census'!$AF300)</f>
        <v/>
      </c>
      <c r="I309" s="91">
        <f>IF($A309="","",'Enrollment Census'!$AD300)</f>
        <v/>
      </c>
      <c r="J309">
        <f>IF($A309="","",'Enrollment Census'!$A300)</f>
        <v/>
      </c>
      <c r="K309">
        <f>IF($F309="FIX",ROW(),IF($F309="REVIEW",1000+ROW(),""))</f>
        <v/>
      </c>
    </row>
    <row r="310" ht="36" customHeight="1">
      <c r="A310" s="91">
        <f>IF(COUNTA('Enrollment Census'!$A301:$U301)&gt;0,301,"")</f>
        <v/>
      </c>
      <c r="B310" s="91">
        <f>IF($A310="","","Employee ending "&amp;RIGHT('Enrollment Census'!$A301&amp;"",4)&amp;IF('Enrollment Census'!$AH301&gt;0," • "&amp;'Enrollment Census'!$AH301&amp;" row"&amp;IF('Enrollment Census'!$AH301=1,"","s")&amp;" need attention",""))</f>
        <v/>
      </c>
      <c r="C310" s="91">
        <f>IF($A310="","",TRIM('Enrollment Census'!$C301&amp;" "&amp;'Enrollment Census'!$D301)&amp;" • ending "&amp;RIGHT('Enrollment Census'!$W301&amp;"",4))</f>
        <v/>
      </c>
      <c r="D310" s="91">
        <f>IF($A310="","",'Enrollment Census'!$X301)</f>
        <v/>
      </c>
      <c r="E310" s="91">
        <f>IF($A310="","",'Enrollment Census'!$S301)</f>
        <v/>
      </c>
      <c r="F310" s="91">
        <f>IF($A310="","",IF('Enrollment Census'!$AF301&lt;&gt;"","FIX",IF('Enrollment Census'!$AD301&lt;&gt;"","REVIEW","READY")))</f>
        <v/>
      </c>
      <c r="G310" s="91">
        <f>IF($A310="","",'Enrollment Census'!$AE301)</f>
        <v/>
      </c>
      <c r="H310" s="91">
        <f>IF($A310="","",'Enrollment Census'!$AF301)</f>
        <v/>
      </c>
      <c r="I310" s="91">
        <f>IF($A310="","",'Enrollment Census'!$AD301)</f>
        <v/>
      </c>
      <c r="J310">
        <f>IF($A310="","",'Enrollment Census'!$A301)</f>
        <v/>
      </c>
      <c r="K310">
        <f>IF($F310="FIX",ROW(),IF($F310="REVIEW",1000+ROW(),""))</f>
        <v/>
      </c>
    </row>
    <row r="311" ht="36" customHeight="1">
      <c r="A311" s="91">
        <f>IF(COUNTA('Enrollment Census'!$A302:$U302)&gt;0,302,"")</f>
        <v/>
      </c>
      <c r="B311" s="91">
        <f>IF($A311="","","Employee ending "&amp;RIGHT('Enrollment Census'!$A302&amp;"",4)&amp;IF('Enrollment Census'!$AH302&gt;0," • "&amp;'Enrollment Census'!$AH302&amp;" row"&amp;IF('Enrollment Census'!$AH302=1,"","s")&amp;" need attention",""))</f>
        <v/>
      </c>
      <c r="C311" s="91">
        <f>IF($A311="","",TRIM('Enrollment Census'!$C302&amp;" "&amp;'Enrollment Census'!$D302)&amp;" • ending "&amp;RIGHT('Enrollment Census'!$W302&amp;"",4))</f>
        <v/>
      </c>
      <c r="D311" s="91">
        <f>IF($A311="","",'Enrollment Census'!$X302)</f>
        <v/>
      </c>
      <c r="E311" s="91">
        <f>IF($A311="","",'Enrollment Census'!$S302)</f>
        <v/>
      </c>
      <c r="F311" s="91">
        <f>IF($A311="","",IF('Enrollment Census'!$AF302&lt;&gt;"","FIX",IF('Enrollment Census'!$AD302&lt;&gt;"","REVIEW","READY")))</f>
        <v/>
      </c>
      <c r="G311" s="91">
        <f>IF($A311="","",'Enrollment Census'!$AE302)</f>
        <v/>
      </c>
      <c r="H311" s="91">
        <f>IF($A311="","",'Enrollment Census'!$AF302)</f>
        <v/>
      </c>
      <c r="I311" s="91">
        <f>IF($A311="","",'Enrollment Census'!$AD302)</f>
        <v/>
      </c>
      <c r="J311">
        <f>IF($A311="","",'Enrollment Census'!$A302)</f>
        <v/>
      </c>
      <c r="K311">
        <f>IF($F311="FIX",ROW(),IF($F311="REVIEW",1000+ROW(),""))</f>
        <v/>
      </c>
    </row>
    <row r="312" ht="36" customHeight="1">
      <c r="A312" s="91">
        <f>IF(COUNTA('Enrollment Census'!$A303:$U303)&gt;0,303,"")</f>
        <v/>
      </c>
      <c r="B312" s="91">
        <f>IF($A312="","","Employee ending "&amp;RIGHT('Enrollment Census'!$A303&amp;"",4)&amp;IF('Enrollment Census'!$AH303&gt;0," • "&amp;'Enrollment Census'!$AH303&amp;" row"&amp;IF('Enrollment Census'!$AH303=1,"","s")&amp;" need attention",""))</f>
        <v/>
      </c>
      <c r="C312" s="91">
        <f>IF($A312="","",TRIM('Enrollment Census'!$C303&amp;" "&amp;'Enrollment Census'!$D303)&amp;" • ending "&amp;RIGHT('Enrollment Census'!$W303&amp;"",4))</f>
        <v/>
      </c>
      <c r="D312" s="91">
        <f>IF($A312="","",'Enrollment Census'!$X303)</f>
        <v/>
      </c>
      <c r="E312" s="91">
        <f>IF($A312="","",'Enrollment Census'!$S303)</f>
        <v/>
      </c>
      <c r="F312" s="91">
        <f>IF($A312="","",IF('Enrollment Census'!$AF303&lt;&gt;"","FIX",IF('Enrollment Census'!$AD303&lt;&gt;"","REVIEW","READY")))</f>
        <v/>
      </c>
      <c r="G312" s="91">
        <f>IF($A312="","",'Enrollment Census'!$AE303)</f>
        <v/>
      </c>
      <c r="H312" s="91">
        <f>IF($A312="","",'Enrollment Census'!$AF303)</f>
        <v/>
      </c>
      <c r="I312" s="91">
        <f>IF($A312="","",'Enrollment Census'!$AD303)</f>
        <v/>
      </c>
      <c r="J312">
        <f>IF($A312="","",'Enrollment Census'!$A303)</f>
        <v/>
      </c>
      <c r="K312">
        <f>IF($F312="FIX",ROW(),IF($F312="REVIEW",1000+ROW(),""))</f>
        <v/>
      </c>
    </row>
    <row r="313" ht="36" customHeight="1">
      <c r="A313" s="91">
        <f>IF(COUNTA('Enrollment Census'!$A304:$U304)&gt;0,304,"")</f>
        <v/>
      </c>
      <c r="B313" s="91">
        <f>IF($A313="","","Employee ending "&amp;RIGHT('Enrollment Census'!$A304&amp;"",4)&amp;IF('Enrollment Census'!$AH304&gt;0," • "&amp;'Enrollment Census'!$AH304&amp;" row"&amp;IF('Enrollment Census'!$AH304=1,"","s")&amp;" need attention",""))</f>
        <v/>
      </c>
      <c r="C313" s="91">
        <f>IF($A313="","",TRIM('Enrollment Census'!$C304&amp;" "&amp;'Enrollment Census'!$D304)&amp;" • ending "&amp;RIGHT('Enrollment Census'!$W304&amp;"",4))</f>
        <v/>
      </c>
      <c r="D313" s="91">
        <f>IF($A313="","",'Enrollment Census'!$X304)</f>
        <v/>
      </c>
      <c r="E313" s="91">
        <f>IF($A313="","",'Enrollment Census'!$S304)</f>
        <v/>
      </c>
      <c r="F313" s="91">
        <f>IF($A313="","",IF('Enrollment Census'!$AF304&lt;&gt;"","FIX",IF('Enrollment Census'!$AD304&lt;&gt;"","REVIEW","READY")))</f>
        <v/>
      </c>
      <c r="G313" s="91">
        <f>IF($A313="","",'Enrollment Census'!$AE304)</f>
        <v/>
      </c>
      <c r="H313" s="91">
        <f>IF($A313="","",'Enrollment Census'!$AF304)</f>
        <v/>
      </c>
      <c r="I313" s="91">
        <f>IF($A313="","",'Enrollment Census'!$AD304)</f>
        <v/>
      </c>
      <c r="J313">
        <f>IF($A313="","",'Enrollment Census'!$A304)</f>
        <v/>
      </c>
      <c r="K313">
        <f>IF($F313="FIX",ROW(),IF($F313="REVIEW",1000+ROW(),""))</f>
        <v/>
      </c>
    </row>
    <row r="314" ht="36" customHeight="1">
      <c r="A314" s="91">
        <f>IF(COUNTA('Enrollment Census'!$A305:$U305)&gt;0,305,"")</f>
        <v/>
      </c>
      <c r="B314" s="91">
        <f>IF($A314="","","Employee ending "&amp;RIGHT('Enrollment Census'!$A305&amp;"",4)&amp;IF('Enrollment Census'!$AH305&gt;0," • "&amp;'Enrollment Census'!$AH305&amp;" row"&amp;IF('Enrollment Census'!$AH305=1,"","s")&amp;" need attention",""))</f>
        <v/>
      </c>
      <c r="C314" s="91">
        <f>IF($A314="","",TRIM('Enrollment Census'!$C305&amp;" "&amp;'Enrollment Census'!$D305)&amp;" • ending "&amp;RIGHT('Enrollment Census'!$W305&amp;"",4))</f>
        <v/>
      </c>
      <c r="D314" s="91">
        <f>IF($A314="","",'Enrollment Census'!$X305)</f>
        <v/>
      </c>
      <c r="E314" s="91">
        <f>IF($A314="","",'Enrollment Census'!$S305)</f>
        <v/>
      </c>
      <c r="F314" s="91">
        <f>IF($A314="","",IF('Enrollment Census'!$AF305&lt;&gt;"","FIX",IF('Enrollment Census'!$AD305&lt;&gt;"","REVIEW","READY")))</f>
        <v/>
      </c>
      <c r="G314" s="91">
        <f>IF($A314="","",'Enrollment Census'!$AE305)</f>
        <v/>
      </c>
      <c r="H314" s="91">
        <f>IF($A314="","",'Enrollment Census'!$AF305)</f>
        <v/>
      </c>
      <c r="I314" s="91">
        <f>IF($A314="","",'Enrollment Census'!$AD305)</f>
        <v/>
      </c>
      <c r="J314">
        <f>IF($A314="","",'Enrollment Census'!$A305)</f>
        <v/>
      </c>
      <c r="K314">
        <f>IF($F314="FIX",ROW(),IF($F314="REVIEW",1000+ROW(),""))</f>
        <v/>
      </c>
    </row>
    <row r="315" ht="36" customHeight="1">
      <c r="A315" s="91">
        <f>IF(COUNTA('Enrollment Census'!$A306:$U306)&gt;0,306,"")</f>
        <v/>
      </c>
      <c r="B315" s="91">
        <f>IF($A315="","","Employee ending "&amp;RIGHT('Enrollment Census'!$A306&amp;"",4)&amp;IF('Enrollment Census'!$AH306&gt;0," • "&amp;'Enrollment Census'!$AH306&amp;" row"&amp;IF('Enrollment Census'!$AH306=1,"","s")&amp;" need attention",""))</f>
        <v/>
      </c>
      <c r="C315" s="91">
        <f>IF($A315="","",TRIM('Enrollment Census'!$C306&amp;" "&amp;'Enrollment Census'!$D306)&amp;" • ending "&amp;RIGHT('Enrollment Census'!$W306&amp;"",4))</f>
        <v/>
      </c>
      <c r="D315" s="91">
        <f>IF($A315="","",'Enrollment Census'!$X306)</f>
        <v/>
      </c>
      <c r="E315" s="91">
        <f>IF($A315="","",'Enrollment Census'!$S306)</f>
        <v/>
      </c>
      <c r="F315" s="91">
        <f>IF($A315="","",IF('Enrollment Census'!$AF306&lt;&gt;"","FIX",IF('Enrollment Census'!$AD306&lt;&gt;"","REVIEW","READY")))</f>
        <v/>
      </c>
      <c r="G315" s="91">
        <f>IF($A315="","",'Enrollment Census'!$AE306)</f>
        <v/>
      </c>
      <c r="H315" s="91">
        <f>IF($A315="","",'Enrollment Census'!$AF306)</f>
        <v/>
      </c>
      <c r="I315" s="91">
        <f>IF($A315="","",'Enrollment Census'!$AD306)</f>
        <v/>
      </c>
      <c r="J315">
        <f>IF($A315="","",'Enrollment Census'!$A306)</f>
        <v/>
      </c>
      <c r="K315">
        <f>IF($F315="FIX",ROW(),IF($F315="REVIEW",1000+ROW(),""))</f>
        <v/>
      </c>
    </row>
    <row r="316" ht="36" customHeight="1">
      <c r="A316" s="91">
        <f>IF(COUNTA('Enrollment Census'!$A307:$U307)&gt;0,307,"")</f>
        <v/>
      </c>
      <c r="B316" s="91">
        <f>IF($A316="","","Employee ending "&amp;RIGHT('Enrollment Census'!$A307&amp;"",4)&amp;IF('Enrollment Census'!$AH307&gt;0," • "&amp;'Enrollment Census'!$AH307&amp;" row"&amp;IF('Enrollment Census'!$AH307=1,"","s")&amp;" need attention",""))</f>
        <v/>
      </c>
      <c r="C316" s="91">
        <f>IF($A316="","",TRIM('Enrollment Census'!$C307&amp;" "&amp;'Enrollment Census'!$D307)&amp;" • ending "&amp;RIGHT('Enrollment Census'!$W307&amp;"",4))</f>
        <v/>
      </c>
      <c r="D316" s="91">
        <f>IF($A316="","",'Enrollment Census'!$X307)</f>
        <v/>
      </c>
      <c r="E316" s="91">
        <f>IF($A316="","",'Enrollment Census'!$S307)</f>
        <v/>
      </c>
      <c r="F316" s="91">
        <f>IF($A316="","",IF('Enrollment Census'!$AF307&lt;&gt;"","FIX",IF('Enrollment Census'!$AD307&lt;&gt;"","REVIEW","READY")))</f>
        <v/>
      </c>
      <c r="G316" s="91">
        <f>IF($A316="","",'Enrollment Census'!$AE307)</f>
        <v/>
      </c>
      <c r="H316" s="91">
        <f>IF($A316="","",'Enrollment Census'!$AF307)</f>
        <v/>
      </c>
      <c r="I316" s="91">
        <f>IF($A316="","",'Enrollment Census'!$AD307)</f>
        <v/>
      </c>
      <c r="J316">
        <f>IF($A316="","",'Enrollment Census'!$A307)</f>
        <v/>
      </c>
      <c r="K316">
        <f>IF($F316="FIX",ROW(),IF($F316="REVIEW",1000+ROW(),""))</f>
        <v/>
      </c>
    </row>
    <row r="317" ht="36" customHeight="1">
      <c r="A317" s="91">
        <f>IF(COUNTA('Enrollment Census'!$A308:$U308)&gt;0,308,"")</f>
        <v/>
      </c>
      <c r="B317" s="91">
        <f>IF($A317="","","Employee ending "&amp;RIGHT('Enrollment Census'!$A308&amp;"",4)&amp;IF('Enrollment Census'!$AH308&gt;0," • "&amp;'Enrollment Census'!$AH308&amp;" row"&amp;IF('Enrollment Census'!$AH308=1,"","s")&amp;" need attention",""))</f>
        <v/>
      </c>
      <c r="C317" s="91">
        <f>IF($A317="","",TRIM('Enrollment Census'!$C308&amp;" "&amp;'Enrollment Census'!$D308)&amp;" • ending "&amp;RIGHT('Enrollment Census'!$W308&amp;"",4))</f>
        <v/>
      </c>
      <c r="D317" s="91">
        <f>IF($A317="","",'Enrollment Census'!$X308)</f>
        <v/>
      </c>
      <c r="E317" s="91">
        <f>IF($A317="","",'Enrollment Census'!$S308)</f>
        <v/>
      </c>
      <c r="F317" s="91">
        <f>IF($A317="","",IF('Enrollment Census'!$AF308&lt;&gt;"","FIX",IF('Enrollment Census'!$AD308&lt;&gt;"","REVIEW","READY")))</f>
        <v/>
      </c>
      <c r="G317" s="91">
        <f>IF($A317="","",'Enrollment Census'!$AE308)</f>
        <v/>
      </c>
      <c r="H317" s="91">
        <f>IF($A317="","",'Enrollment Census'!$AF308)</f>
        <v/>
      </c>
      <c r="I317" s="91">
        <f>IF($A317="","",'Enrollment Census'!$AD308)</f>
        <v/>
      </c>
      <c r="J317">
        <f>IF($A317="","",'Enrollment Census'!$A308)</f>
        <v/>
      </c>
      <c r="K317">
        <f>IF($F317="FIX",ROW(),IF($F317="REVIEW",1000+ROW(),""))</f>
        <v/>
      </c>
    </row>
    <row r="318" ht="36" customHeight="1">
      <c r="A318" s="91">
        <f>IF(COUNTA('Enrollment Census'!$A309:$U309)&gt;0,309,"")</f>
        <v/>
      </c>
      <c r="B318" s="91">
        <f>IF($A318="","","Employee ending "&amp;RIGHT('Enrollment Census'!$A309&amp;"",4)&amp;IF('Enrollment Census'!$AH309&gt;0," • "&amp;'Enrollment Census'!$AH309&amp;" row"&amp;IF('Enrollment Census'!$AH309=1,"","s")&amp;" need attention",""))</f>
        <v/>
      </c>
      <c r="C318" s="91">
        <f>IF($A318="","",TRIM('Enrollment Census'!$C309&amp;" "&amp;'Enrollment Census'!$D309)&amp;" • ending "&amp;RIGHT('Enrollment Census'!$W309&amp;"",4))</f>
        <v/>
      </c>
      <c r="D318" s="91">
        <f>IF($A318="","",'Enrollment Census'!$X309)</f>
        <v/>
      </c>
      <c r="E318" s="91">
        <f>IF($A318="","",'Enrollment Census'!$S309)</f>
        <v/>
      </c>
      <c r="F318" s="91">
        <f>IF($A318="","",IF('Enrollment Census'!$AF309&lt;&gt;"","FIX",IF('Enrollment Census'!$AD309&lt;&gt;"","REVIEW","READY")))</f>
        <v/>
      </c>
      <c r="G318" s="91">
        <f>IF($A318="","",'Enrollment Census'!$AE309)</f>
        <v/>
      </c>
      <c r="H318" s="91">
        <f>IF($A318="","",'Enrollment Census'!$AF309)</f>
        <v/>
      </c>
      <c r="I318" s="91">
        <f>IF($A318="","",'Enrollment Census'!$AD309)</f>
        <v/>
      </c>
      <c r="J318">
        <f>IF($A318="","",'Enrollment Census'!$A309)</f>
        <v/>
      </c>
      <c r="K318">
        <f>IF($F318="FIX",ROW(),IF($F318="REVIEW",1000+ROW(),""))</f>
        <v/>
      </c>
    </row>
    <row r="319" ht="36" customHeight="1">
      <c r="A319" s="91">
        <f>IF(COUNTA('Enrollment Census'!$A310:$U310)&gt;0,310,"")</f>
        <v/>
      </c>
      <c r="B319" s="91">
        <f>IF($A319="","","Employee ending "&amp;RIGHT('Enrollment Census'!$A310&amp;"",4)&amp;IF('Enrollment Census'!$AH310&gt;0," • "&amp;'Enrollment Census'!$AH310&amp;" row"&amp;IF('Enrollment Census'!$AH310=1,"","s")&amp;" need attention",""))</f>
        <v/>
      </c>
      <c r="C319" s="91">
        <f>IF($A319="","",TRIM('Enrollment Census'!$C310&amp;" "&amp;'Enrollment Census'!$D310)&amp;" • ending "&amp;RIGHT('Enrollment Census'!$W310&amp;"",4))</f>
        <v/>
      </c>
      <c r="D319" s="91">
        <f>IF($A319="","",'Enrollment Census'!$X310)</f>
        <v/>
      </c>
      <c r="E319" s="91">
        <f>IF($A319="","",'Enrollment Census'!$S310)</f>
        <v/>
      </c>
      <c r="F319" s="91">
        <f>IF($A319="","",IF('Enrollment Census'!$AF310&lt;&gt;"","FIX",IF('Enrollment Census'!$AD310&lt;&gt;"","REVIEW","READY")))</f>
        <v/>
      </c>
      <c r="G319" s="91">
        <f>IF($A319="","",'Enrollment Census'!$AE310)</f>
        <v/>
      </c>
      <c r="H319" s="91">
        <f>IF($A319="","",'Enrollment Census'!$AF310)</f>
        <v/>
      </c>
      <c r="I319" s="91">
        <f>IF($A319="","",'Enrollment Census'!$AD310)</f>
        <v/>
      </c>
      <c r="J319">
        <f>IF($A319="","",'Enrollment Census'!$A310)</f>
        <v/>
      </c>
      <c r="K319">
        <f>IF($F319="FIX",ROW(),IF($F319="REVIEW",1000+ROW(),""))</f>
        <v/>
      </c>
    </row>
    <row r="320" ht="36" customHeight="1">
      <c r="A320" s="91">
        <f>IF(COUNTA('Enrollment Census'!$A311:$U311)&gt;0,311,"")</f>
        <v/>
      </c>
      <c r="B320" s="91">
        <f>IF($A320="","","Employee ending "&amp;RIGHT('Enrollment Census'!$A311&amp;"",4)&amp;IF('Enrollment Census'!$AH311&gt;0," • "&amp;'Enrollment Census'!$AH311&amp;" row"&amp;IF('Enrollment Census'!$AH311=1,"","s")&amp;" need attention",""))</f>
        <v/>
      </c>
      <c r="C320" s="91">
        <f>IF($A320="","",TRIM('Enrollment Census'!$C311&amp;" "&amp;'Enrollment Census'!$D311)&amp;" • ending "&amp;RIGHT('Enrollment Census'!$W311&amp;"",4))</f>
        <v/>
      </c>
      <c r="D320" s="91">
        <f>IF($A320="","",'Enrollment Census'!$X311)</f>
        <v/>
      </c>
      <c r="E320" s="91">
        <f>IF($A320="","",'Enrollment Census'!$S311)</f>
        <v/>
      </c>
      <c r="F320" s="91">
        <f>IF($A320="","",IF('Enrollment Census'!$AF311&lt;&gt;"","FIX",IF('Enrollment Census'!$AD311&lt;&gt;"","REVIEW","READY")))</f>
        <v/>
      </c>
      <c r="G320" s="91">
        <f>IF($A320="","",'Enrollment Census'!$AE311)</f>
        <v/>
      </c>
      <c r="H320" s="91">
        <f>IF($A320="","",'Enrollment Census'!$AF311)</f>
        <v/>
      </c>
      <c r="I320" s="91">
        <f>IF($A320="","",'Enrollment Census'!$AD311)</f>
        <v/>
      </c>
      <c r="J320">
        <f>IF($A320="","",'Enrollment Census'!$A311)</f>
        <v/>
      </c>
      <c r="K320">
        <f>IF($F320="FIX",ROW(),IF($F320="REVIEW",1000+ROW(),""))</f>
        <v/>
      </c>
    </row>
    <row r="321" ht="36" customHeight="1">
      <c r="A321" s="91">
        <f>IF(COUNTA('Enrollment Census'!$A312:$U312)&gt;0,312,"")</f>
        <v/>
      </c>
      <c r="B321" s="91">
        <f>IF($A321="","","Employee ending "&amp;RIGHT('Enrollment Census'!$A312&amp;"",4)&amp;IF('Enrollment Census'!$AH312&gt;0," • "&amp;'Enrollment Census'!$AH312&amp;" row"&amp;IF('Enrollment Census'!$AH312=1,"","s")&amp;" need attention",""))</f>
        <v/>
      </c>
      <c r="C321" s="91">
        <f>IF($A321="","",TRIM('Enrollment Census'!$C312&amp;" "&amp;'Enrollment Census'!$D312)&amp;" • ending "&amp;RIGHT('Enrollment Census'!$W312&amp;"",4))</f>
        <v/>
      </c>
      <c r="D321" s="91">
        <f>IF($A321="","",'Enrollment Census'!$X312)</f>
        <v/>
      </c>
      <c r="E321" s="91">
        <f>IF($A321="","",'Enrollment Census'!$S312)</f>
        <v/>
      </c>
      <c r="F321" s="91">
        <f>IF($A321="","",IF('Enrollment Census'!$AF312&lt;&gt;"","FIX",IF('Enrollment Census'!$AD312&lt;&gt;"","REVIEW","READY")))</f>
        <v/>
      </c>
      <c r="G321" s="91">
        <f>IF($A321="","",'Enrollment Census'!$AE312)</f>
        <v/>
      </c>
      <c r="H321" s="91">
        <f>IF($A321="","",'Enrollment Census'!$AF312)</f>
        <v/>
      </c>
      <c r="I321" s="91">
        <f>IF($A321="","",'Enrollment Census'!$AD312)</f>
        <v/>
      </c>
      <c r="J321">
        <f>IF($A321="","",'Enrollment Census'!$A312)</f>
        <v/>
      </c>
      <c r="K321">
        <f>IF($F321="FIX",ROW(),IF($F321="REVIEW",1000+ROW(),""))</f>
        <v/>
      </c>
    </row>
    <row r="322" ht="36" customHeight="1">
      <c r="A322" s="91">
        <f>IF(COUNTA('Enrollment Census'!$A313:$U313)&gt;0,313,"")</f>
        <v/>
      </c>
      <c r="B322" s="91">
        <f>IF($A322="","","Employee ending "&amp;RIGHT('Enrollment Census'!$A313&amp;"",4)&amp;IF('Enrollment Census'!$AH313&gt;0," • "&amp;'Enrollment Census'!$AH313&amp;" row"&amp;IF('Enrollment Census'!$AH313=1,"","s")&amp;" need attention",""))</f>
        <v/>
      </c>
      <c r="C322" s="91">
        <f>IF($A322="","",TRIM('Enrollment Census'!$C313&amp;" "&amp;'Enrollment Census'!$D313)&amp;" • ending "&amp;RIGHT('Enrollment Census'!$W313&amp;"",4))</f>
        <v/>
      </c>
      <c r="D322" s="91">
        <f>IF($A322="","",'Enrollment Census'!$X313)</f>
        <v/>
      </c>
      <c r="E322" s="91">
        <f>IF($A322="","",'Enrollment Census'!$S313)</f>
        <v/>
      </c>
      <c r="F322" s="91">
        <f>IF($A322="","",IF('Enrollment Census'!$AF313&lt;&gt;"","FIX",IF('Enrollment Census'!$AD313&lt;&gt;"","REVIEW","READY")))</f>
        <v/>
      </c>
      <c r="G322" s="91">
        <f>IF($A322="","",'Enrollment Census'!$AE313)</f>
        <v/>
      </c>
      <c r="H322" s="91">
        <f>IF($A322="","",'Enrollment Census'!$AF313)</f>
        <v/>
      </c>
      <c r="I322" s="91">
        <f>IF($A322="","",'Enrollment Census'!$AD313)</f>
        <v/>
      </c>
      <c r="J322">
        <f>IF($A322="","",'Enrollment Census'!$A313)</f>
        <v/>
      </c>
      <c r="K322">
        <f>IF($F322="FIX",ROW(),IF($F322="REVIEW",1000+ROW(),""))</f>
        <v/>
      </c>
    </row>
    <row r="323" ht="36" customHeight="1">
      <c r="A323" s="91">
        <f>IF(COUNTA('Enrollment Census'!$A314:$U314)&gt;0,314,"")</f>
        <v/>
      </c>
      <c r="B323" s="91">
        <f>IF($A323="","","Employee ending "&amp;RIGHT('Enrollment Census'!$A314&amp;"",4)&amp;IF('Enrollment Census'!$AH314&gt;0," • "&amp;'Enrollment Census'!$AH314&amp;" row"&amp;IF('Enrollment Census'!$AH314=1,"","s")&amp;" need attention",""))</f>
        <v/>
      </c>
      <c r="C323" s="91">
        <f>IF($A323="","",TRIM('Enrollment Census'!$C314&amp;" "&amp;'Enrollment Census'!$D314)&amp;" • ending "&amp;RIGHT('Enrollment Census'!$W314&amp;"",4))</f>
        <v/>
      </c>
      <c r="D323" s="91">
        <f>IF($A323="","",'Enrollment Census'!$X314)</f>
        <v/>
      </c>
      <c r="E323" s="91">
        <f>IF($A323="","",'Enrollment Census'!$S314)</f>
        <v/>
      </c>
      <c r="F323" s="91">
        <f>IF($A323="","",IF('Enrollment Census'!$AF314&lt;&gt;"","FIX",IF('Enrollment Census'!$AD314&lt;&gt;"","REVIEW","READY")))</f>
        <v/>
      </c>
      <c r="G323" s="91">
        <f>IF($A323="","",'Enrollment Census'!$AE314)</f>
        <v/>
      </c>
      <c r="H323" s="91">
        <f>IF($A323="","",'Enrollment Census'!$AF314)</f>
        <v/>
      </c>
      <c r="I323" s="91">
        <f>IF($A323="","",'Enrollment Census'!$AD314)</f>
        <v/>
      </c>
      <c r="J323">
        <f>IF($A323="","",'Enrollment Census'!$A314)</f>
        <v/>
      </c>
      <c r="K323">
        <f>IF($F323="FIX",ROW(),IF($F323="REVIEW",1000+ROW(),""))</f>
        <v/>
      </c>
    </row>
    <row r="324" ht="36" customHeight="1">
      <c r="A324" s="91">
        <f>IF(COUNTA('Enrollment Census'!$A315:$U315)&gt;0,315,"")</f>
        <v/>
      </c>
      <c r="B324" s="91">
        <f>IF($A324="","","Employee ending "&amp;RIGHT('Enrollment Census'!$A315&amp;"",4)&amp;IF('Enrollment Census'!$AH315&gt;0," • "&amp;'Enrollment Census'!$AH315&amp;" row"&amp;IF('Enrollment Census'!$AH315=1,"","s")&amp;" need attention",""))</f>
        <v/>
      </c>
      <c r="C324" s="91">
        <f>IF($A324="","",TRIM('Enrollment Census'!$C315&amp;" "&amp;'Enrollment Census'!$D315)&amp;" • ending "&amp;RIGHT('Enrollment Census'!$W315&amp;"",4))</f>
        <v/>
      </c>
      <c r="D324" s="91">
        <f>IF($A324="","",'Enrollment Census'!$X315)</f>
        <v/>
      </c>
      <c r="E324" s="91">
        <f>IF($A324="","",'Enrollment Census'!$S315)</f>
        <v/>
      </c>
      <c r="F324" s="91">
        <f>IF($A324="","",IF('Enrollment Census'!$AF315&lt;&gt;"","FIX",IF('Enrollment Census'!$AD315&lt;&gt;"","REVIEW","READY")))</f>
        <v/>
      </c>
      <c r="G324" s="91">
        <f>IF($A324="","",'Enrollment Census'!$AE315)</f>
        <v/>
      </c>
      <c r="H324" s="91">
        <f>IF($A324="","",'Enrollment Census'!$AF315)</f>
        <v/>
      </c>
      <c r="I324" s="91">
        <f>IF($A324="","",'Enrollment Census'!$AD315)</f>
        <v/>
      </c>
      <c r="J324">
        <f>IF($A324="","",'Enrollment Census'!$A315)</f>
        <v/>
      </c>
      <c r="K324">
        <f>IF($F324="FIX",ROW(),IF($F324="REVIEW",1000+ROW(),""))</f>
        <v/>
      </c>
    </row>
    <row r="325" ht="36" customHeight="1">
      <c r="A325" s="91">
        <f>IF(COUNTA('Enrollment Census'!$A316:$U316)&gt;0,316,"")</f>
        <v/>
      </c>
      <c r="B325" s="91">
        <f>IF($A325="","","Employee ending "&amp;RIGHT('Enrollment Census'!$A316&amp;"",4)&amp;IF('Enrollment Census'!$AH316&gt;0," • "&amp;'Enrollment Census'!$AH316&amp;" row"&amp;IF('Enrollment Census'!$AH316=1,"","s")&amp;" need attention",""))</f>
        <v/>
      </c>
      <c r="C325" s="91">
        <f>IF($A325="","",TRIM('Enrollment Census'!$C316&amp;" "&amp;'Enrollment Census'!$D316)&amp;" • ending "&amp;RIGHT('Enrollment Census'!$W316&amp;"",4))</f>
        <v/>
      </c>
      <c r="D325" s="91">
        <f>IF($A325="","",'Enrollment Census'!$X316)</f>
        <v/>
      </c>
      <c r="E325" s="91">
        <f>IF($A325="","",'Enrollment Census'!$S316)</f>
        <v/>
      </c>
      <c r="F325" s="91">
        <f>IF($A325="","",IF('Enrollment Census'!$AF316&lt;&gt;"","FIX",IF('Enrollment Census'!$AD316&lt;&gt;"","REVIEW","READY")))</f>
        <v/>
      </c>
      <c r="G325" s="91">
        <f>IF($A325="","",'Enrollment Census'!$AE316)</f>
        <v/>
      </c>
      <c r="H325" s="91">
        <f>IF($A325="","",'Enrollment Census'!$AF316)</f>
        <v/>
      </c>
      <c r="I325" s="91">
        <f>IF($A325="","",'Enrollment Census'!$AD316)</f>
        <v/>
      </c>
      <c r="J325">
        <f>IF($A325="","",'Enrollment Census'!$A316)</f>
        <v/>
      </c>
      <c r="K325">
        <f>IF($F325="FIX",ROW(),IF($F325="REVIEW",1000+ROW(),""))</f>
        <v/>
      </c>
    </row>
    <row r="326" ht="36" customHeight="1">
      <c r="A326" s="91">
        <f>IF(COUNTA('Enrollment Census'!$A317:$U317)&gt;0,317,"")</f>
        <v/>
      </c>
      <c r="B326" s="91">
        <f>IF($A326="","","Employee ending "&amp;RIGHT('Enrollment Census'!$A317&amp;"",4)&amp;IF('Enrollment Census'!$AH317&gt;0," • "&amp;'Enrollment Census'!$AH317&amp;" row"&amp;IF('Enrollment Census'!$AH317=1,"","s")&amp;" need attention",""))</f>
        <v/>
      </c>
      <c r="C326" s="91">
        <f>IF($A326="","",TRIM('Enrollment Census'!$C317&amp;" "&amp;'Enrollment Census'!$D317)&amp;" • ending "&amp;RIGHT('Enrollment Census'!$W317&amp;"",4))</f>
        <v/>
      </c>
      <c r="D326" s="91">
        <f>IF($A326="","",'Enrollment Census'!$X317)</f>
        <v/>
      </c>
      <c r="E326" s="91">
        <f>IF($A326="","",'Enrollment Census'!$S317)</f>
        <v/>
      </c>
      <c r="F326" s="91">
        <f>IF($A326="","",IF('Enrollment Census'!$AF317&lt;&gt;"","FIX",IF('Enrollment Census'!$AD317&lt;&gt;"","REVIEW","READY")))</f>
        <v/>
      </c>
      <c r="G326" s="91">
        <f>IF($A326="","",'Enrollment Census'!$AE317)</f>
        <v/>
      </c>
      <c r="H326" s="91">
        <f>IF($A326="","",'Enrollment Census'!$AF317)</f>
        <v/>
      </c>
      <c r="I326" s="91">
        <f>IF($A326="","",'Enrollment Census'!$AD317)</f>
        <v/>
      </c>
      <c r="J326">
        <f>IF($A326="","",'Enrollment Census'!$A317)</f>
        <v/>
      </c>
      <c r="K326">
        <f>IF($F326="FIX",ROW(),IF($F326="REVIEW",1000+ROW(),""))</f>
        <v/>
      </c>
    </row>
    <row r="327" ht="36" customHeight="1">
      <c r="A327" s="91">
        <f>IF(COUNTA('Enrollment Census'!$A318:$U318)&gt;0,318,"")</f>
        <v/>
      </c>
      <c r="B327" s="91">
        <f>IF($A327="","","Employee ending "&amp;RIGHT('Enrollment Census'!$A318&amp;"",4)&amp;IF('Enrollment Census'!$AH318&gt;0," • "&amp;'Enrollment Census'!$AH318&amp;" row"&amp;IF('Enrollment Census'!$AH318=1,"","s")&amp;" need attention",""))</f>
        <v/>
      </c>
      <c r="C327" s="91">
        <f>IF($A327="","",TRIM('Enrollment Census'!$C318&amp;" "&amp;'Enrollment Census'!$D318)&amp;" • ending "&amp;RIGHT('Enrollment Census'!$W318&amp;"",4))</f>
        <v/>
      </c>
      <c r="D327" s="91">
        <f>IF($A327="","",'Enrollment Census'!$X318)</f>
        <v/>
      </c>
      <c r="E327" s="91">
        <f>IF($A327="","",'Enrollment Census'!$S318)</f>
        <v/>
      </c>
      <c r="F327" s="91">
        <f>IF($A327="","",IF('Enrollment Census'!$AF318&lt;&gt;"","FIX",IF('Enrollment Census'!$AD318&lt;&gt;"","REVIEW","READY")))</f>
        <v/>
      </c>
      <c r="G327" s="91">
        <f>IF($A327="","",'Enrollment Census'!$AE318)</f>
        <v/>
      </c>
      <c r="H327" s="91">
        <f>IF($A327="","",'Enrollment Census'!$AF318)</f>
        <v/>
      </c>
      <c r="I327" s="91">
        <f>IF($A327="","",'Enrollment Census'!$AD318)</f>
        <v/>
      </c>
      <c r="J327">
        <f>IF($A327="","",'Enrollment Census'!$A318)</f>
        <v/>
      </c>
      <c r="K327">
        <f>IF($F327="FIX",ROW(),IF($F327="REVIEW",1000+ROW(),""))</f>
        <v/>
      </c>
    </row>
    <row r="328" ht="36" customHeight="1">
      <c r="A328" s="91">
        <f>IF(COUNTA('Enrollment Census'!$A319:$U319)&gt;0,319,"")</f>
        <v/>
      </c>
      <c r="B328" s="91">
        <f>IF($A328="","","Employee ending "&amp;RIGHT('Enrollment Census'!$A319&amp;"",4)&amp;IF('Enrollment Census'!$AH319&gt;0," • "&amp;'Enrollment Census'!$AH319&amp;" row"&amp;IF('Enrollment Census'!$AH319=1,"","s")&amp;" need attention",""))</f>
        <v/>
      </c>
      <c r="C328" s="91">
        <f>IF($A328="","",TRIM('Enrollment Census'!$C319&amp;" "&amp;'Enrollment Census'!$D319)&amp;" • ending "&amp;RIGHT('Enrollment Census'!$W319&amp;"",4))</f>
        <v/>
      </c>
      <c r="D328" s="91">
        <f>IF($A328="","",'Enrollment Census'!$X319)</f>
        <v/>
      </c>
      <c r="E328" s="91">
        <f>IF($A328="","",'Enrollment Census'!$S319)</f>
        <v/>
      </c>
      <c r="F328" s="91">
        <f>IF($A328="","",IF('Enrollment Census'!$AF319&lt;&gt;"","FIX",IF('Enrollment Census'!$AD319&lt;&gt;"","REVIEW","READY")))</f>
        <v/>
      </c>
      <c r="G328" s="91">
        <f>IF($A328="","",'Enrollment Census'!$AE319)</f>
        <v/>
      </c>
      <c r="H328" s="91">
        <f>IF($A328="","",'Enrollment Census'!$AF319)</f>
        <v/>
      </c>
      <c r="I328" s="91">
        <f>IF($A328="","",'Enrollment Census'!$AD319)</f>
        <v/>
      </c>
      <c r="J328">
        <f>IF($A328="","",'Enrollment Census'!$A319)</f>
        <v/>
      </c>
      <c r="K328">
        <f>IF($F328="FIX",ROW(),IF($F328="REVIEW",1000+ROW(),""))</f>
        <v/>
      </c>
    </row>
    <row r="329" ht="36" customHeight="1">
      <c r="A329" s="91">
        <f>IF(COUNTA('Enrollment Census'!$A320:$U320)&gt;0,320,"")</f>
        <v/>
      </c>
      <c r="B329" s="91">
        <f>IF($A329="","","Employee ending "&amp;RIGHT('Enrollment Census'!$A320&amp;"",4)&amp;IF('Enrollment Census'!$AH320&gt;0," • "&amp;'Enrollment Census'!$AH320&amp;" row"&amp;IF('Enrollment Census'!$AH320=1,"","s")&amp;" need attention",""))</f>
        <v/>
      </c>
      <c r="C329" s="91">
        <f>IF($A329="","",TRIM('Enrollment Census'!$C320&amp;" "&amp;'Enrollment Census'!$D320)&amp;" • ending "&amp;RIGHT('Enrollment Census'!$W320&amp;"",4))</f>
        <v/>
      </c>
      <c r="D329" s="91">
        <f>IF($A329="","",'Enrollment Census'!$X320)</f>
        <v/>
      </c>
      <c r="E329" s="91">
        <f>IF($A329="","",'Enrollment Census'!$S320)</f>
        <v/>
      </c>
      <c r="F329" s="91">
        <f>IF($A329="","",IF('Enrollment Census'!$AF320&lt;&gt;"","FIX",IF('Enrollment Census'!$AD320&lt;&gt;"","REVIEW","READY")))</f>
        <v/>
      </c>
      <c r="G329" s="91">
        <f>IF($A329="","",'Enrollment Census'!$AE320)</f>
        <v/>
      </c>
      <c r="H329" s="91">
        <f>IF($A329="","",'Enrollment Census'!$AF320)</f>
        <v/>
      </c>
      <c r="I329" s="91">
        <f>IF($A329="","",'Enrollment Census'!$AD320)</f>
        <v/>
      </c>
      <c r="J329">
        <f>IF($A329="","",'Enrollment Census'!$A320)</f>
        <v/>
      </c>
      <c r="K329">
        <f>IF($F329="FIX",ROW(),IF($F329="REVIEW",1000+ROW(),""))</f>
        <v/>
      </c>
    </row>
    <row r="330" ht="36" customHeight="1">
      <c r="A330" s="91">
        <f>IF(COUNTA('Enrollment Census'!$A321:$U321)&gt;0,321,"")</f>
        <v/>
      </c>
      <c r="B330" s="91">
        <f>IF($A330="","","Employee ending "&amp;RIGHT('Enrollment Census'!$A321&amp;"",4)&amp;IF('Enrollment Census'!$AH321&gt;0," • "&amp;'Enrollment Census'!$AH321&amp;" row"&amp;IF('Enrollment Census'!$AH321=1,"","s")&amp;" need attention",""))</f>
        <v/>
      </c>
      <c r="C330" s="91">
        <f>IF($A330="","",TRIM('Enrollment Census'!$C321&amp;" "&amp;'Enrollment Census'!$D321)&amp;" • ending "&amp;RIGHT('Enrollment Census'!$W321&amp;"",4))</f>
        <v/>
      </c>
      <c r="D330" s="91">
        <f>IF($A330="","",'Enrollment Census'!$X321)</f>
        <v/>
      </c>
      <c r="E330" s="91">
        <f>IF($A330="","",'Enrollment Census'!$S321)</f>
        <v/>
      </c>
      <c r="F330" s="91">
        <f>IF($A330="","",IF('Enrollment Census'!$AF321&lt;&gt;"","FIX",IF('Enrollment Census'!$AD321&lt;&gt;"","REVIEW","READY")))</f>
        <v/>
      </c>
      <c r="G330" s="91">
        <f>IF($A330="","",'Enrollment Census'!$AE321)</f>
        <v/>
      </c>
      <c r="H330" s="91">
        <f>IF($A330="","",'Enrollment Census'!$AF321)</f>
        <v/>
      </c>
      <c r="I330" s="91">
        <f>IF($A330="","",'Enrollment Census'!$AD321)</f>
        <v/>
      </c>
      <c r="J330">
        <f>IF($A330="","",'Enrollment Census'!$A321)</f>
        <v/>
      </c>
      <c r="K330">
        <f>IF($F330="FIX",ROW(),IF($F330="REVIEW",1000+ROW(),""))</f>
        <v/>
      </c>
    </row>
    <row r="331" ht="36" customHeight="1">
      <c r="A331" s="91">
        <f>IF(COUNTA('Enrollment Census'!$A322:$U322)&gt;0,322,"")</f>
        <v/>
      </c>
      <c r="B331" s="91">
        <f>IF($A331="","","Employee ending "&amp;RIGHT('Enrollment Census'!$A322&amp;"",4)&amp;IF('Enrollment Census'!$AH322&gt;0," • "&amp;'Enrollment Census'!$AH322&amp;" row"&amp;IF('Enrollment Census'!$AH322=1,"","s")&amp;" need attention",""))</f>
        <v/>
      </c>
      <c r="C331" s="91">
        <f>IF($A331="","",TRIM('Enrollment Census'!$C322&amp;" "&amp;'Enrollment Census'!$D322)&amp;" • ending "&amp;RIGHT('Enrollment Census'!$W322&amp;"",4))</f>
        <v/>
      </c>
      <c r="D331" s="91">
        <f>IF($A331="","",'Enrollment Census'!$X322)</f>
        <v/>
      </c>
      <c r="E331" s="91">
        <f>IF($A331="","",'Enrollment Census'!$S322)</f>
        <v/>
      </c>
      <c r="F331" s="91">
        <f>IF($A331="","",IF('Enrollment Census'!$AF322&lt;&gt;"","FIX",IF('Enrollment Census'!$AD322&lt;&gt;"","REVIEW","READY")))</f>
        <v/>
      </c>
      <c r="G331" s="91">
        <f>IF($A331="","",'Enrollment Census'!$AE322)</f>
        <v/>
      </c>
      <c r="H331" s="91">
        <f>IF($A331="","",'Enrollment Census'!$AF322)</f>
        <v/>
      </c>
      <c r="I331" s="91">
        <f>IF($A331="","",'Enrollment Census'!$AD322)</f>
        <v/>
      </c>
      <c r="J331">
        <f>IF($A331="","",'Enrollment Census'!$A322)</f>
        <v/>
      </c>
      <c r="K331">
        <f>IF($F331="FIX",ROW(),IF($F331="REVIEW",1000+ROW(),""))</f>
        <v/>
      </c>
    </row>
    <row r="332" ht="36" customHeight="1">
      <c r="A332" s="91">
        <f>IF(COUNTA('Enrollment Census'!$A323:$U323)&gt;0,323,"")</f>
        <v/>
      </c>
      <c r="B332" s="91">
        <f>IF($A332="","","Employee ending "&amp;RIGHT('Enrollment Census'!$A323&amp;"",4)&amp;IF('Enrollment Census'!$AH323&gt;0," • "&amp;'Enrollment Census'!$AH323&amp;" row"&amp;IF('Enrollment Census'!$AH323=1,"","s")&amp;" need attention",""))</f>
        <v/>
      </c>
      <c r="C332" s="91">
        <f>IF($A332="","",TRIM('Enrollment Census'!$C323&amp;" "&amp;'Enrollment Census'!$D323)&amp;" • ending "&amp;RIGHT('Enrollment Census'!$W323&amp;"",4))</f>
        <v/>
      </c>
      <c r="D332" s="91">
        <f>IF($A332="","",'Enrollment Census'!$X323)</f>
        <v/>
      </c>
      <c r="E332" s="91">
        <f>IF($A332="","",'Enrollment Census'!$S323)</f>
        <v/>
      </c>
      <c r="F332" s="91">
        <f>IF($A332="","",IF('Enrollment Census'!$AF323&lt;&gt;"","FIX",IF('Enrollment Census'!$AD323&lt;&gt;"","REVIEW","READY")))</f>
        <v/>
      </c>
      <c r="G332" s="91">
        <f>IF($A332="","",'Enrollment Census'!$AE323)</f>
        <v/>
      </c>
      <c r="H332" s="91">
        <f>IF($A332="","",'Enrollment Census'!$AF323)</f>
        <v/>
      </c>
      <c r="I332" s="91">
        <f>IF($A332="","",'Enrollment Census'!$AD323)</f>
        <v/>
      </c>
      <c r="J332">
        <f>IF($A332="","",'Enrollment Census'!$A323)</f>
        <v/>
      </c>
      <c r="K332">
        <f>IF($F332="FIX",ROW(),IF($F332="REVIEW",1000+ROW(),""))</f>
        <v/>
      </c>
    </row>
    <row r="333" ht="36" customHeight="1">
      <c r="A333" s="91">
        <f>IF(COUNTA('Enrollment Census'!$A324:$U324)&gt;0,324,"")</f>
        <v/>
      </c>
      <c r="B333" s="91">
        <f>IF($A333="","","Employee ending "&amp;RIGHT('Enrollment Census'!$A324&amp;"",4)&amp;IF('Enrollment Census'!$AH324&gt;0," • "&amp;'Enrollment Census'!$AH324&amp;" row"&amp;IF('Enrollment Census'!$AH324=1,"","s")&amp;" need attention",""))</f>
        <v/>
      </c>
      <c r="C333" s="91">
        <f>IF($A333="","",TRIM('Enrollment Census'!$C324&amp;" "&amp;'Enrollment Census'!$D324)&amp;" • ending "&amp;RIGHT('Enrollment Census'!$W324&amp;"",4))</f>
        <v/>
      </c>
      <c r="D333" s="91">
        <f>IF($A333="","",'Enrollment Census'!$X324)</f>
        <v/>
      </c>
      <c r="E333" s="91">
        <f>IF($A333="","",'Enrollment Census'!$S324)</f>
        <v/>
      </c>
      <c r="F333" s="91">
        <f>IF($A333="","",IF('Enrollment Census'!$AF324&lt;&gt;"","FIX",IF('Enrollment Census'!$AD324&lt;&gt;"","REVIEW","READY")))</f>
        <v/>
      </c>
      <c r="G333" s="91">
        <f>IF($A333="","",'Enrollment Census'!$AE324)</f>
        <v/>
      </c>
      <c r="H333" s="91">
        <f>IF($A333="","",'Enrollment Census'!$AF324)</f>
        <v/>
      </c>
      <c r="I333" s="91">
        <f>IF($A333="","",'Enrollment Census'!$AD324)</f>
        <v/>
      </c>
      <c r="J333">
        <f>IF($A333="","",'Enrollment Census'!$A324)</f>
        <v/>
      </c>
      <c r="K333">
        <f>IF($F333="FIX",ROW(),IF($F333="REVIEW",1000+ROW(),""))</f>
        <v/>
      </c>
    </row>
    <row r="334" ht="36" customHeight="1">
      <c r="A334" s="91">
        <f>IF(COUNTA('Enrollment Census'!$A325:$U325)&gt;0,325,"")</f>
        <v/>
      </c>
      <c r="B334" s="91">
        <f>IF($A334="","","Employee ending "&amp;RIGHT('Enrollment Census'!$A325&amp;"",4)&amp;IF('Enrollment Census'!$AH325&gt;0," • "&amp;'Enrollment Census'!$AH325&amp;" row"&amp;IF('Enrollment Census'!$AH325=1,"","s")&amp;" need attention",""))</f>
        <v/>
      </c>
      <c r="C334" s="91">
        <f>IF($A334="","",TRIM('Enrollment Census'!$C325&amp;" "&amp;'Enrollment Census'!$D325)&amp;" • ending "&amp;RIGHT('Enrollment Census'!$W325&amp;"",4))</f>
        <v/>
      </c>
      <c r="D334" s="91">
        <f>IF($A334="","",'Enrollment Census'!$X325)</f>
        <v/>
      </c>
      <c r="E334" s="91">
        <f>IF($A334="","",'Enrollment Census'!$S325)</f>
        <v/>
      </c>
      <c r="F334" s="91">
        <f>IF($A334="","",IF('Enrollment Census'!$AF325&lt;&gt;"","FIX",IF('Enrollment Census'!$AD325&lt;&gt;"","REVIEW","READY")))</f>
        <v/>
      </c>
      <c r="G334" s="91">
        <f>IF($A334="","",'Enrollment Census'!$AE325)</f>
        <v/>
      </c>
      <c r="H334" s="91">
        <f>IF($A334="","",'Enrollment Census'!$AF325)</f>
        <v/>
      </c>
      <c r="I334" s="91">
        <f>IF($A334="","",'Enrollment Census'!$AD325)</f>
        <v/>
      </c>
      <c r="J334">
        <f>IF($A334="","",'Enrollment Census'!$A325)</f>
        <v/>
      </c>
      <c r="K334">
        <f>IF($F334="FIX",ROW(),IF($F334="REVIEW",1000+ROW(),""))</f>
        <v/>
      </c>
    </row>
    <row r="335" ht="36" customHeight="1">
      <c r="A335" s="91">
        <f>IF(COUNTA('Enrollment Census'!$A326:$U326)&gt;0,326,"")</f>
        <v/>
      </c>
      <c r="B335" s="91">
        <f>IF($A335="","","Employee ending "&amp;RIGHT('Enrollment Census'!$A326&amp;"",4)&amp;IF('Enrollment Census'!$AH326&gt;0," • "&amp;'Enrollment Census'!$AH326&amp;" row"&amp;IF('Enrollment Census'!$AH326=1,"","s")&amp;" need attention",""))</f>
        <v/>
      </c>
      <c r="C335" s="91">
        <f>IF($A335="","",TRIM('Enrollment Census'!$C326&amp;" "&amp;'Enrollment Census'!$D326)&amp;" • ending "&amp;RIGHT('Enrollment Census'!$W326&amp;"",4))</f>
        <v/>
      </c>
      <c r="D335" s="91">
        <f>IF($A335="","",'Enrollment Census'!$X326)</f>
        <v/>
      </c>
      <c r="E335" s="91">
        <f>IF($A335="","",'Enrollment Census'!$S326)</f>
        <v/>
      </c>
      <c r="F335" s="91">
        <f>IF($A335="","",IF('Enrollment Census'!$AF326&lt;&gt;"","FIX",IF('Enrollment Census'!$AD326&lt;&gt;"","REVIEW","READY")))</f>
        <v/>
      </c>
      <c r="G335" s="91">
        <f>IF($A335="","",'Enrollment Census'!$AE326)</f>
        <v/>
      </c>
      <c r="H335" s="91">
        <f>IF($A335="","",'Enrollment Census'!$AF326)</f>
        <v/>
      </c>
      <c r="I335" s="91">
        <f>IF($A335="","",'Enrollment Census'!$AD326)</f>
        <v/>
      </c>
      <c r="J335">
        <f>IF($A335="","",'Enrollment Census'!$A326)</f>
        <v/>
      </c>
      <c r="K335">
        <f>IF($F335="FIX",ROW(),IF($F335="REVIEW",1000+ROW(),""))</f>
        <v/>
      </c>
    </row>
    <row r="336" ht="36" customHeight="1">
      <c r="A336" s="91">
        <f>IF(COUNTA('Enrollment Census'!$A327:$U327)&gt;0,327,"")</f>
        <v/>
      </c>
      <c r="B336" s="91">
        <f>IF($A336="","","Employee ending "&amp;RIGHT('Enrollment Census'!$A327&amp;"",4)&amp;IF('Enrollment Census'!$AH327&gt;0," • "&amp;'Enrollment Census'!$AH327&amp;" row"&amp;IF('Enrollment Census'!$AH327=1,"","s")&amp;" need attention",""))</f>
        <v/>
      </c>
      <c r="C336" s="91">
        <f>IF($A336="","",TRIM('Enrollment Census'!$C327&amp;" "&amp;'Enrollment Census'!$D327)&amp;" • ending "&amp;RIGHT('Enrollment Census'!$W327&amp;"",4))</f>
        <v/>
      </c>
      <c r="D336" s="91">
        <f>IF($A336="","",'Enrollment Census'!$X327)</f>
        <v/>
      </c>
      <c r="E336" s="91">
        <f>IF($A336="","",'Enrollment Census'!$S327)</f>
        <v/>
      </c>
      <c r="F336" s="91">
        <f>IF($A336="","",IF('Enrollment Census'!$AF327&lt;&gt;"","FIX",IF('Enrollment Census'!$AD327&lt;&gt;"","REVIEW","READY")))</f>
        <v/>
      </c>
      <c r="G336" s="91">
        <f>IF($A336="","",'Enrollment Census'!$AE327)</f>
        <v/>
      </c>
      <c r="H336" s="91">
        <f>IF($A336="","",'Enrollment Census'!$AF327)</f>
        <v/>
      </c>
      <c r="I336" s="91">
        <f>IF($A336="","",'Enrollment Census'!$AD327)</f>
        <v/>
      </c>
      <c r="J336">
        <f>IF($A336="","",'Enrollment Census'!$A327)</f>
        <v/>
      </c>
      <c r="K336">
        <f>IF($F336="FIX",ROW(),IF($F336="REVIEW",1000+ROW(),""))</f>
        <v/>
      </c>
    </row>
    <row r="337" ht="36" customHeight="1">
      <c r="A337" s="91">
        <f>IF(COUNTA('Enrollment Census'!$A328:$U328)&gt;0,328,"")</f>
        <v/>
      </c>
      <c r="B337" s="91">
        <f>IF($A337="","","Employee ending "&amp;RIGHT('Enrollment Census'!$A328&amp;"",4)&amp;IF('Enrollment Census'!$AH328&gt;0," • "&amp;'Enrollment Census'!$AH328&amp;" row"&amp;IF('Enrollment Census'!$AH328=1,"","s")&amp;" need attention",""))</f>
        <v/>
      </c>
      <c r="C337" s="91">
        <f>IF($A337="","",TRIM('Enrollment Census'!$C328&amp;" "&amp;'Enrollment Census'!$D328)&amp;" • ending "&amp;RIGHT('Enrollment Census'!$W328&amp;"",4))</f>
        <v/>
      </c>
      <c r="D337" s="91">
        <f>IF($A337="","",'Enrollment Census'!$X328)</f>
        <v/>
      </c>
      <c r="E337" s="91">
        <f>IF($A337="","",'Enrollment Census'!$S328)</f>
        <v/>
      </c>
      <c r="F337" s="91">
        <f>IF($A337="","",IF('Enrollment Census'!$AF328&lt;&gt;"","FIX",IF('Enrollment Census'!$AD328&lt;&gt;"","REVIEW","READY")))</f>
        <v/>
      </c>
      <c r="G337" s="91">
        <f>IF($A337="","",'Enrollment Census'!$AE328)</f>
        <v/>
      </c>
      <c r="H337" s="91">
        <f>IF($A337="","",'Enrollment Census'!$AF328)</f>
        <v/>
      </c>
      <c r="I337" s="91">
        <f>IF($A337="","",'Enrollment Census'!$AD328)</f>
        <v/>
      </c>
      <c r="J337">
        <f>IF($A337="","",'Enrollment Census'!$A328)</f>
        <v/>
      </c>
      <c r="K337">
        <f>IF($F337="FIX",ROW(),IF($F337="REVIEW",1000+ROW(),""))</f>
        <v/>
      </c>
    </row>
    <row r="338" ht="36" customHeight="1">
      <c r="A338" s="91">
        <f>IF(COUNTA('Enrollment Census'!$A329:$U329)&gt;0,329,"")</f>
        <v/>
      </c>
      <c r="B338" s="91">
        <f>IF($A338="","","Employee ending "&amp;RIGHT('Enrollment Census'!$A329&amp;"",4)&amp;IF('Enrollment Census'!$AH329&gt;0," • "&amp;'Enrollment Census'!$AH329&amp;" row"&amp;IF('Enrollment Census'!$AH329=1,"","s")&amp;" need attention",""))</f>
        <v/>
      </c>
      <c r="C338" s="91">
        <f>IF($A338="","",TRIM('Enrollment Census'!$C329&amp;" "&amp;'Enrollment Census'!$D329)&amp;" • ending "&amp;RIGHT('Enrollment Census'!$W329&amp;"",4))</f>
        <v/>
      </c>
      <c r="D338" s="91">
        <f>IF($A338="","",'Enrollment Census'!$X329)</f>
        <v/>
      </c>
      <c r="E338" s="91">
        <f>IF($A338="","",'Enrollment Census'!$S329)</f>
        <v/>
      </c>
      <c r="F338" s="91">
        <f>IF($A338="","",IF('Enrollment Census'!$AF329&lt;&gt;"","FIX",IF('Enrollment Census'!$AD329&lt;&gt;"","REVIEW","READY")))</f>
        <v/>
      </c>
      <c r="G338" s="91">
        <f>IF($A338="","",'Enrollment Census'!$AE329)</f>
        <v/>
      </c>
      <c r="H338" s="91">
        <f>IF($A338="","",'Enrollment Census'!$AF329)</f>
        <v/>
      </c>
      <c r="I338" s="91">
        <f>IF($A338="","",'Enrollment Census'!$AD329)</f>
        <v/>
      </c>
      <c r="J338">
        <f>IF($A338="","",'Enrollment Census'!$A329)</f>
        <v/>
      </c>
      <c r="K338">
        <f>IF($F338="FIX",ROW(),IF($F338="REVIEW",1000+ROW(),""))</f>
        <v/>
      </c>
    </row>
    <row r="339" ht="36" customHeight="1">
      <c r="A339" s="91">
        <f>IF(COUNTA('Enrollment Census'!$A330:$U330)&gt;0,330,"")</f>
        <v/>
      </c>
      <c r="B339" s="91">
        <f>IF($A339="","","Employee ending "&amp;RIGHT('Enrollment Census'!$A330&amp;"",4)&amp;IF('Enrollment Census'!$AH330&gt;0," • "&amp;'Enrollment Census'!$AH330&amp;" row"&amp;IF('Enrollment Census'!$AH330=1,"","s")&amp;" need attention",""))</f>
        <v/>
      </c>
      <c r="C339" s="91">
        <f>IF($A339="","",TRIM('Enrollment Census'!$C330&amp;" "&amp;'Enrollment Census'!$D330)&amp;" • ending "&amp;RIGHT('Enrollment Census'!$W330&amp;"",4))</f>
        <v/>
      </c>
      <c r="D339" s="91">
        <f>IF($A339="","",'Enrollment Census'!$X330)</f>
        <v/>
      </c>
      <c r="E339" s="91">
        <f>IF($A339="","",'Enrollment Census'!$S330)</f>
        <v/>
      </c>
      <c r="F339" s="91">
        <f>IF($A339="","",IF('Enrollment Census'!$AF330&lt;&gt;"","FIX",IF('Enrollment Census'!$AD330&lt;&gt;"","REVIEW","READY")))</f>
        <v/>
      </c>
      <c r="G339" s="91">
        <f>IF($A339="","",'Enrollment Census'!$AE330)</f>
        <v/>
      </c>
      <c r="H339" s="91">
        <f>IF($A339="","",'Enrollment Census'!$AF330)</f>
        <v/>
      </c>
      <c r="I339" s="91">
        <f>IF($A339="","",'Enrollment Census'!$AD330)</f>
        <v/>
      </c>
      <c r="J339">
        <f>IF($A339="","",'Enrollment Census'!$A330)</f>
        <v/>
      </c>
      <c r="K339">
        <f>IF($F339="FIX",ROW(),IF($F339="REVIEW",1000+ROW(),""))</f>
        <v/>
      </c>
    </row>
    <row r="340" ht="36" customHeight="1">
      <c r="A340" s="91">
        <f>IF(COUNTA('Enrollment Census'!$A331:$U331)&gt;0,331,"")</f>
        <v/>
      </c>
      <c r="B340" s="91">
        <f>IF($A340="","","Employee ending "&amp;RIGHT('Enrollment Census'!$A331&amp;"",4)&amp;IF('Enrollment Census'!$AH331&gt;0," • "&amp;'Enrollment Census'!$AH331&amp;" row"&amp;IF('Enrollment Census'!$AH331=1,"","s")&amp;" need attention",""))</f>
        <v/>
      </c>
      <c r="C340" s="91">
        <f>IF($A340="","",TRIM('Enrollment Census'!$C331&amp;" "&amp;'Enrollment Census'!$D331)&amp;" • ending "&amp;RIGHT('Enrollment Census'!$W331&amp;"",4))</f>
        <v/>
      </c>
      <c r="D340" s="91">
        <f>IF($A340="","",'Enrollment Census'!$X331)</f>
        <v/>
      </c>
      <c r="E340" s="91">
        <f>IF($A340="","",'Enrollment Census'!$S331)</f>
        <v/>
      </c>
      <c r="F340" s="91">
        <f>IF($A340="","",IF('Enrollment Census'!$AF331&lt;&gt;"","FIX",IF('Enrollment Census'!$AD331&lt;&gt;"","REVIEW","READY")))</f>
        <v/>
      </c>
      <c r="G340" s="91">
        <f>IF($A340="","",'Enrollment Census'!$AE331)</f>
        <v/>
      </c>
      <c r="H340" s="91">
        <f>IF($A340="","",'Enrollment Census'!$AF331)</f>
        <v/>
      </c>
      <c r="I340" s="91">
        <f>IF($A340="","",'Enrollment Census'!$AD331)</f>
        <v/>
      </c>
      <c r="J340">
        <f>IF($A340="","",'Enrollment Census'!$A331)</f>
        <v/>
      </c>
      <c r="K340">
        <f>IF($F340="FIX",ROW(),IF($F340="REVIEW",1000+ROW(),""))</f>
        <v/>
      </c>
    </row>
    <row r="341" ht="36" customHeight="1">
      <c r="A341" s="91">
        <f>IF(COUNTA('Enrollment Census'!$A332:$U332)&gt;0,332,"")</f>
        <v/>
      </c>
      <c r="B341" s="91">
        <f>IF($A341="","","Employee ending "&amp;RIGHT('Enrollment Census'!$A332&amp;"",4)&amp;IF('Enrollment Census'!$AH332&gt;0," • "&amp;'Enrollment Census'!$AH332&amp;" row"&amp;IF('Enrollment Census'!$AH332=1,"","s")&amp;" need attention",""))</f>
        <v/>
      </c>
      <c r="C341" s="91">
        <f>IF($A341="","",TRIM('Enrollment Census'!$C332&amp;" "&amp;'Enrollment Census'!$D332)&amp;" • ending "&amp;RIGHT('Enrollment Census'!$W332&amp;"",4))</f>
        <v/>
      </c>
      <c r="D341" s="91">
        <f>IF($A341="","",'Enrollment Census'!$X332)</f>
        <v/>
      </c>
      <c r="E341" s="91">
        <f>IF($A341="","",'Enrollment Census'!$S332)</f>
        <v/>
      </c>
      <c r="F341" s="91">
        <f>IF($A341="","",IF('Enrollment Census'!$AF332&lt;&gt;"","FIX",IF('Enrollment Census'!$AD332&lt;&gt;"","REVIEW","READY")))</f>
        <v/>
      </c>
      <c r="G341" s="91">
        <f>IF($A341="","",'Enrollment Census'!$AE332)</f>
        <v/>
      </c>
      <c r="H341" s="91">
        <f>IF($A341="","",'Enrollment Census'!$AF332)</f>
        <v/>
      </c>
      <c r="I341" s="91">
        <f>IF($A341="","",'Enrollment Census'!$AD332)</f>
        <v/>
      </c>
      <c r="J341">
        <f>IF($A341="","",'Enrollment Census'!$A332)</f>
        <v/>
      </c>
      <c r="K341">
        <f>IF($F341="FIX",ROW(),IF($F341="REVIEW",1000+ROW(),""))</f>
        <v/>
      </c>
    </row>
    <row r="342" ht="36" customHeight="1">
      <c r="A342" s="91">
        <f>IF(COUNTA('Enrollment Census'!$A333:$U333)&gt;0,333,"")</f>
        <v/>
      </c>
      <c r="B342" s="91">
        <f>IF($A342="","","Employee ending "&amp;RIGHT('Enrollment Census'!$A333&amp;"",4)&amp;IF('Enrollment Census'!$AH333&gt;0," • "&amp;'Enrollment Census'!$AH333&amp;" row"&amp;IF('Enrollment Census'!$AH333=1,"","s")&amp;" need attention",""))</f>
        <v/>
      </c>
      <c r="C342" s="91">
        <f>IF($A342="","",TRIM('Enrollment Census'!$C333&amp;" "&amp;'Enrollment Census'!$D333)&amp;" • ending "&amp;RIGHT('Enrollment Census'!$W333&amp;"",4))</f>
        <v/>
      </c>
      <c r="D342" s="91">
        <f>IF($A342="","",'Enrollment Census'!$X333)</f>
        <v/>
      </c>
      <c r="E342" s="91">
        <f>IF($A342="","",'Enrollment Census'!$S333)</f>
        <v/>
      </c>
      <c r="F342" s="91">
        <f>IF($A342="","",IF('Enrollment Census'!$AF333&lt;&gt;"","FIX",IF('Enrollment Census'!$AD333&lt;&gt;"","REVIEW","READY")))</f>
        <v/>
      </c>
      <c r="G342" s="91">
        <f>IF($A342="","",'Enrollment Census'!$AE333)</f>
        <v/>
      </c>
      <c r="H342" s="91">
        <f>IF($A342="","",'Enrollment Census'!$AF333)</f>
        <v/>
      </c>
      <c r="I342" s="91">
        <f>IF($A342="","",'Enrollment Census'!$AD333)</f>
        <v/>
      </c>
      <c r="J342">
        <f>IF($A342="","",'Enrollment Census'!$A333)</f>
        <v/>
      </c>
      <c r="K342">
        <f>IF($F342="FIX",ROW(),IF($F342="REVIEW",1000+ROW(),""))</f>
        <v/>
      </c>
    </row>
    <row r="343" ht="36" customHeight="1">
      <c r="A343" s="91">
        <f>IF(COUNTA('Enrollment Census'!$A334:$U334)&gt;0,334,"")</f>
        <v/>
      </c>
      <c r="B343" s="91">
        <f>IF($A343="","","Employee ending "&amp;RIGHT('Enrollment Census'!$A334&amp;"",4)&amp;IF('Enrollment Census'!$AH334&gt;0," • "&amp;'Enrollment Census'!$AH334&amp;" row"&amp;IF('Enrollment Census'!$AH334=1,"","s")&amp;" need attention",""))</f>
        <v/>
      </c>
      <c r="C343" s="91">
        <f>IF($A343="","",TRIM('Enrollment Census'!$C334&amp;" "&amp;'Enrollment Census'!$D334)&amp;" • ending "&amp;RIGHT('Enrollment Census'!$W334&amp;"",4))</f>
        <v/>
      </c>
      <c r="D343" s="91">
        <f>IF($A343="","",'Enrollment Census'!$X334)</f>
        <v/>
      </c>
      <c r="E343" s="91">
        <f>IF($A343="","",'Enrollment Census'!$S334)</f>
        <v/>
      </c>
      <c r="F343" s="91">
        <f>IF($A343="","",IF('Enrollment Census'!$AF334&lt;&gt;"","FIX",IF('Enrollment Census'!$AD334&lt;&gt;"","REVIEW","READY")))</f>
        <v/>
      </c>
      <c r="G343" s="91">
        <f>IF($A343="","",'Enrollment Census'!$AE334)</f>
        <v/>
      </c>
      <c r="H343" s="91">
        <f>IF($A343="","",'Enrollment Census'!$AF334)</f>
        <v/>
      </c>
      <c r="I343" s="91">
        <f>IF($A343="","",'Enrollment Census'!$AD334)</f>
        <v/>
      </c>
      <c r="J343">
        <f>IF($A343="","",'Enrollment Census'!$A334)</f>
        <v/>
      </c>
      <c r="K343">
        <f>IF($F343="FIX",ROW(),IF($F343="REVIEW",1000+ROW(),""))</f>
        <v/>
      </c>
    </row>
    <row r="344" ht="36" customHeight="1">
      <c r="A344" s="91">
        <f>IF(COUNTA('Enrollment Census'!$A335:$U335)&gt;0,335,"")</f>
        <v/>
      </c>
      <c r="B344" s="91">
        <f>IF($A344="","","Employee ending "&amp;RIGHT('Enrollment Census'!$A335&amp;"",4)&amp;IF('Enrollment Census'!$AH335&gt;0," • "&amp;'Enrollment Census'!$AH335&amp;" row"&amp;IF('Enrollment Census'!$AH335=1,"","s")&amp;" need attention",""))</f>
        <v/>
      </c>
      <c r="C344" s="91">
        <f>IF($A344="","",TRIM('Enrollment Census'!$C335&amp;" "&amp;'Enrollment Census'!$D335)&amp;" • ending "&amp;RIGHT('Enrollment Census'!$W335&amp;"",4))</f>
        <v/>
      </c>
      <c r="D344" s="91">
        <f>IF($A344="","",'Enrollment Census'!$X335)</f>
        <v/>
      </c>
      <c r="E344" s="91">
        <f>IF($A344="","",'Enrollment Census'!$S335)</f>
        <v/>
      </c>
      <c r="F344" s="91">
        <f>IF($A344="","",IF('Enrollment Census'!$AF335&lt;&gt;"","FIX",IF('Enrollment Census'!$AD335&lt;&gt;"","REVIEW","READY")))</f>
        <v/>
      </c>
      <c r="G344" s="91">
        <f>IF($A344="","",'Enrollment Census'!$AE335)</f>
        <v/>
      </c>
      <c r="H344" s="91">
        <f>IF($A344="","",'Enrollment Census'!$AF335)</f>
        <v/>
      </c>
      <c r="I344" s="91">
        <f>IF($A344="","",'Enrollment Census'!$AD335)</f>
        <v/>
      </c>
      <c r="J344">
        <f>IF($A344="","",'Enrollment Census'!$A335)</f>
        <v/>
      </c>
      <c r="K344">
        <f>IF($F344="FIX",ROW(),IF($F344="REVIEW",1000+ROW(),""))</f>
        <v/>
      </c>
    </row>
    <row r="345" ht="36" customHeight="1">
      <c r="A345" s="91">
        <f>IF(COUNTA('Enrollment Census'!$A336:$U336)&gt;0,336,"")</f>
        <v/>
      </c>
      <c r="B345" s="91">
        <f>IF($A345="","","Employee ending "&amp;RIGHT('Enrollment Census'!$A336&amp;"",4)&amp;IF('Enrollment Census'!$AH336&gt;0," • "&amp;'Enrollment Census'!$AH336&amp;" row"&amp;IF('Enrollment Census'!$AH336=1,"","s")&amp;" need attention",""))</f>
        <v/>
      </c>
      <c r="C345" s="91">
        <f>IF($A345="","",TRIM('Enrollment Census'!$C336&amp;" "&amp;'Enrollment Census'!$D336)&amp;" • ending "&amp;RIGHT('Enrollment Census'!$W336&amp;"",4))</f>
        <v/>
      </c>
      <c r="D345" s="91">
        <f>IF($A345="","",'Enrollment Census'!$X336)</f>
        <v/>
      </c>
      <c r="E345" s="91">
        <f>IF($A345="","",'Enrollment Census'!$S336)</f>
        <v/>
      </c>
      <c r="F345" s="91">
        <f>IF($A345="","",IF('Enrollment Census'!$AF336&lt;&gt;"","FIX",IF('Enrollment Census'!$AD336&lt;&gt;"","REVIEW","READY")))</f>
        <v/>
      </c>
      <c r="G345" s="91">
        <f>IF($A345="","",'Enrollment Census'!$AE336)</f>
        <v/>
      </c>
      <c r="H345" s="91">
        <f>IF($A345="","",'Enrollment Census'!$AF336)</f>
        <v/>
      </c>
      <c r="I345" s="91">
        <f>IF($A345="","",'Enrollment Census'!$AD336)</f>
        <v/>
      </c>
      <c r="J345">
        <f>IF($A345="","",'Enrollment Census'!$A336)</f>
        <v/>
      </c>
      <c r="K345">
        <f>IF($F345="FIX",ROW(),IF($F345="REVIEW",1000+ROW(),""))</f>
        <v/>
      </c>
    </row>
    <row r="346" ht="36" customHeight="1">
      <c r="A346" s="91">
        <f>IF(COUNTA('Enrollment Census'!$A337:$U337)&gt;0,337,"")</f>
        <v/>
      </c>
      <c r="B346" s="91">
        <f>IF($A346="","","Employee ending "&amp;RIGHT('Enrollment Census'!$A337&amp;"",4)&amp;IF('Enrollment Census'!$AH337&gt;0," • "&amp;'Enrollment Census'!$AH337&amp;" row"&amp;IF('Enrollment Census'!$AH337=1,"","s")&amp;" need attention",""))</f>
        <v/>
      </c>
      <c r="C346" s="91">
        <f>IF($A346="","",TRIM('Enrollment Census'!$C337&amp;" "&amp;'Enrollment Census'!$D337)&amp;" • ending "&amp;RIGHT('Enrollment Census'!$W337&amp;"",4))</f>
        <v/>
      </c>
      <c r="D346" s="91">
        <f>IF($A346="","",'Enrollment Census'!$X337)</f>
        <v/>
      </c>
      <c r="E346" s="91">
        <f>IF($A346="","",'Enrollment Census'!$S337)</f>
        <v/>
      </c>
      <c r="F346" s="91">
        <f>IF($A346="","",IF('Enrollment Census'!$AF337&lt;&gt;"","FIX",IF('Enrollment Census'!$AD337&lt;&gt;"","REVIEW","READY")))</f>
        <v/>
      </c>
      <c r="G346" s="91">
        <f>IF($A346="","",'Enrollment Census'!$AE337)</f>
        <v/>
      </c>
      <c r="H346" s="91">
        <f>IF($A346="","",'Enrollment Census'!$AF337)</f>
        <v/>
      </c>
      <c r="I346" s="91">
        <f>IF($A346="","",'Enrollment Census'!$AD337)</f>
        <v/>
      </c>
      <c r="J346">
        <f>IF($A346="","",'Enrollment Census'!$A337)</f>
        <v/>
      </c>
      <c r="K346">
        <f>IF($F346="FIX",ROW(),IF($F346="REVIEW",1000+ROW(),""))</f>
        <v/>
      </c>
    </row>
    <row r="347" ht="36" customHeight="1">
      <c r="A347" s="91">
        <f>IF(COUNTA('Enrollment Census'!$A338:$U338)&gt;0,338,"")</f>
        <v/>
      </c>
      <c r="B347" s="91">
        <f>IF($A347="","","Employee ending "&amp;RIGHT('Enrollment Census'!$A338&amp;"",4)&amp;IF('Enrollment Census'!$AH338&gt;0," • "&amp;'Enrollment Census'!$AH338&amp;" row"&amp;IF('Enrollment Census'!$AH338=1,"","s")&amp;" need attention",""))</f>
        <v/>
      </c>
      <c r="C347" s="91">
        <f>IF($A347="","",TRIM('Enrollment Census'!$C338&amp;" "&amp;'Enrollment Census'!$D338)&amp;" • ending "&amp;RIGHT('Enrollment Census'!$W338&amp;"",4))</f>
        <v/>
      </c>
      <c r="D347" s="91">
        <f>IF($A347="","",'Enrollment Census'!$X338)</f>
        <v/>
      </c>
      <c r="E347" s="91">
        <f>IF($A347="","",'Enrollment Census'!$S338)</f>
        <v/>
      </c>
      <c r="F347" s="91">
        <f>IF($A347="","",IF('Enrollment Census'!$AF338&lt;&gt;"","FIX",IF('Enrollment Census'!$AD338&lt;&gt;"","REVIEW","READY")))</f>
        <v/>
      </c>
      <c r="G347" s="91">
        <f>IF($A347="","",'Enrollment Census'!$AE338)</f>
        <v/>
      </c>
      <c r="H347" s="91">
        <f>IF($A347="","",'Enrollment Census'!$AF338)</f>
        <v/>
      </c>
      <c r="I347" s="91">
        <f>IF($A347="","",'Enrollment Census'!$AD338)</f>
        <v/>
      </c>
      <c r="J347">
        <f>IF($A347="","",'Enrollment Census'!$A338)</f>
        <v/>
      </c>
      <c r="K347">
        <f>IF($F347="FIX",ROW(),IF($F347="REVIEW",1000+ROW(),""))</f>
        <v/>
      </c>
    </row>
    <row r="348" ht="36" customHeight="1">
      <c r="A348" s="91">
        <f>IF(COUNTA('Enrollment Census'!$A339:$U339)&gt;0,339,"")</f>
        <v/>
      </c>
      <c r="B348" s="91">
        <f>IF($A348="","","Employee ending "&amp;RIGHT('Enrollment Census'!$A339&amp;"",4)&amp;IF('Enrollment Census'!$AH339&gt;0," • "&amp;'Enrollment Census'!$AH339&amp;" row"&amp;IF('Enrollment Census'!$AH339=1,"","s")&amp;" need attention",""))</f>
        <v/>
      </c>
      <c r="C348" s="91">
        <f>IF($A348="","",TRIM('Enrollment Census'!$C339&amp;" "&amp;'Enrollment Census'!$D339)&amp;" • ending "&amp;RIGHT('Enrollment Census'!$W339&amp;"",4))</f>
        <v/>
      </c>
      <c r="D348" s="91">
        <f>IF($A348="","",'Enrollment Census'!$X339)</f>
        <v/>
      </c>
      <c r="E348" s="91">
        <f>IF($A348="","",'Enrollment Census'!$S339)</f>
        <v/>
      </c>
      <c r="F348" s="91">
        <f>IF($A348="","",IF('Enrollment Census'!$AF339&lt;&gt;"","FIX",IF('Enrollment Census'!$AD339&lt;&gt;"","REVIEW","READY")))</f>
        <v/>
      </c>
      <c r="G348" s="91">
        <f>IF($A348="","",'Enrollment Census'!$AE339)</f>
        <v/>
      </c>
      <c r="H348" s="91">
        <f>IF($A348="","",'Enrollment Census'!$AF339)</f>
        <v/>
      </c>
      <c r="I348" s="91">
        <f>IF($A348="","",'Enrollment Census'!$AD339)</f>
        <v/>
      </c>
      <c r="J348">
        <f>IF($A348="","",'Enrollment Census'!$A339)</f>
        <v/>
      </c>
      <c r="K348">
        <f>IF($F348="FIX",ROW(),IF($F348="REVIEW",1000+ROW(),""))</f>
        <v/>
      </c>
    </row>
    <row r="349" ht="36" customHeight="1">
      <c r="A349" s="91">
        <f>IF(COUNTA('Enrollment Census'!$A340:$U340)&gt;0,340,"")</f>
        <v/>
      </c>
      <c r="B349" s="91">
        <f>IF($A349="","","Employee ending "&amp;RIGHT('Enrollment Census'!$A340&amp;"",4)&amp;IF('Enrollment Census'!$AH340&gt;0," • "&amp;'Enrollment Census'!$AH340&amp;" row"&amp;IF('Enrollment Census'!$AH340=1,"","s")&amp;" need attention",""))</f>
        <v/>
      </c>
      <c r="C349" s="91">
        <f>IF($A349="","",TRIM('Enrollment Census'!$C340&amp;" "&amp;'Enrollment Census'!$D340)&amp;" • ending "&amp;RIGHT('Enrollment Census'!$W340&amp;"",4))</f>
        <v/>
      </c>
      <c r="D349" s="91">
        <f>IF($A349="","",'Enrollment Census'!$X340)</f>
        <v/>
      </c>
      <c r="E349" s="91">
        <f>IF($A349="","",'Enrollment Census'!$S340)</f>
        <v/>
      </c>
      <c r="F349" s="91">
        <f>IF($A349="","",IF('Enrollment Census'!$AF340&lt;&gt;"","FIX",IF('Enrollment Census'!$AD340&lt;&gt;"","REVIEW","READY")))</f>
        <v/>
      </c>
      <c r="G349" s="91">
        <f>IF($A349="","",'Enrollment Census'!$AE340)</f>
        <v/>
      </c>
      <c r="H349" s="91">
        <f>IF($A349="","",'Enrollment Census'!$AF340)</f>
        <v/>
      </c>
      <c r="I349" s="91">
        <f>IF($A349="","",'Enrollment Census'!$AD340)</f>
        <v/>
      </c>
      <c r="J349">
        <f>IF($A349="","",'Enrollment Census'!$A340)</f>
        <v/>
      </c>
      <c r="K349">
        <f>IF($F349="FIX",ROW(),IF($F349="REVIEW",1000+ROW(),""))</f>
        <v/>
      </c>
    </row>
    <row r="350" ht="36" customHeight="1">
      <c r="A350" s="91">
        <f>IF(COUNTA('Enrollment Census'!$A341:$U341)&gt;0,341,"")</f>
        <v/>
      </c>
      <c r="B350" s="91">
        <f>IF($A350="","","Employee ending "&amp;RIGHT('Enrollment Census'!$A341&amp;"",4)&amp;IF('Enrollment Census'!$AH341&gt;0," • "&amp;'Enrollment Census'!$AH341&amp;" row"&amp;IF('Enrollment Census'!$AH341=1,"","s")&amp;" need attention",""))</f>
        <v/>
      </c>
      <c r="C350" s="91">
        <f>IF($A350="","",TRIM('Enrollment Census'!$C341&amp;" "&amp;'Enrollment Census'!$D341)&amp;" • ending "&amp;RIGHT('Enrollment Census'!$W341&amp;"",4))</f>
        <v/>
      </c>
      <c r="D350" s="91">
        <f>IF($A350="","",'Enrollment Census'!$X341)</f>
        <v/>
      </c>
      <c r="E350" s="91">
        <f>IF($A350="","",'Enrollment Census'!$S341)</f>
        <v/>
      </c>
      <c r="F350" s="91">
        <f>IF($A350="","",IF('Enrollment Census'!$AF341&lt;&gt;"","FIX",IF('Enrollment Census'!$AD341&lt;&gt;"","REVIEW","READY")))</f>
        <v/>
      </c>
      <c r="G350" s="91">
        <f>IF($A350="","",'Enrollment Census'!$AE341)</f>
        <v/>
      </c>
      <c r="H350" s="91">
        <f>IF($A350="","",'Enrollment Census'!$AF341)</f>
        <v/>
      </c>
      <c r="I350" s="91">
        <f>IF($A350="","",'Enrollment Census'!$AD341)</f>
        <v/>
      </c>
      <c r="J350">
        <f>IF($A350="","",'Enrollment Census'!$A341)</f>
        <v/>
      </c>
      <c r="K350">
        <f>IF($F350="FIX",ROW(),IF($F350="REVIEW",1000+ROW(),""))</f>
        <v/>
      </c>
    </row>
    <row r="351" ht="36" customHeight="1">
      <c r="A351" s="91">
        <f>IF(COUNTA('Enrollment Census'!$A342:$U342)&gt;0,342,"")</f>
        <v/>
      </c>
      <c r="B351" s="91">
        <f>IF($A351="","","Employee ending "&amp;RIGHT('Enrollment Census'!$A342&amp;"",4)&amp;IF('Enrollment Census'!$AH342&gt;0," • "&amp;'Enrollment Census'!$AH342&amp;" row"&amp;IF('Enrollment Census'!$AH342=1,"","s")&amp;" need attention",""))</f>
        <v/>
      </c>
      <c r="C351" s="91">
        <f>IF($A351="","",TRIM('Enrollment Census'!$C342&amp;" "&amp;'Enrollment Census'!$D342)&amp;" • ending "&amp;RIGHT('Enrollment Census'!$W342&amp;"",4))</f>
        <v/>
      </c>
      <c r="D351" s="91">
        <f>IF($A351="","",'Enrollment Census'!$X342)</f>
        <v/>
      </c>
      <c r="E351" s="91">
        <f>IF($A351="","",'Enrollment Census'!$S342)</f>
        <v/>
      </c>
      <c r="F351" s="91">
        <f>IF($A351="","",IF('Enrollment Census'!$AF342&lt;&gt;"","FIX",IF('Enrollment Census'!$AD342&lt;&gt;"","REVIEW","READY")))</f>
        <v/>
      </c>
      <c r="G351" s="91">
        <f>IF($A351="","",'Enrollment Census'!$AE342)</f>
        <v/>
      </c>
      <c r="H351" s="91">
        <f>IF($A351="","",'Enrollment Census'!$AF342)</f>
        <v/>
      </c>
      <c r="I351" s="91">
        <f>IF($A351="","",'Enrollment Census'!$AD342)</f>
        <v/>
      </c>
      <c r="J351">
        <f>IF($A351="","",'Enrollment Census'!$A342)</f>
        <v/>
      </c>
      <c r="K351">
        <f>IF($F351="FIX",ROW(),IF($F351="REVIEW",1000+ROW(),""))</f>
        <v/>
      </c>
    </row>
    <row r="352" ht="36" customHeight="1">
      <c r="A352" s="91">
        <f>IF(COUNTA('Enrollment Census'!$A343:$U343)&gt;0,343,"")</f>
        <v/>
      </c>
      <c r="B352" s="91">
        <f>IF($A352="","","Employee ending "&amp;RIGHT('Enrollment Census'!$A343&amp;"",4)&amp;IF('Enrollment Census'!$AH343&gt;0," • "&amp;'Enrollment Census'!$AH343&amp;" row"&amp;IF('Enrollment Census'!$AH343=1,"","s")&amp;" need attention",""))</f>
        <v/>
      </c>
      <c r="C352" s="91">
        <f>IF($A352="","",TRIM('Enrollment Census'!$C343&amp;" "&amp;'Enrollment Census'!$D343)&amp;" • ending "&amp;RIGHT('Enrollment Census'!$W343&amp;"",4))</f>
        <v/>
      </c>
      <c r="D352" s="91">
        <f>IF($A352="","",'Enrollment Census'!$X343)</f>
        <v/>
      </c>
      <c r="E352" s="91">
        <f>IF($A352="","",'Enrollment Census'!$S343)</f>
        <v/>
      </c>
      <c r="F352" s="91">
        <f>IF($A352="","",IF('Enrollment Census'!$AF343&lt;&gt;"","FIX",IF('Enrollment Census'!$AD343&lt;&gt;"","REVIEW","READY")))</f>
        <v/>
      </c>
      <c r="G352" s="91">
        <f>IF($A352="","",'Enrollment Census'!$AE343)</f>
        <v/>
      </c>
      <c r="H352" s="91">
        <f>IF($A352="","",'Enrollment Census'!$AF343)</f>
        <v/>
      </c>
      <c r="I352" s="91">
        <f>IF($A352="","",'Enrollment Census'!$AD343)</f>
        <v/>
      </c>
      <c r="J352">
        <f>IF($A352="","",'Enrollment Census'!$A343)</f>
        <v/>
      </c>
      <c r="K352">
        <f>IF($F352="FIX",ROW(),IF($F352="REVIEW",1000+ROW(),""))</f>
        <v/>
      </c>
    </row>
    <row r="353" ht="36" customHeight="1">
      <c r="A353" s="91">
        <f>IF(COUNTA('Enrollment Census'!$A344:$U344)&gt;0,344,"")</f>
        <v/>
      </c>
      <c r="B353" s="91">
        <f>IF($A353="","","Employee ending "&amp;RIGHT('Enrollment Census'!$A344&amp;"",4)&amp;IF('Enrollment Census'!$AH344&gt;0," • "&amp;'Enrollment Census'!$AH344&amp;" row"&amp;IF('Enrollment Census'!$AH344=1,"","s")&amp;" need attention",""))</f>
        <v/>
      </c>
      <c r="C353" s="91">
        <f>IF($A353="","",TRIM('Enrollment Census'!$C344&amp;" "&amp;'Enrollment Census'!$D344)&amp;" • ending "&amp;RIGHT('Enrollment Census'!$W344&amp;"",4))</f>
        <v/>
      </c>
      <c r="D353" s="91">
        <f>IF($A353="","",'Enrollment Census'!$X344)</f>
        <v/>
      </c>
      <c r="E353" s="91">
        <f>IF($A353="","",'Enrollment Census'!$S344)</f>
        <v/>
      </c>
      <c r="F353" s="91">
        <f>IF($A353="","",IF('Enrollment Census'!$AF344&lt;&gt;"","FIX",IF('Enrollment Census'!$AD344&lt;&gt;"","REVIEW","READY")))</f>
        <v/>
      </c>
      <c r="G353" s="91">
        <f>IF($A353="","",'Enrollment Census'!$AE344)</f>
        <v/>
      </c>
      <c r="H353" s="91">
        <f>IF($A353="","",'Enrollment Census'!$AF344)</f>
        <v/>
      </c>
      <c r="I353" s="91">
        <f>IF($A353="","",'Enrollment Census'!$AD344)</f>
        <v/>
      </c>
      <c r="J353">
        <f>IF($A353="","",'Enrollment Census'!$A344)</f>
        <v/>
      </c>
      <c r="K353">
        <f>IF($F353="FIX",ROW(),IF($F353="REVIEW",1000+ROW(),""))</f>
        <v/>
      </c>
    </row>
    <row r="354" ht="36" customHeight="1">
      <c r="A354" s="91">
        <f>IF(COUNTA('Enrollment Census'!$A345:$U345)&gt;0,345,"")</f>
        <v/>
      </c>
      <c r="B354" s="91">
        <f>IF($A354="","","Employee ending "&amp;RIGHT('Enrollment Census'!$A345&amp;"",4)&amp;IF('Enrollment Census'!$AH345&gt;0," • "&amp;'Enrollment Census'!$AH345&amp;" row"&amp;IF('Enrollment Census'!$AH345=1,"","s")&amp;" need attention",""))</f>
        <v/>
      </c>
      <c r="C354" s="91">
        <f>IF($A354="","",TRIM('Enrollment Census'!$C345&amp;" "&amp;'Enrollment Census'!$D345)&amp;" • ending "&amp;RIGHT('Enrollment Census'!$W345&amp;"",4))</f>
        <v/>
      </c>
      <c r="D354" s="91">
        <f>IF($A354="","",'Enrollment Census'!$X345)</f>
        <v/>
      </c>
      <c r="E354" s="91">
        <f>IF($A354="","",'Enrollment Census'!$S345)</f>
        <v/>
      </c>
      <c r="F354" s="91">
        <f>IF($A354="","",IF('Enrollment Census'!$AF345&lt;&gt;"","FIX",IF('Enrollment Census'!$AD345&lt;&gt;"","REVIEW","READY")))</f>
        <v/>
      </c>
      <c r="G354" s="91">
        <f>IF($A354="","",'Enrollment Census'!$AE345)</f>
        <v/>
      </c>
      <c r="H354" s="91">
        <f>IF($A354="","",'Enrollment Census'!$AF345)</f>
        <v/>
      </c>
      <c r="I354" s="91">
        <f>IF($A354="","",'Enrollment Census'!$AD345)</f>
        <v/>
      </c>
      <c r="J354">
        <f>IF($A354="","",'Enrollment Census'!$A345)</f>
        <v/>
      </c>
      <c r="K354">
        <f>IF($F354="FIX",ROW(),IF($F354="REVIEW",1000+ROW(),""))</f>
        <v/>
      </c>
    </row>
    <row r="355" ht="36" customHeight="1">
      <c r="A355" s="91">
        <f>IF(COUNTA('Enrollment Census'!$A346:$U346)&gt;0,346,"")</f>
        <v/>
      </c>
      <c r="B355" s="91">
        <f>IF($A355="","","Employee ending "&amp;RIGHT('Enrollment Census'!$A346&amp;"",4)&amp;IF('Enrollment Census'!$AH346&gt;0," • "&amp;'Enrollment Census'!$AH346&amp;" row"&amp;IF('Enrollment Census'!$AH346=1,"","s")&amp;" need attention",""))</f>
        <v/>
      </c>
      <c r="C355" s="91">
        <f>IF($A355="","",TRIM('Enrollment Census'!$C346&amp;" "&amp;'Enrollment Census'!$D346)&amp;" • ending "&amp;RIGHT('Enrollment Census'!$W346&amp;"",4))</f>
        <v/>
      </c>
      <c r="D355" s="91">
        <f>IF($A355="","",'Enrollment Census'!$X346)</f>
        <v/>
      </c>
      <c r="E355" s="91">
        <f>IF($A355="","",'Enrollment Census'!$S346)</f>
        <v/>
      </c>
      <c r="F355" s="91">
        <f>IF($A355="","",IF('Enrollment Census'!$AF346&lt;&gt;"","FIX",IF('Enrollment Census'!$AD346&lt;&gt;"","REVIEW","READY")))</f>
        <v/>
      </c>
      <c r="G355" s="91">
        <f>IF($A355="","",'Enrollment Census'!$AE346)</f>
        <v/>
      </c>
      <c r="H355" s="91">
        <f>IF($A355="","",'Enrollment Census'!$AF346)</f>
        <v/>
      </c>
      <c r="I355" s="91">
        <f>IF($A355="","",'Enrollment Census'!$AD346)</f>
        <v/>
      </c>
      <c r="J355">
        <f>IF($A355="","",'Enrollment Census'!$A346)</f>
        <v/>
      </c>
      <c r="K355">
        <f>IF($F355="FIX",ROW(),IF($F355="REVIEW",1000+ROW(),""))</f>
        <v/>
      </c>
    </row>
    <row r="356" ht="36" customHeight="1">
      <c r="A356" s="91">
        <f>IF(COUNTA('Enrollment Census'!$A347:$U347)&gt;0,347,"")</f>
        <v/>
      </c>
      <c r="B356" s="91">
        <f>IF($A356="","","Employee ending "&amp;RIGHT('Enrollment Census'!$A347&amp;"",4)&amp;IF('Enrollment Census'!$AH347&gt;0," • "&amp;'Enrollment Census'!$AH347&amp;" row"&amp;IF('Enrollment Census'!$AH347=1,"","s")&amp;" need attention",""))</f>
        <v/>
      </c>
      <c r="C356" s="91">
        <f>IF($A356="","",TRIM('Enrollment Census'!$C347&amp;" "&amp;'Enrollment Census'!$D347)&amp;" • ending "&amp;RIGHT('Enrollment Census'!$W347&amp;"",4))</f>
        <v/>
      </c>
      <c r="D356" s="91">
        <f>IF($A356="","",'Enrollment Census'!$X347)</f>
        <v/>
      </c>
      <c r="E356" s="91">
        <f>IF($A356="","",'Enrollment Census'!$S347)</f>
        <v/>
      </c>
      <c r="F356" s="91">
        <f>IF($A356="","",IF('Enrollment Census'!$AF347&lt;&gt;"","FIX",IF('Enrollment Census'!$AD347&lt;&gt;"","REVIEW","READY")))</f>
        <v/>
      </c>
      <c r="G356" s="91">
        <f>IF($A356="","",'Enrollment Census'!$AE347)</f>
        <v/>
      </c>
      <c r="H356" s="91">
        <f>IF($A356="","",'Enrollment Census'!$AF347)</f>
        <v/>
      </c>
      <c r="I356" s="91">
        <f>IF($A356="","",'Enrollment Census'!$AD347)</f>
        <v/>
      </c>
      <c r="J356">
        <f>IF($A356="","",'Enrollment Census'!$A347)</f>
        <v/>
      </c>
      <c r="K356">
        <f>IF($F356="FIX",ROW(),IF($F356="REVIEW",1000+ROW(),""))</f>
        <v/>
      </c>
    </row>
    <row r="357" ht="36" customHeight="1">
      <c r="A357" s="91">
        <f>IF(COUNTA('Enrollment Census'!$A348:$U348)&gt;0,348,"")</f>
        <v/>
      </c>
      <c r="B357" s="91">
        <f>IF($A357="","","Employee ending "&amp;RIGHT('Enrollment Census'!$A348&amp;"",4)&amp;IF('Enrollment Census'!$AH348&gt;0," • "&amp;'Enrollment Census'!$AH348&amp;" row"&amp;IF('Enrollment Census'!$AH348=1,"","s")&amp;" need attention",""))</f>
        <v/>
      </c>
      <c r="C357" s="91">
        <f>IF($A357="","",TRIM('Enrollment Census'!$C348&amp;" "&amp;'Enrollment Census'!$D348)&amp;" • ending "&amp;RIGHT('Enrollment Census'!$W348&amp;"",4))</f>
        <v/>
      </c>
      <c r="D357" s="91">
        <f>IF($A357="","",'Enrollment Census'!$X348)</f>
        <v/>
      </c>
      <c r="E357" s="91">
        <f>IF($A357="","",'Enrollment Census'!$S348)</f>
        <v/>
      </c>
      <c r="F357" s="91">
        <f>IF($A357="","",IF('Enrollment Census'!$AF348&lt;&gt;"","FIX",IF('Enrollment Census'!$AD348&lt;&gt;"","REVIEW","READY")))</f>
        <v/>
      </c>
      <c r="G357" s="91">
        <f>IF($A357="","",'Enrollment Census'!$AE348)</f>
        <v/>
      </c>
      <c r="H357" s="91">
        <f>IF($A357="","",'Enrollment Census'!$AF348)</f>
        <v/>
      </c>
      <c r="I357" s="91">
        <f>IF($A357="","",'Enrollment Census'!$AD348)</f>
        <v/>
      </c>
      <c r="J357">
        <f>IF($A357="","",'Enrollment Census'!$A348)</f>
        <v/>
      </c>
      <c r="K357">
        <f>IF($F357="FIX",ROW(),IF($F357="REVIEW",1000+ROW(),""))</f>
        <v/>
      </c>
    </row>
    <row r="358" ht="36" customHeight="1">
      <c r="A358" s="91">
        <f>IF(COUNTA('Enrollment Census'!$A349:$U349)&gt;0,349,"")</f>
        <v/>
      </c>
      <c r="B358" s="91">
        <f>IF($A358="","","Employee ending "&amp;RIGHT('Enrollment Census'!$A349&amp;"",4)&amp;IF('Enrollment Census'!$AH349&gt;0," • "&amp;'Enrollment Census'!$AH349&amp;" row"&amp;IF('Enrollment Census'!$AH349=1,"","s")&amp;" need attention",""))</f>
        <v/>
      </c>
      <c r="C358" s="91">
        <f>IF($A358="","",TRIM('Enrollment Census'!$C349&amp;" "&amp;'Enrollment Census'!$D349)&amp;" • ending "&amp;RIGHT('Enrollment Census'!$W349&amp;"",4))</f>
        <v/>
      </c>
      <c r="D358" s="91">
        <f>IF($A358="","",'Enrollment Census'!$X349)</f>
        <v/>
      </c>
      <c r="E358" s="91">
        <f>IF($A358="","",'Enrollment Census'!$S349)</f>
        <v/>
      </c>
      <c r="F358" s="91">
        <f>IF($A358="","",IF('Enrollment Census'!$AF349&lt;&gt;"","FIX",IF('Enrollment Census'!$AD349&lt;&gt;"","REVIEW","READY")))</f>
        <v/>
      </c>
      <c r="G358" s="91">
        <f>IF($A358="","",'Enrollment Census'!$AE349)</f>
        <v/>
      </c>
      <c r="H358" s="91">
        <f>IF($A358="","",'Enrollment Census'!$AF349)</f>
        <v/>
      </c>
      <c r="I358" s="91">
        <f>IF($A358="","",'Enrollment Census'!$AD349)</f>
        <v/>
      </c>
      <c r="J358">
        <f>IF($A358="","",'Enrollment Census'!$A349)</f>
        <v/>
      </c>
      <c r="K358">
        <f>IF($F358="FIX",ROW(),IF($F358="REVIEW",1000+ROW(),""))</f>
        <v/>
      </c>
    </row>
    <row r="359" ht="36" customHeight="1">
      <c r="A359" s="91">
        <f>IF(COUNTA('Enrollment Census'!$A350:$U350)&gt;0,350,"")</f>
        <v/>
      </c>
      <c r="B359" s="91">
        <f>IF($A359="","","Employee ending "&amp;RIGHT('Enrollment Census'!$A350&amp;"",4)&amp;IF('Enrollment Census'!$AH350&gt;0," • "&amp;'Enrollment Census'!$AH350&amp;" row"&amp;IF('Enrollment Census'!$AH350=1,"","s")&amp;" need attention",""))</f>
        <v/>
      </c>
      <c r="C359" s="91">
        <f>IF($A359="","",TRIM('Enrollment Census'!$C350&amp;" "&amp;'Enrollment Census'!$D350)&amp;" • ending "&amp;RIGHT('Enrollment Census'!$W350&amp;"",4))</f>
        <v/>
      </c>
      <c r="D359" s="91">
        <f>IF($A359="","",'Enrollment Census'!$X350)</f>
        <v/>
      </c>
      <c r="E359" s="91">
        <f>IF($A359="","",'Enrollment Census'!$S350)</f>
        <v/>
      </c>
      <c r="F359" s="91">
        <f>IF($A359="","",IF('Enrollment Census'!$AF350&lt;&gt;"","FIX",IF('Enrollment Census'!$AD350&lt;&gt;"","REVIEW","READY")))</f>
        <v/>
      </c>
      <c r="G359" s="91">
        <f>IF($A359="","",'Enrollment Census'!$AE350)</f>
        <v/>
      </c>
      <c r="H359" s="91">
        <f>IF($A359="","",'Enrollment Census'!$AF350)</f>
        <v/>
      </c>
      <c r="I359" s="91">
        <f>IF($A359="","",'Enrollment Census'!$AD350)</f>
        <v/>
      </c>
      <c r="J359">
        <f>IF($A359="","",'Enrollment Census'!$A350)</f>
        <v/>
      </c>
      <c r="K359">
        <f>IF($F359="FIX",ROW(),IF($F359="REVIEW",1000+ROW(),""))</f>
        <v/>
      </c>
    </row>
    <row r="360" ht="36" customHeight="1">
      <c r="A360" s="91">
        <f>IF(COUNTA('Enrollment Census'!$A351:$U351)&gt;0,351,"")</f>
        <v/>
      </c>
      <c r="B360" s="91">
        <f>IF($A360="","","Employee ending "&amp;RIGHT('Enrollment Census'!$A351&amp;"",4)&amp;IF('Enrollment Census'!$AH351&gt;0," • "&amp;'Enrollment Census'!$AH351&amp;" row"&amp;IF('Enrollment Census'!$AH351=1,"","s")&amp;" need attention",""))</f>
        <v/>
      </c>
      <c r="C360" s="91">
        <f>IF($A360="","",TRIM('Enrollment Census'!$C351&amp;" "&amp;'Enrollment Census'!$D351)&amp;" • ending "&amp;RIGHT('Enrollment Census'!$W351&amp;"",4))</f>
        <v/>
      </c>
      <c r="D360" s="91">
        <f>IF($A360="","",'Enrollment Census'!$X351)</f>
        <v/>
      </c>
      <c r="E360" s="91">
        <f>IF($A360="","",'Enrollment Census'!$S351)</f>
        <v/>
      </c>
      <c r="F360" s="91">
        <f>IF($A360="","",IF('Enrollment Census'!$AF351&lt;&gt;"","FIX",IF('Enrollment Census'!$AD351&lt;&gt;"","REVIEW","READY")))</f>
        <v/>
      </c>
      <c r="G360" s="91">
        <f>IF($A360="","",'Enrollment Census'!$AE351)</f>
        <v/>
      </c>
      <c r="H360" s="91">
        <f>IF($A360="","",'Enrollment Census'!$AF351)</f>
        <v/>
      </c>
      <c r="I360" s="91">
        <f>IF($A360="","",'Enrollment Census'!$AD351)</f>
        <v/>
      </c>
      <c r="J360">
        <f>IF($A360="","",'Enrollment Census'!$A351)</f>
        <v/>
      </c>
      <c r="K360">
        <f>IF($F360="FIX",ROW(),IF($F360="REVIEW",1000+ROW(),""))</f>
        <v/>
      </c>
    </row>
    <row r="361" ht="36" customHeight="1">
      <c r="A361" s="91">
        <f>IF(COUNTA('Enrollment Census'!$A352:$U352)&gt;0,352,"")</f>
        <v/>
      </c>
      <c r="B361" s="91">
        <f>IF($A361="","","Employee ending "&amp;RIGHT('Enrollment Census'!$A352&amp;"",4)&amp;IF('Enrollment Census'!$AH352&gt;0," • "&amp;'Enrollment Census'!$AH352&amp;" row"&amp;IF('Enrollment Census'!$AH352=1,"","s")&amp;" need attention",""))</f>
        <v/>
      </c>
      <c r="C361" s="91">
        <f>IF($A361="","",TRIM('Enrollment Census'!$C352&amp;" "&amp;'Enrollment Census'!$D352)&amp;" • ending "&amp;RIGHT('Enrollment Census'!$W352&amp;"",4))</f>
        <v/>
      </c>
      <c r="D361" s="91">
        <f>IF($A361="","",'Enrollment Census'!$X352)</f>
        <v/>
      </c>
      <c r="E361" s="91">
        <f>IF($A361="","",'Enrollment Census'!$S352)</f>
        <v/>
      </c>
      <c r="F361" s="91">
        <f>IF($A361="","",IF('Enrollment Census'!$AF352&lt;&gt;"","FIX",IF('Enrollment Census'!$AD352&lt;&gt;"","REVIEW","READY")))</f>
        <v/>
      </c>
      <c r="G361" s="91">
        <f>IF($A361="","",'Enrollment Census'!$AE352)</f>
        <v/>
      </c>
      <c r="H361" s="91">
        <f>IF($A361="","",'Enrollment Census'!$AF352)</f>
        <v/>
      </c>
      <c r="I361" s="91">
        <f>IF($A361="","",'Enrollment Census'!$AD352)</f>
        <v/>
      </c>
      <c r="J361">
        <f>IF($A361="","",'Enrollment Census'!$A352)</f>
        <v/>
      </c>
      <c r="K361">
        <f>IF($F361="FIX",ROW(),IF($F361="REVIEW",1000+ROW(),""))</f>
        <v/>
      </c>
    </row>
    <row r="362" ht="36" customHeight="1">
      <c r="A362" s="91">
        <f>IF(COUNTA('Enrollment Census'!$A353:$U353)&gt;0,353,"")</f>
        <v/>
      </c>
      <c r="B362" s="91">
        <f>IF($A362="","","Employee ending "&amp;RIGHT('Enrollment Census'!$A353&amp;"",4)&amp;IF('Enrollment Census'!$AH353&gt;0," • "&amp;'Enrollment Census'!$AH353&amp;" row"&amp;IF('Enrollment Census'!$AH353=1,"","s")&amp;" need attention",""))</f>
        <v/>
      </c>
      <c r="C362" s="91">
        <f>IF($A362="","",TRIM('Enrollment Census'!$C353&amp;" "&amp;'Enrollment Census'!$D353)&amp;" • ending "&amp;RIGHT('Enrollment Census'!$W353&amp;"",4))</f>
        <v/>
      </c>
      <c r="D362" s="91">
        <f>IF($A362="","",'Enrollment Census'!$X353)</f>
        <v/>
      </c>
      <c r="E362" s="91">
        <f>IF($A362="","",'Enrollment Census'!$S353)</f>
        <v/>
      </c>
      <c r="F362" s="91">
        <f>IF($A362="","",IF('Enrollment Census'!$AF353&lt;&gt;"","FIX",IF('Enrollment Census'!$AD353&lt;&gt;"","REVIEW","READY")))</f>
        <v/>
      </c>
      <c r="G362" s="91">
        <f>IF($A362="","",'Enrollment Census'!$AE353)</f>
        <v/>
      </c>
      <c r="H362" s="91">
        <f>IF($A362="","",'Enrollment Census'!$AF353)</f>
        <v/>
      </c>
      <c r="I362" s="91">
        <f>IF($A362="","",'Enrollment Census'!$AD353)</f>
        <v/>
      </c>
      <c r="J362">
        <f>IF($A362="","",'Enrollment Census'!$A353)</f>
        <v/>
      </c>
      <c r="K362">
        <f>IF($F362="FIX",ROW(),IF($F362="REVIEW",1000+ROW(),""))</f>
        <v/>
      </c>
    </row>
    <row r="363" ht="36" customHeight="1">
      <c r="A363" s="91">
        <f>IF(COUNTA('Enrollment Census'!$A354:$U354)&gt;0,354,"")</f>
        <v/>
      </c>
      <c r="B363" s="91">
        <f>IF($A363="","","Employee ending "&amp;RIGHT('Enrollment Census'!$A354&amp;"",4)&amp;IF('Enrollment Census'!$AH354&gt;0," • "&amp;'Enrollment Census'!$AH354&amp;" row"&amp;IF('Enrollment Census'!$AH354=1,"","s")&amp;" need attention",""))</f>
        <v/>
      </c>
      <c r="C363" s="91">
        <f>IF($A363="","",TRIM('Enrollment Census'!$C354&amp;" "&amp;'Enrollment Census'!$D354)&amp;" • ending "&amp;RIGHT('Enrollment Census'!$W354&amp;"",4))</f>
        <v/>
      </c>
      <c r="D363" s="91">
        <f>IF($A363="","",'Enrollment Census'!$X354)</f>
        <v/>
      </c>
      <c r="E363" s="91">
        <f>IF($A363="","",'Enrollment Census'!$S354)</f>
        <v/>
      </c>
      <c r="F363" s="91">
        <f>IF($A363="","",IF('Enrollment Census'!$AF354&lt;&gt;"","FIX",IF('Enrollment Census'!$AD354&lt;&gt;"","REVIEW","READY")))</f>
        <v/>
      </c>
      <c r="G363" s="91">
        <f>IF($A363="","",'Enrollment Census'!$AE354)</f>
        <v/>
      </c>
      <c r="H363" s="91">
        <f>IF($A363="","",'Enrollment Census'!$AF354)</f>
        <v/>
      </c>
      <c r="I363" s="91">
        <f>IF($A363="","",'Enrollment Census'!$AD354)</f>
        <v/>
      </c>
      <c r="J363">
        <f>IF($A363="","",'Enrollment Census'!$A354)</f>
        <v/>
      </c>
      <c r="K363">
        <f>IF($F363="FIX",ROW(),IF($F363="REVIEW",1000+ROW(),""))</f>
        <v/>
      </c>
    </row>
    <row r="364" ht="36" customHeight="1">
      <c r="A364" s="91">
        <f>IF(COUNTA('Enrollment Census'!$A355:$U355)&gt;0,355,"")</f>
        <v/>
      </c>
      <c r="B364" s="91">
        <f>IF($A364="","","Employee ending "&amp;RIGHT('Enrollment Census'!$A355&amp;"",4)&amp;IF('Enrollment Census'!$AH355&gt;0," • "&amp;'Enrollment Census'!$AH355&amp;" row"&amp;IF('Enrollment Census'!$AH355=1,"","s")&amp;" need attention",""))</f>
        <v/>
      </c>
      <c r="C364" s="91">
        <f>IF($A364="","",TRIM('Enrollment Census'!$C355&amp;" "&amp;'Enrollment Census'!$D355)&amp;" • ending "&amp;RIGHT('Enrollment Census'!$W355&amp;"",4))</f>
        <v/>
      </c>
      <c r="D364" s="91">
        <f>IF($A364="","",'Enrollment Census'!$X355)</f>
        <v/>
      </c>
      <c r="E364" s="91">
        <f>IF($A364="","",'Enrollment Census'!$S355)</f>
        <v/>
      </c>
      <c r="F364" s="91">
        <f>IF($A364="","",IF('Enrollment Census'!$AF355&lt;&gt;"","FIX",IF('Enrollment Census'!$AD355&lt;&gt;"","REVIEW","READY")))</f>
        <v/>
      </c>
      <c r="G364" s="91">
        <f>IF($A364="","",'Enrollment Census'!$AE355)</f>
        <v/>
      </c>
      <c r="H364" s="91">
        <f>IF($A364="","",'Enrollment Census'!$AF355)</f>
        <v/>
      </c>
      <c r="I364" s="91">
        <f>IF($A364="","",'Enrollment Census'!$AD355)</f>
        <v/>
      </c>
      <c r="J364">
        <f>IF($A364="","",'Enrollment Census'!$A355)</f>
        <v/>
      </c>
      <c r="K364">
        <f>IF($F364="FIX",ROW(),IF($F364="REVIEW",1000+ROW(),""))</f>
        <v/>
      </c>
    </row>
    <row r="365" ht="36" customHeight="1">
      <c r="A365" s="91">
        <f>IF(COUNTA('Enrollment Census'!$A356:$U356)&gt;0,356,"")</f>
        <v/>
      </c>
      <c r="B365" s="91">
        <f>IF($A365="","","Employee ending "&amp;RIGHT('Enrollment Census'!$A356&amp;"",4)&amp;IF('Enrollment Census'!$AH356&gt;0," • "&amp;'Enrollment Census'!$AH356&amp;" row"&amp;IF('Enrollment Census'!$AH356=1,"","s")&amp;" need attention",""))</f>
        <v/>
      </c>
      <c r="C365" s="91">
        <f>IF($A365="","",TRIM('Enrollment Census'!$C356&amp;" "&amp;'Enrollment Census'!$D356)&amp;" • ending "&amp;RIGHT('Enrollment Census'!$W356&amp;"",4))</f>
        <v/>
      </c>
      <c r="D365" s="91">
        <f>IF($A365="","",'Enrollment Census'!$X356)</f>
        <v/>
      </c>
      <c r="E365" s="91">
        <f>IF($A365="","",'Enrollment Census'!$S356)</f>
        <v/>
      </c>
      <c r="F365" s="91">
        <f>IF($A365="","",IF('Enrollment Census'!$AF356&lt;&gt;"","FIX",IF('Enrollment Census'!$AD356&lt;&gt;"","REVIEW","READY")))</f>
        <v/>
      </c>
      <c r="G365" s="91">
        <f>IF($A365="","",'Enrollment Census'!$AE356)</f>
        <v/>
      </c>
      <c r="H365" s="91">
        <f>IF($A365="","",'Enrollment Census'!$AF356)</f>
        <v/>
      </c>
      <c r="I365" s="91">
        <f>IF($A365="","",'Enrollment Census'!$AD356)</f>
        <v/>
      </c>
      <c r="J365">
        <f>IF($A365="","",'Enrollment Census'!$A356)</f>
        <v/>
      </c>
      <c r="K365">
        <f>IF($F365="FIX",ROW(),IF($F365="REVIEW",1000+ROW(),""))</f>
        <v/>
      </c>
    </row>
    <row r="366" ht="36" customHeight="1">
      <c r="A366" s="91">
        <f>IF(COUNTA('Enrollment Census'!$A357:$U357)&gt;0,357,"")</f>
        <v/>
      </c>
      <c r="B366" s="91">
        <f>IF($A366="","","Employee ending "&amp;RIGHT('Enrollment Census'!$A357&amp;"",4)&amp;IF('Enrollment Census'!$AH357&gt;0," • "&amp;'Enrollment Census'!$AH357&amp;" row"&amp;IF('Enrollment Census'!$AH357=1,"","s")&amp;" need attention",""))</f>
        <v/>
      </c>
      <c r="C366" s="91">
        <f>IF($A366="","",TRIM('Enrollment Census'!$C357&amp;" "&amp;'Enrollment Census'!$D357)&amp;" • ending "&amp;RIGHT('Enrollment Census'!$W357&amp;"",4))</f>
        <v/>
      </c>
      <c r="D366" s="91">
        <f>IF($A366="","",'Enrollment Census'!$X357)</f>
        <v/>
      </c>
      <c r="E366" s="91">
        <f>IF($A366="","",'Enrollment Census'!$S357)</f>
        <v/>
      </c>
      <c r="F366" s="91">
        <f>IF($A366="","",IF('Enrollment Census'!$AF357&lt;&gt;"","FIX",IF('Enrollment Census'!$AD357&lt;&gt;"","REVIEW","READY")))</f>
        <v/>
      </c>
      <c r="G366" s="91">
        <f>IF($A366="","",'Enrollment Census'!$AE357)</f>
        <v/>
      </c>
      <c r="H366" s="91">
        <f>IF($A366="","",'Enrollment Census'!$AF357)</f>
        <v/>
      </c>
      <c r="I366" s="91">
        <f>IF($A366="","",'Enrollment Census'!$AD357)</f>
        <v/>
      </c>
      <c r="J366">
        <f>IF($A366="","",'Enrollment Census'!$A357)</f>
        <v/>
      </c>
      <c r="K366">
        <f>IF($F366="FIX",ROW(),IF($F366="REVIEW",1000+ROW(),""))</f>
        <v/>
      </c>
    </row>
    <row r="367" ht="36" customHeight="1">
      <c r="A367" s="91">
        <f>IF(COUNTA('Enrollment Census'!$A358:$U358)&gt;0,358,"")</f>
        <v/>
      </c>
      <c r="B367" s="91">
        <f>IF($A367="","","Employee ending "&amp;RIGHT('Enrollment Census'!$A358&amp;"",4)&amp;IF('Enrollment Census'!$AH358&gt;0," • "&amp;'Enrollment Census'!$AH358&amp;" row"&amp;IF('Enrollment Census'!$AH358=1,"","s")&amp;" need attention",""))</f>
        <v/>
      </c>
      <c r="C367" s="91">
        <f>IF($A367="","",TRIM('Enrollment Census'!$C358&amp;" "&amp;'Enrollment Census'!$D358)&amp;" • ending "&amp;RIGHT('Enrollment Census'!$W358&amp;"",4))</f>
        <v/>
      </c>
      <c r="D367" s="91">
        <f>IF($A367="","",'Enrollment Census'!$X358)</f>
        <v/>
      </c>
      <c r="E367" s="91">
        <f>IF($A367="","",'Enrollment Census'!$S358)</f>
        <v/>
      </c>
      <c r="F367" s="91">
        <f>IF($A367="","",IF('Enrollment Census'!$AF358&lt;&gt;"","FIX",IF('Enrollment Census'!$AD358&lt;&gt;"","REVIEW","READY")))</f>
        <v/>
      </c>
      <c r="G367" s="91">
        <f>IF($A367="","",'Enrollment Census'!$AE358)</f>
        <v/>
      </c>
      <c r="H367" s="91">
        <f>IF($A367="","",'Enrollment Census'!$AF358)</f>
        <v/>
      </c>
      <c r="I367" s="91">
        <f>IF($A367="","",'Enrollment Census'!$AD358)</f>
        <v/>
      </c>
      <c r="J367">
        <f>IF($A367="","",'Enrollment Census'!$A358)</f>
        <v/>
      </c>
      <c r="K367">
        <f>IF($F367="FIX",ROW(),IF($F367="REVIEW",1000+ROW(),""))</f>
        <v/>
      </c>
    </row>
    <row r="368" ht="36" customHeight="1">
      <c r="A368" s="91">
        <f>IF(COUNTA('Enrollment Census'!$A359:$U359)&gt;0,359,"")</f>
        <v/>
      </c>
      <c r="B368" s="91">
        <f>IF($A368="","","Employee ending "&amp;RIGHT('Enrollment Census'!$A359&amp;"",4)&amp;IF('Enrollment Census'!$AH359&gt;0," • "&amp;'Enrollment Census'!$AH359&amp;" row"&amp;IF('Enrollment Census'!$AH359=1,"","s")&amp;" need attention",""))</f>
        <v/>
      </c>
      <c r="C368" s="91">
        <f>IF($A368="","",TRIM('Enrollment Census'!$C359&amp;" "&amp;'Enrollment Census'!$D359)&amp;" • ending "&amp;RIGHT('Enrollment Census'!$W359&amp;"",4))</f>
        <v/>
      </c>
      <c r="D368" s="91">
        <f>IF($A368="","",'Enrollment Census'!$X359)</f>
        <v/>
      </c>
      <c r="E368" s="91">
        <f>IF($A368="","",'Enrollment Census'!$S359)</f>
        <v/>
      </c>
      <c r="F368" s="91">
        <f>IF($A368="","",IF('Enrollment Census'!$AF359&lt;&gt;"","FIX",IF('Enrollment Census'!$AD359&lt;&gt;"","REVIEW","READY")))</f>
        <v/>
      </c>
      <c r="G368" s="91">
        <f>IF($A368="","",'Enrollment Census'!$AE359)</f>
        <v/>
      </c>
      <c r="H368" s="91">
        <f>IF($A368="","",'Enrollment Census'!$AF359)</f>
        <v/>
      </c>
      <c r="I368" s="91">
        <f>IF($A368="","",'Enrollment Census'!$AD359)</f>
        <v/>
      </c>
      <c r="J368">
        <f>IF($A368="","",'Enrollment Census'!$A359)</f>
        <v/>
      </c>
      <c r="K368">
        <f>IF($F368="FIX",ROW(),IF($F368="REVIEW",1000+ROW(),""))</f>
        <v/>
      </c>
    </row>
    <row r="369" ht="36" customHeight="1">
      <c r="A369" s="91">
        <f>IF(COUNTA('Enrollment Census'!$A360:$U360)&gt;0,360,"")</f>
        <v/>
      </c>
      <c r="B369" s="91">
        <f>IF($A369="","","Employee ending "&amp;RIGHT('Enrollment Census'!$A360&amp;"",4)&amp;IF('Enrollment Census'!$AH360&gt;0," • "&amp;'Enrollment Census'!$AH360&amp;" row"&amp;IF('Enrollment Census'!$AH360=1,"","s")&amp;" need attention",""))</f>
        <v/>
      </c>
      <c r="C369" s="91">
        <f>IF($A369="","",TRIM('Enrollment Census'!$C360&amp;" "&amp;'Enrollment Census'!$D360)&amp;" • ending "&amp;RIGHT('Enrollment Census'!$W360&amp;"",4))</f>
        <v/>
      </c>
      <c r="D369" s="91">
        <f>IF($A369="","",'Enrollment Census'!$X360)</f>
        <v/>
      </c>
      <c r="E369" s="91">
        <f>IF($A369="","",'Enrollment Census'!$S360)</f>
        <v/>
      </c>
      <c r="F369" s="91">
        <f>IF($A369="","",IF('Enrollment Census'!$AF360&lt;&gt;"","FIX",IF('Enrollment Census'!$AD360&lt;&gt;"","REVIEW","READY")))</f>
        <v/>
      </c>
      <c r="G369" s="91">
        <f>IF($A369="","",'Enrollment Census'!$AE360)</f>
        <v/>
      </c>
      <c r="H369" s="91">
        <f>IF($A369="","",'Enrollment Census'!$AF360)</f>
        <v/>
      </c>
      <c r="I369" s="91">
        <f>IF($A369="","",'Enrollment Census'!$AD360)</f>
        <v/>
      </c>
      <c r="J369">
        <f>IF($A369="","",'Enrollment Census'!$A360)</f>
        <v/>
      </c>
      <c r="K369">
        <f>IF($F369="FIX",ROW(),IF($F369="REVIEW",1000+ROW(),""))</f>
        <v/>
      </c>
    </row>
    <row r="370" ht="36" customHeight="1">
      <c r="A370" s="91">
        <f>IF(COUNTA('Enrollment Census'!$A361:$U361)&gt;0,361,"")</f>
        <v/>
      </c>
      <c r="B370" s="91">
        <f>IF($A370="","","Employee ending "&amp;RIGHT('Enrollment Census'!$A361&amp;"",4)&amp;IF('Enrollment Census'!$AH361&gt;0," • "&amp;'Enrollment Census'!$AH361&amp;" row"&amp;IF('Enrollment Census'!$AH361=1,"","s")&amp;" need attention",""))</f>
        <v/>
      </c>
      <c r="C370" s="91">
        <f>IF($A370="","",TRIM('Enrollment Census'!$C361&amp;" "&amp;'Enrollment Census'!$D361)&amp;" • ending "&amp;RIGHT('Enrollment Census'!$W361&amp;"",4))</f>
        <v/>
      </c>
      <c r="D370" s="91">
        <f>IF($A370="","",'Enrollment Census'!$X361)</f>
        <v/>
      </c>
      <c r="E370" s="91">
        <f>IF($A370="","",'Enrollment Census'!$S361)</f>
        <v/>
      </c>
      <c r="F370" s="91">
        <f>IF($A370="","",IF('Enrollment Census'!$AF361&lt;&gt;"","FIX",IF('Enrollment Census'!$AD361&lt;&gt;"","REVIEW","READY")))</f>
        <v/>
      </c>
      <c r="G370" s="91">
        <f>IF($A370="","",'Enrollment Census'!$AE361)</f>
        <v/>
      </c>
      <c r="H370" s="91">
        <f>IF($A370="","",'Enrollment Census'!$AF361)</f>
        <v/>
      </c>
      <c r="I370" s="91">
        <f>IF($A370="","",'Enrollment Census'!$AD361)</f>
        <v/>
      </c>
      <c r="J370">
        <f>IF($A370="","",'Enrollment Census'!$A361)</f>
        <v/>
      </c>
      <c r="K370">
        <f>IF($F370="FIX",ROW(),IF($F370="REVIEW",1000+ROW(),""))</f>
        <v/>
      </c>
    </row>
    <row r="371" ht="36" customHeight="1">
      <c r="A371" s="91">
        <f>IF(COUNTA('Enrollment Census'!$A362:$U362)&gt;0,362,"")</f>
        <v/>
      </c>
      <c r="B371" s="91">
        <f>IF($A371="","","Employee ending "&amp;RIGHT('Enrollment Census'!$A362&amp;"",4)&amp;IF('Enrollment Census'!$AH362&gt;0," • "&amp;'Enrollment Census'!$AH362&amp;" row"&amp;IF('Enrollment Census'!$AH362=1,"","s")&amp;" need attention",""))</f>
        <v/>
      </c>
      <c r="C371" s="91">
        <f>IF($A371="","",TRIM('Enrollment Census'!$C362&amp;" "&amp;'Enrollment Census'!$D362)&amp;" • ending "&amp;RIGHT('Enrollment Census'!$W362&amp;"",4))</f>
        <v/>
      </c>
      <c r="D371" s="91">
        <f>IF($A371="","",'Enrollment Census'!$X362)</f>
        <v/>
      </c>
      <c r="E371" s="91">
        <f>IF($A371="","",'Enrollment Census'!$S362)</f>
        <v/>
      </c>
      <c r="F371" s="91">
        <f>IF($A371="","",IF('Enrollment Census'!$AF362&lt;&gt;"","FIX",IF('Enrollment Census'!$AD362&lt;&gt;"","REVIEW","READY")))</f>
        <v/>
      </c>
      <c r="G371" s="91">
        <f>IF($A371="","",'Enrollment Census'!$AE362)</f>
        <v/>
      </c>
      <c r="H371" s="91">
        <f>IF($A371="","",'Enrollment Census'!$AF362)</f>
        <v/>
      </c>
      <c r="I371" s="91">
        <f>IF($A371="","",'Enrollment Census'!$AD362)</f>
        <v/>
      </c>
      <c r="J371">
        <f>IF($A371="","",'Enrollment Census'!$A362)</f>
        <v/>
      </c>
      <c r="K371">
        <f>IF($F371="FIX",ROW(),IF($F371="REVIEW",1000+ROW(),""))</f>
        <v/>
      </c>
    </row>
    <row r="372" ht="36" customHeight="1">
      <c r="A372" s="91">
        <f>IF(COUNTA('Enrollment Census'!$A363:$U363)&gt;0,363,"")</f>
        <v/>
      </c>
      <c r="B372" s="91">
        <f>IF($A372="","","Employee ending "&amp;RIGHT('Enrollment Census'!$A363&amp;"",4)&amp;IF('Enrollment Census'!$AH363&gt;0," • "&amp;'Enrollment Census'!$AH363&amp;" row"&amp;IF('Enrollment Census'!$AH363=1,"","s")&amp;" need attention",""))</f>
        <v/>
      </c>
      <c r="C372" s="91">
        <f>IF($A372="","",TRIM('Enrollment Census'!$C363&amp;" "&amp;'Enrollment Census'!$D363)&amp;" • ending "&amp;RIGHT('Enrollment Census'!$W363&amp;"",4))</f>
        <v/>
      </c>
      <c r="D372" s="91">
        <f>IF($A372="","",'Enrollment Census'!$X363)</f>
        <v/>
      </c>
      <c r="E372" s="91">
        <f>IF($A372="","",'Enrollment Census'!$S363)</f>
        <v/>
      </c>
      <c r="F372" s="91">
        <f>IF($A372="","",IF('Enrollment Census'!$AF363&lt;&gt;"","FIX",IF('Enrollment Census'!$AD363&lt;&gt;"","REVIEW","READY")))</f>
        <v/>
      </c>
      <c r="G372" s="91">
        <f>IF($A372="","",'Enrollment Census'!$AE363)</f>
        <v/>
      </c>
      <c r="H372" s="91">
        <f>IF($A372="","",'Enrollment Census'!$AF363)</f>
        <v/>
      </c>
      <c r="I372" s="91">
        <f>IF($A372="","",'Enrollment Census'!$AD363)</f>
        <v/>
      </c>
      <c r="J372">
        <f>IF($A372="","",'Enrollment Census'!$A363)</f>
        <v/>
      </c>
      <c r="K372">
        <f>IF($F372="FIX",ROW(),IF($F372="REVIEW",1000+ROW(),""))</f>
        <v/>
      </c>
    </row>
    <row r="373" ht="36" customHeight="1">
      <c r="A373" s="91">
        <f>IF(COUNTA('Enrollment Census'!$A364:$U364)&gt;0,364,"")</f>
        <v/>
      </c>
      <c r="B373" s="91">
        <f>IF($A373="","","Employee ending "&amp;RIGHT('Enrollment Census'!$A364&amp;"",4)&amp;IF('Enrollment Census'!$AH364&gt;0," • "&amp;'Enrollment Census'!$AH364&amp;" row"&amp;IF('Enrollment Census'!$AH364=1,"","s")&amp;" need attention",""))</f>
        <v/>
      </c>
      <c r="C373" s="91">
        <f>IF($A373="","",TRIM('Enrollment Census'!$C364&amp;" "&amp;'Enrollment Census'!$D364)&amp;" • ending "&amp;RIGHT('Enrollment Census'!$W364&amp;"",4))</f>
        <v/>
      </c>
      <c r="D373" s="91">
        <f>IF($A373="","",'Enrollment Census'!$X364)</f>
        <v/>
      </c>
      <c r="E373" s="91">
        <f>IF($A373="","",'Enrollment Census'!$S364)</f>
        <v/>
      </c>
      <c r="F373" s="91">
        <f>IF($A373="","",IF('Enrollment Census'!$AF364&lt;&gt;"","FIX",IF('Enrollment Census'!$AD364&lt;&gt;"","REVIEW","READY")))</f>
        <v/>
      </c>
      <c r="G373" s="91">
        <f>IF($A373="","",'Enrollment Census'!$AE364)</f>
        <v/>
      </c>
      <c r="H373" s="91">
        <f>IF($A373="","",'Enrollment Census'!$AF364)</f>
        <v/>
      </c>
      <c r="I373" s="91">
        <f>IF($A373="","",'Enrollment Census'!$AD364)</f>
        <v/>
      </c>
      <c r="J373">
        <f>IF($A373="","",'Enrollment Census'!$A364)</f>
        <v/>
      </c>
      <c r="K373">
        <f>IF($F373="FIX",ROW(),IF($F373="REVIEW",1000+ROW(),""))</f>
        <v/>
      </c>
    </row>
    <row r="374" ht="36" customHeight="1">
      <c r="A374" s="91">
        <f>IF(COUNTA('Enrollment Census'!$A365:$U365)&gt;0,365,"")</f>
        <v/>
      </c>
      <c r="B374" s="91">
        <f>IF($A374="","","Employee ending "&amp;RIGHT('Enrollment Census'!$A365&amp;"",4)&amp;IF('Enrollment Census'!$AH365&gt;0," • "&amp;'Enrollment Census'!$AH365&amp;" row"&amp;IF('Enrollment Census'!$AH365=1,"","s")&amp;" need attention",""))</f>
        <v/>
      </c>
      <c r="C374" s="91">
        <f>IF($A374="","",TRIM('Enrollment Census'!$C365&amp;" "&amp;'Enrollment Census'!$D365)&amp;" • ending "&amp;RIGHT('Enrollment Census'!$W365&amp;"",4))</f>
        <v/>
      </c>
      <c r="D374" s="91">
        <f>IF($A374="","",'Enrollment Census'!$X365)</f>
        <v/>
      </c>
      <c r="E374" s="91">
        <f>IF($A374="","",'Enrollment Census'!$S365)</f>
        <v/>
      </c>
      <c r="F374" s="91">
        <f>IF($A374="","",IF('Enrollment Census'!$AF365&lt;&gt;"","FIX",IF('Enrollment Census'!$AD365&lt;&gt;"","REVIEW","READY")))</f>
        <v/>
      </c>
      <c r="G374" s="91">
        <f>IF($A374="","",'Enrollment Census'!$AE365)</f>
        <v/>
      </c>
      <c r="H374" s="91">
        <f>IF($A374="","",'Enrollment Census'!$AF365)</f>
        <v/>
      </c>
      <c r="I374" s="91">
        <f>IF($A374="","",'Enrollment Census'!$AD365)</f>
        <v/>
      </c>
      <c r="J374">
        <f>IF($A374="","",'Enrollment Census'!$A365)</f>
        <v/>
      </c>
      <c r="K374">
        <f>IF($F374="FIX",ROW(),IF($F374="REVIEW",1000+ROW(),""))</f>
        <v/>
      </c>
    </row>
    <row r="375" ht="36" customHeight="1">
      <c r="A375" s="91">
        <f>IF(COUNTA('Enrollment Census'!$A366:$U366)&gt;0,366,"")</f>
        <v/>
      </c>
      <c r="B375" s="91">
        <f>IF($A375="","","Employee ending "&amp;RIGHT('Enrollment Census'!$A366&amp;"",4)&amp;IF('Enrollment Census'!$AH366&gt;0," • "&amp;'Enrollment Census'!$AH366&amp;" row"&amp;IF('Enrollment Census'!$AH366=1,"","s")&amp;" need attention",""))</f>
        <v/>
      </c>
      <c r="C375" s="91">
        <f>IF($A375="","",TRIM('Enrollment Census'!$C366&amp;" "&amp;'Enrollment Census'!$D366)&amp;" • ending "&amp;RIGHT('Enrollment Census'!$W366&amp;"",4))</f>
        <v/>
      </c>
      <c r="D375" s="91">
        <f>IF($A375="","",'Enrollment Census'!$X366)</f>
        <v/>
      </c>
      <c r="E375" s="91">
        <f>IF($A375="","",'Enrollment Census'!$S366)</f>
        <v/>
      </c>
      <c r="F375" s="91">
        <f>IF($A375="","",IF('Enrollment Census'!$AF366&lt;&gt;"","FIX",IF('Enrollment Census'!$AD366&lt;&gt;"","REVIEW","READY")))</f>
        <v/>
      </c>
      <c r="G375" s="91">
        <f>IF($A375="","",'Enrollment Census'!$AE366)</f>
        <v/>
      </c>
      <c r="H375" s="91">
        <f>IF($A375="","",'Enrollment Census'!$AF366)</f>
        <v/>
      </c>
      <c r="I375" s="91">
        <f>IF($A375="","",'Enrollment Census'!$AD366)</f>
        <v/>
      </c>
      <c r="J375">
        <f>IF($A375="","",'Enrollment Census'!$A366)</f>
        <v/>
      </c>
      <c r="K375">
        <f>IF($F375="FIX",ROW(),IF($F375="REVIEW",1000+ROW(),""))</f>
        <v/>
      </c>
    </row>
    <row r="376" ht="36" customHeight="1">
      <c r="A376" s="91">
        <f>IF(COUNTA('Enrollment Census'!$A367:$U367)&gt;0,367,"")</f>
        <v/>
      </c>
      <c r="B376" s="91">
        <f>IF($A376="","","Employee ending "&amp;RIGHT('Enrollment Census'!$A367&amp;"",4)&amp;IF('Enrollment Census'!$AH367&gt;0," • "&amp;'Enrollment Census'!$AH367&amp;" row"&amp;IF('Enrollment Census'!$AH367=1,"","s")&amp;" need attention",""))</f>
        <v/>
      </c>
      <c r="C376" s="91">
        <f>IF($A376="","",TRIM('Enrollment Census'!$C367&amp;" "&amp;'Enrollment Census'!$D367)&amp;" • ending "&amp;RIGHT('Enrollment Census'!$W367&amp;"",4))</f>
        <v/>
      </c>
      <c r="D376" s="91">
        <f>IF($A376="","",'Enrollment Census'!$X367)</f>
        <v/>
      </c>
      <c r="E376" s="91">
        <f>IF($A376="","",'Enrollment Census'!$S367)</f>
        <v/>
      </c>
      <c r="F376" s="91">
        <f>IF($A376="","",IF('Enrollment Census'!$AF367&lt;&gt;"","FIX",IF('Enrollment Census'!$AD367&lt;&gt;"","REVIEW","READY")))</f>
        <v/>
      </c>
      <c r="G376" s="91">
        <f>IF($A376="","",'Enrollment Census'!$AE367)</f>
        <v/>
      </c>
      <c r="H376" s="91">
        <f>IF($A376="","",'Enrollment Census'!$AF367)</f>
        <v/>
      </c>
      <c r="I376" s="91">
        <f>IF($A376="","",'Enrollment Census'!$AD367)</f>
        <v/>
      </c>
      <c r="J376">
        <f>IF($A376="","",'Enrollment Census'!$A367)</f>
        <v/>
      </c>
      <c r="K376">
        <f>IF($F376="FIX",ROW(),IF($F376="REVIEW",1000+ROW(),""))</f>
        <v/>
      </c>
    </row>
    <row r="377" ht="36" customHeight="1">
      <c r="A377" s="91">
        <f>IF(COUNTA('Enrollment Census'!$A368:$U368)&gt;0,368,"")</f>
        <v/>
      </c>
      <c r="B377" s="91">
        <f>IF($A377="","","Employee ending "&amp;RIGHT('Enrollment Census'!$A368&amp;"",4)&amp;IF('Enrollment Census'!$AH368&gt;0," • "&amp;'Enrollment Census'!$AH368&amp;" row"&amp;IF('Enrollment Census'!$AH368=1,"","s")&amp;" need attention",""))</f>
        <v/>
      </c>
      <c r="C377" s="91">
        <f>IF($A377="","",TRIM('Enrollment Census'!$C368&amp;" "&amp;'Enrollment Census'!$D368)&amp;" • ending "&amp;RIGHT('Enrollment Census'!$W368&amp;"",4))</f>
        <v/>
      </c>
      <c r="D377" s="91">
        <f>IF($A377="","",'Enrollment Census'!$X368)</f>
        <v/>
      </c>
      <c r="E377" s="91">
        <f>IF($A377="","",'Enrollment Census'!$S368)</f>
        <v/>
      </c>
      <c r="F377" s="91">
        <f>IF($A377="","",IF('Enrollment Census'!$AF368&lt;&gt;"","FIX",IF('Enrollment Census'!$AD368&lt;&gt;"","REVIEW","READY")))</f>
        <v/>
      </c>
      <c r="G377" s="91">
        <f>IF($A377="","",'Enrollment Census'!$AE368)</f>
        <v/>
      </c>
      <c r="H377" s="91">
        <f>IF($A377="","",'Enrollment Census'!$AF368)</f>
        <v/>
      </c>
      <c r="I377" s="91">
        <f>IF($A377="","",'Enrollment Census'!$AD368)</f>
        <v/>
      </c>
      <c r="J377">
        <f>IF($A377="","",'Enrollment Census'!$A368)</f>
        <v/>
      </c>
      <c r="K377">
        <f>IF($F377="FIX",ROW(),IF($F377="REVIEW",1000+ROW(),""))</f>
        <v/>
      </c>
    </row>
    <row r="378" ht="36" customHeight="1">
      <c r="A378" s="91">
        <f>IF(COUNTA('Enrollment Census'!$A369:$U369)&gt;0,369,"")</f>
        <v/>
      </c>
      <c r="B378" s="91">
        <f>IF($A378="","","Employee ending "&amp;RIGHT('Enrollment Census'!$A369&amp;"",4)&amp;IF('Enrollment Census'!$AH369&gt;0," • "&amp;'Enrollment Census'!$AH369&amp;" row"&amp;IF('Enrollment Census'!$AH369=1,"","s")&amp;" need attention",""))</f>
        <v/>
      </c>
      <c r="C378" s="91">
        <f>IF($A378="","",TRIM('Enrollment Census'!$C369&amp;" "&amp;'Enrollment Census'!$D369)&amp;" • ending "&amp;RIGHT('Enrollment Census'!$W369&amp;"",4))</f>
        <v/>
      </c>
      <c r="D378" s="91">
        <f>IF($A378="","",'Enrollment Census'!$X369)</f>
        <v/>
      </c>
      <c r="E378" s="91">
        <f>IF($A378="","",'Enrollment Census'!$S369)</f>
        <v/>
      </c>
      <c r="F378" s="91">
        <f>IF($A378="","",IF('Enrollment Census'!$AF369&lt;&gt;"","FIX",IF('Enrollment Census'!$AD369&lt;&gt;"","REVIEW","READY")))</f>
        <v/>
      </c>
      <c r="G378" s="91">
        <f>IF($A378="","",'Enrollment Census'!$AE369)</f>
        <v/>
      </c>
      <c r="H378" s="91">
        <f>IF($A378="","",'Enrollment Census'!$AF369)</f>
        <v/>
      </c>
      <c r="I378" s="91">
        <f>IF($A378="","",'Enrollment Census'!$AD369)</f>
        <v/>
      </c>
      <c r="J378">
        <f>IF($A378="","",'Enrollment Census'!$A369)</f>
        <v/>
      </c>
      <c r="K378">
        <f>IF($F378="FIX",ROW(),IF($F378="REVIEW",1000+ROW(),""))</f>
        <v/>
      </c>
    </row>
    <row r="379" ht="36" customHeight="1">
      <c r="A379" s="91">
        <f>IF(COUNTA('Enrollment Census'!$A370:$U370)&gt;0,370,"")</f>
        <v/>
      </c>
      <c r="B379" s="91">
        <f>IF($A379="","","Employee ending "&amp;RIGHT('Enrollment Census'!$A370&amp;"",4)&amp;IF('Enrollment Census'!$AH370&gt;0," • "&amp;'Enrollment Census'!$AH370&amp;" row"&amp;IF('Enrollment Census'!$AH370=1,"","s")&amp;" need attention",""))</f>
        <v/>
      </c>
      <c r="C379" s="91">
        <f>IF($A379="","",TRIM('Enrollment Census'!$C370&amp;" "&amp;'Enrollment Census'!$D370)&amp;" • ending "&amp;RIGHT('Enrollment Census'!$W370&amp;"",4))</f>
        <v/>
      </c>
      <c r="D379" s="91">
        <f>IF($A379="","",'Enrollment Census'!$X370)</f>
        <v/>
      </c>
      <c r="E379" s="91">
        <f>IF($A379="","",'Enrollment Census'!$S370)</f>
        <v/>
      </c>
      <c r="F379" s="91">
        <f>IF($A379="","",IF('Enrollment Census'!$AF370&lt;&gt;"","FIX",IF('Enrollment Census'!$AD370&lt;&gt;"","REVIEW","READY")))</f>
        <v/>
      </c>
      <c r="G379" s="91">
        <f>IF($A379="","",'Enrollment Census'!$AE370)</f>
        <v/>
      </c>
      <c r="H379" s="91">
        <f>IF($A379="","",'Enrollment Census'!$AF370)</f>
        <v/>
      </c>
      <c r="I379" s="91">
        <f>IF($A379="","",'Enrollment Census'!$AD370)</f>
        <v/>
      </c>
      <c r="J379">
        <f>IF($A379="","",'Enrollment Census'!$A370)</f>
        <v/>
      </c>
      <c r="K379">
        <f>IF($F379="FIX",ROW(),IF($F379="REVIEW",1000+ROW(),""))</f>
        <v/>
      </c>
    </row>
    <row r="380" ht="36" customHeight="1">
      <c r="A380" s="91">
        <f>IF(COUNTA('Enrollment Census'!$A371:$U371)&gt;0,371,"")</f>
        <v/>
      </c>
      <c r="B380" s="91">
        <f>IF($A380="","","Employee ending "&amp;RIGHT('Enrollment Census'!$A371&amp;"",4)&amp;IF('Enrollment Census'!$AH371&gt;0," • "&amp;'Enrollment Census'!$AH371&amp;" row"&amp;IF('Enrollment Census'!$AH371=1,"","s")&amp;" need attention",""))</f>
        <v/>
      </c>
      <c r="C380" s="91">
        <f>IF($A380="","",TRIM('Enrollment Census'!$C371&amp;" "&amp;'Enrollment Census'!$D371)&amp;" • ending "&amp;RIGHT('Enrollment Census'!$W371&amp;"",4))</f>
        <v/>
      </c>
      <c r="D380" s="91">
        <f>IF($A380="","",'Enrollment Census'!$X371)</f>
        <v/>
      </c>
      <c r="E380" s="91">
        <f>IF($A380="","",'Enrollment Census'!$S371)</f>
        <v/>
      </c>
      <c r="F380" s="91">
        <f>IF($A380="","",IF('Enrollment Census'!$AF371&lt;&gt;"","FIX",IF('Enrollment Census'!$AD371&lt;&gt;"","REVIEW","READY")))</f>
        <v/>
      </c>
      <c r="G380" s="91">
        <f>IF($A380="","",'Enrollment Census'!$AE371)</f>
        <v/>
      </c>
      <c r="H380" s="91">
        <f>IF($A380="","",'Enrollment Census'!$AF371)</f>
        <v/>
      </c>
      <c r="I380" s="91">
        <f>IF($A380="","",'Enrollment Census'!$AD371)</f>
        <v/>
      </c>
      <c r="J380">
        <f>IF($A380="","",'Enrollment Census'!$A371)</f>
        <v/>
      </c>
      <c r="K380">
        <f>IF($F380="FIX",ROW(),IF($F380="REVIEW",1000+ROW(),""))</f>
        <v/>
      </c>
    </row>
    <row r="381" ht="36" customHeight="1">
      <c r="A381" s="91">
        <f>IF(COUNTA('Enrollment Census'!$A372:$U372)&gt;0,372,"")</f>
        <v/>
      </c>
      <c r="B381" s="91">
        <f>IF($A381="","","Employee ending "&amp;RIGHT('Enrollment Census'!$A372&amp;"",4)&amp;IF('Enrollment Census'!$AH372&gt;0," • "&amp;'Enrollment Census'!$AH372&amp;" row"&amp;IF('Enrollment Census'!$AH372=1,"","s")&amp;" need attention",""))</f>
        <v/>
      </c>
      <c r="C381" s="91">
        <f>IF($A381="","",TRIM('Enrollment Census'!$C372&amp;" "&amp;'Enrollment Census'!$D372)&amp;" • ending "&amp;RIGHT('Enrollment Census'!$W372&amp;"",4))</f>
        <v/>
      </c>
      <c r="D381" s="91">
        <f>IF($A381="","",'Enrollment Census'!$X372)</f>
        <v/>
      </c>
      <c r="E381" s="91">
        <f>IF($A381="","",'Enrollment Census'!$S372)</f>
        <v/>
      </c>
      <c r="F381" s="91">
        <f>IF($A381="","",IF('Enrollment Census'!$AF372&lt;&gt;"","FIX",IF('Enrollment Census'!$AD372&lt;&gt;"","REVIEW","READY")))</f>
        <v/>
      </c>
      <c r="G381" s="91">
        <f>IF($A381="","",'Enrollment Census'!$AE372)</f>
        <v/>
      </c>
      <c r="H381" s="91">
        <f>IF($A381="","",'Enrollment Census'!$AF372)</f>
        <v/>
      </c>
      <c r="I381" s="91">
        <f>IF($A381="","",'Enrollment Census'!$AD372)</f>
        <v/>
      </c>
      <c r="J381">
        <f>IF($A381="","",'Enrollment Census'!$A372)</f>
        <v/>
      </c>
      <c r="K381">
        <f>IF($F381="FIX",ROW(),IF($F381="REVIEW",1000+ROW(),""))</f>
        <v/>
      </c>
    </row>
    <row r="382" ht="36" customHeight="1">
      <c r="A382" s="91">
        <f>IF(COUNTA('Enrollment Census'!$A373:$U373)&gt;0,373,"")</f>
        <v/>
      </c>
      <c r="B382" s="91">
        <f>IF($A382="","","Employee ending "&amp;RIGHT('Enrollment Census'!$A373&amp;"",4)&amp;IF('Enrollment Census'!$AH373&gt;0," • "&amp;'Enrollment Census'!$AH373&amp;" row"&amp;IF('Enrollment Census'!$AH373=1,"","s")&amp;" need attention",""))</f>
        <v/>
      </c>
      <c r="C382" s="91">
        <f>IF($A382="","",TRIM('Enrollment Census'!$C373&amp;" "&amp;'Enrollment Census'!$D373)&amp;" • ending "&amp;RIGHT('Enrollment Census'!$W373&amp;"",4))</f>
        <v/>
      </c>
      <c r="D382" s="91">
        <f>IF($A382="","",'Enrollment Census'!$X373)</f>
        <v/>
      </c>
      <c r="E382" s="91">
        <f>IF($A382="","",'Enrollment Census'!$S373)</f>
        <v/>
      </c>
      <c r="F382" s="91">
        <f>IF($A382="","",IF('Enrollment Census'!$AF373&lt;&gt;"","FIX",IF('Enrollment Census'!$AD373&lt;&gt;"","REVIEW","READY")))</f>
        <v/>
      </c>
      <c r="G382" s="91">
        <f>IF($A382="","",'Enrollment Census'!$AE373)</f>
        <v/>
      </c>
      <c r="H382" s="91">
        <f>IF($A382="","",'Enrollment Census'!$AF373)</f>
        <v/>
      </c>
      <c r="I382" s="91">
        <f>IF($A382="","",'Enrollment Census'!$AD373)</f>
        <v/>
      </c>
      <c r="J382">
        <f>IF($A382="","",'Enrollment Census'!$A373)</f>
        <v/>
      </c>
      <c r="K382">
        <f>IF($F382="FIX",ROW(),IF($F382="REVIEW",1000+ROW(),""))</f>
        <v/>
      </c>
    </row>
    <row r="383" ht="36" customHeight="1">
      <c r="A383" s="91">
        <f>IF(COUNTA('Enrollment Census'!$A374:$U374)&gt;0,374,"")</f>
        <v/>
      </c>
      <c r="B383" s="91">
        <f>IF($A383="","","Employee ending "&amp;RIGHT('Enrollment Census'!$A374&amp;"",4)&amp;IF('Enrollment Census'!$AH374&gt;0," • "&amp;'Enrollment Census'!$AH374&amp;" row"&amp;IF('Enrollment Census'!$AH374=1,"","s")&amp;" need attention",""))</f>
        <v/>
      </c>
      <c r="C383" s="91">
        <f>IF($A383="","",TRIM('Enrollment Census'!$C374&amp;" "&amp;'Enrollment Census'!$D374)&amp;" • ending "&amp;RIGHT('Enrollment Census'!$W374&amp;"",4))</f>
        <v/>
      </c>
      <c r="D383" s="91">
        <f>IF($A383="","",'Enrollment Census'!$X374)</f>
        <v/>
      </c>
      <c r="E383" s="91">
        <f>IF($A383="","",'Enrollment Census'!$S374)</f>
        <v/>
      </c>
      <c r="F383" s="91">
        <f>IF($A383="","",IF('Enrollment Census'!$AF374&lt;&gt;"","FIX",IF('Enrollment Census'!$AD374&lt;&gt;"","REVIEW","READY")))</f>
        <v/>
      </c>
      <c r="G383" s="91">
        <f>IF($A383="","",'Enrollment Census'!$AE374)</f>
        <v/>
      </c>
      <c r="H383" s="91">
        <f>IF($A383="","",'Enrollment Census'!$AF374)</f>
        <v/>
      </c>
      <c r="I383" s="91">
        <f>IF($A383="","",'Enrollment Census'!$AD374)</f>
        <v/>
      </c>
      <c r="J383">
        <f>IF($A383="","",'Enrollment Census'!$A374)</f>
        <v/>
      </c>
      <c r="K383">
        <f>IF($F383="FIX",ROW(),IF($F383="REVIEW",1000+ROW(),""))</f>
        <v/>
      </c>
    </row>
    <row r="384" ht="36" customHeight="1">
      <c r="A384" s="91">
        <f>IF(COUNTA('Enrollment Census'!$A375:$U375)&gt;0,375,"")</f>
        <v/>
      </c>
      <c r="B384" s="91">
        <f>IF($A384="","","Employee ending "&amp;RIGHT('Enrollment Census'!$A375&amp;"",4)&amp;IF('Enrollment Census'!$AH375&gt;0," • "&amp;'Enrollment Census'!$AH375&amp;" row"&amp;IF('Enrollment Census'!$AH375=1,"","s")&amp;" need attention",""))</f>
        <v/>
      </c>
      <c r="C384" s="91">
        <f>IF($A384="","",TRIM('Enrollment Census'!$C375&amp;" "&amp;'Enrollment Census'!$D375)&amp;" • ending "&amp;RIGHT('Enrollment Census'!$W375&amp;"",4))</f>
        <v/>
      </c>
      <c r="D384" s="91">
        <f>IF($A384="","",'Enrollment Census'!$X375)</f>
        <v/>
      </c>
      <c r="E384" s="91">
        <f>IF($A384="","",'Enrollment Census'!$S375)</f>
        <v/>
      </c>
      <c r="F384" s="91">
        <f>IF($A384="","",IF('Enrollment Census'!$AF375&lt;&gt;"","FIX",IF('Enrollment Census'!$AD375&lt;&gt;"","REVIEW","READY")))</f>
        <v/>
      </c>
      <c r="G384" s="91">
        <f>IF($A384="","",'Enrollment Census'!$AE375)</f>
        <v/>
      </c>
      <c r="H384" s="91">
        <f>IF($A384="","",'Enrollment Census'!$AF375)</f>
        <v/>
      </c>
      <c r="I384" s="91">
        <f>IF($A384="","",'Enrollment Census'!$AD375)</f>
        <v/>
      </c>
      <c r="J384">
        <f>IF($A384="","",'Enrollment Census'!$A375)</f>
        <v/>
      </c>
      <c r="K384">
        <f>IF($F384="FIX",ROW(),IF($F384="REVIEW",1000+ROW(),""))</f>
        <v/>
      </c>
    </row>
    <row r="385" ht="36" customHeight="1">
      <c r="A385" s="91">
        <f>IF(COUNTA('Enrollment Census'!$A376:$U376)&gt;0,376,"")</f>
        <v/>
      </c>
      <c r="B385" s="91">
        <f>IF($A385="","","Employee ending "&amp;RIGHT('Enrollment Census'!$A376&amp;"",4)&amp;IF('Enrollment Census'!$AH376&gt;0," • "&amp;'Enrollment Census'!$AH376&amp;" row"&amp;IF('Enrollment Census'!$AH376=1,"","s")&amp;" need attention",""))</f>
        <v/>
      </c>
      <c r="C385" s="91">
        <f>IF($A385="","",TRIM('Enrollment Census'!$C376&amp;" "&amp;'Enrollment Census'!$D376)&amp;" • ending "&amp;RIGHT('Enrollment Census'!$W376&amp;"",4))</f>
        <v/>
      </c>
      <c r="D385" s="91">
        <f>IF($A385="","",'Enrollment Census'!$X376)</f>
        <v/>
      </c>
      <c r="E385" s="91">
        <f>IF($A385="","",'Enrollment Census'!$S376)</f>
        <v/>
      </c>
      <c r="F385" s="91">
        <f>IF($A385="","",IF('Enrollment Census'!$AF376&lt;&gt;"","FIX",IF('Enrollment Census'!$AD376&lt;&gt;"","REVIEW","READY")))</f>
        <v/>
      </c>
      <c r="G385" s="91">
        <f>IF($A385="","",'Enrollment Census'!$AE376)</f>
        <v/>
      </c>
      <c r="H385" s="91">
        <f>IF($A385="","",'Enrollment Census'!$AF376)</f>
        <v/>
      </c>
      <c r="I385" s="91">
        <f>IF($A385="","",'Enrollment Census'!$AD376)</f>
        <v/>
      </c>
      <c r="J385">
        <f>IF($A385="","",'Enrollment Census'!$A376)</f>
        <v/>
      </c>
      <c r="K385">
        <f>IF($F385="FIX",ROW(),IF($F385="REVIEW",1000+ROW(),""))</f>
        <v/>
      </c>
    </row>
    <row r="386" ht="36" customHeight="1">
      <c r="A386" s="91">
        <f>IF(COUNTA('Enrollment Census'!$A377:$U377)&gt;0,377,"")</f>
        <v/>
      </c>
      <c r="B386" s="91">
        <f>IF($A386="","","Employee ending "&amp;RIGHT('Enrollment Census'!$A377&amp;"",4)&amp;IF('Enrollment Census'!$AH377&gt;0," • "&amp;'Enrollment Census'!$AH377&amp;" row"&amp;IF('Enrollment Census'!$AH377=1,"","s")&amp;" need attention",""))</f>
        <v/>
      </c>
      <c r="C386" s="91">
        <f>IF($A386="","",TRIM('Enrollment Census'!$C377&amp;" "&amp;'Enrollment Census'!$D377)&amp;" • ending "&amp;RIGHT('Enrollment Census'!$W377&amp;"",4))</f>
        <v/>
      </c>
      <c r="D386" s="91">
        <f>IF($A386="","",'Enrollment Census'!$X377)</f>
        <v/>
      </c>
      <c r="E386" s="91">
        <f>IF($A386="","",'Enrollment Census'!$S377)</f>
        <v/>
      </c>
      <c r="F386" s="91">
        <f>IF($A386="","",IF('Enrollment Census'!$AF377&lt;&gt;"","FIX",IF('Enrollment Census'!$AD377&lt;&gt;"","REVIEW","READY")))</f>
        <v/>
      </c>
      <c r="G386" s="91">
        <f>IF($A386="","",'Enrollment Census'!$AE377)</f>
        <v/>
      </c>
      <c r="H386" s="91">
        <f>IF($A386="","",'Enrollment Census'!$AF377)</f>
        <v/>
      </c>
      <c r="I386" s="91">
        <f>IF($A386="","",'Enrollment Census'!$AD377)</f>
        <v/>
      </c>
      <c r="J386">
        <f>IF($A386="","",'Enrollment Census'!$A377)</f>
        <v/>
      </c>
      <c r="K386">
        <f>IF($F386="FIX",ROW(),IF($F386="REVIEW",1000+ROW(),""))</f>
        <v/>
      </c>
    </row>
    <row r="387" ht="36" customHeight="1">
      <c r="A387" s="91">
        <f>IF(COUNTA('Enrollment Census'!$A378:$U378)&gt;0,378,"")</f>
        <v/>
      </c>
      <c r="B387" s="91">
        <f>IF($A387="","","Employee ending "&amp;RIGHT('Enrollment Census'!$A378&amp;"",4)&amp;IF('Enrollment Census'!$AH378&gt;0," • "&amp;'Enrollment Census'!$AH378&amp;" row"&amp;IF('Enrollment Census'!$AH378=1,"","s")&amp;" need attention",""))</f>
        <v/>
      </c>
      <c r="C387" s="91">
        <f>IF($A387="","",TRIM('Enrollment Census'!$C378&amp;" "&amp;'Enrollment Census'!$D378)&amp;" • ending "&amp;RIGHT('Enrollment Census'!$W378&amp;"",4))</f>
        <v/>
      </c>
      <c r="D387" s="91">
        <f>IF($A387="","",'Enrollment Census'!$X378)</f>
        <v/>
      </c>
      <c r="E387" s="91">
        <f>IF($A387="","",'Enrollment Census'!$S378)</f>
        <v/>
      </c>
      <c r="F387" s="91">
        <f>IF($A387="","",IF('Enrollment Census'!$AF378&lt;&gt;"","FIX",IF('Enrollment Census'!$AD378&lt;&gt;"","REVIEW","READY")))</f>
        <v/>
      </c>
      <c r="G387" s="91">
        <f>IF($A387="","",'Enrollment Census'!$AE378)</f>
        <v/>
      </c>
      <c r="H387" s="91">
        <f>IF($A387="","",'Enrollment Census'!$AF378)</f>
        <v/>
      </c>
      <c r="I387" s="91">
        <f>IF($A387="","",'Enrollment Census'!$AD378)</f>
        <v/>
      </c>
      <c r="J387">
        <f>IF($A387="","",'Enrollment Census'!$A378)</f>
        <v/>
      </c>
      <c r="K387">
        <f>IF($F387="FIX",ROW(),IF($F387="REVIEW",1000+ROW(),""))</f>
        <v/>
      </c>
    </row>
    <row r="388" ht="36" customHeight="1">
      <c r="A388" s="91">
        <f>IF(COUNTA('Enrollment Census'!$A379:$U379)&gt;0,379,"")</f>
        <v/>
      </c>
      <c r="B388" s="91">
        <f>IF($A388="","","Employee ending "&amp;RIGHT('Enrollment Census'!$A379&amp;"",4)&amp;IF('Enrollment Census'!$AH379&gt;0," • "&amp;'Enrollment Census'!$AH379&amp;" row"&amp;IF('Enrollment Census'!$AH379=1,"","s")&amp;" need attention",""))</f>
        <v/>
      </c>
      <c r="C388" s="91">
        <f>IF($A388="","",TRIM('Enrollment Census'!$C379&amp;" "&amp;'Enrollment Census'!$D379)&amp;" • ending "&amp;RIGHT('Enrollment Census'!$W379&amp;"",4))</f>
        <v/>
      </c>
      <c r="D388" s="91">
        <f>IF($A388="","",'Enrollment Census'!$X379)</f>
        <v/>
      </c>
      <c r="E388" s="91">
        <f>IF($A388="","",'Enrollment Census'!$S379)</f>
        <v/>
      </c>
      <c r="F388" s="91">
        <f>IF($A388="","",IF('Enrollment Census'!$AF379&lt;&gt;"","FIX",IF('Enrollment Census'!$AD379&lt;&gt;"","REVIEW","READY")))</f>
        <v/>
      </c>
      <c r="G388" s="91">
        <f>IF($A388="","",'Enrollment Census'!$AE379)</f>
        <v/>
      </c>
      <c r="H388" s="91">
        <f>IF($A388="","",'Enrollment Census'!$AF379)</f>
        <v/>
      </c>
      <c r="I388" s="91">
        <f>IF($A388="","",'Enrollment Census'!$AD379)</f>
        <v/>
      </c>
      <c r="J388">
        <f>IF($A388="","",'Enrollment Census'!$A379)</f>
        <v/>
      </c>
      <c r="K388">
        <f>IF($F388="FIX",ROW(),IF($F388="REVIEW",1000+ROW(),""))</f>
        <v/>
      </c>
    </row>
    <row r="389" ht="36" customHeight="1">
      <c r="A389" s="91">
        <f>IF(COUNTA('Enrollment Census'!$A380:$U380)&gt;0,380,"")</f>
        <v/>
      </c>
      <c r="B389" s="91">
        <f>IF($A389="","","Employee ending "&amp;RIGHT('Enrollment Census'!$A380&amp;"",4)&amp;IF('Enrollment Census'!$AH380&gt;0," • "&amp;'Enrollment Census'!$AH380&amp;" row"&amp;IF('Enrollment Census'!$AH380=1,"","s")&amp;" need attention",""))</f>
        <v/>
      </c>
      <c r="C389" s="91">
        <f>IF($A389="","",TRIM('Enrollment Census'!$C380&amp;" "&amp;'Enrollment Census'!$D380)&amp;" • ending "&amp;RIGHT('Enrollment Census'!$W380&amp;"",4))</f>
        <v/>
      </c>
      <c r="D389" s="91">
        <f>IF($A389="","",'Enrollment Census'!$X380)</f>
        <v/>
      </c>
      <c r="E389" s="91">
        <f>IF($A389="","",'Enrollment Census'!$S380)</f>
        <v/>
      </c>
      <c r="F389" s="91">
        <f>IF($A389="","",IF('Enrollment Census'!$AF380&lt;&gt;"","FIX",IF('Enrollment Census'!$AD380&lt;&gt;"","REVIEW","READY")))</f>
        <v/>
      </c>
      <c r="G389" s="91">
        <f>IF($A389="","",'Enrollment Census'!$AE380)</f>
        <v/>
      </c>
      <c r="H389" s="91">
        <f>IF($A389="","",'Enrollment Census'!$AF380)</f>
        <v/>
      </c>
      <c r="I389" s="91">
        <f>IF($A389="","",'Enrollment Census'!$AD380)</f>
        <v/>
      </c>
      <c r="J389">
        <f>IF($A389="","",'Enrollment Census'!$A380)</f>
        <v/>
      </c>
      <c r="K389">
        <f>IF($F389="FIX",ROW(),IF($F389="REVIEW",1000+ROW(),""))</f>
        <v/>
      </c>
    </row>
    <row r="390" ht="36" customHeight="1">
      <c r="A390" s="91">
        <f>IF(COUNTA('Enrollment Census'!$A381:$U381)&gt;0,381,"")</f>
        <v/>
      </c>
      <c r="B390" s="91">
        <f>IF($A390="","","Employee ending "&amp;RIGHT('Enrollment Census'!$A381&amp;"",4)&amp;IF('Enrollment Census'!$AH381&gt;0," • "&amp;'Enrollment Census'!$AH381&amp;" row"&amp;IF('Enrollment Census'!$AH381=1,"","s")&amp;" need attention",""))</f>
        <v/>
      </c>
      <c r="C390" s="91">
        <f>IF($A390="","",TRIM('Enrollment Census'!$C381&amp;" "&amp;'Enrollment Census'!$D381)&amp;" • ending "&amp;RIGHT('Enrollment Census'!$W381&amp;"",4))</f>
        <v/>
      </c>
      <c r="D390" s="91">
        <f>IF($A390="","",'Enrollment Census'!$X381)</f>
        <v/>
      </c>
      <c r="E390" s="91">
        <f>IF($A390="","",'Enrollment Census'!$S381)</f>
        <v/>
      </c>
      <c r="F390" s="91">
        <f>IF($A390="","",IF('Enrollment Census'!$AF381&lt;&gt;"","FIX",IF('Enrollment Census'!$AD381&lt;&gt;"","REVIEW","READY")))</f>
        <v/>
      </c>
      <c r="G390" s="91">
        <f>IF($A390="","",'Enrollment Census'!$AE381)</f>
        <v/>
      </c>
      <c r="H390" s="91">
        <f>IF($A390="","",'Enrollment Census'!$AF381)</f>
        <v/>
      </c>
      <c r="I390" s="91">
        <f>IF($A390="","",'Enrollment Census'!$AD381)</f>
        <v/>
      </c>
      <c r="J390">
        <f>IF($A390="","",'Enrollment Census'!$A381)</f>
        <v/>
      </c>
      <c r="K390">
        <f>IF($F390="FIX",ROW(),IF($F390="REVIEW",1000+ROW(),""))</f>
        <v/>
      </c>
    </row>
    <row r="391" ht="36" customHeight="1">
      <c r="A391" s="91">
        <f>IF(COUNTA('Enrollment Census'!$A382:$U382)&gt;0,382,"")</f>
        <v/>
      </c>
      <c r="B391" s="91">
        <f>IF($A391="","","Employee ending "&amp;RIGHT('Enrollment Census'!$A382&amp;"",4)&amp;IF('Enrollment Census'!$AH382&gt;0," • "&amp;'Enrollment Census'!$AH382&amp;" row"&amp;IF('Enrollment Census'!$AH382=1,"","s")&amp;" need attention",""))</f>
        <v/>
      </c>
      <c r="C391" s="91">
        <f>IF($A391="","",TRIM('Enrollment Census'!$C382&amp;" "&amp;'Enrollment Census'!$D382)&amp;" • ending "&amp;RIGHT('Enrollment Census'!$W382&amp;"",4))</f>
        <v/>
      </c>
      <c r="D391" s="91">
        <f>IF($A391="","",'Enrollment Census'!$X382)</f>
        <v/>
      </c>
      <c r="E391" s="91">
        <f>IF($A391="","",'Enrollment Census'!$S382)</f>
        <v/>
      </c>
      <c r="F391" s="91">
        <f>IF($A391="","",IF('Enrollment Census'!$AF382&lt;&gt;"","FIX",IF('Enrollment Census'!$AD382&lt;&gt;"","REVIEW","READY")))</f>
        <v/>
      </c>
      <c r="G391" s="91">
        <f>IF($A391="","",'Enrollment Census'!$AE382)</f>
        <v/>
      </c>
      <c r="H391" s="91">
        <f>IF($A391="","",'Enrollment Census'!$AF382)</f>
        <v/>
      </c>
      <c r="I391" s="91">
        <f>IF($A391="","",'Enrollment Census'!$AD382)</f>
        <v/>
      </c>
      <c r="J391">
        <f>IF($A391="","",'Enrollment Census'!$A382)</f>
        <v/>
      </c>
      <c r="K391">
        <f>IF($F391="FIX",ROW(),IF($F391="REVIEW",1000+ROW(),""))</f>
        <v/>
      </c>
    </row>
    <row r="392" ht="36" customHeight="1">
      <c r="A392" s="91">
        <f>IF(COUNTA('Enrollment Census'!$A383:$U383)&gt;0,383,"")</f>
        <v/>
      </c>
      <c r="B392" s="91">
        <f>IF($A392="","","Employee ending "&amp;RIGHT('Enrollment Census'!$A383&amp;"",4)&amp;IF('Enrollment Census'!$AH383&gt;0," • "&amp;'Enrollment Census'!$AH383&amp;" row"&amp;IF('Enrollment Census'!$AH383=1,"","s")&amp;" need attention",""))</f>
        <v/>
      </c>
      <c r="C392" s="91">
        <f>IF($A392="","",TRIM('Enrollment Census'!$C383&amp;" "&amp;'Enrollment Census'!$D383)&amp;" • ending "&amp;RIGHT('Enrollment Census'!$W383&amp;"",4))</f>
        <v/>
      </c>
      <c r="D392" s="91">
        <f>IF($A392="","",'Enrollment Census'!$X383)</f>
        <v/>
      </c>
      <c r="E392" s="91">
        <f>IF($A392="","",'Enrollment Census'!$S383)</f>
        <v/>
      </c>
      <c r="F392" s="91">
        <f>IF($A392="","",IF('Enrollment Census'!$AF383&lt;&gt;"","FIX",IF('Enrollment Census'!$AD383&lt;&gt;"","REVIEW","READY")))</f>
        <v/>
      </c>
      <c r="G392" s="91">
        <f>IF($A392="","",'Enrollment Census'!$AE383)</f>
        <v/>
      </c>
      <c r="H392" s="91">
        <f>IF($A392="","",'Enrollment Census'!$AF383)</f>
        <v/>
      </c>
      <c r="I392" s="91">
        <f>IF($A392="","",'Enrollment Census'!$AD383)</f>
        <v/>
      </c>
      <c r="J392">
        <f>IF($A392="","",'Enrollment Census'!$A383)</f>
        <v/>
      </c>
      <c r="K392">
        <f>IF($F392="FIX",ROW(),IF($F392="REVIEW",1000+ROW(),""))</f>
        <v/>
      </c>
    </row>
    <row r="393" ht="36" customHeight="1">
      <c r="A393" s="91">
        <f>IF(COUNTA('Enrollment Census'!$A384:$U384)&gt;0,384,"")</f>
        <v/>
      </c>
      <c r="B393" s="91">
        <f>IF($A393="","","Employee ending "&amp;RIGHT('Enrollment Census'!$A384&amp;"",4)&amp;IF('Enrollment Census'!$AH384&gt;0," • "&amp;'Enrollment Census'!$AH384&amp;" row"&amp;IF('Enrollment Census'!$AH384=1,"","s")&amp;" need attention",""))</f>
        <v/>
      </c>
      <c r="C393" s="91">
        <f>IF($A393="","",TRIM('Enrollment Census'!$C384&amp;" "&amp;'Enrollment Census'!$D384)&amp;" • ending "&amp;RIGHT('Enrollment Census'!$W384&amp;"",4))</f>
        <v/>
      </c>
      <c r="D393" s="91">
        <f>IF($A393="","",'Enrollment Census'!$X384)</f>
        <v/>
      </c>
      <c r="E393" s="91">
        <f>IF($A393="","",'Enrollment Census'!$S384)</f>
        <v/>
      </c>
      <c r="F393" s="91">
        <f>IF($A393="","",IF('Enrollment Census'!$AF384&lt;&gt;"","FIX",IF('Enrollment Census'!$AD384&lt;&gt;"","REVIEW","READY")))</f>
        <v/>
      </c>
      <c r="G393" s="91">
        <f>IF($A393="","",'Enrollment Census'!$AE384)</f>
        <v/>
      </c>
      <c r="H393" s="91">
        <f>IF($A393="","",'Enrollment Census'!$AF384)</f>
        <v/>
      </c>
      <c r="I393" s="91">
        <f>IF($A393="","",'Enrollment Census'!$AD384)</f>
        <v/>
      </c>
      <c r="J393">
        <f>IF($A393="","",'Enrollment Census'!$A384)</f>
        <v/>
      </c>
      <c r="K393">
        <f>IF($F393="FIX",ROW(),IF($F393="REVIEW",1000+ROW(),""))</f>
        <v/>
      </c>
    </row>
    <row r="394" ht="36" customHeight="1">
      <c r="A394" s="91">
        <f>IF(COUNTA('Enrollment Census'!$A385:$U385)&gt;0,385,"")</f>
        <v/>
      </c>
      <c r="B394" s="91">
        <f>IF($A394="","","Employee ending "&amp;RIGHT('Enrollment Census'!$A385&amp;"",4)&amp;IF('Enrollment Census'!$AH385&gt;0," • "&amp;'Enrollment Census'!$AH385&amp;" row"&amp;IF('Enrollment Census'!$AH385=1,"","s")&amp;" need attention",""))</f>
        <v/>
      </c>
      <c r="C394" s="91">
        <f>IF($A394="","",TRIM('Enrollment Census'!$C385&amp;" "&amp;'Enrollment Census'!$D385)&amp;" • ending "&amp;RIGHT('Enrollment Census'!$W385&amp;"",4))</f>
        <v/>
      </c>
      <c r="D394" s="91">
        <f>IF($A394="","",'Enrollment Census'!$X385)</f>
        <v/>
      </c>
      <c r="E394" s="91">
        <f>IF($A394="","",'Enrollment Census'!$S385)</f>
        <v/>
      </c>
      <c r="F394" s="91">
        <f>IF($A394="","",IF('Enrollment Census'!$AF385&lt;&gt;"","FIX",IF('Enrollment Census'!$AD385&lt;&gt;"","REVIEW","READY")))</f>
        <v/>
      </c>
      <c r="G394" s="91">
        <f>IF($A394="","",'Enrollment Census'!$AE385)</f>
        <v/>
      </c>
      <c r="H394" s="91">
        <f>IF($A394="","",'Enrollment Census'!$AF385)</f>
        <v/>
      </c>
      <c r="I394" s="91">
        <f>IF($A394="","",'Enrollment Census'!$AD385)</f>
        <v/>
      </c>
      <c r="J394">
        <f>IF($A394="","",'Enrollment Census'!$A385)</f>
        <v/>
      </c>
      <c r="K394">
        <f>IF($F394="FIX",ROW(),IF($F394="REVIEW",1000+ROW(),""))</f>
        <v/>
      </c>
    </row>
    <row r="395" ht="36" customHeight="1">
      <c r="A395" s="91">
        <f>IF(COUNTA('Enrollment Census'!$A386:$U386)&gt;0,386,"")</f>
        <v/>
      </c>
      <c r="B395" s="91">
        <f>IF($A395="","","Employee ending "&amp;RIGHT('Enrollment Census'!$A386&amp;"",4)&amp;IF('Enrollment Census'!$AH386&gt;0," • "&amp;'Enrollment Census'!$AH386&amp;" row"&amp;IF('Enrollment Census'!$AH386=1,"","s")&amp;" need attention",""))</f>
        <v/>
      </c>
      <c r="C395" s="91">
        <f>IF($A395="","",TRIM('Enrollment Census'!$C386&amp;" "&amp;'Enrollment Census'!$D386)&amp;" • ending "&amp;RIGHT('Enrollment Census'!$W386&amp;"",4))</f>
        <v/>
      </c>
      <c r="D395" s="91">
        <f>IF($A395="","",'Enrollment Census'!$X386)</f>
        <v/>
      </c>
      <c r="E395" s="91">
        <f>IF($A395="","",'Enrollment Census'!$S386)</f>
        <v/>
      </c>
      <c r="F395" s="91">
        <f>IF($A395="","",IF('Enrollment Census'!$AF386&lt;&gt;"","FIX",IF('Enrollment Census'!$AD386&lt;&gt;"","REVIEW","READY")))</f>
        <v/>
      </c>
      <c r="G395" s="91">
        <f>IF($A395="","",'Enrollment Census'!$AE386)</f>
        <v/>
      </c>
      <c r="H395" s="91">
        <f>IF($A395="","",'Enrollment Census'!$AF386)</f>
        <v/>
      </c>
      <c r="I395" s="91">
        <f>IF($A395="","",'Enrollment Census'!$AD386)</f>
        <v/>
      </c>
      <c r="J395">
        <f>IF($A395="","",'Enrollment Census'!$A386)</f>
        <v/>
      </c>
      <c r="K395">
        <f>IF($F395="FIX",ROW(),IF($F395="REVIEW",1000+ROW(),""))</f>
        <v/>
      </c>
    </row>
    <row r="396" ht="36" customHeight="1">
      <c r="A396" s="91">
        <f>IF(COUNTA('Enrollment Census'!$A387:$U387)&gt;0,387,"")</f>
        <v/>
      </c>
      <c r="B396" s="91">
        <f>IF($A396="","","Employee ending "&amp;RIGHT('Enrollment Census'!$A387&amp;"",4)&amp;IF('Enrollment Census'!$AH387&gt;0," • "&amp;'Enrollment Census'!$AH387&amp;" row"&amp;IF('Enrollment Census'!$AH387=1,"","s")&amp;" need attention",""))</f>
        <v/>
      </c>
      <c r="C396" s="91">
        <f>IF($A396="","",TRIM('Enrollment Census'!$C387&amp;" "&amp;'Enrollment Census'!$D387)&amp;" • ending "&amp;RIGHT('Enrollment Census'!$W387&amp;"",4))</f>
        <v/>
      </c>
      <c r="D396" s="91">
        <f>IF($A396="","",'Enrollment Census'!$X387)</f>
        <v/>
      </c>
      <c r="E396" s="91">
        <f>IF($A396="","",'Enrollment Census'!$S387)</f>
        <v/>
      </c>
      <c r="F396" s="91">
        <f>IF($A396="","",IF('Enrollment Census'!$AF387&lt;&gt;"","FIX",IF('Enrollment Census'!$AD387&lt;&gt;"","REVIEW","READY")))</f>
        <v/>
      </c>
      <c r="G396" s="91">
        <f>IF($A396="","",'Enrollment Census'!$AE387)</f>
        <v/>
      </c>
      <c r="H396" s="91">
        <f>IF($A396="","",'Enrollment Census'!$AF387)</f>
        <v/>
      </c>
      <c r="I396" s="91">
        <f>IF($A396="","",'Enrollment Census'!$AD387)</f>
        <v/>
      </c>
      <c r="J396">
        <f>IF($A396="","",'Enrollment Census'!$A387)</f>
        <v/>
      </c>
      <c r="K396">
        <f>IF($F396="FIX",ROW(),IF($F396="REVIEW",1000+ROW(),""))</f>
        <v/>
      </c>
    </row>
    <row r="397" ht="36" customHeight="1">
      <c r="A397" s="91">
        <f>IF(COUNTA('Enrollment Census'!$A388:$U388)&gt;0,388,"")</f>
        <v/>
      </c>
      <c r="B397" s="91">
        <f>IF($A397="","","Employee ending "&amp;RIGHT('Enrollment Census'!$A388&amp;"",4)&amp;IF('Enrollment Census'!$AH388&gt;0," • "&amp;'Enrollment Census'!$AH388&amp;" row"&amp;IF('Enrollment Census'!$AH388=1,"","s")&amp;" need attention",""))</f>
        <v/>
      </c>
      <c r="C397" s="91">
        <f>IF($A397="","",TRIM('Enrollment Census'!$C388&amp;" "&amp;'Enrollment Census'!$D388)&amp;" • ending "&amp;RIGHT('Enrollment Census'!$W388&amp;"",4))</f>
        <v/>
      </c>
      <c r="D397" s="91">
        <f>IF($A397="","",'Enrollment Census'!$X388)</f>
        <v/>
      </c>
      <c r="E397" s="91">
        <f>IF($A397="","",'Enrollment Census'!$S388)</f>
        <v/>
      </c>
      <c r="F397" s="91">
        <f>IF($A397="","",IF('Enrollment Census'!$AF388&lt;&gt;"","FIX",IF('Enrollment Census'!$AD388&lt;&gt;"","REVIEW","READY")))</f>
        <v/>
      </c>
      <c r="G397" s="91">
        <f>IF($A397="","",'Enrollment Census'!$AE388)</f>
        <v/>
      </c>
      <c r="H397" s="91">
        <f>IF($A397="","",'Enrollment Census'!$AF388)</f>
        <v/>
      </c>
      <c r="I397" s="91">
        <f>IF($A397="","",'Enrollment Census'!$AD388)</f>
        <v/>
      </c>
      <c r="J397">
        <f>IF($A397="","",'Enrollment Census'!$A388)</f>
        <v/>
      </c>
      <c r="K397">
        <f>IF($F397="FIX",ROW(),IF($F397="REVIEW",1000+ROW(),""))</f>
        <v/>
      </c>
    </row>
    <row r="398" ht="36" customHeight="1">
      <c r="A398" s="91">
        <f>IF(COUNTA('Enrollment Census'!$A389:$U389)&gt;0,389,"")</f>
        <v/>
      </c>
      <c r="B398" s="91">
        <f>IF($A398="","","Employee ending "&amp;RIGHT('Enrollment Census'!$A389&amp;"",4)&amp;IF('Enrollment Census'!$AH389&gt;0," • "&amp;'Enrollment Census'!$AH389&amp;" row"&amp;IF('Enrollment Census'!$AH389=1,"","s")&amp;" need attention",""))</f>
        <v/>
      </c>
      <c r="C398" s="91">
        <f>IF($A398="","",TRIM('Enrollment Census'!$C389&amp;" "&amp;'Enrollment Census'!$D389)&amp;" • ending "&amp;RIGHT('Enrollment Census'!$W389&amp;"",4))</f>
        <v/>
      </c>
      <c r="D398" s="91">
        <f>IF($A398="","",'Enrollment Census'!$X389)</f>
        <v/>
      </c>
      <c r="E398" s="91">
        <f>IF($A398="","",'Enrollment Census'!$S389)</f>
        <v/>
      </c>
      <c r="F398" s="91">
        <f>IF($A398="","",IF('Enrollment Census'!$AF389&lt;&gt;"","FIX",IF('Enrollment Census'!$AD389&lt;&gt;"","REVIEW","READY")))</f>
        <v/>
      </c>
      <c r="G398" s="91">
        <f>IF($A398="","",'Enrollment Census'!$AE389)</f>
        <v/>
      </c>
      <c r="H398" s="91">
        <f>IF($A398="","",'Enrollment Census'!$AF389)</f>
        <v/>
      </c>
      <c r="I398" s="91">
        <f>IF($A398="","",'Enrollment Census'!$AD389)</f>
        <v/>
      </c>
      <c r="J398">
        <f>IF($A398="","",'Enrollment Census'!$A389)</f>
        <v/>
      </c>
      <c r="K398">
        <f>IF($F398="FIX",ROW(),IF($F398="REVIEW",1000+ROW(),""))</f>
        <v/>
      </c>
    </row>
    <row r="399" ht="36" customHeight="1">
      <c r="A399" s="91">
        <f>IF(COUNTA('Enrollment Census'!$A390:$U390)&gt;0,390,"")</f>
        <v/>
      </c>
      <c r="B399" s="91">
        <f>IF($A399="","","Employee ending "&amp;RIGHT('Enrollment Census'!$A390&amp;"",4)&amp;IF('Enrollment Census'!$AH390&gt;0," • "&amp;'Enrollment Census'!$AH390&amp;" row"&amp;IF('Enrollment Census'!$AH390=1,"","s")&amp;" need attention",""))</f>
        <v/>
      </c>
      <c r="C399" s="91">
        <f>IF($A399="","",TRIM('Enrollment Census'!$C390&amp;" "&amp;'Enrollment Census'!$D390)&amp;" • ending "&amp;RIGHT('Enrollment Census'!$W390&amp;"",4))</f>
        <v/>
      </c>
      <c r="D399" s="91">
        <f>IF($A399="","",'Enrollment Census'!$X390)</f>
        <v/>
      </c>
      <c r="E399" s="91">
        <f>IF($A399="","",'Enrollment Census'!$S390)</f>
        <v/>
      </c>
      <c r="F399" s="91">
        <f>IF($A399="","",IF('Enrollment Census'!$AF390&lt;&gt;"","FIX",IF('Enrollment Census'!$AD390&lt;&gt;"","REVIEW","READY")))</f>
        <v/>
      </c>
      <c r="G399" s="91">
        <f>IF($A399="","",'Enrollment Census'!$AE390)</f>
        <v/>
      </c>
      <c r="H399" s="91">
        <f>IF($A399="","",'Enrollment Census'!$AF390)</f>
        <v/>
      </c>
      <c r="I399" s="91">
        <f>IF($A399="","",'Enrollment Census'!$AD390)</f>
        <v/>
      </c>
      <c r="J399">
        <f>IF($A399="","",'Enrollment Census'!$A390)</f>
        <v/>
      </c>
      <c r="K399">
        <f>IF($F399="FIX",ROW(),IF($F399="REVIEW",1000+ROW(),""))</f>
        <v/>
      </c>
    </row>
    <row r="400" ht="36" customHeight="1">
      <c r="A400" s="91">
        <f>IF(COUNTA('Enrollment Census'!$A391:$U391)&gt;0,391,"")</f>
        <v/>
      </c>
      <c r="B400" s="91">
        <f>IF($A400="","","Employee ending "&amp;RIGHT('Enrollment Census'!$A391&amp;"",4)&amp;IF('Enrollment Census'!$AH391&gt;0," • "&amp;'Enrollment Census'!$AH391&amp;" row"&amp;IF('Enrollment Census'!$AH391=1,"","s")&amp;" need attention",""))</f>
        <v/>
      </c>
      <c r="C400" s="91">
        <f>IF($A400="","",TRIM('Enrollment Census'!$C391&amp;" "&amp;'Enrollment Census'!$D391)&amp;" • ending "&amp;RIGHT('Enrollment Census'!$W391&amp;"",4))</f>
        <v/>
      </c>
      <c r="D400" s="91">
        <f>IF($A400="","",'Enrollment Census'!$X391)</f>
        <v/>
      </c>
      <c r="E400" s="91">
        <f>IF($A400="","",'Enrollment Census'!$S391)</f>
        <v/>
      </c>
      <c r="F400" s="91">
        <f>IF($A400="","",IF('Enrollment Census'!$AF391&lt;&gt;"","FIX",IF('Enrollment Census'!$AD391&lt;&gt;"","REVIEW","READY")))</f>
        <v/>
      </c>
      <c r="G400" s="91">
        <f>IF($A400="","",'Enrollment Census'!$AE391)</f>
        <v/>
      </c>
      <c r="H400" s="91">
        <f>IF($A400="","",'Enrollment Census'!$AF391)</f>
        <v/>
      </c>
      <c r="I400" s="91">
        <f>IF($A400="","",'Enrollment Census'!$AD391)</f>
        <v/>
      </c>
      <c r="J400">
        <f>IF($A400="","",'Enrollment Census'!$A391)</f>
        <v/>
      </c>
      <c r="K400">
        <f>IF($F400="FIX",ROW(),IF($F400="REVIEW",1000+ROW(),""))</f>
        <v/>
      </c>
    </row>
    <row r="401" ht="36" customHeight="1">
      <c r="A401" s="91">
        <f>IF(COUNTA('Enrollment Census'!$A392:$U392)&gt;0,392,"")</f>
        <v/>
      </c>
      <c r="B401" s="91">
        <f>IF($A401="","","Employee ending "&amp;RIGHT('Enrollment Census'!$A392&amp;"",4)&amp;IF('Enrollment Census'!$AH392&gt;0," • "&amp;'Enrollment Census'!$AH392&amp;" row"&amp;IF('Enrollment Census'!$AH392=1,"","s")&amp;" need attention",""))</f>
        <v/>
      </c>
      <c r="C401" s="91">
        <f>IF($A401="","",TRIM('Enrollment Census'!$C392&amp;" "&amp;'Enrollment Census'!$D392)&amp;" • ending "&amp;RIGHT('Enrollment Census'!$W392&amp;"",4))</f>
        <v/>
      </c>
      <c r="D401" s="91">
        <f>IF($A401="","",'Enrollment Census'!$X392)</f>
        <v/>
      </c>
      <c r="E401" s="91">
        <f>IF($A401="","",'Enrollment Census'!$S392)</f>
        <v/>
      </c>
      <c r="F401" s="91">
        <f>IF($A401="","",IF('Enrollment Census'!$AF392&lt;&gt;"","FIX",IF('Enrollment Census'!$AD392&lt;&gt;"","REVIEW","READY")))</f>
        <v/>
      </c>
      <c r="G401" s="91">
        <f>IF($A401="","",'Enrollment Census'!$AE392)</f>
        <v/>
      </c>
      <c r="H401" s="91">
        <f>IF($A401="","",'Enrollment Census'!$AF392)</f>
        <v/>
      </c>
      <c r="I401" s="91">
        <f>IF($A401="","",'Enrollment Census'!$AD392)</f>
        <v/>
      </c>
      <c r="J401">
        <f>IF($A401="","",'Enrollment Census'!$A392)</f>
        <v/>
      </c>
      <c r="K401">
        <f>IF($F401="FIX",ROW(),IF($F401="REVIEW",1000+ROW(),""))</f>
        <v/>
      </c>
    </row>
    <row r="402" ht="36" customHeight="1">
      <c r="A402" s="91">
        <f>IF(COUNTA('Enrollment Census'!$A393:$U393)&gt;0,393,"")</f>
        <v/>
      </c>
      <c r="B402" s="91">
        <f>IF($A402="","","Employee ending "&amp;RIGHT('Enrollment Census'!$A393&amp;"",4)&amp;IF('Enrollment Census'!$AH393&gt;0," • "&amp;'Enrollment Census'!$AH393&amp;" row"&amp;IF('Enrollment Census'!$AH393=1,"","s")&amp;" need attention",""))</f>
        <v/>
      </c>
      <c r="C402" s="91">
        <f>IF($A402="","",TRIM('Enrollment Census'!$C393&amp;" "&amp;'Enrollment Census'!$D393)&amp;" • ending "&amp;RIGHT('Enrollment Census'!$W393&amp;"",4))</f>
        <v/>
      </c>
      <c r="D402" s="91">
        <f>IF($A402="","",'Enrollment Census'!$X393)</f>
        <v/>
      </c>
      <c r="E402" s="91">
        <f>IF($A402="","",'Enrollment Census'!$S393)</f>
        <v/>
      </c>
      <c r="F402" s="91">
        <f>IF($A402="","",IF('Enrollment Census'!$AF393&lt;&gt;"","FIX",IF('Enrollment Census'!$AD393&lt;&gt;"","REVIEW","READY")))</f>
        <v/>
      </c>
      <c r="G402" s="91">
        <f>IF($A402="","",'Enrollment Census'!$AE393)</f>
        <v/>
      </c>
      <c r="H402" s="91">
        <f>IF($A402="","",'Enrollment Census'!$AF393)</f>
        <v/>
      </c>
      <c r="I402" s="91">
        <f>IF($A402="","",'Enrollment Census'!$AD393)</f>
        <v/>
      </c>
      <c r="J402">
        <f>IF($A402="","",'Enrollment Census'!$A393)</f>
        <v/>
      </c>
      <c r="K402">
        <f>IF($F402="FIX",ROW(),IF($F402="REVIEW",1000+ROW(),""))</f>
        <v/>
      </c>
    </row>
    <row r="403" ht="36" customHeight="1">
      <c r="A403" s="91">
        <f>IF(COUNTA('Enrollment Census'!$A394:$U394)&gt;0,394,"")</f>
        <v/>
      </c>
      <c r="B403" s="91">
        <f>IF($A403="","","Employee ending "&amp;RIGHT('Enrollment Census'!$A394&amp;"",4)&amp;IF('Enrollment Census'!$AH394&gt;0," • "&amp;'Enrollment Census'!$AH394&amp;" row"&amp;IF('Enrollment Census'!$AH394=1,"","s")&amp;" need attention",""))</f>
        <v/>
      </c>
      <c r="C403" s="91">
        <f>IF($A403="","",TRIM('Enrollment Census'!$C394&amp;" "&amp;'Enrollment Census'!$D394)&amp;" • ending "&amp;RIGHT('Enrollment Census'!$W394&amp;"",4))</f>
        <v/>
      </c>
      <c r="D403" s="91">
        <f>IF($A403="","",'Enrollment Census'!$X394)</f>
        <v/>
      </c>
      <c r="E403" s="91">
        <f>IF($A403="","",'Enrollment Census'!$S394)</f>
        <v/>
      </c>
      <c r="F403" s="91">
        <f>IF($A403="","",IF('Enrollment Census'!$AF394&lt;&gt;"","FIX",IF('Enrollment Census'!$AD394&lt;&gt;"","REVIEW","READY")))</f>
        <v/>
      </c>
      <c r="G403" s="91">
        <f>IF($A403="","",'Enrollment Census'!$AE394)</f>
        <v/>
      </c>
      <c r="H403" s="91">
        <f>IF($A403="","",'Enrollment Census'!$AF394)</f>
        <v/>
      </c>
      <c r="I403" s="91">
        <f>IF($A403="","",'Enrollment Census'!$AD394)</f>
        <v/>
      </c>
      <c r="J403">
        <f>IF($A403="","",'Enrollment Census'!$A394)</f>
        <v/>
      </c>
      <c r="K403">
        <f>IF($F403="FIX",ROW(),IF($F403="REVIEW",1000+ROW(),""))</f>
        <v/>
      </c>
    </row>
    <row r="404" ht="36" customHeight="1">
      <c r="A404" s="91">
        <f>IF(COUNTA('Enrollment Census'!$A395:$U395)&gt;0,395,"")</f>
        <v/>
      </c>
      <c r="B404" s="91">
        <f>IF($A404="","","Employee ending "&amp;RIGHT('Enrollment Census'!$A395&amp;"",4)&amp;IF('Enrollment Census'!$AH395&gt;0," • "&amp;'Enrollment Census'!$AH395&amp;" row"&amp;IF('Enrollment Census'!$AH395=1,"","s")&amp;" need attention",""))</f>
        <v/>
      </c>
      <c r="C404" s="91">
        <f>IF($A404="","",TRIM('Enrollment Census'!$C395&amp;" "&amp;'Enrollment Census'!$D395)&amp;" • ending "&amp;RIGHT('Enrollment Census'!$W395&amp;"",4))</f>
        <v/>
      </c>
      <c r="D404" s="91">
        <f>IF($A404="","",'Enrollment Census'!$X395)</f>
        <v/>
      </c>
      <c r="E404" s="91">
        <f>IF($A404="","",'Enrollment Census'!$S395)</f>
        <v/>
      </c>
      <c r="F404" s="91">
        <f>IF($A404="","",IF('Enrollment Census'!$AF395&lt;&gt;"","FIX",IF('Enrollment Census'!$AD395&lt;&gt;"","REVIEW","READY")))</f>
        <v/>
      </c>
      <c r="G404" s="91">
        <f>IF($A404="","",'Enrollment Census'!$AE395)</f>
        <v/>
      </c>
      <c r="H404" s="91">
        <f>IF($A404="","",'Enrollment Census'!$AF395)</f>
        <v/>
      </c>
      <c r="I404" s="91">
        <f>IF($A404="","",'Enrollment Census'!$AD395)</f>
        <v/>
      </c>
      <c r="J404">
        <f>IF($A404="","",'Enrollment Census'!$A395)</f>
        <v/>
      </c>
      <c r="K404">
        <f>IF($F404="FIX",ROW(),IF($F404="REVIEW",1000+ROW(),""))</f>
        <v/>
      </c>
    </row>
    <row r="405" ht="36" customHeight="1">
      <c r="A405" s="91">
        <f>IF(COUNTA('Enrollment Census'!$A396:$U396)&gt;0,396,"")</f>
        <v/>
      </c>
      <c r="B405" s="91">
        <f>IF($A405="","","Employee ending "&amp;RIGHT('Enrollment Census'!$A396&amp;"",4)&amp;IF('Enrollment Census'!$AH396&gt;0," • "&amp;'Enrollment Census'!$AH396&amp;" row"&amp;IF('Enrollment Census'!$AH396=1,"","s")&amp;" need attention",""))</f>
        <v/>
      </c>
      <c r="C405" s="91">
        <f>IF($A405="","",TRIM('Enrollment Census'!$C396&amp;" "&amp;'Enrollment Census'!$D396)&amp;" • ending "&amp;RIGHT('Enrollment Census'!$W396&amp;"",4))</f>
        <v/>
      </c>
      <c r="D405" s="91">
        <f>IF($A405="","",'Enrollment Census'!$X396)</f>
        <v/>
      </c>
      <c r="E405" s="91">
        <f>IF($A405="","",'Enrollment Census'!$S396)</f>
        <v/>
      </c>
      <c r="F405" s="91">
        <f>IF($A405="","",IF('Enrollment Census'!$AF396&lt;&gt;"","FIX",IF('Enrollment Census'!$AD396&lt;&gt;"","REVIEW","READY")))</f>
        <v/>
      </c>
      <c r="G405" s="91">
        <f>IF($A405="","",'Enrollment Census'!$AE396)</f>
        <v/>
      </c>
      <c r="H405" s="91">
        <f>IF($A405="","",'Enrollment Census'!$AF396)</f>
        <v/>
      </c>
      <c r="I405" s="91">
        <f>IF($A405="","",'Enrollment Census'!$AD396)</f>
        <v/>
      </c>
      <c r="J405">
        <f>IF($A405="","",'Enrollment Census'!$A396)</f>
        <v/>
      </c>
      <c r="K405">
        <f>IF($F405="FIX",ROW(),IF($F405="REVIEW",1000+ROW(),""))</f>
        <v/>
      </c>
    </row>
    <row r="406" ht="36" customHeight="1">
      <c r="A406" s="91">
        <f>IF(COUNTA('Enrollment Census'!$A397:$U397)&gt;0,397,"")</f>
        <v/>
      </c>
      <c r="B406" s="91">
        <f>IF($A406="","","Employee ending "&amp;RIGHT('Enrollment Census'!$A397&amp;"",4)&amp;IF('Enrollment Census'!$AH397&gt;0," • "&amp;'Enrollment Census'!$AH397&amp;" row"&amp;IF('Enrollment Census'!$AH397=1,"","s")&amp;" need attention",""))</f>
        <v/>
      </c>
      <c r="C406" s="91">
        <f>IF($A406="","",TRIM('Enrollment Census'!$C397&amp;" "&amp;'Enrollment Census'!$D397)&amp;" • ending "&amp;RIGHT('Enrollment Census'!$W397&amp;"",4))</f>
        <v/>
      </c>
      <c r="D406" s="91">
        <f>IF($A406="","",'Enrollment Census'!$X397)</f>
        <v/>
      </c>
      <c r="E406" s="91">
        <f>IF($A406="","",'Enrollment Census'!$S397)</f>
        <v/>
      </c>
      <c r="F406" s="91">
        <f>IF($A406="","",IF('Enrollment Census'!$AF397&lt;&gt;"","FIX",IF('Enrollment Census'!$AD397&lt;&gt;"","REVIEW","READY")))</f>
        <v/>
      </c>
      <c r="G406" s="91">
        <f>IF($A406="","",'Enrollment Census'!$AE397)</f>
        <v/>
      </c>
      <c r="H406" s="91">
        <f>IF($A406="","",'Enrollment Census'!$AF397)</f>
        <v/>
      </c>
      <c r="I406" s="91">
        <f>IF($A406="","",'Enrollment Census'!$AD397)</f>
        <v/>
      </c>
      <c r="J406">
        <f>IF($A406="","",'Enrollment Census'!$A397)</f>
        <v/>
      </c>
      <c r="K406">
        <f>IF($F406="FIX",ROW(),IF($F406="REVIEW",1000+ROW(),""))</f>
        <v/>
      </c>
    </row>
    <row r="407" ht="36" customHeight="1">
      <c r="A407" s="91">
        <f>IF(COUNTA('Enrollment Census'!$A398:$U398)&gt;0,398,"")</f>
        <v/>
      </c>
      <c r="B407" s="91">
        <f>IF($A407="","","Employee ending "&amp;RIGHT('Enrollment Census'!$A398&amp;"",4)&amp;IF('Enrollment Census'!$AH398&gt;0," • "&amp;'Enrollment Census'!$AH398&amp;" row"&amp;IF('Enrollment Census'!$AH398=1,"","s")&amp;" need attention",""))</f>
        <v/>
      </c>
      <c r="C407" s="91">
        <f>IF($A407="","",TRIM('Enrollment Census'!$C398&amp;" "&amp;'Enrollment Census'!$D398)&amp;" • ending "&amp;RIGHT('Enrollment Census'!$W398&amp;"",4))</f>
        <v/>
      </c>
      <c r="D407" s="91">
        <f>IF($A407="","",'Enrollment Census'!$X398)</f>
        <v/>
      </c>
      <c r="E407" s="91">
        <f>IF($A407="","",'Enrollment Census'!$S398)</f>
        <v/>
      </c>
      <c r="F407" s="91">
        <f>IF($A407="","",IF('Enrollment Census'!$AF398&lt;&gt;"","FIX",IF('Enrollment Census'!$AD398&lt;&gt;"","REVIEW","READY")))</f>
        <v/>
      </c>
      <c r="G407" s="91">
        <f>IF($A407="","",'Enrollment Census'!$AE398)</f>
        <v/>
      </c>
      <c r="H407" s="91">
        <f>IF($A407="","",'Enrollment Census'!$AF398)</f>
        <v/>
      </c>
      <c r="I407" s="91">
        <f>IF($A407="","",'Enrollment Census'!$AD398)</f>
        <v/>
      </c>
      <c r="J407">
        <f>IF($A407="","",'Enrollment Census'!$A398)</f>
        <v/>
      </c>
      <c r="K407">
        <f>IF($F407="FIX",ROW(),IF($F407="REVIEW",1000+ROW(),""))</f>
        <v/>
      </c>
    </row>
    <row r="408" ht="36" customHeight="1">
      <c r="A408" s="91">
        <f>IF(COUNTA('Enrollment Census'!$A399:$U399)&gt;0,399,"")</f>
        <v/>
      </c>
      <c r="B408" s="91">
        <f>IF($A408="","","Employee ending "&amp;RIGHT('Enrollment Census'!$A399&amp;"",4)&amp;IF('Enrollment Census'!$AH399&gt;0," • "&amp;'Enrollment Census'!$AH399&amp;" row"&amp;IF('Enrollment Census'!$AH399=1,"","s")&amp;" need attention",""))</f>
        <v/>
      </c>
      <c r="C408" s="91">
        <f>IF($A408="","",TRIM('Enrollment Census'!$C399&amp;" "&amp;'Enrollment Census'!$D399)&amp;" • ending "&amp;RIGHT('Enrollment Census'!$W399&amp;"",4))</f>
        <v/>
      </c>
      <c r="D408" s="91">
        <f>IF($A408="","",'Enrollment Census'!$X399)</f>
        <v/>
      </c>
      <c r="E408" s="91">
        <f>IF($A408="","",'Enrollment Census'!$S399)</f>
        <v/>
      </c>
      <c r="F408" s="91">
        <f>IF($A408="","",IF('Enrollment Census'!$AF399&lt;&gt;"","FIX",IF('Enrollment Census'!$AD399&lt;&gt;"","REVIEW","READY")))</f>
        <v/>
      </c>
      <c r="G408" s="91">
        <f>IF($A408="","",'Enrollment Census'!$AE399)</f>
        <v/>
      </c>
      <c r="H408" s="91">
        <f>IF($A408="","",'Enrollment Census'!$AF399)</f>
        <v/>
      </c>
      <c r="I408" s="91">
        <f>IF($A408="","",'Enrollment Census'!$AD399)</f>
        <v/>
      </c>
      <c r="J408">
        <f>IF($A408="","",'Enrollment Census'!$A399)</f>
        <v/>
      </c>
      <c r="K408">
        <f>IF($F408="FIX",ROW(),IF($F408="REVIEW",1000+ROW(),""))</f>
        <v/>
      </c>
    </row>
    <row r="409" ht="36" customHeight="1">
      <c r="A409" s="91">
        <f>IF(COUNTA('Enrollment Census'!$A400:$U400)&gt;0,400,"")</f>
        <v/>
      </c>
      <c r="B409" s="91">
        <f>IF($A409="","","Employee ending "&amp;RIGHT('Enrollment Census'!$A400&amp;"",4)&amp;IF('Enrollment Census'!$AH400&gt;0," • "&amp;'Enrollment Census'!$AH400&amp;" row"&amp;IF('Enrollment Census'!$AH400=1,"","s")&amp;" need attention",""))</f>
        <v/>
      </c>
      <c r="C409" s="91">
        <f>IF($A409="","",TRIM('Enrollment Census'!$C400&amp;" "&amp;'Enrollment Census'!$D400)&amp;" • ending "&amp;RIGHT('Enrollment Census'!$W400&amp;"",4))</f>
        <v/>
      </c>
      <c r="D409" s="91">
        <f>IF($A409="","",'Enrollment Census'!$X400)</f>
        <v/>
      </c>
      <c r="E409" s="91">
        <f>IF($A409="","",'Enrollment Census'!$S400)</f>
        <v/>
      </c>
      <c r="F409" s="91">
        <f>IF($A409="","",IF('Enrollment Census'!$AF400&lt;&gt;"","FIX",IF('Enrollment Census'!$AD400&lt;&gt;"","REVIEW","READY")))</f>
        <v/>
      </c>
      <c r="G409" s="91">
        <f>IF($A409="","",'Enrollment Census'!$AE400)</f>
        <v/>
      </c>
      <c r="H409" s="91">
        <f>IF($A409="","",'Enrollment Census'!$AF400)</f>
        <v/>
      </c>
      <c r="I409" s="91">
        <f>IF($A409="","",'Enrollment Census'!$AD400)</f>
        <v/>
      </c>
      <c r="J409">
        <f>IF($A409="","",'Enrollment Census'!$A400)</f>
        <v/>
      </c>
      <c r="K409">
        <f>IF($F409="FIX",ROW(),IF($F409="REVIEW",1000+ROW(),""))</f>
        <v/>
      </c>
    </row>
    <row r="410" ht="36" customHeight="1">
      <c r="A410" s="91">
        <f>IF(COUNTA('Enrollment Census'!$A401:$U401)&gt;0,401,"")</f>
        <v/>
      </c>
      <c r="B410" s="91">
        <f>IF($A410="","","Employee ending "&amp;RIGHT('Enrollment Census'!$A401&amp;"",4)&amp;IF('Enrollment Census'!$AH401&gt;0," • "&amp;'Enrollment Census'!$AH401&amp;" row"&amp;IF('Enrollment Census'!$AH401=1,"","s")&amp;" need attention",""))</f>
        <v/>
      </c>
      <c r="C410" s="91">
        <f>IF($A410="","",TRIM('Enrollment Census'!$C401&amp;" "&amp;'Enrollment Census'!$D401)&amp;" • ending "&amp;RIGHT('Enrollment Census'!$W401&amp;"",4))</f>
        <v/>
      </c>
      <c r="D410" s="91">
        <f>IF($A410="","",'Enrollment Census'!$X401)</f>
        <v/>
      </c>
      <c r="E410" s="91">
        <f>IF($A410="","",'Enrollment Census'!$S401)</f>
        <v/>
      </c>
      <c r="F410" s="91">
        <f>IF($A410="","",IF('Enrollment Census'!$AF401&lt;&gt;"","FIX",IF('Enrollment Census'!$AD401&lt;&gt;"","REVIEW","READY")))</f>
        <v/>
      </c>
      <c r="G410" s="91">
        <f>IF($A410="","",'Enrollment Census'!$AE401)</f>
        <v/>
      </c>
      <c r="H410" s="91">
        <f>IF($A410="","",'Enrollment Census'!$AF401)</f>
        <v/>
      </c>
      <c r="I410" s="91">
        <f>IF($A410="","",'Enrollment Census'!$AD401)</f>
        <v/>
      </c>
      <c r="J410">
        <f>IF($A410="","",'Enrollment Census'!$A401)</f>
        <v/>
      </c>
      <c r="K410">
        <f>IF($F410="FIX",ROW(),IF($F410="REVIEW",1000+ROW(),""))</f>
        <v/>
      </c>
    </row>
    <row r="411" ht="36" customHeight="1">
      <c r="A411" s="91">
        <f>IF(COUNTA('Enrollment Census'!$A402:$U402)&gt;0,402,"")</f>
        <v/>
      </c>
      <c r="B411" s="91">
        <f>IF($A411="","","Employee ending "&amp;RIGHT('Enrollment Census'!$A402&amp;"",4)&amp;IF('Enrollment Census'!$AH402&gt;0," • "&amp;'Enrollment Census'!$AH402&amp;" row"&amp;IF('Enrollment Census'!$AH402=1,"","s")&amp;" need attention",""))</f>
        <v/>
      </c>
      <c r="C411" s="91">
        <f>IF($A411="","",TRIM('Enrollment Census'!$C402&amp;" "&amp;'Enrollment Census'!$D402)&amp;" • ending "&amp;RIGHT('Enrollment Census'!$W402&amp;"",4))</f>
        <v/>
      </c>
      <c r="D411" s="91">
        <f>IF($A411="","",'Enrollment Census'!$X402)</f>
        <v/>
      </c>
      <c r="E411" s="91">
        <f>IF($A411="","",'Enrollment Census'!$S402)</f>
        <v/>
      </c>
      <c r="F411" s="91">
        <f>IF($A411="","",IF('Enrollment Census'!$AF402&lt;&gt;"","FIX",IF('Enrollment Census'!$AD402&lt;&gt;"","REVIEW","READY")))</f>
        <v/>
      </c>
      <c r="G411" s="91">
        <f>IF($A411="","",'Enrollment Census'!$AE402)</f>
        <v/>
      </c>
      <c r="H411" s="91">
        <f>IF($A411="","",'Enrollment Census'!$AF402)</f>
        <v/>
      </c>
      <c r="I411" s="91">
        <f>IF($A411="","",'Enrollment Census'!$AD402)</f>
        <v/>
      </c>
      <c r="J411">
        <f>IF($A411="","",'Enrollment Census'!$A402)</f>
        <v/>
      </c>
      <c r="K411">
        <f>IF($F411="FIX",ROW(),IF($F411="REVIEW",1000+ROW(),""))</f>
        <v/>
      </c>
    </row>
    <row r="412" ht="36" customHeight="1">
      <c r="A412" s="91">
        <f>IF(COUNTA('Enrollment Census'!$A403:$U403)&gt;0,403,"")</f>
        <v/>
      </c>
      <c r="B412" s="91">
        <f>IF($A412="","","Employee ending "&amp;RIGHT('Enrollment Census'!$A403&amp;"",4)&amp;IF('Enrollment Census'!$AH403&gt;0," • "&amp;'Enrollment Census'!$AH403&amp;" row"&amp;IF('Enrollment Census'!$AH403=1,"","s")&amp;" need attention",""))</f>
        <v/>
      </c>
      <c r="C412" s="91">
        <f>IF($A412="","",TRIM('Enrollment Census'!$C403&amp;" "&amp;'Enrollment Census'!$D403)&amp;" • ending "&amp;RIGHT('Enrollment Census'!$W403&amp;"",4))</f>
        <v/>
      </c>
      <c r="D412" s="91">
        <f>IF($A412="","",'Enrollment Census'!$X403)</f>
        <v/>
      </c>
      <c r="E412" s="91">
        <f>IF($A412="","",'Enrollment Census'!$S403)</f>
        <v/>
      </c>
      <c r="F412" s="91">
        <f>IF($A412="","",IF('Enrollment Census'!$AF403&lt;&gt;"","FIX",IF('Enrollment Census'!$AD403&lt;&gt;"","REVIEW","READY")))</f>
        <v/>
      </c>
      <c r="G412" s="91">
        <f>IF($A412="","",'Enrollment Census'!$AE403)</f>
        <v/>
      </c>
      <c r="H412" s="91">
        <f>IF($A412="","",'Enrollment Census'!$AF403)</f>
        <v/>
      </c>
      <c r="I412" s="91">
        <f>IF($A412="","",'Enrollment Census'!$AD403)</f>
        <v/>
      </c>
      <c r="J412">
        <f>IF($A412="","",'Enrollment Census'!$A403)</f>
        <v/>
      </c>
      <c r="K412">
        <f>IF($F412="FIX",ROW(),IF($F412="REVIEW",1000+ROW(),""))</f>
        <v/>
      </c>
    </row>
    <row r="413" ht="36" customHeight="1">
      <c r="A413" s="91">
        <f>IF(COUNTA('Enrollment Census'!$A404:$U404)&gt;0,404,"")</f>
        <v/>
      </c>
      <c r="B413" s="91">
        <f>IF($A413="","","Employee ending "&amp;RIGHT('Enrollment Census'!$A404&amp;"",4)&amp;IF('Enrollment Census'!$AH404&gt;0," • "&amp;'Enrollment Census'!$AH404&amp;" row"&amp;IF('Enrollment Census'!$AH404=1,"","s")&amp;" need attention",""))</f>
        <v/>
      </c>
      <c r="C413" s="91">
        <f>IF($A413="","",TRIM('Enrollment Census'!$C404&amp;" "&amp;'Enrollment Census'!$D404)&amp;" • ending "&amp;RIGHT('Enrollment Census'!$W404&amp;"",4))</f>
        <v/>
      </c>
      <c r="D413" s="91">
        <f>IF($A413="","",'Enrollment Census'!$X404)</f>
        <v/>
      </c>
      <c r="E413" s="91">
        <f>IF($A413="","",'Enrollment Census'!$S404)</f>
        <v/>
      </c>
      <c r="F413" s="91">
        <f>IF($A413="","",IF('Enrollment Census'!$AF404&lt;&gt;"","FIX",IF('Enrollment Census'!$AD404&lt;&gt;"","REVIEW","READY")))</f>
        <v/>
      </c>
      <c r="G413" s="91">
        <f>IF($A413="","",'Enrollment Census'!$AE404)</f>
        <v/>
      </c>
      <c r="H413" s="91">
        <f>IF($A413="","",'Enrollment Census'!$AF404)</f>
        <v/>
      </c>
      <c r="I413" s="91">
        <f>IF($A413="","",'Enrollment Census'!$AD404)</f>
        <v/>
      </c>
      <c r="J413">
        <f>IF($A413="","",'Enrollment Census'!$A404)</f>
        <v/>
      </c>
      <c r="K413">
        <f>IF($F413="FIX",ROW(),IF($F413="REVIEW",1000+ROW(),""))</f>
        <v/>
      </c>
    </row>
    <row r="414" ht="36" customHeight="1">
      <c r="A414" s="91">
        <f>IF(COUNTA('Enrollment Census'!$A405:$U405)&gt;0,405,"")</f>
        <v/>
      </c>
      <c r="B414" s="91">
        <f>IF($A414="","","Employee ending "&amp;RIGHT('Enrollment Census'!$A405&amp;"",4)&amp;IF('Enrollment Census'!$AH405&gt;0," • "&amp;'Enrollment Census'!$AH405&amp;" row"&amp;IF('Enrollment Census'!$AH405=1,"","s")&amp;" need attention",""))</f>
        <v/>
      </c>
      <c r="C414" s="91">
        <f>IF($A414="","",TRIM('Enrollment Census'!$C405&amp;" "&amp;'Enrollment Census'!$D405)&amp;" • ending "&amp;RIGHT('Enrollment Census'!$W405&amp;"",4))</f>
        <v/>
      </c>
      <c r="D414" s="91">
        <f>IF($A414="","",'Enrollment Census'!$X405)</f>
        <v/>
      </c>
      <c r="E414" s="91">
        <f>IF($A414="","",'Enrollment Census'!$S405)</f>
        <v/>
      </c>
      <c r="F414" s="91">
        <f>IF($A414="","",IF('Enrollment Census'!$AF405&lt;&gt;"","FIX",IF('Enrollment Census'!$AD405&lt;&gt;"","REVIEW","READY")))</f>
        <v/>
      </c>
      <c r="G414" s="91">
        <f>IF($A414="","",'Enrollment Census'!$AE405)</f>
        <v/>
      </c>
      <c r="H414" s="91">
        <f>IF($A414="","",'Enrollment Census'!$AF405)</f>
        <v/>
      </c>
      <c r="I414" s="91">
        <f>IF($A414="","",'Enrollment Census'!$AD405)</f>
        <v/>
      </c>
      <c r="J414">
        <f>IF($A414="","",'Enrollment Census'!$A405)</f>
        <v/>
      </c>
      <c r="K414">
        <f>IF($F414="FIX",ROW(),IF($F414="REVIEW",1000+ROW(),""))</f>
        <v/>
      </c>
    </row>
    <row r="415" ht="36" customHeight="1">
      <c r="A415" s="91">
        <f>IF(COUNTA('Enrollment Census'!$A406:$U406)&gt;0,406,"")</f>
        <v/>
      </c>
      <c r="B415" s="91">
        <f>IF($A415="","","Employee ending "&amp;RIGHT('Enrollment Census'!$A406&amp;"",4)&amp;IF('Enrollment Census'!$AH406&gt;0," • "&amp;'Enrollment Census'!$AH406&amp;" row"&amp;IF('Enrollment Census'!$AH406=1,"","s")&amp;" need attention",""))</f>
        <v/>
      </c>
      <c r="C415" s="91">
        <f>IF($A415="","",TRIM('Enrollment Census'!$C406&amp;" "&amp;'Enrollment Census'!$D406)&amp;" • ending "&amp;RIGHT('Enrollment Census'!$W406&amp;"",4))</f>
        <v/>
      </c>
      <c r="D415" s="91">
        <f>IF($A415="","",'Enrollment Census'!$X406)</f>
        <v/>
      </c>
      <c r="E415" s="91">
        <f>IF($A415="","",'Enrollment Census'!$S406)</f>
        <v/>
      </c>
      <c r="F415" s="91">
        <f>IF($A415="","",IF('Enrollment Census'!$AF406&lt;&gt;"","FIX",IF('Enrollment Census'!$AD406&lt;&gt;"","REVIEW","READY")))</f>
        <v/>
      </c>
      <c r="G415" s="91">
        <f>IF($A415="","",'Enrollment Census'!$AE406)</f>
        <v/>
      </c>
      <c r="H415" s="91">
        <f>IF($A415="","",'Enrollment Census'!$AF406)</f>
        <v/>
      </c>
      <c r="I415" s="91">
        <f>IF($A415="","",'Enrollment Census'!$AD406)</f>
        <v/>
      </c>
      <c r="J415">
        <f>IF($A415="","",'Enrollment Census'!$A406)</f>
        <v/>
      </c>
      <c r="K415">
        <f>IF($F415="FIX",ROW(),IF($F415="REVIEW",1000+ROW(),""))</f>
        <v/>
      </c>
    </row>
    <row r="416" ht="36" customHeight="1">
      <c r="A416" s="91">
        <f>IF(COUNTA('Enrollment Census'!$A407:$U407)&gt;0,407,"")</f>
        <v/>
      </c>
      <c r="B416" s="91">
        <f>IF($A416="","","Employee ending "&amp;RIGHT('Enrollment Census'!$A407&amp;"",4)&amp;IF('Enrollment Census'!$AH407&gt;0," • "&amp;'Enrollment Census'!$AH407&amp;" row"&amp;IF('Enrollment Census'!$AH407=1,"","s")&amp;" need attention",""))</f>
        <v/>
      </c>
      <c r="C416" s="91">
        <f>IF($A416="","",TRIM('Enrollment Census'!$C407&amp;" "&amp;'Enrollment Census'!$D407)&amp;" • ending "&amp;RIGHT('Enrollment Census'!$W407&amp;"",4))</f>
        <v/>
      </c>
      <c r="D416" s="91">
        <f>IF($A416="","",'Enrollment Census'!$X407)</f>
        <v/>
      </c>
      <c r="E416" s="91">
        <f>IF($A416="","",'Enrollment Census'!$S407)</f>
        <v/>
      </c>
      <c r="F416" s="91">
        <f>IF($A416="","",IF('Enrollment Census'!$AF407&lt;&gt;"","FIX",IF('Enrollment Census'!$AD407&lt;&gt;"","REVIEW","READY")))</f>
        <v/>
      </c>
      <c r="G416" s="91">
        <f>IF($A416="","",'Enrollment Census'!$AE407)</f>
        <v/>
      </c>
      <c r="H416" s="91">
        <f>IF($A416="","",'Enrollment Census'!$AF407)</f>
        <v/>
      </c>
      <c r="I416" s="91">
        <f>IF($A416="","",'Enrollment Census'!$AD407)</f>
        <v/>
      </c>
      <c r="J416">
        <f>IF($A416="","",'Enrollment Census'!$A407)</f>
        <v/>
      </c>
      <c r="K416">
        <f>IF($F416="FIX",ROW(),IF($F416="REVIEW",1000+ROW(),""))</f>
        <v/>
      </c>
    </row>
    <row r="417" ht="36" customHeight="1">
      <c r="A417" s="91">
        <f>IF(COUNTA('Enrollment Census'!$A408:$U408)&gt;0,408,"")</f>
        <v/>
      </c>
      <c r="B417" s="91">
        <f>IF($A417="","","Employee ending "&amp;RIGHT('Enrollment Census'!$A408&amp;"",4)&amp;IF('Enrollment Census'!$AH408&gt;0," • "&amp;'Enrollment Census'!$AH408&amp;" row"&amp;IF('Enrollment Census'!$AH408=1,"","s")&amp;" need attention",""))</f>
        <v/>
      </c>
      <c r="C417" s="91">
        <f>IF($A417="","",TRIM('Enrollment Census'!$C408&amp;" "&amp;'Enrollment Census'!$D408)&amp;" • ending "&amp;RIGHT('Enrollment Census'!$W408&amp;"",4))</f>
        <v/>
      </c>
      <c r="D417" s="91">
        <f>IF($A417="","",'Enrollment Census'!$X408)</f>
        <v/>
      </c>
      <c r="E417" s="91">
        <f>IF($A417="","",'Enrollment Census'!$S408)</f>
        <v/>
      </c>
      <c r="F417" s="91">
        <f>IF($A417="","",IF('Enrollment Census'!$AF408&lt;&gt;"","FIX",IF('Enrollment Census'!$AD408&lt;&gt;"","REVIEW","READY")))</f>
        <v/>
      </c>
      <c r="G417" s="91">
        <f>IF($A417="","",'Enrollment Census'!$AE408)</f>
        <v/>
      </c>
      <c r="H417" s="91">
        <f>IF($A417="","",'Enrollment Census'!$AF408)</f>
        <v/>
      </c>
      <c r="I417" s="91">
        <f>IF($A417="","",'Enrollment Census'!$AD408)</f>
        <v/>
      </c>
      <c r="J417">
        <f>IF($A417="","",'Enrollment Census'!$A408)</f>
        <v/>
      </c>
      <c r="K417">
        <f>IF($F417="FIX",ROW(),IF($F417="REVIEW",1000+ROW(),""))</f>
        <v/>
      </c>
    </row>
    <row r="418" ht="36" customHeight="1">
      <c r="A418" s="91">
        <f>IF(COUNTA('Enrollment Census'!$A409:$U409)&gt;0,409,"")</f>
        <v/>
      </c>
      <c r="B418" s="91">
        <f>IF($A418="","","Employee ending "&amp;RIGHT('Enrollment Census'!$A409&amp;"",4)&amp;IF('Enrollment Census'!$AH409&gt;0," • "&amp;'Enrollment Census'!$AH409&amp;" row"&amp;IF('Enrollment Census'!$AH409=1,"","s")&amp;" need attention",""))</f>
        <v/>
      </c>
      <c r="C418" s="91">
        <f>IF($A418="","",TRIM('Enrollment Census'!$C409&amp;" "&amp;'Enrollment Census'!$D409)&amp;" • ending "&amp;RIGHT('Enrollment Census'!$W409&amp;"",4))</f>
        <v/>
      </c>
      <c r="D418" s="91">
        <f>IF($A418="","",'Enrollment Census'!$X409)</f>
        <v/>
      </c>
      <c r="E418" s="91">
        <f>IF($A418="","",'Enrollment Census'!$S409)</f>
        <v/>
      </c>
      <c r="F418" s="91">
        <f>IF($A418="","",IF('Enrollment Census'!$AF409&lt;&gt;"","FIX",IF('Enrollment Census'!$AD409&lt;&gt;"","REVIEW","READY")))</f>
        <v/>
      </c>
      <c r="G418" s="91">
        <f>IF($A418="","",'Enrollment Census'!$AE409)</f>
        <v/>
      </c>
      <c r="H418" s="91">
        <f>IF($A418="","",'Enrollment Census'!$AF409)</f>
        <v/>
      </c>
      <c r="I418" s="91">
        <f>IF($A418="","",'Enrollment Census'!$AD409)</f>
        <v/>
      </c>
      <c r="J418">
        <f>IF($A418="","",'Enrollment Census'!$A409)</f>
        <v/>
      </c>
      <c r="K418">
        <f>IF($F418="FIX",ROW(),IF($F418="REVIEW",1000+ROW(),""))</f>
        <v/>
      </c>
    </row>
    <row r="419" ht="36" customHeight="1">
      <c r="A419" s="91">
        <f>IF(COUNTA('Enrollment Census'!$A410:$U410)&gt;0,410,"")</f>
        <v/>
      </c>
      <c r="B419" s="91">
        <f>IF($A419="","","Employee ending "&amp;RIGHT('Enrollment Census'!$A410&amp;"",4)&amp;IF('Enrollment Census'!$AH410&gt;0," • "&amp;'Enrollment Census'!$AH410&amp;" row"&amp;IF('Enrollment Census'!$AH410=1,"","s")&amp;" need attention",""))</f>
        <v/>
      </c>
      <c r="C419" s="91">
        <f>IF($A419="","",TRIM('Enrollment Census'!$C410&amp;" "&amp;'Enrollment Census'!$D410)&amp;" • ending "&amp;RIGHT('Enrollment Census'!$W410&amp;"",4))</f>
        <v/>
      </c>
      <c r="D419" s="91">
        <f>IF($A419="","",'Enrollment Census'!$X410)</f>
        <v/>
      </c>
      <c r="E419" s="91">
        <f>IF($A419="","",'Enrollment Census'!$S410)</f>
        <v/>
      </c>
      <c r="F419" s="91">
        <f>IF($A419="","",IF('Enrollment Census'!$AF410&lt;&gt;"","FIX",IF('Enrollment Census'!$AD410&lt;&gt;"","REVIEW","READY")))</f>
        <v/>
      </c>
      <c r="G419" s="91">
        <f>IF($A419="","",'Enrollment Census'!$AE410)</f>
        <v/>
      </c>
      <c r="H419" s="91">
        <f>IF($A419="","",'Enrollment Census'!$AF410)</f>
        <v/>
      </c>
      <c r="I419" s="91">
        <f>IF($A419="","",'Enrollment Census'!$AD410)</f>
        <v/>
      </c>
      <c r="J419">
        <f>IF($A419="","",'Enrollment Census'!$A410)</f>
        <v/>
      </c>
      <c r="K419">
        <f>IF($F419="FIX",ROW(),IF($F419="REVIEW",1000+ROW(),""))</f>
        <v/>
      </c>
    </row>
    <row r="420" ht="36" customHeight="1">
      <c r="A420" s="91">
        <f>IF(COUNTA('Enrollment Census'!$A411:$U411)&gt;0,411,"")</f>
        <v/>
      </c>
      <c r="B420" s="91">
        <f>IF($A420="","","Employee ending "&amp;RIGHT('Enrollment Census'!$A411&amp;"",4)&amp;IF('Enrollment Census'!$AH411&gt;0," • "&amp;'Enrollment Census'!$AH411&amp;" row"&amp;IF('Enrollment Census'!$AH411=1,"","s")&amp;" need attention",""))</f>
        <v/>
      </c>
      <c r="C420" s="91">
        <f>IF($A420="","",TRIM('Enrollment Census'!$C411&amp;" "&amp;'Enrollment Census'!$D411)&amp;" • ending "&amp;RIGHT('Enrollment Census'!$W411&amp;"",4))</f>
        <v/>
      </c>
      <c r="D420" s="91">
        <f>IF($A420="","",'Enrollment Census'!$X411)</f>
        <v/>
      </c>
      <c r="E420" s="91">
        <f>IF($A420="","",'Enrollment Census'!$S411)</f>
        <v/>
      </c>
      <c r="F420" s="91">
        <f>IF($A420="","",IF('Enrollment Census'!$AF411&lt;&gt;"","FIX",IF('Enrollment Census'!$AD411&lt;&gt;"","REVIEW","READY")))</f>
        <v/>
      </c>
      <c r="G420" s="91">
        <f>IF($A420="","",'Enrollment Census'!$AE411)</f>
        <v/>
      </c>
      <c r="H420" s="91">
        <f>IF($A420="","",'Enrollment Census'!$AF411)</f>
        <v/>
      </c>
      <c r="I420" s="91">
        <f>IF($A420="","",'Enrollment Census'!$AD411)</f>
        <v/>
      </c>
      <c r="J420">
        <f>IF($A420="","",'Enrollment Census'!$A411)</f>
        <v/>
      </c>
      <c r="K420">
        <f>IF($F420="FIX",ROW(),IF($F420="REVIEW",1000+ROW(),""))</f>
        <v/>
      </c>
    </row>
    <row r="421" ht="36" customHeight="1">
      <c r="A421" s="91">
        <f>IF(COUNTA('Enrollment Census'!$A412:$U412)&gt;0,412,"")</f>
        <v/>
      </c>
      <c r="B421" s="91">
        <f>IF($A421="","","Employee ending "&amp;RIGHT('Enrollment Census'!$A412&amp;"",4)&amp;IF('Enrollment Census'!$AH412&gt;0," • "&amp;'Enrollment Census'!$AH412&amp;" row"&amp;IF('Enrollment Census'!$AH412=1,"","s")&amp;" need attention",""))</f>
        <v/>
      </c>
      <c r="C421" s="91">
        <f>IF($A421="","",TRIM('Enrollment Census'!$C412&amp;" "&amp;'Enrollment Census'!$D412)&amp;" • ending "&amp;RIGHT('Enrollment Census'!$W412&amp;"",4))</f>
        <v/>
      </c>
      <c r="D421" s="91">
        <f>IF($A421="","",'Enrollment Census'!$X412)</f>
        <v/>
      </c>
      <c r="E421" s="91">
        <f>IF($A421="","",'Enrollment Census'!$S412)</f>
        <v/>
      </c>
      <c r="F421" s="91">
        <f>IF($A421="","",IF('Enrollment Census'!$AF412&lt;&gt;"","FIX",IF('Enrollment Census'!$AD412&lt;&gt;"","REVIEW","READY")))</f>
        <v/>
      </c>
      <c r="G421" s="91">
        <f>IF($A421="","",'Enrollment Census'!$AE412)</f>
        <v/>
      </c>
      <c r="H421" s="91">
        <f>IF($A421="","",'Enrollment Census'!$AF412)</f>
        <v/>
      </c>
      <c r="I421" s="91">
        <f>IF($A421="","",'Enrollment Census'!$AD412)</f>
        <v/>
      </c>
      <c r="J421">
        <f>IF($A421="","",'Enrollment Census'!$A412)</f>
        <v/>
      </c>
      <c r="K421">
        <f>IF($F421="FIX",ROW(),IF($F421="REVIEW",1000+ROW(),""))</f>
        <v/>
      </c>
    </row>
    <row r="422" ht="36" customHeight="1">
      <c r="A422" s="91">
        <f>IF(COUNTA('Enrollment Census'!$A413:$U413)&gt;0,413,"")</f>
        <v/>
      </c>
      <c r="B422" s="91">
        <f>IF($A422="","","Employee ending "&amp;RIGHT('Enrollment Census'!$A413&amp;"",4)&amp;IF('Enrollment Census'!$AH413&gt;0," • "&amp;'Enrollment Census'!$AH413&amp;" row"&amp;IF('Enrollment Census'!$AH413=1,"","s")&amp;" need attention",""))</f>
        <v/>
      </c>
      <c r="C422" s="91">
        <f>IF($A422="","",TRIM('Enrollment Census'!$C413&amp;" "&amp;'Enrollment Census'!$D413)&amp;" • ending "&amp;RIGHT('Enrollment Census'!$W413&amp;"",4))</f>
        <v/>
      </c>
      <c r="D422" s="91">
        <f>IF($A422="","",'Enrollment Census'!$X413)</f>
        <v/>
      </c>
      <c r="E422" s="91">
        <f>IF($A422="","",'Enrollment Census'!$S413)</f>
        <v/>
      </c>
      <c r="F422" s="91">
        <f>IF($A422="","",IF('Enrollment Census'!$AF413&lt;&gt;"","FIX",IF('Enrollment Census'!$AD413&lt;&gt;"","REVIEW","READY")))</f>
        <v/>
      </c>
      <c r="G422" s="91">
        <f>IF($A422="","",'Enrollment Census'!$AE413)</f>
        <v/>
      </c>
      <c r="H422" s="91">
        <f>IF($A422="","",'Enrollment Census'!$AF413)</f>
        <v/>
      </c>
      <c r="I422" s="91">
        <f>IF($A422="","",'Enrollment Census'!$AD413)</f>
        <v/>
      </c>
      <c r="J422">
        <f>IF($A422="","",'Enrollment Census'!$A413)</f>
        <v/>
      </c>
      <c r="K422">
        <f>IF($F422="FIX",ROW(),IF($F422="REVIEW",1000+ROW(),""))</f>
        <v/>
      </c>
    </row>
    <row r="423" ht="36" customHeight="1">
      <c r="A423" s="91">
        <f>IF(COUNTA('Enrollment Census'!$A414:$U414)&gt;0,414,"")</f>
        <v/>
      </c>
      <c r="B423" s="91">
        <f>IF($A423="","","Employee ending "&amp;RIGHT('Enrollment Census'!$A414&amp;"",4)&amp;IF('Enrollment Census'!$AH414&gt;0," • "&amp;'Enrollment Census'!$AH414&amp;" row"&amp;IF('Enrollment Census'!$AH414=1,"","s")&amp;" need attention",""))</f>
        <v/>
      </c>
      <c r="C423" s="91">
        <f>IF($A423="","",TRIM('Enrollment Census'!$C414&amp;" "&amp;'Enrollment Census'!$D414)&amp;" • ending "&amp;RIGHT('Enrollment Census'!$W414&amp;"",4))</f>
        <v/>
      </c>
      <c r="D423" s="91">
        <f>IF($A423="","",'Enrollment Census'!$X414)</f>
        <v/>
      </c>
      <c r="E423" s="91">
        <f>IF($A423="","",'Enrollment Census'!$S414)</f>
        <v/>
      </c>
      <c r="F423" s="91">
        <f>IF($A423="","",IF('Enrollment Census'!$AF414&lt;&gt;"","FIX",IF('Enrollment Census'!$AD414&lt;&gt;"","REVIEW","READY")))</f>
        <v/>
      </c>
      <c r="G423" s="91">
        <f>IF($A423="","",'Enrollment Census'!$AE414)</f>
        <v/>
      </c>
      <c r="H423" s="91">
        <f>IF($A423="","",'Enrollment Census'!$AF414)</f>
        <v/>
      </c>
      <c r="I423" s="91">
        <f>IF($A423="","",'Enrollment Census'!$AD414)</f>
        <v/>
      </c>
      <c r="J423">
        <f>IF($A423="","",'Enrollment Census'!$A414)</f>
        <v/>
      </c>
      <c r="K423">
        <f>IF($F423="FIX",ROW(),IF($F423="REVIEW",1000+ROW(),""))</f>
        <v/>
      </c>
    </row>
    <row r="424" ht="36" customHeight="1">
      <c r="A424" s="91">
        <f>IF(COUNTA('Enrollment Census'!$A415:$U415)&gt;0,415,"")</f>
        <v/>
      </c>
      <c r="B424" s="91">
        <f>IF($A424="","","Employee ending "&amp;RIGHT('Enrollment Census'!$A415&amp;"",4)&amp;IF('Enrollment Census'!$AH415&gt;0," • "&amp;'Enrollment Census'!$AH415&amp;" row"&amp;IF('Enrollment Census'!$AH415=1,"","s")&amp;" need attention",""))</f>
        <v/>
      </c>
      <c r="C424" s="91">
        <f>IF($A424="","",TRIM('Enrollment Census'!$C415&amp;" "&amp;'Enrollment Census'!$D415)&amp;" • ending "&amp;RIGHT('Enrollment Census'!$W415&amp;"",4))</f>
        <v/>
      </c>
      <c r="D424" s="91">
        <f>IF($A424="","",'Enrollment Census'!$X415)</f>
        <v/>
      </c>
      <c r="E424" s="91">
        <f>IF($A424="","",'Enrollment Census'!$S415)</f>
        <v/>
      </c>
      <c r="F424" s="91">
        <f>IF($A424="","",IF('Enrollment Census'!$AF415&lt;&gt;"","FIX",IF('Enrollment Census'!$AD415&lt;&gt;"","REVIEW","READY")))</f>
        <v/>
      </c>
      <c r="G424" s="91">
        <f>IF($A424="","",'Enrollment Census'!$AE415)</f>
        <v/>
      </c>
      <c r="H424" s="91">
        <f>IF($A424="","",'Enrollment Census'!$AF415)</f>
        <v/>
      </c>
      <c r="I424" s="91">
        <f>IF($A424="","",'Enrollment Census'!$AD415)</f>
        <v/>
      </c>
      <c r="J424">
        <f>IF($A424="","",'Enrollment Census'!$A415)</f>
        <v/>
      </c>
      <c r="K424">
        <f>IF($F424="FIX",ROW(),IF($F424="REVIEW",1000+ROW(),""))</f>
        <v/>
      </c>
    </row>
    <row r="425" ht="36" customHeight="1">
      <c r="A425" s="91">
        <f>IF(COUNTA('Enrollment Census'!$A416:$U416)&gt;0,416,"")</f>
        <v/>
      </c>
      <c r="B425" s="91">
        <f>IF($A425="","","Employee ending "&amp;RIGHT('Enrollment Census'!$A416&amp;"",4)&amp;IF('Enrollment Census'!$AH416&gt;0," • "&amp;'Enrollment Census'!$AH416&amp;" row"&amp;IF('Enrollment Census'!$AH416=1,"","s")&amp;" need attention",""))</f>
        <v/>
      </c>
      <c r="C425" s="91">
        <f>IF($A425="","",TRIM('Enrollment Census'!$C416&amp;" "&amp;'Enrollment Census'!$D416)&amp;" • ending "&amp;RIGHT('Enrollment Census'!$W416&amp;"",4))</f>
        <v/>
      </c>
      <c r="D425" s="91">
        <f>IF($A425="","",'Enrollment Census'!$X416)</f>
        <v/>
      </c>
      <c r="E425" s="91">
        <f>IF($A425="","",'Enrollment Census'!$S416)</f>
        <v/>
      </c>
      <c r="F425" s="91">
        <f>IF($A425="","",IF('Enrollment Census'!$AF416&lt;&gt;"","FIX",IF('Enrollment Census'!$AD416&lt;&gt;"","REVIEW","READY")))</f>
        <v/>
      </c>
      <c r="G425" s="91">
        <f>IF($A425="","",'Enrollment Census'!$AE416)</f>
        <v/>
      </c>
      <c r="H425" s="91">
        <f>IF($A425="","",'Enrollment Census'!$AF416)</f>
        <v/>
      </c>
      <c r="I425" s="91">
        <f>IF($A425="","",'Enrollment Census'!$AD416)</f>
        <v/>
      </c>
      <c r="J425">
        <f>IF($A425="","",'Enrollment Census'!$A416)</f>
        <v/>
      </c>
      <c r="K425">
        <f>IF($F425="FIX",ROW(),IF($F425="REVIEW",1000+ROW(),""))</f>
        <v/>
      </c>
    </row>
    <row r="426" ht="36" customHeight="1">
      <c r="A426" s="91">
        <f>IF(COUNTA('Enrollment Census'!$A417:$U417)&gt;0,417,"")</f>
        <v/>
      </c>
      <c r="B426" s="91">
        <f>IF($A426="","","Employee ending "&amp;RIGHT('Enrollment Census'!$A417&amp;"",4)&amp;IF('Enrollment Census'!$AH417&gt;0," • "&amp;'Enrollment Census'!$AH417&amp;" row"&amp;IF('Enrollment Census'!$AH417=1,"","s")&amp;" need attention",""))</f>
        <v/>
      </c>
      <c r="C426" s="91">
        <f>IF($A426="","",TRIM('Enrollment Census'!$C417&amp;" "&amp;'Enrollment Census'!$D417)&amp;" • ending "&amp;RIGHT('Enrollment Census'!$W417&amp;"",4))</f>
        <v/>
      </c>
      <c r="D426" s="91">
        <f>IF($A426="","",'Enrollment Census'!$X417)</f>
        <v/>
      </c>
      <c r="E426" s="91">
        <f>IF($A426="","",'Enrollment Census'!$S417)</f>
        <v/>
      </c>
      <c r="F426" s="91">
        <f>IF($A426="","",IF('Enrollment Census'!$AF417&lt;&gt;"","FIX",IF('Enrollment Census'!$AD417&lt;&gt;"","REVIEW","READY")))</f>
        <v/>
      </c>
      <c r="G426" s="91">
        <f>IF($A426="","",'Enrollment Census'!$AE417)</f>
        <v/>
      </c>
      <c r="H426" s="91">
        <f>IF($A426="","",'Enrollment Census'!$AF417)</f>
        <v/>
      </c>
      <c r="I426" s="91">
        <f>IF($A426="","",'Enrollment Census'!$AD417)</f>
        <v/>
      </c>
      <c r="J426">
        <f>IF($A426="","",'Enrollment Census'!$A417)</f>
        <v/>
      </c>
      <c r="K426">
        <f>IF($F426="FIX",ROW(),IF($F426="REVIEW",1000+ROW(),""))</f>
        <v/>
      </c>
    </row>
    <row r="427" ht="36" customHeight="1">
      <c r="A427" s="91">
        <f>IF(COUNTA('Enrollment Census'!$A418:$U418)&gt;0,418,"")</f>
        <v/>
      </c>
      <c r="B427" s="91">
        <f>IF($A427="","","Employee ending "&amp;RIGHT('Enrollment Census'!$A418&amp;"",4)&amp;IF('Enrollment Census'!$AH418&gt;0," • "&amp;'Enrollment Census'!$AH418&amp;" row"&amp;IF('Enrollment Census'!$AH418=1,"","s")&amp;" need attention",""))</f>
        <v/>
      </c>
      <c r="C427" s="91">
        <f>IF($A427="","",TRIM('Enrollment Census'!$C418&amp;" "&amp;'Enrollment Census'!$D418)&amp;" • ending "&amp;RIGHT('Enrollment Census'!$W418&amp;"",4))</f>
        <v/>
      </c>
      <c r="D427" s="91">
        <f>IF($A427="","",'Enrollment Census'!$X418)</f>
        <v/>
      </c>
      <c r="E427" s="91">
        <f>IF($A427="","",'Enrollment Census'!$S418)</f>
        <v/>
      </c>
      <c r="F427" s="91">
        <f>IF($A427="","",IF('Enrollment Census'!$AF418&lt;&gt;"","FIX",IF('Enrollment Census'!$AD418&lt;&gt;"","REVIEW","READY")))</f>
        <v/>
      </c>
      <c r="G427" s="91">
        <f>IF($A427="","",'Enrollment Census'!$AE418)</f>
        <v/>
      </c>
      <c r="H427" s="91">
        <f>IF($A427="","",'Enrollment Census'!$AF418)</f>
        <v/>
      </c>
      <c r="I427" s="91">
        <f>IF($A427="","",'Enrollment Census'!$AD418)</f>
        <v/>
      </c>
      <c r="J427">
        <f>IF($A427="","",'Enrollment Census'!$A418)</f>
        <v/>
      </c>
      <c r="K427">
        <f>IF($F427="FIX",ROW(),IF($F427="REVIEW",1000+ROW(),""))</f>
        <v/>
      </c>
    </row>
    <row r="428" ht="36" customHeight="1">
      <c r="A428" s="91">
        <f>IF(COUNTA('Enrollment Census'!$A419:$U419)&gt;0,419,"")</f>
        <v/>
      </c>
      <c r="B428" s="91">
        <f>IF($A428="","","Employee ending "&amp;RIGHT('Enrollment Census'!$A419&amp;"",4)&amp;IF('Enrollment Census'!$AH419&gt;0," • "&amp;'Enrollment Census'!$AH419&amp;" row"&amp;IF('Enrollment Census'!$AH419=1,"","s")&amp;" need attention",""))</f>
        <v/>
      </c>
      <c r="C428" s="91">
        <f>IF($A428="","",TRIM('Enrollment Census'!$C419&amp;" "&amp;'Enrollment Census'!$D419)&amp;" • ending "&amp;RIGHT('Enrollment Census'!$W419&amp;"",4))</f>
        <v/>
      </c>
      <c r="D428" s="91">
        <f>IF($A428="","",'Enrollment Census'!$X419)</f>
        <v/>
      </c>
      <c r="E428" s="91">
        <f>IF($A428="","",'Enrollment Census'!$S419)</f>
        <v/>
      </c>
      <c r="F428" s="91">
        <f>IF($A428="","",IF('Enrollment Census'!$AF419&lt;&gt;"","FIX",IF('Enrollment Census'!$AD419&lt;&gt;"","REVIEW","READY")))</f>
        <v/>
      </c>
      <c r="G428" s="91">
        <f>IF($A428="","",'Enrollment Census'!$AE419)</f>
        <v/>
      </c>
      <c r="H428" s="91">
        <f>IF($A428="","",'Enrollment Census'!$AF419)</f>
        <v/>
      </c>
      <c r="I428" s="91">
        <f>IF($A428="","",'Enrollment Census'!$AD419)</f>
        <v/>
      </c>
      <c r="J428">
        <f>IF($A428="","",'Enrollment Census'!$A419)</f>
        <v/>
      </c>
      <c r="K428">
        <f>IF($F428="FIX",ROW(),IF($F428="REVIEW",1000+ROW(),""))</f>
        <v/>
      </c>
    </row>
    <row r="429" ht="36" customHeight="1">
      <c r="A429" s="91">
        <f>IF(COUNTA('Enrollment Census'!$A420:$U420)&gt;0,420,"")</f>
        <v/>
      </c>
      <c r="B429" s="91">
        <f>IF($A429="","","Employee ending "&amp;RIGHT('Enrollment Census'!$A420&amp;"",4)&amp;IF('Enrollment Census'!$AH420&gt;0," • "&amp;'Enrollment Census'!$AH420&amp;" row"&amp;IF('Enrollment Census'!$AH420=1,"","s")&amp;" need attention",""))</f>
        <v/>
      </c>
      <c r="C429" s="91">
        <f>IF($A429="","",TRIM('Enrollment Census'!$C420&amp;" "&amp;'Enrollment Census'!$D420)&amp;" • ending "&amp;RIGHT('Enrollment Census'!$W420&amp;"",4))</f>
        <v/>
      </c>
      <c r="D429" s="91">
        <f>IF($A429="","",'Enrollment Census'!$X420)</f>
        <v/>
      </c>
      <c r="E429" s="91">
        <f>IF($A429="","",'Enrollment Census'!$S420)</f>
        <v/>
      </c>
      <c r="F429" s="91">
        <f>IF($A429="","",IF('Enrollment Census'!$AF420&lt;&gt;"","FIX",IF('Enrollment Census'!$AD420&lt;&gt;"","REVIEW","READY")))</f>
        <v/>
      </c>
      <c r="G429" s="91">
        <f>IF($A429="","",'Enrollment Census'!$AE420)</f>
        <v/>
      </c>
      <c r="H429" s="91">
        <f>IF($A429="","",'Enrollment Census'!$AF420)</f>
        <v/>
      </c>
      <c r="I429" s="91">
        <f>IF($A429="","",'Enrollment Census'!$AD420)</f>
        <v/>
      </c>
      <c r="J429">
        <f>IF($A429="","",'Enrollment Census'!$A420)</f>
        <v/>
      </c>
      <c r="K429">
        <f>IF($F429="FIX",ROW(),IF($F429="REVIEW",1000+ROW(),""))</f>
        <v/>
      </c>
    </row>
    <row r="430" ht="36" customHeight="1">
      <c r="A430" s="91">
        <f>IF(COUNTA('Enrollment Census'!$A421:$U421)&gt;0,421,"")</f>
        <v/>
      </c>
      <c r="B430" s="91">
        <f>IF($A430="","","Employee ending "&amp;RIGHT('Enrollment Census'!$A421&amp;"",4)&amp;IF('Enrollment Census'!$AH421&gt;0," • "&amp;'Enrollment Census'!$AH421&amp;" row"&amp;IF('Enrollment Census'!$AH421=1,"","s")&amp;" need attention",""))</f>
        <v/>
      </c>
      <c r="C430" s="91">
        <f>IF($A430="","",TRIM('Enrollment Census'!$C421&amp;" "&amp;'Enrollment Census'!$D421)&amp;" • ending "&amp;RIGHT('Enrollment Census'!$W421&amp;"",4))</f>
        <v/>
      </c>
      <c r="D430" s="91">
        <f>IF($A430="","",'Enrollment Census'!$X421)</f>
        <v/>
      </c>
      <c r="E430" s="91">
        <f>IF($A430="","",'Enrollment Census'!$S421)</f>
        <v/>
      </c>
      <c r="F430" s="91">
        <f>IF($A430="","",IF('Enrollment Census'!$AF421&lt;&gt;"","FIX",IF('Enrollment Census'!$AD421&lt;&gt;"","REVIEW","READY")))</f>
        <v/>
      </c>
      <c r="G430" s="91">
        <f>IF($A430="","",'Enrollment Census'!$AE421)</f>
        <v/>
      </c>
      <c r="H430" s="91">
        <f>IF($A430="","",'Enrollment Census'!$AF421)</f>
        <v/>
      </c>
      <c r="I430" s="91">
        <f>IF($A430="","",'Enrollment Census'!$AD421)</f>
        <v/>
      </c>
      <c r="J430">
        <f>IF($A430="","",'Enrollment Census'!$A421)</f>
        <v/>
      </c>
      <c r="K430">
        <f>IF($F430="FIX",ROW(),IF($F430="REVIEW",1000+ROW(),""))</f>
        <v/>
      </c>
    </row>
    <row r="431" ht="36" customHeight="1">
      <c r="A431" s="91">
        <f>IF(COUNTA('Enrollment Census'!$A422:$U422)&gt;0,422,"")</f>
        <v/>
      </c>
      <c r="B431" s="91">
        <f>IF($A431="","","Employee ending "&amp;RIGHT('Enrollment Census'!$A422&amp;"",4)&amp;IF('Enrollment Census'!$AH422&gt;0," • "&amp;'Enrollment Census'!$AH422&amp;" row"&amp;IF('Enrollment Census'!$AH422=1,"","s")&amp;" need attention",""))</f>
        <v/>
      </c>
      <c r="C431" s="91">
        <f>IF($A431="","",TRIM('Enrollment Census'!$C422&amp;" "&amp;'Enrollment Census'!$D422)&amp;" • ending "&amp;RIGHT('Enrollment Census'!$W422&amp;"",4))</f>
        <v/>
      </c>
      <c r="D431" s="91">
        <f>IF($A431="","",'Enrollment Census'!$X422)</f>
        <v/>
      </c>
      <c r="E431" s="91">
        <f>IF($A431="","",'Enrollment Census'!$S422)</f>
        <v/>
      </c>
      <c r="F431" s="91">
        <f>IF($A431="","",IF('Enrollment Census'!$AF422&lt;&gt;"","FIX",IF('Enrollment Census'!$AD422&lt;&gt;"","REVIEW","READY")))</f>
        <v/>
      </c>
      <c r="G431" s="91">
        <f>IF($A431="","",'Enrollment Census'!$AE422)</f>
        <v/>
      </c>
      <c r="H431" s="91">
        <f>IF($A431="","",'Enrollment Census'!$AF422)</f>
        <v/>
      </c>
      <c r="I431" s="91">
        <f>IF($A431="","",'Enrollment Census'!$AD422)</f>
        <v/>
      </c>
      <c r="J431">
        <f>IF($A431="","",'Enrollment Census'!$A422)</f>
        <v/>
      </c>
      <c r="K431">
        <f>IF($F431="FIX",ROW(),IF($F431="REVIEW",1000+ROW(),""))</f>
        <v/>
      </c>
    </row>
    <row r="432" ht="36" customHeight="1">
      <c r="A432" s="91">
        <f>IF(COUNTA('Enrollment Census'!$A423:$U423)&gt;0,423,"")</f>
        <v/>
      </c>
      <c r="B432" s="91">
        <f>IF($A432="","","Employee ending "&amp;RIGHT('Enrollment Census'!$A423&amp;"",4)&amp;IF('Enrollment Census'!$AH423&gt;0," • "&amp;'Enrollment Census'!$AH423&amp;" row"&amp;IF('Enrollment Census'!$AH423=1,"","s")&amp;" need attention",""))</f>
        <v/>
      </c>
      <c r="C432" s="91">
        <f>IF($A432="","",TRIM('Enrollment Census'!$C423&amp;" "&amp;'Enrollment Census'!$D423)&amp;" • ending "&amp;RIGHT('Enrollment Census'!$W423&amp;"",4))</f>
        <v/>
      </c>
      <c r="D432" s="91">
        <f>IF($A432="","",'Enrollment Census'!$X423)</f>
        <v/>
      </c>
      <c r="E432" s="91">
        <f>IF($A432="","",'Enrollment Census'!$S423)</f>
        <v/>
      </c>
      <c r="F432" s="91">
        <f>IF($A432="","",IF('Enrollment Census'!$AF423&lt;&gt;"","FIX",IF('Enrollment Census'!$AD423&lt;&gt;"","REVIEW","READY")))</f>
        <v/>
      </c>
      <c r="G432" s="91">
        <f>IF($A432="","",'Enrollment Census'!$AE423)</f>
        <v/>
      </c>
      <c r="H432" s="91">
        <f>IF($A432="","",'Enrollment Census'!$AF423)</f>
        <v/>
      </c>
      <c r="I432" s="91">
        <f>IF($A432="","",'Enrollment Census'!$AD423)</f>
        <v/>
      </c>
      <c r="J432">
        <f>IF($A432="","",'Enrollment Census'!$A423)</f>
        <v/>
      </c>
      <c r="K432">
        <f>IF($F432="FIX",ROW(),IF($F432="REVIEW",1000+ROW(),""))</f>
        <v/>
      </c>
    </row>
    <row r="433" ht="36" customHeight="1">
      <c r="A433" s="91">
        <f>IF(COUNTA('Enrollment Census'!$A424:$U424)&gt;0,424,"")</f>
        <v/>
      </c>
      <c r="B433" s="91">
        <f>IF($A433="","","Employee ending "&amp;RIGHT('Enrollment Census'!$A424&amp;"",4)&amp;IF('Enrollment Census'!$AH424&gt;0," • "&amp;'Enrollment Census'!$AH424&amp;" row"&amp;IF('Enrollment Census'!$AH424=1,"","s")&amp;" need attention",""))</f>
        <v/>
      </c>
      <c r="C433" s="91">
        <f>IF($A433="","",TRIM('Enrollment Census'!$C424&amp;" "&amp;'Enrollment Census'!$D424)&amp;" • ending "&amp;RIGHT('Enrollment Census'!$W424&amp;"",4))</f>
        <v/>
      </c>
      <c r="D433" s="91">
        <f>IF($A433="","",'Enrollment Census'!$X424)</f>
        <v/>
      </c>
      <c r="E433" s="91">
        <f>IF($A433="","",'Enrollment Census'!$S424)</f>
        <v/>
      </c>
      <c r="F433" s="91">
        <f>IF($A433="","",IF('Enrollment Census'!$AF424&lt;&gt;"","FIX",IF('Enrollment Census'!$AD424&lt;&gt;"","REVIEW","READY")))</f>
        <v/>
      </c>
      <c r="G433" s="91">
        <f>IF($A433="","",'Enrollment Census'!$AE424)</f>
        <v/>
      </c>
      <c r="H433" s="91">
        <f>IF($A433="","",'Enrollment Census'!$AF424)</f>
        <v/>
      </c>
      <c r="I433" s="91">
        <f>IF($A433="","",'Enrollment Census'!$AD424)</f>
        <v/>
      </c>
      <c r="J433">
        <f>IF($A433="","",'Enrollment Census'!$A424)</f>
        <v/>
      </c>
      <c r="K433">
        <f>IF($F433="FIX",ROW(),IF($F433="REVIEW",1000+ROW(),""))</f>
        <v/>
      </c>
    </row>
    <row r="434" ht="36" customHeight="1">
      <c r="A434" s="91">
        <f>IF(COUNTA('Enrollment Census'!$A425:$U425)&gt;0,425,"")</f>
        <v/>
      </c>
      <c r="B434" s="91">
        <f>IF($A434="","","Employee ending "&amp;RIGHT('Enrollment Census'!$A425&amp;"",4)&amp;IF('Enrollment Census'!$AH425&gt;0," • "&amp;'Enrollment Census'!$AH425&amp;" row"&amp;IF('Enrollment Census'!$AH425=1,"","s")&amp;" need attention",""))</f>
        <v/>
      </c>
      <c r="C434" s="91">
        <f>IF($A434="","",TRIM('Enrollment Census'!$C425&amp;" "&amp;'Enrollment Census'!$D425)&amp;" • ending "&amp;RIGHT('Enrollment Census'!$W425&amp;"",4))</f>
        <v/>
      </c>
      <c r="D434" s="91">
        <f>IF($A434="","",'Enrollment Census'!$X425)</f>
        <v/>
      </c>
      <c r="E434" s="91">
        <f>IF($A434="","",'Enrollment Census'!$S425)</f>
        <v/>
      </c>
      <c r="F434" s="91">
        <f>IF($A434="","",IF('Enrollment Census'!$AF425&lt;&gt;"","FIX",IF('Enrollment Census'!$AD425&lt;&gt;"","REVIEW","READY")))</f>
        <v/>
      </c>
      <c r="G434" s="91">
        <f>IF($A434="","",'Enrollment Census'!$AE425)</f>
        <v/>
      </c>
      <c r="H434" s="91">
        <f>IF($A434="","",'Enrollment Census'!$AF425)</f>
        <v/>
      </c>
      <c r="I434" s="91">
        <f>IF($A434="","",'Enrollment Census'!$AD425)</f>
        <v/>
      </c>
      <c r="J434">
        <f>IF($A434="","",'Enrollment Census'!$A425)</f>
        <v/>
      </c>
      <c r="K434">
        <f>IF($F434="FIX",ROW(),IF($F434="REVIEW",1000+ROW(),""))</f>
        <v/>
      </c>
    </row>
    <row r="435" ht="36" customHeight="1">
      <c r="A435" s="91">
        <f>IF(COUNTA('Enrollment Census'!$A426:$U426)&gt;0,426,"")</f>
        <v/>
      </c>
      <c r="B435" s="91">
        <f>IF($A435="","","Employee ending "&amp;RIGHT('Enrollment Census'!$A426&amp;"",4)&amp;IF('Enrollment Census'!$AH426&gt;0," • "&amp;'Enrollment Census'!$AH426&amp;" row"&amp;IF('Enrollment Census'!$AH426=1,"","s")&amp;" need attention",""))</f>
        <v/>
      </c>
      <c r="C435" s="91">
        <f>IF($A435="","",TRIM('Enrollment Census'!$C426&amp;" "&amp;'Enrollment Census'!$D426)&amp;" • ending "&amp;RIGHT('Enrollment Census'!$W426&amp;"",4))</f>
        <v/>
      </c>
      <c r="D435" s="91">
        <f>IF($A435="","",'Enrollment Census'!$X426)</f>
        <v/>
      </c>
      <c r="E435" s="91">
        <f>IF($A435="","",'Enrollment Census'!$S426)</f>
        <v/>
      </c>
      <c r="F435" s="91">
        <f>IF($A435="","",IF('Enrollment Census'!$AF426&lt;&gt;"","FIX",IF('Enrollment Census'!$AD426&lt;&gt;"","REVIEW","READY")))</f>
        <v/>
      </c>
      <c r="G435" s="91">
        <f>IF($A435="","",'Enrollment Census'!$AE426)</f>
        <v/>
      </c>
      <c r="H435" s="91">
        <f>IF($A435="","",'Enrollment Census'!$AF426)</f>
        <v/>
      </c>
      <c r="I435" s="91">
        <f>IF($A435="","",'Enrollment Census'!$AD426)</f>
        <v/>
      </c>
      <c r="J435">
        <f>IF($A435="","",'Enrollment Census'!$A426)</f>
        <v/>
      </c>
      <c r="K435">
        <f>IF($F435="FIX",ROW(),IF($F435="REVIEW",1000+ROW(),""))</f>
        <v/>
      </c>
    </row>
    <row r="436" ht="36" customHeight="1">
      <c r="A436" s="91">
        <f>IF(COUNTA('Enrollment Census'!$A427:$U427)&gt;0,427,"")</f>
        <v/>
      </c>
      <c r="B436" s="91">
        <f>IF($A436="","","Employee ending "&amp;RIGHT('Enrollment Census'!$A427&amp;"",4)&amp;IF('Enrollment Census'!$AH427&gt;0," • "&amp;'Enrollment Census'!$AH427&amp;" row"&amp;IF('Enrollment Census'!$AH427=1,"","s")&amp;" need attention",""))</f>
        <v/>
      </c>
      <c r="C436" s="91">
        <f>IF($A436="","",TRIM('Enrollment Census'!$C427&amp;" "&amp;'Enrollment Census'!$D427)&amp;" • ending "&amp;RIGHT('Enrollment Census'!$W427&amp;"",4))</f>
        <v/>
      </c>
      <c r="D436" s="91">
        <f>IF($A436="","",'Enrollment Census'!$X427)</f>
        <v/>
      </c>
      <c r="E436" s="91">
        <f>IF($A436="","",'Enrollment Census'!$S427)</f>
        <v/>
      </c>
      <c r="F436" s="91">
        <f>IF($A436="","",IF('Enrollment Census'!$AF427&lt;&gt;"","FIX",IF('Enrollment Census'!$AD427&lt;&gt;"","REVIEW","READY")))</f>
        <v/>
      </c>
      <c r="G436" s="91">
        <f>IF($A436="","",'Enrollment Census'!$AE427)</f>
        <v/>
      </c>
      <c r="H436" s="91">
        <f>IF($A436="","",'Enrollment Census'!$AF427)</f>
        <v/>
      </c>
      <c r="I436" s="91">
        <f>IF($A436="","",'Enrollment Census'!$AD427)</f>
        <v/>
      </c>
      <c r="J436">
        <f>IF($A436="","",'Enrollment Census'!$A427)</f>
        <v/>
      </c>
      <c r="K436">
        <f>IF($F436="FIX",ROW(),IF($F436="REVIEW",1000+ROW(),""))</f>
        <v/>
      </c>
    </row>
    <row r="437" ht="36" customHeight="1">
      <c r="A437" s="91">
        <f>IF(COUNTA('Enrollment Census'!$A428:$U428)&gt;0,428,"")</f>
        <v/>
      </c>
      <c r="B437" s="91">
        <f>IF($A437="","","Employee ending "&amp;RIGHT('Enrollment Census'!$A428&amp;"",4)&amp;IF('Enrollment Census'!$AH428&gt;0," • "&amp;'Enrollment Census'!$AH428&amp;" row"&amp;IF('Enrollment Census'!$AH428=1,"","s")&amp;" need attention",""))</f>
        <v/>
      </c>
      <c r="C437" s="91">
        <f>IF($A437="","",TRIM('Enrollment Census'!$C428&amp;" "&amp;'Enrollment Census'!$D428)&amp;" • ending "&amp;RIGHT('Enrollment Census'!$W428&amp;"",4))</f>
        <v/>
      </c>
      <c r="D437" s="91">
        <f>IF($A437="","",'Enrollment Census'!$X428)</f>
        <v/>
      </c>
      <c r="E437" s="91">
        <f>IF($A437="","",'Enrollment Census'!$S428)</f>
        <v/>
      </c>
      <c r="F437" s="91">
        <f>IF($A437="","",IF('Enrollment Census'!$AF428&lt;&gt;"","FIX",IF('Enrollment Census'!$AD428&lt;&gt;"","REVIEW","READY")))</f>
        <v/>
      </c>
      <c r="G437" s="91">
        <f>IF($A437="","",'Enrollment Census'!$AE428)</f>
        <v/>
      </c>
      <c r="H437" s="91">
        <f>IF($A437="","",'Enrollment Census'!$AF428)</f>
        <v/>
      </c>
      <c r="I437" s="91">
        <f>IF($A437="","",'Enrollment Census'!$AD428)</f>
        <v/>
      </c>
      <c r="J437">
        <f>IF($A437="","",'Enrollment Census'!$A428)</f>
        <v/>
      </c>
      <c r="K437">
        <f>IF($F437="FIX",ROW(),IF($F437="REVIEW",1000+ROW(),""))</f>
        <v/>
      </c>
    </row>
    <row r="438" ht="36" customHeight="1">
      <c r="A438" s="91">
        <f>IF(COUNTA('Enrollment Census'!$A429:$U429)&gt;0,429,"")</f>
        <v/>
      </c>
      <c r="B438" s="91">
        <f>IF($A438="","","Employee ending "&amp;RIGHT('Enrollment Census'!$A429&amp;"",4)&amp;IF('Enrollment Census'!$AH429&gt;0," • "&amp;'Enrollment Census'!$AH429&amp;" row"&amp;IF('Enrollment Census'!$AH429=1,"","s")&amp;" need attention",""))</f>
        <v/>
      </c>
      <c r="C438" s="91">
        <f>IF($A438="","",TRIM('Enrollment Census'!$C429&amp;" "&amp;'Enrollment Census'!$D429)&amp;" • ending "&amp;RIGHT('Enrollment Census'!$W429&amp;"",4))</f>
        <v/>
      </c>
      <c r="D438" s="91">
        <f>IF($A438="","",'Enrollment Census'!$X429)</f>
        <v/>
      </c>
      <c r="E438" s="91">
        <f>IF($A438="","",'Enrollment Census'!$S429)</f>
        <v/>
      </c>
      <c r="F438" s="91">
        <f>IF($A438="","",IF('Enrollment Census'!$AF429&lt;&gt;"","FIX",IF('Enrollment Census'!$AD429&lt;&gt;"","REVIEW","READY")))</f>
        <v/>
      </c>
      <c r="G438" s="91">
        <f>IF($A438="","",'Enrollment Census'!$AE429)</f>
        <v/>
      </c>
      <c r="H438" s="91">
        <f>IF($A438="","",'Enrollment Census'!$AF429)</f>
        <v/>
      </c>
      <c r="I438" s="91">
        <f>IF($A438="","",'Enrollment Census'!$AD429)</f>
        <v/>
      </c>
      <c r="J438">
        <f>IF($A438="","",'Enrollment Census'!$A429)</f>
        <v/>
      </c>
      <c r="K438">
        <f>IF($F438="FIX",ROW(),IF($F438="REVIEW",1000+ROW(),""))</f>
        <v/>
      </c>
    </row>
    <row r="439" ht="36" customHeight="1">
      <c r="A439" s="91">
        <f>IF(COUNTA('Enrollment Census'!$A430:$U430)&gt;0,430,"")</f>
        <v/>
      </c>
      <c r="B439" s="91">
        <f>IF($A439="","","Employee ending "&amp;RIGHT('Enrollment Census'!$A430&amp;"",4)&amp;IF('Enrollment Census'!$AH430&gt;0," • "&amp;'Enrollment Census'!$AH430&amp;" row"&amp;IF('Enrollment Census'!$AH430=1,"","s")&amp;" need attention",""))</f>
        <v/>
      </c>
      <c r="C439" s="91">
        <f>IF($A439="","",TRIM('Enrollment Census'!$C430&amp;" "&amp;'Enrollment Census'!$D430)&amp;" • ending "&amp;RIGHT('Enrollment Census'!$W430&amp;"",4))</f>
        <v/>
      </c>
      <c r="D439" s="91">
        <f>IF($A439="","",'Enrollment Census'!$X430)</f>
        <v/>
      </c>
      <c r="E439" s="91">
        <f>IF($A439="","",'Enrollment Census'!$S430)</f>
        <v/>
      </c>
      <c r="F439" s="91">
        <f>IF($A439="","",IF('Enrollment Census'!$AF430&lt;&gt;"","FIX",IF('Enrollment Census'!$AD430&lt;&gt;"","REVIEW","READY")))</f>
        <v/>
      </c>
      <c r="G439" s="91">
        <f>IF($A439="","",'Enrollment Census'!$AE430)</f>
        <v/>
      </c>
      <c r="H439" s="91">
        <f>IF($A439="","",'Enrollment Census'!$AF430)</f>
        <v/>
      </c>
      <c r="I439" s="91">
        <f>IF($A439="","",'Enrollment Census'!$AD430)</f>
        <v/>
      </c>
      <c r="J439">
        <f>IF($A439="","",'Enrollment Census'!$A430)</f>
        <v/>
      </c>
      <c r="K439">
        <f>IF($F439="FIX",ROW(),IF($F439="REVIEW",1000+ROW(),""))</f>
        <v/>
      </c>
    </row>
    <row r="440" ht="36" customHeight="1">
      <c r="A440" s="91">
        <f>IF(COUNTA('Enrollment Census'!$A431:$U431)&gt;0,431,"")</f>
        <v/>
      </c>
      <c r="B440" s="91">
        <f>IF($A440="","","Employee ending "&amp;RIGHT('Enrollment Census'!$A431&amp;"",4)&amp;IF('Enrollment Census'!$AH431&gt;0," • "&amp;'Enrollment Census'!$AH431&amp;" row"&amp;IF('Enrollment Census'!$AH431=1,"","s")&amp;" need attention",""))</f>
        <v/>
      </c>
      <c r="C440" s="91">
        <f>IF($A440="","",TRIM('Enrollment Census'!$C431&amp;" "&amp;'Enrollment Census'!$D431)&amp;" • ending "&amp;RIGHT('Enrollment Census'!$W431&amp;"",4))</f>
        <v/>
      </c>
      <c r="D440" s="91">
        <f>IF($A440="","",'Enrollment Census'!$X431)</f>
        <v/>
      </c>
      <c r="E440" s="91">
        <f>IF($A440="","",'Enrollment Census'!$S431)</f>
        <v/>
      </c>
      <c r="F440" s="91">
        <f>IF($A440="","",IF('Enrollment Census'!$AF431&lt;&gt;"","FIX",IF('Enrollment Census'!$AD431&lt;&gt;"","REVIEW","READY")))</f>
        <v/>
      </c>
      <c r="G440" s="91">
        <f>IF($A440="","",'Enrollment Census'!$AE431)</f>
        <v/>
      </c>
      <c r="H440" s="91">
        <f>IF($A440="","",'Enrollment Census'!$AF431)</f>
        <v/>
      </c>
      <c r="I440" s="91">
        <f>IF($A440="","",'Enrollment Census'!$AD431)</f>
        <v/>
      </c>
      <c r="J440">
        <f>IF($A440="","",'Enrollment Census'!$A431)</f>
        <v/>
      </c>
      <c r="K440">
        <f>IF($F440="FIX",ROW(),IF($F440="REVIEW",1000+ROW(),""))</f>
        <v/>
      </c>
    </row>
    <row r="441" ht="36" customHeight="1">
      <c r="A441" s="91">
        <f>IF(COUNTA('Enrollment Census'!$A432:$U432)&gt;0,432,"")</f>
        <v/>
      </c>
      <c r="B441" s="91">
        <f>IF($A441="","","Employee ending "&amp;RIGHT('Enrollment Census'!$A432&amp;"",4)&amp;IF('Enrollment Census'!$AH432&gt;0," • "&amp;'Enrollment Census'!$AH432&amp;" row"&amp;IF('Enrollment Census'!$AH432=1,"","s")&amp;" need attention",""))</f>
        <v/>
      </c>
      <c r="C441" s="91">
        <f>IF($A441="","",TRIM('Enrollment Census'!$C432&amp;" "&amp;'Enrollment Census'!$D432)&amp;" • ending "&amp;RIGHT('Enrollment Census'!$W432&amp;"",4))</f>
        <v/>
      </c>
      <c r="D441" s="91">
        <f>IF($A441="","",'Enrollment Census'!$X432)</f>
        <v/>
      </c>
      <c r="E441" s="91">
        <f>IF($A441="","",'Enrollment Census'!$S432)</f>
        <v/>
      </c>
      <c r="F441" s="91">
        <f>IF($A441="","",IF('Enrollment Census'!$AF432&lt;&gt;"","FIX",IF('Enrollment Census'!$AD432&lt;&gt;"","REVIEW","READY")))</f>
        <v/>
      </c>
      <c r="G441" s="91">
        <f>IF($A441="","",'Enrollment Census'!$AE432)</f>
        <v/>
      </c>
      <c r="H441" s="91">
        <f>IF($A441="","",'Enrollment Census'!$AF432)</f>
        <v/>
      </c>
      <c r="I441" s="91">
        <f>IF($A441="","",'Enrollment Census'!$AD432)</f>
        <v/>
      </c>
      <c r="J441">
        <f>IF($A441="","",'Enrollment Census'!$A432)</f>
        <v/>
      </c>
      <c r="K441">
        <f>IF($F441="FIX",ROW(),IF($F441="REVIEW",1000+ROW(),""))</f>
        <v/>
      </c>
    </row>
    <row r="442" ht="36" customHeight="1">
      <c r="A442" s="91">
        <f>IF(COUNTA('Enrollment Census'!$A433:$U433)&gt;0,433,"")</f>
        <v/>
      </c>
      <c r="B442" s="91">
        <f>IF($A442="","","Employee ending "&amp;RIGHT('Enrollment Census'!$A433&amp;"",4)&amp;IF('Enrollment Census'!$AH433&gt;0," • "&amp;'Enrollment Census'!$AH433&amp;" row"&amp;IF('Enrollment Census'!$AH433=1,"","s")&amp;" need attention",""))</f>
        <v/>
      </c>
      <c r="C442" s="91">
        <f>IF($A442="","",TRIM('Enrollment Census'!$C433&amp;" "&amp;'Enrollment Census'!$D433)&amp;" • ending "&amp;RIGHT('Enrollment Census'!$W433&amp;"",4))</f>
        <v/>
      </c>
      <c r="D442" s="91">
        <f>IF($A442="","",'Enrollment Census'!$X433)</f>
        <v/>
      </c>
      <c r="E442" s="91">
        <f>IF($A442="","",'Enrollment Census'!$S433)</f>
        <v/>
      </c>
      <c r="F442" s="91">
        <f>IF($A442="","",IF('Enrollment Census'!$AF433&lt;&gt;"","FIX",IF('Enrollment Census'!$AD433&lt;&gt;"","REVIEW","READY")))</f>
        <v/>
      </c>
      <c r="G442" s="91">
        <f>IF($A442="","",'Enrollment Census'!$AE433)</f>
        <v/>
      </c>
      <c r="H442" s="91">
        <f>IF($A442="","",'Enrollment Census'!$AF433)</f>
        <v/>
      </c>
      <c r="I442" s="91">
        <f>IF($A442="","",'Enrollment Census'!$AD433)</f>
        <v/>
      </c>
      <c r="J442">
        <f>IF($A442="","",'Enrollment Census'!$A433)</f>
        <v/>
      </c>
      <c r="K442">
        <f>IF($F442="FIX",ROW(),IF($F442="REVIEW",1000+ROW(),""))</f>
        <v/>
      </c>
    </row>
    <row r="443" ht="36" customHeight="1">
      <c r="A443" s="91">
        <f>IF(COUNTA('Enrollment Census'!$A434:$U434)&gt;0,434,"")</f>
        <v/>
      </c>
      <c r="B443" s="91">
        <f>IF($A443="","","Employee ending "&amp;RIGHT('Enrollment Census'!$A434&amp;"",4)&amp;IF('Enrollment Census'!$AH434&gt;0," • "&amp;'Enrollment Census'!$AH434&amp;" row"&amp;IF('Enrollment Census'!$AH434=1,"","s")&amp;" need attention",""))</f>
        <v/>
      </c>
      <c r="C443" s="91">
        <f>IF($A443="","",TRIM('Enrollment Census'!$C434&amp;" "&amp;'Enrollment Census'!$D434)&amp;" • ending "&amp;RIGHT('Enrollment Census'!$W434&amp;"",4))</f>
        <v/>
      </c>
      <c r="D443" s="91">
        <f>IF($A443="","",'Enrollment Census'!$X434)</f>
        <v/>
      </c>
      <c r="E443" s="91">
        <f>IF($A443="","",'Enrollment Census'!$S434)</f>
        <v/>
      </c>
      <c r="F443" s="91">
        <f>IF($A443="","",IF('Enrollment Census'!$AF434&lt;&gt;"","FIX",IF('Enrollment Census'!$AD434&lt;&gt;"","REVIEW","READY")))</f>
        <v/>
      </c>
      <c r="G443" s="91">
        <f>IF($A443="","",'Enrollment Census'!$AE434)</f>
        <v/>
      </c>
      <c r="H443" s="91">
        <f>IF($A443="","",'Enrollment Census'!$AF434)</f>
        <v/>
      </c>
      <c r="I443" s="91">
        <f>IF($A443="","",'Enrollment Census'!$AD434)</f>
        <v/>
      </c>
      <c r="J443">
        <f>IF($A443="","",'Enrollment Census'!$A434)</f>
        <v/>
      </c>
      <c r="K443">
        <f>IF($F443="FIX",ROW(),IF($F443="REVIEW",1000+ROW(),""))</f>
        <v/>
      </c>
    </row>
    <row r="444" ht="36" customHeight="1">
      <c r="A444" s="91">
        <f>IF(COUNTA('Enrollment Census'!$A435:$U435)&gt;0,435,"")</f>
        <v/>
      </c>
      <c r="B444" s="91">
        <f>IF($A444="","","Employee ending "&amp;RIGHT('Enrollment Census'!$A435&amp;"",4)&amp;IF('Enrollment Census'!$AH435&gt;0," • "&amp;'Enrollment Census'!$AH435&amp;" row"&amp;IF('Enrollment Census'!$AH435=1,"","s")&amp;" need attention",""))</f>
        <v/>
      </c>
      <c r="C444" s="91">
        <f>IF($A444="","",TRIM('Enrollment Census'!$C435&amp;" "&amp;'Enrollment Census'!$D435)&amp;" • ending "&amp;RIGHT('Enrollment Census'!$W435&amp;"",4))</f>
        <v/>
      </c>
      <c r="D444" s="91">
        <f>IF($A444="","",'Enrollment Census'!$X435)</f>
        <v/>
      </c>
      <c r="E444" s="91">
        <f>IF($A444="","",'Enrollment Census'!$S435)</f>
        <v/>
      </c>
      <c r="F444" s="91">
        <f>IF($A444="","",IF('Enrollment Census'!$AF435&lt;&gt;"","FIX",IF('Enrollment Census'!$AD435&lt;&gt;"","REVIEW","READY")))</f>
        <v/>
      </c>
      <c r="G444" s="91">
        <f>IF($A444="","",'Enrollment Census'!$AE435)</f>
        <v/>
      </c>
      <c r="H444" s="91">
        <f>IF($A444="","",'Enrollment Census'!$AF435)</f>
        <v/>
      </c>
      <c r="I444" s="91">
        <f>IF($A444="","",'Enrollment Census'!$AD435)</f>
        <v/>
      </c>
      <c r="J444">
        <f>IF($A444="","",'Enrollment Census'!$A435)</f>
        <v/>
      </c>
      <c r="K444">
        <f>IF($F444="FIX",ROW(),IF($F444="REVIEW",1000+ROW(),""))</f>
        <v/>
      </c>
    </row>
    <row r="445" ht="36" customHeight="1">
      <c r="A445" s="91">
        <f>IF(COUNTA('Enrollment Census'!$A436:$U436)&gt;0,436,"")</f>
        <v/>
      </c>
      <c r="B445" s="91">
        <f>IF($A445="","","Employee ending "&amp;RIGHT('Enrollment Census'!$A436&amp;"",4)&amp;IF('Enrollment Census'!$AH436&gt;0," • "&amp;'Enrollment Census'!$AH436&amp;" row"&amp;IF('Enrollment Census'!$AH436=1,"","s")&amp;" need attention",""))</f>
        <v/>
      </c>
      <c r="C445" s="91">
        <f>IF($A445="","",TRIM('Enrollment Census'!$C436&amp;" "&amp;'Enrollment Census'!$D436)&amp;" • ending "&amp;RIGHT('Enrollment Census'!$W436&amp;"",4))</f>
        <v/>
      </c>
      <c r="D445" s="91">
        <f>IF($A445="","",'Enrollment Census'!$X436)</f>
        <v/>
      </c>
      <c r="E445" s="91">
        <f>IF($A445="","",'Enrollment Census'!$S436)</f>
        <v/>
      </c>
      <c r="F445" s="91">
        <f>IF($A445="","",IF('Enrollment Census'!$AF436&lt;&gt;"","FIX",IF('Enrollment Census'!$AD436&lt;&gt;"","REVIEW","READY")))</f>
        <v/>
      </c>
      <c r="G445" s="91">
        <f>IF($A445="","",'Enrollment Census'!$AE436)</f>
        <v/>
      </c>
      <c r="H445" s="91">
        <f>IF($A445="","",'Enrollment Census'!$AF436)</f>
        <v/>
      </c>
      <c r="I445" s="91">
        <f>IF($A445="","",'Enrollment Census'!$AD436)</f>
        <v/>
      </c>
      <c r="J445">
        <f>IF($A445="","",'Enrollment Census'!$A436)</f>
        <v/>
      </c>
      <c r="K445">
        <f>IF($F445="FIX",ROW(),IF($F445="REVIEW",1000+ROW(),""))</f>
        <v/>
      </c>
    </row>
    <row r="446" ht="36" customHeight="1">
      <c r="A446" s="91">
        <f>IF(COUNTA('Enrollment Census'!$A437:$U437)&gt;0,437,"")</f>
        <v/>
      </c>
      <c r="B446" s="91">
        <f>IF($A446="","","Employee ending "&amp;RIGHT('Enrollment Census'!$A437&amp;"",4)&amp;IF('Enrollment Census'!$AH437&gt;0," • "&amp;'Enrollment Census'!$AH437&amp;" row"&amp;IF('Enrollment Census'!$AH437=1,"","s")&amp;" need attention",""))</f>
        <v/>
      </c>
      <c r="C446" s="91">
        <f>IF($A446="","",TRIM('Enrollment Census'!$C437&amp;" "&amp;'Enrollment Census'!$D437)&amp;" • ending "&amp;RIGHT('Enrollment Census'!$W437&amp;"",4))</f>
        <v/>
      </c>
      <c r="D446" s="91">
        <f>IF($A446="","",'Enrollment Census'!$X437)</f>
        <v/>
      </c>
      <c r="E446" s="91">
        <f>IF($A446="","",'Enrollment Census'!$S437)</f>
        <v/>
      </c>
      <c r="F446" s="91">
        <f>IF($A446="","",IF('Enrollment Census'!$AF437&lt;&gt;"","FIX",IF('Enrollment Census'!$AD437&lt;&gt;"","REVIEW","READY")))</f>
        <v/>
      </c>
      <c r="G446" s="91">
        <f>IF($A446="","",'Enrollment Census'!$AE437)</f>
        <v/>
      </c>
      <c r="H446" s="91">
        <f>IF($A446="","",'Enrollment Census'!$AF437)</f>
        <v/>
      </c>
      <c r="I446" s="91">
        <f>IF($A446="","",'Enrollment Census'!$AD437)</f>
        <v/>
      </c>
      <c r="J446">
        <f>IF($A446="","",'Enrollment Census'!$A437)</f>
        <v/>
      </c>
      <c r="K446">
        <f>IF($F446="FIX",ROW(),IF($F446="REVIEW",1000+ROW(),""))</f>
        <v/>
      </c>
    </row>
    <row r="447" ht="36" customHeight="1">
      <c r="A447" s="91">
        <f>IF(COUNTA('Enrollment Census'!$A438:$U438)&gt;0,438,"")</f>
        <v/>
      </c>
      <c r="B447" s="91">
        <f>IF($A447="","","Employee ending "&amp;RIGHT('Enrollment Census'!$A438&amp;"",4)&amp;IF('Enrollment Census'!$AH438&gt;0," • "&amp;'Enrollment Census'!$AH438&amp;" row"&amp;IF('Enrollment Census'!$AH438=1,"","s")&amp;" need attention",""))</f>
        <v/>
      </c>
      <c r="C447" s="91">
        <f>IF($A447="","",TRIM('Enrollment Census'!$C438&amp;" "&amp;'Enrollment Census'!$D438)&amp;" • ending "&amp;RIGHT('Enrollment Census'!$W438&amp;"",4))</f>
        <v/>
      </c>
      <c r="D447" s="91">
        <f>IF($A447="","",'Enrollment Census'!$X438)</f>
        <v/>
      </c>
      <c r="E447" s="91">
        <f>IF($A447="","",'Enrollment Census'!$S438)</f>
        <v/>
      </c>
      <c r="F447" s="91">
        <f>IF($A447="","",IF('Enrollment Census'!$AF438&lt;&gt;"","FIX",IF('Enrollment Census'!$AD438&lt;&gt;"","REVIEW","READY")))</f>
        <v/>
      </c>
      <c r="G447" s="91">
        <f>IF($A447="","",'Enrollment Census'!$AE438)</f>
        <v/>
      </c>
      <c r="H447" s="91">
        <f>IF($A447="","",'Enrollment Census'!$AF438)</f>
        <v/>
      </c>
      <c r="I447" s="91">
        <f>IF($A447="","",'Enrollment Census'!$AD438)</f>
        <v/>
      </c>
      <c r="J447">
        <f>IF($A447="","",'Enrollment Census'!$A438)</f>
        <v/>
      </c>
      <c r="K447">
        <f>IF($F447="FIX",ROW(),IF($F447="REVIEW",1000+ROW(),""))</f>
        <v/>
      </c>
    </row>
    <row r="448" ht="36" customHeight="1">
      <c r="A448" s="91">
        <f>IF(COUNTA('Enrollment Census'!$A439:$U439)&gt;0,439,"")</f>
        <v/>
      </c>
      <c r="B448" s="91">
        <f>IF($A448="","","Employee ending "&amp;RIGHT('Enrollment Census'!$A439&amp;"",4)&amp;IF('Enrollment Census'!$AH439&gt;0," • "&amp;'Enrollment Census'!$AH439&amp;" row"&amp;IF('Enrollment Census'!$AH439=1,"","s")&amp;" need attention",""))</f>
        <v/>
      </c>
      <c r="C448" s="91">
        <f>IF($A448="","",TRIM('Enrollment Census'!$C439&amp;" "&amp;'Enrollment Census'!$D439)&amp;" • ending "&amp;RIGHT('Enrollment Census'!$W439&amp;"",4))</f>
        <v/>
      </c>
      <c r="D448" s="91">
        <f>IF($A448="","",'Enrollment Census'!$X439)</f>
        <v/>
      </c>
      <c r="E448" s="91">
        <f>IF($A448="","",'Enrollment Census'!$S439)</f>
        <v/>
      </c>
      <c r="F448" s="91">
        <f>IF($A448="","",IF('Enrollment Census'!$AF439&lt;&gt;"","FIX",IF('Enrollment Census'!$AD439&lt;&gt;"","REVIEW","READY")))</f>
        <v/>
      </c>
      <c r="G448" s="91">
        <f>IF($A448="","",'Enrollment Census'!$AE439)</f>
        <v/>
      </c>
      <c r="H448" s="91">
        <f>IF($A448="","",'Enrollment Census'!$AF439)</f>
        <v/>
      </c>
      <c r="I448" s="91">
        <f>IF($A448="","",'Enrollment Census'!$AD439)</f>
        <v/>
      </c>
      <c r="J448">
        <f>IF($A448="","",'Enrollment Census'!$A439)</f>
        <v/>
      </c>
      <c r="K448">
        <f>IF($F448="FIX",ROW(),IF($F448="REVIEW",1000+ROW(),""))</f>
        <v/>
      </c>
    </row>
    <row r="449" ht="36" customHeight="1">
      <c r="A449" s="91">
        <f>IF(COUNTA('Enrollment Census'!$A440:$U440)&gt;0,440,"")</f>
        <v/>
      </c>
      <c r="B449" s="91">
        <f>IF($A449="","","Employee ending "&amp;RIGHT('Enrollment Census'!$A440&amp;"",4)&amp;IF('Enrollment Census'!$AH440&gt;0," • "&amp;'Enrollment Census'!$AH440&amp;" row"&amp;IF('Enrollment Census'!$AH440=1,"","s")&amp;" need attention",""))</f>
        <v/>
      </c>
      <c r="C449" s="91">
        <f>IF($A449="","",TRIM('Enrollment Census'!$C440&amp;" "&amp;'Enrollment Census'!$D440)&amp;" • ending "&amp;RIGHT('Enrollment Census'!$W440&amp;"",4))</f>
        <v/>
      </c>
      <c r="D449" s="91">
        <f>IF($A449="","",'Enrollment Census'!$X440)</f>
        <v/>
      </c>
      <c r="E449" s="91">
        <f>IF($A449="","",'Enrollment Census'!$S440)</f>
        <v/>
      </c>
      <c r="F449" s="91">
        <f>IF($A449="","",IF('Enrollment Census'!$AF440&lt;&gt;"","FIX",IF('Enrollment Census'!$AD440&lt;&gt;"","REVIEW","READY")))</f>
        <v/>
      </c>
      <c r="G449" s="91">
        <f>IF($A449="","",'Enrollment Census'!$AE440)</f>
        <v/>
      </c>
      <c r="H449" s="91">
        <f>IF($A449="","",'Enrollment Census'!$AF440)</f>
        <v/>
      </c>
      <c r="I449" s="91">
        <f>IF($A449="","",'Enrollment Census'!$AD440)</f>
        <v/>
      </c>
      <c r="J449">
        <f>IF($A449="","",'Enrollment Census'!$A440)</f>
        <v/>
      </c>
      <c r="K449">
        <f>IF($F449="FIX",ROW(),IF($F449="REVIEW",1000+ROW(),""))</f>
        <v/>
      </c>
    </row>
    <row r="450" ht="36" customHeight="1">
      <c r="A450" s="91">
        <f>IF(COUNTA('Enrollment Census'!$A441:$U441)&gt;0,441,"")</f>
        <v/>
      </c>
      <c r="B450" s="91">
        <f>IF($A450="","","Employee ending "&amp;RIGHT('Enrollment Census'!$A441&amp;"",4)&amp;IF('Enrollment Census'!$AH441&gt;0," • "&amp;'Enrollment Census'!$AH441&amp;" row"&amp;IF('Enrollment Census'!$AH441=1,"","s")&amp;" need attention",""))</f>
        <v/>
      </c>
      <c r="C450" s="91">
        <f>IF($A450="","",TRIM('Enrollment Census'!$C441&amp;" "&amp;'Enrollment Census'!$D441)&amp;" • ending "&amp;RIGHT('Enrollment Census'!$W441&amp;"",4))</f>
        <v/>
      </c>
      <c r="D450" s="91">
        <f>IF($A450="","",'Enrollment Census'!$X441)</f>
        <v/>
      </c>
      <c r="E450" s="91">
        <f>IF($A450="","",'Enrollment Census'!$S441)</f>
        <v/>
      </c>
      <c r="F450" s="91">
        <f>IF($A450="","",IF('Enrollment Census'!$AF441&lt;&gt;"","FIX",IF('Enrollment Census'!$AD441&lt;&gt;"","REVIEW","READY")))</f>
        <v/>
      </c>
      <c r="G450" s="91">
        <f>IF($A450="","",'Enrollment Census'!$AE441)</f>
        <v/>
      </c>
      <c r="H450" s="91">
        <f>IF($A450="","",'Enrollment Census'!$AF441)</f>
        <v/>
      </c>
      <c r="I450" s="91">
        <f>IF($A450="","",'Enrollment Census'!$AD441)</f>
        <v/>
      </c>
      <c r="J450">
        <f>IF($A450="","",'Enrollment Census'!$A441)</f>
        <v/>
      </c>
      <c r="K450">
        <f>IF($F450="FIX",ROW(),IF($F450="REVIEW",1000+ROW(),""))</f>
        <v/>
      </c>
    </row>
    <row r="451" ht="36" customHeight="1">
      <c r="A451" s="91">
        <f>IF(COUNTA('Enrollment Census'!$A442:$U442)&gt;0,442,"")</f>
        <v/>
      </c>
      <c r="B451" s="91">
        <f>IF($A451="","","Employee ending "&amp;RIGHT('Enrollment Census'!$A442&amp;"",4)&amp;IF('Enrollment Census'!$AH442&gt;0," • "&amp;'Enrollment Census'!$AH442&amp;" row"&amp;IF('Enrollment Census'!$AH442=1,"","s")&amp;" need attention",""))</f>
        <v/>
      </c>
      <c r="C451" s="91">
        <f>IF($A451="","",TRIM('Enrollment Census'!$C442&amp;" "&amp;'Enrollment Census'!$D442)&amp;" • ending "&amp;RIGHT('Enrollment Census'!$W442&amp;"",4))</f>
        <v/>
      </c>
      <c r="D451" s="91">
        <f>IF($A451="","",'Enrollment Census'!$X442)</f>
        <v/>
      </c>
      <c r="E451" s="91">
        <f>IF($A451="","",'Enrollment Census'!$S442)</f>
        <v/>
      </c>
      <c r="F451" s="91">
        <f>IF($A451="","",IF('Enrollment Census'!$AF442&lt;&gt;"","FIX",IF('Enrollment Census'!$AD442&lt;&gt;"","REVIEW","READY")))</f>
        <v/>
      </c>
      <c r="G451" s="91">
        <f>IF($A451="","",'Enrollment Census'!$AE442)</f>
        <v/>
      </c>
      <c r="H451" s="91">
        <f>IF($A451="","",'Enrollment Census'!$AF442)</f>
        <v/>
      </c>
      <c r="I451" s="91">
        <f>IF($A451="","",'Enrollment Census'!$AD442)</f>
        <v/>
      </c>
      <c r="J451">
        <f>IF($A451="","",'Enrollment Census'!$A442)</f>
        <v/>
      </c>
      <c r="K451">
        <f>IF($F451="FIX",ROW(),IF($F451="REVIEW",1000+ROW(),""))</f>
        <v/>
      </c>
    </row>
    <row r="452" ht="36" customHeight="1">
      <c r="A452" s="91">
        <f>IF(COUNTA('Enrollment Census'!$A443:$U443)&gt;0,443,"")</f>
        <v/>
      </c>
      <c r="B452" s="91">
        <f>IF($A452="","","Employee ending "&amp;RIGHT('Enrollment Census'!$A443&amp;"",4)&amp;IF('Enrollment Census'!$AH443&gt;0," • "&amp;'Enrollment Census'!$AH443&amp;" row"&amp;IF('Enrollment Census'!$AH443=1,"","s")&amp;" need attention",""))</f>
        <v/>
      </c>
      <c r="C452" s="91">
        <f>IF($A452="","",TRIM('Enrollment Census'!$C443&amp;" "&amp;'Enrollment Census'!$D443)&amp;" • ending "&amp;RIGHT('Enrollment Census'!$W443&amp;"",4))</f>
        <v/>
      </c>
      <c r="D452" s="91">
        <f>IF($A452="","",'Enrollment Census'!$X443)</f>
        <v/>
      </c>
      <c r="E452" s="91">
        <f>IF($A452="","",'Enrollment Census'!$S443)</f>
        <v/>
      </c>
      <c r="F452" s="91">
        <f>IF($A452="","",IF('Enrollment Census'!$AF443&lt;&gt;"","FIX",IF('Enrollment Census'!$AD443&lt;&gt;"","REVIEW","READY")))</f>
        <v/>
      </c>
      <c r="G452" s="91">
        <f>IF($A452="","",'Enrollment Census'!$AE443)</f>
        <v/>
      </c>
      <c r="H452" s="91">
        <f>IF($A452="","",'Enrollment Census'!$AF443)</f>
        <v/>
      </c>
      <c r="I452" s="91">
        <f>IF($A452="","",'Enrollment Census'!$AD443)</f>
        <v/>
      </c>
      <c r="J452">
        <f>IF($A452="","",'Enrollment Census'!$A443)</f>
        <v/>
      </c>
      <c r="K452">
        <f>IF($F452="FIX",ROW(),IF($F452="REVIEW",1000+ROW(),""))</f>
        <v/>
      </c>
    </row>
    <row r="453" ht="36" customHeight="1">
      <c r="A453" s="91">
        <f>IF(COUNTA('Enrollment Census'!$A444:$U444)&gt;0,444,"")</f>
        <v/>
      </c>
      <c r="B453" s="91">
        <f>IF($A453="","","Employee ending "&amp;RIGHT('Enrollment Census'!$A444&amp;"",4)&amp;IF('Enrollment Census'!$AH444&gt;0," • "&amp;'Enrollment Census'!$AH444&amp;" row"&amp;IF('Enrollment Census'!$AH444=1,"","s")&amp;" need attention",""))</f>
        <v/>
      </c>
      <c r="C453" s="91">
        <f>IF($A453="","",TRIM('Enrollment Census'!$C444&amp;" "&amp;'Enrollment Census'!$D444)&amp;" • ending "&amp;RIGHT('Enrollment Census'!$W444&amp;"",4))</f>
        <v/>
      </c>
      <c r="D453" s="91">
        <f>IF($A453="","",'Enrollment Census'!$X444)</f>
        <v/>
      </c>
      <c r="E453" s="91">
        <f>IF($A453="","",'Enrollment Census'!$S444)</f>
        <v/>
      </c>
      <c r="F453" s="91">
        <f>IF($A453="","",IF('Enrollment Census'!$AF444&lt;&gt;"","FIX",IF('Enrollment Census'!$AD444&lt;&gt;"","REVIEW","READY")))</f>
        <v/>
      </c>
      <c r="G453" s="91">
        <f>IF($A453="","",'Enrollment Census'!$AE444)</f>
        <v/>
      </c>
      <c r="H453" s="91">
        <f>IF($A453="","",'Enrollment Census'!$AF444)</f>
        <v/>
      </c>
      <c r="I453" s="91">
        <f>IF($A453="","",'Enrollment Census'!$AD444)</f>
        <v/>
      </c>
      <c r="J453">
        <f>IF($A453="","",'Enrollment Census'!$A444)</f>
        <v/>
      </c>
      <c r="K453">
        <f>IF($F453="FIX",ROW(),IF($F453="REVIEW",1000+ROW(),""))</f>
        <v/>
      </c>
    </row>
    <row r="454" ht="36" customHeight="1">
      <c r="A454" s="91">
        <f>IF(COUNTA('Enrollment Census'!$A445:$U445)&gt;0,445,"")</f>
        <v/>
      </c>
      <c r="B454" s="91">
        <f>IF($A454="","","Employee ending "&amp;RIGHT('Enrollment Census'!$A445&amp;"",4)&amp;IF('Enrollment Census'!$AH445&gt;0," • "&amp;'Enrollment Census'!$AH445&amp;" row"&amp;IF('Enrollment Census'!$AH445=1,"","s")&amp;" need attention",""))</f>
        <v/>
      </c>
      <c r="C454" s="91">
        <f>IF($A454="","",TRIM('Enrollment Census'!$C445&amp;" "&amp;'Enrollment Census'!$D445)&amp;" • ending "&amp;RIGHT('Enrollment Census'!$W445&amp;"",4))</f>
        <v/>
      </c>
      <c r="D454" s="91">
        <f>IF($A454="","",'Enrollment Census'!$X445)</f>
        <v/>
      </c>
      <c r="E454" s="91">
        <f>IF($A454="","",'Enrollment Census'!$S445)</f>
        <v/>
      </c>
      <c r="F454" s="91">
        <f>IF($A454="","",IF('Enrollment Census'!$AF445&lt;&gt;"","FIX",IF('Enrollment Census'!$AD445&lt;&gt;"","REVIEW","READY")))</f>
        <v/>
      </c>
      <c r="G454" s="91">
        <f>IF($A454="","",'Enrollment Census'!$AE445)</f>
        <v/>
      </c>
      <c r="H454" s="91">
        <f>IF($A454="","",'Enrollment Census'!$AF445)</f>
        <v/>
      </c>
      <c r="I454" s="91">
        <f>IF($A454="","",'Enrollment Census'!$AD445)</f>
        <v/>
      </c>
      <c r="J454">
        <f>IF($A454="","",'Enrollment Census'!$A445)</f>
        <v/>
      </c>
      <c r="K454">
        <f>IF($F454="FIX",ROW(),IF($F454="REVIEW",1000+ROW(),""))</f>
        <v/>
      </c>
    </row>
    <row r="455" ht="36" customHeight="1">
      <c r="A455" s="91">
        <f>IF(COUNTA('Enrollment Census'!$A446:$U446)&gt;0,446,"")</f>
        <v/>
      </c>
      <c r="B455" s="91">
        <f>IF($A455="","","Employee ending "&amp;RIGHT('Enrollment Census'!$A446&amp;"",4)&amp;IF('Enrollment Census'!$AH446&gt;0," • "&amp;'Enrollment Census'!$AH446&amp;" row"&amp;IF('Enrollment Census'!$AH446=1,"","s")&amp;" need attention",""))</f>
        <v/>
      </c>
      <c r="C455" s="91">
        <f>IF($A455="","",TRIM('Enrollment Census'!$C446&amp;" "&amp;'Enrollment Census'!$D446)&amp;" • ending "&amp;RIGHT('Enrollment Census'!$W446&amp;"",4))</f>
        <v/>
      </c>
      <c r="D455" s="91">
        <f>IF($A455="","",'Enrollment Census'!$X446)</f>
        <v/>
      </c>
      <c r="E455" s="91">
        <f>IF($A455="","",'Enrollment Census'!$S446)</f>
        <v/>
      </c>
      <c r="F455" s="91">
        <f>IF($A455="","",IF('Enrollment Census'!$AF446&lt;&gt;"","FIX",IF('Enrollment Census'!$AD446&lt;&gt;"","REVIEW","READY")))</f>
        <v/>
      </c>
      <c r="G455" s="91">
        <f>IF($A455="","",'Enrollment Census'!$AE446)</f>
        <v/>
      </c>
      <c r="H455" s="91">
        <f>IF($A455="","",'Enrollment Census'!$AF446)</f>
        <v/>
      </c>
      <c r="I455" s="91">
        <f>IF($A455="","",'Enrollment Census'!$AD446)</f>
        <v/>
      </c>
      <c r="J455">
        <f>IF($A455="","",'Enrollment Census'!$A446)</f>
        <v/>
      </c>
      <c r="K455">
        <f>IF($F455="FIX",ROW(),IF($F455="REVIEW",1000+ROW(),""))</f>
        <v/>
      </c>
    </row>
    <row r="456" ht="36" customHeight="1">
      <c r="A456" s="91">
        <f>IF(COUNTA('Enrollment Census'!$A447:$U447)&gt;0,447,"")</f>
        <v/>
      </c>
      <c r="B456" s="91">
        <f>IF($A456="","","Employee ending "&amp;RIGHT('Enrollment Census'!$A447&amp;"",4)&amp;IF('Enrollment Census'!$AH447&gt;0," • "&amp;'Enrollment Census'!$AH447&amp;" row"&amp;IF('Enrollment Census'!$AH447=1,"","s")&amp;" need attention",""))</f>
        <v/>
      </c>
      <c r="C456" s="91">
        <f>IF($A456="","",TRIM('Enrollment Census'!$C447&amp;" "&amp;'Enrollment Census'!$D447)&amp;" • ending "&amp;RIGHT('Enrollment Census'!$W447&amp;"",4))</f>
        <v/>
      </c>
      <c r="D456" s="91">
        <f>IF($A456="","",'Enrollment Census'!$X447)</f>
        <v/>
      </c>
      <c r="E456" s="91">
        <f>IF($A456="","",'Enrollment Census'!$S447)</f>
        <v/>
      </c>
      <c r="F456" s="91">
        <f>IF($A456="","",IF('Enrollment Census'!$AF447&lt;&gt;"","FIX",IF('Enrollment Census'!$AD447&lt;&gt;"","REVIEW","READY")))</f>
        <v/>
      </c>
      <c r="G456" s="91">
        <f>IF($A456="","",'Enrollment Census'!$AE447)</f>
        <v/>
      </c>
      <c r="H456" s="91">
        <f>IF($A456="","",'Enrollment Census'!$AF447)</f>
        <v/>
      </c>
      <c r="I456" s="91">
        <f>IF($A456="","",'Enrollment Census'!$AD447)</f>
        <v/>
      </c>
      <c r="J456">
        <f>IF($A456="","",'Enrollment Census'!$A447)</f>
        <v/>
      </c>
      <c r="K456">
        <f>IF($F456="FIX",ROW(),IF($F456="REVIEW",1000+ROW(),""))</f>
        <v/>
      </c>
    </row>
    <row r="457" ht="36" customHeight="1">
      <c r="A457" s="91">
        <f>IF(COUNTA('Enrollment Census'!$A448:$U448)&gt;0,448,"")</f>
        <v/>
      </c>
      <c r="B457" s="91">
        <f>IF($A457="","","Employee ending "&amp;RIGHT('Enrollment Census'!$A448&amp;"",4)&amp;IF('Enrollment Census'!$AH448&gt;0," • "&amp;'Enrollment Census'!$AH448&amp;" row"&amp;IF('Enrollment Census'!$AH448=1,"","s")&amp;" need attention",""))</f>
        <v/>
      </c>
      <c r="C457" s="91">
        <f>IF($A457="","",TRIM('Enrollment Census'!$C448&amp;" "&amp;'Enrollment Census'!$D448)&amp;" • ending "&amp;RIGHT('Enrollment Census'!$W448&amp;"",4))</f>
        <v/>
      </c>
      <c r="D457" s="91">
        <f>IF($A457="","",'Enrollment Census'!$X448)</f>
        <v/>
      </c>
      <c r="E457" s="91">
        <f>IF($A457="","",'Enrollment Census'!$S448)</f>
        <v/>
      </c>
      <c r="F457" s="91">
        <f>IF($A457="","",IF('Enrollment Census'!$AF448&lt;&gt;"","FIX",IF('Enrollment Census'!$AD448&lt;&gt;"","REVIEW","READY")))</f>
        <v/>
      </c>
      <c r="G457" s="91">
        <f>IF($A457="","",'Enrollment Census'!$AE448)</f>
        <v/>
      </c>
      <c r="H457" s="91">
        <f>IF($A457="","",'Enrollment Census'!$AF448)</f>
        <v/>
      </c>
      <c r="I457" s="91">
        <f>IF($A457="","",'Enrollment Census'!$AD448)</f>
        <v/>
      </c>
      <c r="J457">
        <f>IF($A457="","",'Enrollment Census'!$A448)</f>
        <v/>
      </c>
      <c r="K457">
        <f>IF($F457="FIX",ROW(),IF($F457="REVIEW",1000+ROW(),""))</f>
        <v/>
      </c>
    </row>
    <row r="458" ht="36" customHeight="1">
      <c r="A458" s="91">
        <f>IF(COUNTA('Enrollment Census'!$A449:$U449)&gt;0,449,"")</f>
        <v/>
      </c>
      <c r="B458" s="91">
        <f>IF($A458="","","Employee ending "&amp;RIGHT('Enrollment Census'!$A449&amp;"",4)&amp;IF('Enrollment Census'!$AH449&gt;0," • "&amp;'Enrollment Census'!$AH449&amp;" row"&amp;IF('Enrollment Census'!$AH449=1,"","s")&amp;" need attention",""))</f>
        <v/>
      </c>
      <c r="C458" s="91">
        <f>IF($A458="","",TRIM('Enrollment Census'!$C449&amp;" "&amp;'Enrollment Census'!$D449)&amp;" • ending "&amp;RIGHT('Enrollment Census'!$W449&amp;"",4))</f>
        <v/>
      </c>
      <c r="D458" s="91">
        <f>IF($A458="","",'Enrollment Census'!$X449)</f>
        <v/>
      </c>
      <c r="E458" s="91">
        <f>IF($A458="","",'Enrollment Census'!$S449)</f>
        <v/>
      </c>
      <c r="F458" s="91">
        <f>IF($A458="","",IF('Enrollment Census'!$AF449&lt;&gt;"","FIX",IF('Enrollment Census'!$AD449&lt;&gt;"","REVIEW","READY")))</f>
        <v/>
      </c>
      <c r="G458" s="91">
        <f>IF($A458="","",'Enrollment Census'!$AE449)</f>
        <v/>
      </c>
      <c r="H458" s="91">
        <f>IF($A458="","",'Enrollment Census'!$AF449)</f>
        <v/>
      </c>
      <c r="I458" s="91">
        <f>IF($A458="","",'Enrollment Census'!$AD449)</f>
        <v/>
      </c>
      <c r="J458">
        <f>IF($A458="","",'Enrollment Census'!$A449)</f>
        <v/>
      </c>
      <c r="K458">
        <f>IF($F458="FIX",ROW(),IF($F458="REVIEW",1000+ROW(),""))</f>
        <v/>
      </c>
    </row>
    <row r="459" ht="36" customHeight="1">
      <c r="A459" s="91">
        <f>IF(COUNTA('Enrollment Census'!$A450:$U450)&gt;0,450,"")</f>
        <v/>
      </c>
      <c r="B459" s="91">
        <f>IF($A459="","","Employee ending "&amp;RIGHT('Enrollment Census'!$A450&amp;"",4)&amp;IF('Enrollment Census'!$AH450&gt;0," • "&amp;'Enrollment Census'!$AH450&amp;" row"&amp;IF('Enrollment Census'!$AH450=1,"","s")&amp;" need attention",""))</f>
        <v/>
      </c>
      <c r="C459" s="91">
        <f>IF($A459="","",TRIM('Enrollment Census'!$C450&amp;" "&amp;'Enrollment Census'!$D450)&amp;" • ending "&amp;RIGHT('Enrollment Census'!$W450&amp;"",4))</f>
        <v/>
      </c>
      <c r="D459" s="91">
        <f>IF($A459="","",'Enrollment Census'!$X450)</f>
        <v/>
      </c>
      <c r="E459" s="91">
        <f>IF($A459="","",'Enrollment Census'!$S450)</f>
        <v/>
      </c>
      <c r="F459" s="91">
        <f>IF($A459="","",IF('Enrollment Census'!$AF450&lt;&gt;"","FIX",IF('Enrollment Census'!$AD450&lt;&gt;"","REVIEW","READY")))</f>
        <v/>
      </c>
      <c r="G459" s="91">
        <f>IF($A459="","",'Enrollment Census'!$AE450)</f>
        <v/>
      </c>
      <c r="H459" s="91">
        <f>IF($A459="","",'Enrollment Census'!$AF450)</f>
        <v/>
      </c>
      <c r="I459" s="91">
        <f>IF($A459="","",'Enrollment Census'!$AD450)</f>
        <v/>
      </c>
      <c r="J459">
        <f>IF($A459="","",'Enrollment Census'!$A450)</f>
        <v/>
      </c>
      <c r="K459">
        <f>IF($F459="FIX",ROW(),IF($F459="REVIEW",1000+ROW(),""))</f>
        <v/>
      </c>
    </row>
    <row r="460" ht="36" customHeight="1">
      <c r="A460" s="91">
        <f>IF(COUNTA('Enrollment Census'!$A451:$U451)&gt;0,451,"")</f>
        <v/>
      </c>
      <c r="B460" s="91">
        <f>IF($A460="","","Employee ending "&amp;RIGHT('Enrollment Census'!$A451&amp;"",4)&amp;IF('Enrollment Census'!$AH451&gt;0," • "&amp;'Enrollment Census'!$AH451&amp;" row"&amp;IF('Enrollment Census'!$AH451=1,"","s")&amp;" need attention",""))</f>
        <v/>
      </c>
      <c r="C460" s="91">
        <f>IF($A460="","",TRIM('Enrollment Census'!$C451&amp;" "&amp;'Enrollment Census'!$D451)&amp;" • ending "&amp;RIGHT('Enrollment Census'!$W451&amp;"",4))</f>
        <v/>
      </c>
      <c r="D460" s="91">
        <f>IF($A460="","",'Enrollment Census'!$X451)</f>
        <v/>
      </c>
      <c r="E460" s="91">
        <f>IF($A460="","",'Enrollment Census'!$S451)</f>
        <v/>
      </c>
      <c r="F460" s="91">
        <f>IF($A460="","",IF('Enrollment Census'!$AF451&lt;&gt;"","FIX",IF('Enrollment Census'!$AD451&lt;&gt;"","REVIEW","READY")))</f>
        <v/>
      </c>
      <c r="G460" s="91">
        <f>IF($A460="","",'Enrollment Census'!$AE451)</f>
        <v/>
      </c>
      <c r="H460" s="91">
        <f>IF($A460="","",'Enrollment Census'!$AF451)</f>
        <v/>
      </c>
      <c r="I460" s="91">
        <f>IF($A460="","",'Enrollment Census'!$AD451)</f>
        <v/>
      </c>
      <c r="J460">
        <f>IF($A460="","",'Enrollment Census'!$A451)</f>
        <v/>
      </c>
      <c r="K460">
        <f>IF($F460="FIX",ROW(),IF($F460="REVIEW",1000+ROW(),""))</f>
        <v/>
      </c>
    </row>
    <row r="461" ht="36" customHeight="1">
      <c r="A461" s="91">
        <f>IF(COUNTA('Enrollment Census'!$A452:$U452)&gt;0,452,"")</f>
        <v/>
      </c>
      <c r="B461" s="91">
        <f>IF($A461="","","Employee ending "&amp;RIGHT('Enrollment Census'!$A452&amp;"",4)&amp;IF('Enrollment Census'!$AH452&gt;0," • "&amp;'Enrollment Census'!$AH452&amp;" row"&amp;IF('Enrollment Census'!$AH452=1,"","s")&amp;" need attention",""))</f>
        <v/>
      </c>
      <c r="C461" s="91">
        <f>IF($A461="","",TRIM('Enrollment Census'!$C452&amp;" "&amp;'Enrollment Census'!$D452)&amp;" • ending "&amp;RIGHT('Enrollment Census'!$W452&amp;"",4))</f>
        <v/>
      </c>
      <c r="D461" s="91">
        <f>IF($A461="","",'Enrollment Census'!$X452)</f>
        <v/>
      </c>
      <c r="E461" s="91">
        <f>IF($A461="","",'Enrollment Census'!$S452)</f>
        <v/>
      </c>
      <c r="F461" s="91">
        <f>IF($A461="","",IF('Enrollment Census'!$AF452&lt;&gt;"","FIX",IF('Enrollment Census'!$AD452&lt;&gt;"","REVIEW","READY")))</f>
        <v/>
      </c>
      <c r="G461" s="91">
        <f>IF($A461="","",'Enrollment Census'!$AE452)</f>
        <v/>
      </c>
      <c r="H461" s="91">
        <f>IF($A461="","",'Enrollment Census'!$AF452)</f>
        <v/>
      </c>
      <c r="I461" s="91">
        <f>IF($A461="","",'Enrollment Census'!$AD452)</f>
        <v/>
      </c>
      <c r="J461">
        <f>IF($A461="","",'Enrollment Census'!$A452)</f>
        <v/>
      </c>
      <c r="K461">
        <f>IF($F461="FIX",ROW(),IF($F461="REVIEW",1000+ROW(),""))</f>
        <v/>
      </c>
    </row>
    <row r="462" ht="36" customHeight="1">
      <c r="A462" s="91">
        <f>IF(COUNTA('Enrollment Census'!$A453:$U453)&gt;0,453,"")</f>
        <v/>
      </c>
      <c r="B462" s="91">
        <f>IF($A462="","","Employee ending "&amp;RIGHT('Enrollment Census'!$A453&amp;"",4)&amp;IF('Enrollment Census'!$AH453&gt;0," • "&amp;'Enrollment Census'!$AH453&amp;" row"&amp;IF('Enrollment Census'!$AH453=1,"","s")&amp;" need attention",""))</f>
        <v/>
      </c>
      <c r="C462" s="91">
        <f>IF($A462="","",TRIM('Enrollment Census'!$C453&amp;" "&amp;'Enrollment Census'!$D453)&amp;" • ending "&amp;RIGHT('Enrollment Census'!$W453&amp;"",4))</f>
        <v/>
      </c>
      <c r="D462" s="91">
        <f>IF($A462="","",'Enrollment Census'!$X453)</f>
        <v/>
      </c>
      <c r="E462" s="91">
        <f>IF($A462="","",'Enrollment Census'!$S453)</f>
        <v/>
      </c>
      <c r="F462" s="91">
        <f>IF($A462="","",IF('Enrollment Census'!$AF453&lt;&gt;"","FIX",IF('Enrollment Census'!$AD453&lt;&gt;"","REVIEW","READY")))</f>
        <v/>
      </c>
      <c r="G462" s="91">
        <f>IF($A462="","",'Enrollment Census'!$AE453)</f>
        <v/>
      </c>
      <c r="H462" s="91">
        <f>IF($A462="","",'Enrollment Census'!$AF453)</f>
        <v/>
      </c>
      <c r="I462" s="91">
        <f>IF($A462="","",'Enrollment Census'!$AD453)</f>
        <v/>
      </c>
      <c r="J462">
        <f>IF($A462="","",'Enrollment Census'!$A453)</f>
        <v/>
      </c>
      <c r="K462">
        <f>IF($F462="FIX",ROW(),IF($F462="REVIEW",1000+ROW(),""))</f>
        <v/>
      </c>
    </row>
    <row r="463" ht="36" customHeight="1">
      <c r="A463" s="91">
        <f>IF(COUNTA('Enrollment Census'!$A454:$U454)&gt;0,454,"")</f>
        <v/>
      </c>
      <c r="B463" s="91">
        <f>IF($A463="","","Employee ending "&amp;RIGHT('Enrollment Census'!$A454&amp;"",4)&amp;IF('Enrollment Census'!$AH454&gt;0," • "&amp;'Enrollment Census'!$AH454&amp;" row"&amp;IF('Enrollment Census'!$AH454=1,"","s")&amp;" need attention",""))</f>
        <v/>
      </c>
      <c r="C463" s="91">
        <f>IF($A463="","",TRIM('Enrollment Census'!$C454&amp;" "&amp;'Enrollment Census'!$D454)&amp;" • ending "&amp;RIGHT('Enrollment Census'!$W454&amp;"",4))</f>
        <v/>
      </c>
      <c r="D463" s="91">
        <f>IF($A463="","",'Enrollment Census'!$X454)</f>
        <v/>
      </c>
      <c r="E463" s="91">
        <f>IF($A463="","",'Enrollment Census'!$S454)</f>
        <v/>
      </c>
      <c r="F463" s="91">
        <f>IF($A463="","",IF('Enrollment Census'!$AF454&lt;&gt;"","FIX",IF('Enrollment Census'!$AD454&lt;&gt;"","REVIEW","READY")))</f>
        <v/>
      </c>
      <c r="G463" s="91">
        <f>IF($A463="","",'Enrollment Census'!$AE454)</f>
        <v/>
      </c>
      <c r="H463" s="91">
        <f>IF($A463="","",'Enrollment Census'!$AF454)</f>
        <v/>
      </c>
      <c r="I463" s="91">
        <f>IF($A463="","",'Enrollment Census'!$AD454)</f>
        <v/>
      </c>
      <c r="J463">
        <f>IF($A463="","",'Enrollment Census'!$A454)</f>
        <v/>
      </c>
      <c r="K463">
        <f>IF($F463="FIX",ROW(),IF($F463="REVIEW",1000+ROW(),""))</f>
        <v/>
      </c>
    </row>
    <row r="464" ht="36" customHeight="1">
      <c r="A464" s="91">
        <f>IF(COUNTA('Enrollment Census'!$A455:$U455)&gt;0,455,"")</f>
        <v/>
      </c>
      <c r="B464" s="91">
        <f>IF($A464="","","Employee ending "&amp;RIGHT('Enrollment Census'!$A455&amp;"",4)&amp;IF('Enrollment Census'!$AH455&gt;0," • "&amp;'Enrollment Census'!$AH455&amp;" row"&amp;IF('Enrollment Census'!$AH455=1,"","s")&amp;" need attention",""))</f>
        <v/>
      </c>
      <c r="C464" s="91">
        <f>IF($A464="","",TRIM('Enrollment Census'!$C455&amp;" "&amp;'Enrollment Census'!$D455)&amp;" • ending "&amp;RIGHT('Enrollment Census'!$W455&amp;"",4))</f>
        <v/>
      </c>
      <c r="D464" s="91">
        <f>IF($A464="","",'Enrollment Census'!$X455)</f>
        <v/>
      </c>
      <c r="E464" s="91">
        <f>IF($A464="","",'Enrollment Census'!$S455)</f>
        <v/>
      </c>
      <c r="F464" s="91">
        <f>IF($A464="","",IF('Enrollment Census'!$AF455&lt;&gt;"","FIX",IF('Enrollment Census'!$AD455&lt;&gt;"","REVIEW","READY")))</f>
        <v/>
      </c>
      <c r="G464" s="91">
        <f>IF($A464="","",'Enrollment Census'!$AE455)</f>
        <v/>
      </c>
      <c r="H464" s="91">
        <f>IF($A464="","",'Enrollment Census'!$AF455)</f>
        <v/>
      </c>
      <c r="I464" s="91">
        <f>IF($A464="","",'Enrollment Census'!$AD455)</f>
        <v/>
      </c>
      <c r="J464">
        <f>IF($A464="","",'Enrollment Census'!$A455)</f>
        <v/>
      </c>
      <c r="K464">
        <f>IF($F464="FIX",ROW(),IF($F464="REVIEW",1000+ROW(),""))</f>
        <v/>
      </c>
    </row>
    <row r="465" ht="36" customHeight="1">
      <c r="A465" s="91">
        <f>IF(COUNTA('Enrollment Census'!$A456:$U456)&gt;0,456,"")</f>
        <v/>
      </c>
      <c r="B465" s="91">
        <f>IF($A465="","","Employee ending "&amp;RIGHT('Enrollment Census'!$A456&amp;"",4)&amp;IF('Enrollment Census'!$AH456&gt;0," • "&amp;'Enrollment Census'!$AH456&amp;" row"&amp;IF('Enrollment Census'!$AH456=1,"","s")&amp;" need attention",""))</f>
        <v/>
      </c>
      <c r="C465" s="91">
        <f>IF($A465="","",TRIM('Enrollment Census'!$C456&amp;" "&amp;'Enrollment Census'!$D456)&amp;" • ending "&amp;RIGHT('Enrollment Census'!$W456&amp;"",4))</f>
        <v/>
      </c>
      <c r="D465" s="91">
        <f>IF($A465="","",'Enrollment Census'!$X456)</f>
        <v/>
      </c>
      <c r="E465" s="91">
        <f>IF($A465="","",'Enrollment Census'!$S456)</f>
        <v/>
      </c>
      <c r="F465" s="91">
        <f>IF($A465="","",IF('Enrollment Census'!$AF456&lt;&gt;"","FIX",IF('Enrollment Census'!$AD456&lt;&gt;"","REVIEW","READY")))</f>
        <v/>
      </c>
      <c r="G465" s="91">
        <f>IF($A465="","",'Enrollment Census'!$AE456)</f>
        <v/>
      </c>
      <c r="H465" s="91">
        <f>IF($A465="","",'Enrollment Census'!$AF456)</f>
        <v/>
      </c>
      <c r="I465" s="91">
        <f>IF($A465="","",'Enrollment Census'!$AD456)</f>
        <v/>
      </c>
      <c r="J465">
        <f>IF($A465="","",'Enrollment Census'!$A456)</f>
        <v/>
      </c>
      <c r="K465">
        <f>IF($F465="FIX",ROW(),IF($F465="REVIEW",1000+ROW(),""))</f>
        <v/>
      </c>
    </row>
    <row r="466" ht="36" customHeight="1">
      <c r="A466" s="91">
        <f>IF(COUNTA('Enrollment Census'!$A457:$U457)&gt;0,457,"")</f>
        <v/>
      </c>
      <c r="B466" s="91">
        <f>IF($A466="","","Employee ending "&amp;RIGHT('Enrollment Census'!$A457&amp;"",4)&amp;IF('Enrollment Census'!$AH457&gt;0," • "&amp;'Enrollment Census'!$AH457&amp;" row"&amp;IF('Enrollment Census'!$AH457=1,"","s")&amp;" need attention",""))</f>
        <v/>
      </c>
      <c r="C466" s="91">
        <f>IF($A466="","",TRIM('Enrollment Census'!$C457&amp;" "&amp;'Enrollment Census'!$D457)&amp;" • ending "&amp;RIGHT('Enrollment Census'!$W457&amp;"",4))</f>
        <v/>
      </c>
      <c r="D466" s="91">
        <f>IF($A466="","",'Enrollment Census'!$X457)</f>
        <v/>
      </c>
      <c r="E466" s="91">
        <f>IF($A466="","",'Enrollment Census'!$S457)</f>
        <v/>
      </c>
      <c r="F466" s="91">
        <f>IF($A466="","",IF('Enrollment Census'!$AF457&lt;&gt;"","FIX",IF('Enrollment Census'!$AD457&lt;&gt;"","REVIEW","READY")))</f>
        <v/>
      </c>
      <c r="G466" s="91">
        <f>IF($A466="","",'Enrollment Census'!$AE457)</f>
        <v/>
      </c>
      <c r="H466" s="91">
        <f>IF($A466="","",'Enrollment Census'!$AF457)</f>
        <v/>
      </c>
      <c r="I466" s="91">
        <f>IF($A466="","",'Enrollment Census'!$AD457)</f>
        <v/>
      </c>
      <c r="J466">
        <f>IF($A466="","",'Enrollment Census'!$A457)</f>
        <v/>
      </c>
      <c r="K466">
        <f>IF($F466="FIX",ROW(),IF($F466="REVIEW",1000+ROW(),""))</f>
        <v/>
      </c>
    </row>
    <row r="467" ht="36" customHeight="1">
      <c r="A467" s="91">
        <f>IF(COUNTA('Enrollment Census'!$A458:$U458)&gt;0,458,"")</f>
        <v/>
      </c>
      <c r="B467" s="91">
        <f>IF($A467="","","Employee ending "&amp;RIGHT('Enrollment Census'!$A458&amp;"",4)&amp;IF('Enrollment Census'!$AH458&gt;0," • "&amp;'Enrollment Census'!$AH458&amp;" row"&amp;IF('Enrollment Census'!$AH458=1,"","s")&amp;" need attention",""))</f>
        <v/>
      </c>
      <c r="C467" s="91">
        <f>IF($A467="","",TRIM('Enrollment Census'!$C458&amp;" "&amp;'Enrollment Census'!$D458)&amp;" • ending "&amp;RIGHT('Enrollment Census'!$W458&amp;"",4))</f>
        <v/>
      </c>
      <c r="D467" s="91">
        <f>IF($A467="","",'Enrollment Census'!$X458)</f>
        <v/>
      </c>
      <c r="E467" s="91">
        <f>IF($A467="","",'Enrollment Census'!$S458)</f>
        <v/>
      </c>
      <c r="F467" s="91">
        <f>IF($A467="","",IF('Enrollment Census'!$AF458&lt;&gt;"","FIX",IF('Enrollment Census'!$AD458&lt;&gt;"","REVIEW","READY")))</f>
        <v/>
      </c>
      <c r="G467" s="91">
        <f>IF($A467="","",'Enrollment Census'!$AE458)</f>
        <v/>
      </c>
      <c r="H467" s="91">
        <f>IF($A467="","",'Enrollment Census'!$AF458)</f>
        <v/>
      </c>
      <c r="I467" s="91">
        <f>IF($A467="","",'Enrollment Census'!$AD458)</f>
        <v/>
      </c>
      <c r="J467">
        <f>IF($A467="","",'Enrollment Census'!$A458)</f>
        <v/>
      </c>
      <c r="K467">
        <f>IF($F467="FIX",ROW(),IF($F467="REVIEW",1000+ROW(),""))</f>
        <v/>
      </c>
    </row>
    <row r="468" ht="36" customHeight="1">
      <c r="A468" s="91">
        <f>IF(COUNTA('Enrollment Census'!$A459:$U459)&gt;0,459,"")</f>
        <v/>
      </c>
      <c r="B468" s="91">
        <f>IF($A468="","","Employee ending "&amp;RIGHT('Enrollment Census'!$A459&amp;"",4)&amp;IF('Enrollment Census'!$AH459&gt;0," • "&amp;'Enrollment Census'!$AH459&amp;" row"&amp;IF('Enrollment Census'!$AH459=1,"","s")&amp;" need attention",""))</f>
        <v/>
      </c>
      <c r="C468" s="91">
        <f>IF($A468="","",TRIM('Enrollment Census'!$C459&amp;" "&amp;'Enrollment Census'!$D459)&amp;" • ending "&amp;RIGHT('Enrollment Census'!$W459&amp;"",4))</f>
        <v/>
      </c>
      <c r="D468" s="91">
        <f>IF($A468="","",'Enrollment Census'!$X459)</f>
        <v/>
      </c>
      <c r="E468" s="91">
        <f>IF($A468="","",'Enrollment Census'!$S459)</f>
        <v/>
      </c>
      <c r="F468" s="91">
        <f>IF($A468="","",IF('Enrollment Census'!$AF459&lt;&gt;"","FIX",IF('Enrollment Census'!$AD459&lt;&gt;"","REVIEW","READY")))</f>
        <v/>
      </c>
      <c r="G468" s="91">
        <f>IF($A468="","",'Enrollment Census'!$AE459)</f>
        <v/>
      </c>
      <c r="H468" s="91">
        <f>IF($A468="","",'Enrollment Census'!$AF459)</f>
        <v/>
      </c>
      <c r="I468" s="91">
        <f>IF($A468="","",'Enrollment Census'!$AD459)</f>
        <v/>
      </c>
      <c r="J468">
        <f>IF($A468="","",'Enrollment Census'!$A459)</f>
        <v/>
      </c>
      <c r="K468">
        <f>IF($F468="FIX",ROW(),IF($F468="REVIEW",1000+ROW(),""))</f>
        <v/>
      </c>
    </row>
    <row r="469" ht="36" customHeight="1">
      <c r="A469" s="91">
        <f>IF(COUNTA('Enrollment Census'!$A460:$U460)&gt;0,460,"")</f>
        <v/>
      </c>
      <c r="B469" s="91">
        <f>IF($A469="","","Employee ending "&amp;RIGHT('Enrollment Census'!$A460&amp;"",4)&amp;IF('Enrollment Census'!$AH460&gt;0," • "&amp;'Enrollment Census'!$AH460&amp;" row"&amp;IF('Enrollment Census'!$AH460=1,"","s")&amp;" need attention",""))</f>
        <v/>
      </c>
      <c r="C469" s="91">
        <f>IF($A469="","",TRIM('Enrollment Census'!$C460&amp;" "&amp;'Enrollment Census'!$D460)&amp;" • ending "&amp;RIGHT('Enrollment Census'!$W460&amp;"",4))</f>
        <v/>
      </c>
      <c r="D469" s="91">
        <f>IF($A469="","",'Enrollment Census'!$X460)</f>
        <v/>
      </c>
      <c r="E469" s="91">
        <f>IF($A469="","",'Enrollment Census'!$S460)</f>
        <v/>
      </c>
      <c r="F469" s="91">
        <f>IF($A469="","",IF('Enrollment Census'!$AF460&lt;&gt;"","FIX",IF('Enrollment Census'!$AD460&lt;&gt;"","REVIEW","READY")))</f>
        <v/>
      </c>
      <c r="G469" s="91">
        <f>IF($A469="","",'Enrollment Census'!$AE460)</f>
        <v/>
      </c>
      <c r="H469" s="91">
        <f>IF($A469="","",'Enrollment Census'!$AF460)</f>
        <v/>
      </c>
      <c r="I469" s="91">
        <f>IF($A469="","",'Enrollment Census'!$AD460)</f>
        <v/>
      </c>
      <c r="J469">
        <f>IF($A469="","",'Enrollment Census'!$A460)</f>
        <v/>
      </c>
      <c r="K469">
        <f>IF($F469="FIX",ROW(),IF($F469="REVIEW",1000+ROW(),""))</f>
        <v/>
      </c>
    </row>
    <row r="470" ht="36" customHeight="1">
      <c r="A470" s="91">
        <f>IF(COUNTA('Enrollment Census'!$A461:$U461)&gt;0,461,"")</f>
        <v/>
      </c>
      <c r="B470" s="91">
        <f>IF($A470="","","Employee ending "&amp;RIGHT('Enrollment Census'!$A461&amp;"",4)&amp;IF('Enrollment Census'!$AH461&gt;0," • "&amp;'Enrollment Census'!$AH461&amp;" row"&amp;IF('Enrollment Census'!$AH461=1,"","s")&amp;" need attention",""))</f>
        <v/>
      </c>
      <c r="C470" s="91">
        <f>IF($A470="","",TRIM('Enrollment Census'!$C461&amp;" "&amp;'Enrollment Census'!$D461)&amp;" • ending "&amp;RIGHT('Enrollment Census'!$W461&amp;"",4))</f>
        <v/>
      </c>
      <c r="D470" s="91">
        <f>IF($A470="","",'Enrollment Census'!$X461)</f>
        <v/>
      </c>
      <c r="E470" s="91">
        <f>IF($A470="","",'Enrollment Census'!$S461)</f>
        <v/>
      </c>
      <c r="F470" s="91">
        <f>IF($A470="","",IF('Enrollment Census'!$AF461&lt;&gt;"","FIX",IF('Enrollment Census'!$AD461&lt;&gt;"","REVIEW","READY")))</f>
        <v/>
      </c>
      <c r="G470" s="91">
        <f>IF($A470="","",'Enrollment Census'!$AE461)</f>
        <v/>
      </c>
      <c r="H470" s="91">
        <f>IF($A470="","",'Enrollment Census'!$AF461)</f>
        <v/>
      </c>
      <c r="I470" s="91">
        <f>IF($A470="","",'Enrollment Census'!$AD461)</f>
        <v/>
      </c>
      <c r="J470">
        <f>IF($A470="","",'Enrollment Census'!$A461)</f>
        <v/>
      </c>
      <c r="K470">
        <f>IF($F470="FIX",ROW(),IF($F470="REVIEW",1000+ROW(),""))</f>
        <v/>
      </c>
    </row>
    <row r="471" ht="36" customHeight="1">
      <c r="A471" s="91">
        <f>IF(COUNTA('Enrollment Census'!$A462:$U462)&gt;0,462,"")</f>
        <v/>
      </c>
      <c r="B471" s="91">
        <f>IF($A471="","","Employee ending "&amp;RIGHT('Enrollment Census'!$A462&amp;"",4)&amp;IF('Enrollment Census'!$AH462&gt;0," • "&amp;'Enrollment Census'!$AH462&amp;" row"&amp;IF('Enrollment Census'!$AH462=1,"","s")&amp;" need attention",""))</f>
        <v/>
      </c>
      <c r="C471" s="91">
        <f>IF($A471="","",TRIM('Enrollment Census'!$C462&amp;" "&amp;'Enrollment Census'!$D462)&amp;" • ending "&amp;RIGHT('Enrollment Census'!$W462&amp;"",4))</f>
        <v/>
      </c>
      <c r="D471" s="91">
        <f>IF($A471="","",'Enrollment Census'!$X462)</f>
        <v/>
      </c>
      <c r="E471" s="91">
        <f>IF($A471="","",'Enrollment Census'!$S462)</f>
        <v/>
      </c>
      <c r="F471" s="91">
        <f>IF($A471="","",IF('Enrollment Census'!$AF462&lt;&gt;"","FIX",IF('Enrollment Census'!$AD462&lt;&gt;"","REVIEW","READY")))</f>
        <v/>
      </c>
      <c r="G471" s="91">
        <f>IF($A471="","",'Enrollment Census'!$AE462)</f>
        <v/>
      </c>
      <c r="H471" s="91">
        <f>IF($A471="","",'Enrollment Census'!$AF462)</f>
        <v/>
      </c>
      <c r="I471" s="91">
        <f>IF($A471="","",'Enrollment Census'!$AD462)</f>
        <v/>
      </c>
      <c r="J471">
        <f>IF($A471="","",'Enrollment Census'!$A462)</f>
        <v/>
      </c>
      <c r="K471">
        <f>IF($F471="FIX",ROW(),IF($F471="REVIEW",1000+ROW(),""))</f>
        <v/>
      </c>
    </row>
    <row r="472" ht="36" customHeight="1">
      <c r="A472" s="91">
        <f>IF(COUNTA('Enrollment Census'!$A463:$U463)&gt;0,463,"")</f>
        <v/>
      </c>
      <c r="B472" s="91">
        <f>IF($A472="","","Employee ending "&amp;RIGHT('Enrollment Census'!$A463&amp;"",4)&amp;IF('Enrollment Census'!$AH463&gt;0," • "&amp;'Enrollment Census'!$AH463&amp;" row"&amp;IF('Enrollment Census'!$AH463=1,"","s")&amp;" need attention",""))</f>
        <v/>
      </c>
      <c r="C472" s="91">
        <f>IF($A472="","",TRIM('Enrollment Census'!$C463&amp;" "&amp;'Enrollment Census'!$D463)&amp;" • ending "&amp;RIGHT('Enrollment Census'!$W463&amp;"",4))</f>
        <v/>
      </c>
      <c r="D472" s="91">
        <f>IF($A472="","",'Enrollment Census'!$X463)</f>
        <v/>
      </c>
      <c r="E472" s="91">
        <f>IF($A472="","",'Enrollment Census'!$S463)</f>
        <v/>
      </c>
      <c r="F472" s="91">
        <f>IF($A472="","",IF('Enrollment Census'!$AF463&lt;&gt;"","FIX",IF('Enrollment Census'!$AD463&lt;&gt;"","REVIEW","READY")))</f>
        <v/>
      </c>
      <c r="G472" s="91">
        <f>IF($A472="","",'Enrollment Census'!$AE463)</f>
        <v/>
      </c>
      <c r="H472" s="91">
        <f>IF($A472="","",'Enrollment Census'!$AF463)</f>
        <v/>
      </c>
      <c r="I472" s="91">
        <f>IF($A472="","",'Enrollment Census'!$AD463)</f>
        <v/>
      </c>
      <c r="J472">
        <f>IF($A472="","",'Enrollment Census'!$A463)</f>
        <v/>
      </c>
      <c r="K472">
        <f>IF($F472="FIX",ROW(),IF($F472="REVIEW",1000+ROW(),""))</f>
        <v/>
      </c>
    </row>
    <row r="473" ht="36" customHeight="1">
      <c r="A473" s="91">
        <f>IF(COUNTA('Enrollment Census'!$A464:$U464)&gt;0,464,"")</f>
        <v/>
      </c>
      <c r="B473" s="91">
        <f>IF($A473="","","Employee ending "&amp;RIGHT('Enrollment Census'!$A464&amp;"",4)&amp;IF('Enrollment Census'!$AH464&gt;0," • "&amp;'Enrollment Census'!$AH464&amp;" row"&amp;IF('Enrollment Census'!$AH464=1,"","s")&amp;" need attention",""))</f>
        <v/>
      </c>
      <c r="C473" s="91">
        <f>IF($A473="","",TRIM('Enrollment Census'!$C464&amp;" "&amp;'Enrollment Census'!$D464)&amp;" • ending "&amp;RIGHT('Enrollment Census'!$W464&amp;"",4))</f>
        <v/>
      </c>
      <c r="D473" s="91">
        <f>IF($A473="","",'Enrollment Census'!$X464)</f>
        <v/>
      </c>
      <c r="E473" s="91">
        <f>IF($A473="","",'Enrollment Census'!$S464)</f>
        <v/>
      </c>
      <c r="F473" s="91">
        <f>IF($A473="","",IF('Enrollment Census'!$AF464&lt;&gt;"","FIX",IF('Enrollment Census'!$AD464&lt;&gt;"","REVIEW","READY")))</f>
        <v/>
      </c>
      <c r="G473" s="91">
        <f>IF($A473="","",'Enrollment Census'!$AE464)</f>
        <v/>
      </c>
      <c r="H473" s="91">
        <f>IF($A473="","",'Enrollment Census'!$AF464)</f>
        <v/>
      </c>
      <c r="I473" s="91">
        <f>IF($A473="","",'Enrollment Census'!$AD464)</f>
        <v/>
      </c>
      <c r="J473">
        <f>IF($A473="","",'Enrollment Census'!$A464)</f>
        <v/>
      </c>
      <c r="K473">
        <f>IF($F473="FIX",ROW(),IF($F473="REVIEW",1000+ROW(),""))</f>
        <v/>
      </c>
    </row>
    <row r="474" ht="36" customHeight="1">
      <c r="A474" s="91">
        <f>IF(COUNTA('Enrollment Census'!$A465:$U465)&gt;0,465,"")</f>
        <v/>
      </c>
      <c r="B474" s="91">
        <f>IF($A474="","","Employee ending "&amp;RIGHT('Enrollment Census'!$A465&amp;"",4)&amp;IF('Enrollment Census'!$AH465&gt;0," • "&amp;'Enrollment Census'!$AH465&amp;" row"&amp;IF('Enrollment Census'!$AH465=1,"","s")&amp;" need attention",""))</f>
        <v/>
      </c>
      <c r="C474" s="91">
        <f>IF($A474="","",TRIM('Enrollment Census'!$C465&amp;" "&amp;'Enrollment Census'!$D465)&amp;" • ending "&amp;RIGHT('Enrollment Census'!$W465&amp;"",4))</f>
        <v/>
      </c>
      <c r="D474" s="91">
        <f>IF($A474="","",'Enrollment Census'!$X465)</f>
        <v/>
      </c>
      <c r="E474" s="91">
        <f>IF($A474="","",'Enrollment Census'!$S465)</f>
        <v/>
      </c>
      <c r="F474" s="91">
        <f>IF($A474="","",IF('Enrollment Census'!$AF465&lt;&gt;"","FIX",IF('Enrollment Census'!$AD465&lt;&gt;"","REVIEW","READY")))</f>
        <v/>
      </c>
      <c r="G474" s="91">
        <f>IF($A474="","",'Enrollment Census'!$AE465)</f>
        <v/>
      </c>
      <c r="H474" s="91">
        <f>IF($A474="","",'Enrollment Census'!$AF465)</f>
        <v/>
      </c>
      <c r="I474" s="91">
        <f>IF($A474="","",'Enrollment Census'!$AD465)</f>
        <v/>
      </c>
      <c r="J474">
        <f>IF($A474="","",'Enrollment Census'!$A465)</f>
        <v/>
      </c>
      <c r="K474">
        <f>IF($F474="FIX",ROW(),IF($F474="REVIEW",1000+ROW(),""))</f>
        <v/>
      </c>
    </row>
    <row r="475" ht="36" customHeight="1">
      <c r="A475" s="91">
        <f>IF(COUNTA('Enrollment Census'!$A466:$U466)&gt;0,466,"")</f>
        <v/>
      </c>
      <c r="B475" s="91">
        <f>IF($A475="","","Employee ending "&amp;RIGHT('Enrollment Census'!$A466&amp;"",4)&amp;IF('Enrollment Census'!$AH466&gt;0," • "&amp;'Enrollment Census'!$AH466&amp;" row"&amp;IF('Enrollment Census'!$AH466=1,"","s")&amp;" need attention",""))</f>
        <v/>
      </c>
      <c r="C475" s="91">
        <f>IF($A475="","",TRIM('Enrollment Census'!$C466&amp;" "&amp;'Enrollment Census'!$D466)&amp;" • ending "&amp;RIGHT('Enrollment Census'!$W466&amp;"",4))</f>
        <v/>
      </c>
      <c r="D475" s="91">
        <f>IF($A475="","",'Enrollment Census'!$X466)</f>
        <v/>
      </c>
      <c r="E475" s="91">
        <f>IF($A475="","",'Enrollment Census'!$S466)</f>
        <v/>
      </c>
      <c r="F475" s="91">
        <f>IF($A475="","",IF('Enrollment Census'!$AF466&lt;&gt;"","FIX",IF('Enrollment Census'!$AD466&lt;&gt;"","REVIEW","READY")))</f>
        <v/>
      </c>
      <c r="G475" s="91">
        <f>IF($A475="","",'Enrollment Census'!$AE466)</f>
        <v/>
      </c>
      <c r="H475" s="91">
        <f>IF($A475="","",'Enrollment Census'!$AF466)</f>
        <v/>
      </c>
      <c r="I475" s="91">
        <f>IF($A475="","",'Enrollment Census'!$AD466)</f>
        <v/>
      </c>
      <c r="J475">
        <f>IF($A475="","",'Enrollment Census'!$A466)</f>
        <v/>
      </c>
      <c r="K475">
        <f>IF($F475="FIX",ROW(),IF($F475="REVIEW",1000+ROW(),""))</f>
        <v/>
      </c>
    </row>
    <row r="476" ht="36" customHeight="1">
      <c r="A476" s="91">
        <f>IF(COUNTA('Enrollment Census'!$A467:$U467)&gt;0,467,"")</f>
        <v/>
      </c>
      <c r="B476" s="91">
        <f>IF($A476="","","Employee ending "&amp;RIGHT('Enrollment Census'!$A467&amp;"",4)&amp;IF('Enrollment Census'!$AH467&gt;0," • "&amp;'Enrollment Census'!$AH467&amp;" row"&amp;IF('Enrollment Census'!$AH467=1,"","s")&amp;" need attention",""))</f>
        <v/>
      </c>
      <c r="C476" s="91">
        <f>IF($A476="","",TRIM('Enrollment Census'!$C467&amp;" "&amp;'Enrollment Census'!$D467)&amp;" • ending "&amp;RIGHT('Enrollment Census'!$W467&amp;"",4))</f>
        <v/>
      </c>
      <c r="D476" s="91">
        <f>IF($A476="","",'Enrollment Census'!$X467)</f>
        <v/>
      </c>
      <c r="E476" s="91">
        <f>IF($A476="","",'Enrollment Census'!$S467)</f>
        <v/>
      </c>
      <c r="F476" s="91">
        <f>IF($A476="","",IF('Enrollment Census'!$AF467&lt;&gt;"","FIX",IF('Enrollment Census'!$AD467&lt;&gt;"","REVIEW","READY")))</f>
        <v/>
      </c>
      <c r="G476" s="91">
        <f>IF($A476="","",'Enrollment Census'!$AE467)</f>
        <v/>
      </c>
      <c r="H476" s="91">
        <f>IF($A476="","",'Enrollment Census'!$AF467)</f>
        <v/>
      </c>
      <c r="I476" s="91">
        <f>IF($A476="","",'Enrollment Census'!$AD467)</f>
        <v/>
      </c>
      <c r="J476">
        <f>IF($A476="","",'Enrollment Census'!$A467)</f>
        <v/>
      </c>
      <c r="K476">
        <f>IF($F476="FIX",ROW(),IF($F476="REVIEW",1000+ROW(),""))</f>
        <v/>
      </c>
    </row>
    <row r="477" ht="36" customHeight="1">
      <c r="A477" s="91">
        <f>IF(COUNTA('Enrollment Census'!$A468:$U468)&gt;0,468,"")</f>
        <v/>
      </c>
      <c r="B477" s="91">
        <f>IF($A477="","","Employee ending "&amp;RIGHT('Enrollment Census'!$A468&amp;"",4)&amp;IF('Enrollment Census'!$AH468&gt;0," • "&amp;'Enrollment Census'!$AH468&amp;" row"&amp;IF('Enrollment Census'!$AH468=1,"","s")&amp;" need attention",""))</f>
        <v/>
      </c>
      <c r="C477" s="91">
        <f>IF($A477="","",TRIM('Enrollment Census'!$C468&amp;" "&amp;'Enrollment Census'!$D468)&amp;" • ending "&amp;RIGHT('Enrollment Census'!$W468&amp;"",4))</f>
        <v/>
      </c>
      <c r="D477" s="91">
        <f>IF($A477="","",'Enrollment Census'!$X468)</f>
        <v/>
      </c>
      <c r="E477" s="91">
        <f>IF($A477="","",'Enrollment Census'!$S468)</f>
        <v/>
      </c>
      <c r="F477" s="91">
        <f>IF($A477="","",IF('Enrollment Census'!$AF468&lt;&gt;"","FIX",IF('Enrollment Census'!$AD468&lt;&gt;"","REVIEW","READY")))</f>
        <v/>
      </c>
      <c r="G477" s="91">
        <f>IF($A477="","",'Enrollment Census'!$AE468)</f>
        <v/>
      </c>
      <c r="H477" s="91">
        <f>IF($A477="","",'Enrollment Census'!$AF468)</f>
        <v/>
      </c>
      <c r="I477" s="91">
        <f>IF($A477="","",'Enrollment Census'!$AD468)</f>
        <v/>
      </c>
      <c r="J477">
        <f>IF($A477="","",'Enrollment Census'!$A468)</f>
        <v/>
      </c>
      <c r="K477">
        <f>IF($F477="FIX",ROW(),IF($F477="REVIEW",1000+ROW(),""))</f>
        <v/>
      </c>
    </row>
    <row r="478" ht="36" customHeight="1">
      <c r="A478" s="91">
        <f>IF(COUNTA('Enrollment Census'!$A469:$U469)&gt;0,469,"")</f>
        <v/>
      </c>
      <c r="B478" s="91">
        <f>IF($A478="","","Employee ending "&amp;RIGHT('Enrollment Census'!$A469&amp;"",4)&amp;IF('Enrollment Census'!$AH469&gt;0," • "&amp;'Enrollment Census'!$AH469&amp;" row"&amp;IF('Enrollment Census'!$AH469=1,"","s")&amp;" need attention",""))</f>
        <v/>
      </c>
      <c r="C478" s="91">
        <f>IF($A478="","",TRIM('Enrollment Census'!$C469&amp;" "&amp;'Enrollment Census'!$D469)&amp;" • ending "&amp;RIGHT('Enrollment Census'!$W469&amp;"",4))</f>
        <v/>
      </c>
      <c r="D478" s="91">
        <f>IF($A478="","",'Enrollment Census'!$X469)</f>
        <v/>
      </c>
      <c r="E478" s="91">
        <f>IF($A478="","",'Enrollment Census'!$S469)</f>
        <v/>
      </c>
      <c r="F478" s="91">
        <f>IF($A478="","",IF('Enrollment Census'!$AF469&lt;&gt;"","FIX",IF('Enrollment Census'!$AD469&lt;&gt;"","REVIEW","READY")))</f>
        <v/>
      </c>
      <c r="G478" s="91">
        <f>IF($A478="","",'Enrollment Census'!$AE469)</f>
        <v/>
      </c>
      <c r="H478" s="91">
        <f>IF($A478="","",'Enrollment Census'!$AF469)</f>
        <v/>
      </c>
      <c r="I478" s="91">
        <f>IF($A478="","",'Enrollment Census'!$AD469)</f>
        <v/>
      </c>
      <c r="J478">
        <f>IF($A478="","",'Enrollment Census'!$A469)</f>
        <v/>
      </c>
      <c r="K478">
        <f>IF($F478="FIX",ROW(),IF($F478="REVIEW",1000+ROW(),""))</f>
        <v/>
      </c>
    </row>
    <row r="479" ht="36" customHeight="1">
      <c r="A479" s="91">
        <f>IF(COUNTA('Enrollment Census'!$A470:$U470)&gt;0,470,"")</f>
        <v/>
      </c>
      <c r="B479" s="91">
        <f>IF($A479="","","Employee ending "&amp;RIGHT('Enrollment Census'!$A470&amp;"",4)&amp;IF('Enrollment Census'!$AH470&gt;0," • "&amp;'Enrollment Census'!$AH470&amp;" row"&amp;IF('Enrollment Census'!$AH470=1,"","s")&amp;" need attention",""))</f>
        <v/>
      </c>
      <c r="C479" s="91">
        <f>IF($A479="","",TRIM('Enrollment Census'!$C470&amp;" "&amp;'Enrollment Census'!$D470)&amp;" • ending "&amp;RIGHT('Enrollment Census'!$W470&amp;"",4))</f>
        <v/>
      </c>
      <c r="D479" s="91">
        <f>IF($A479="","",'Enrollment Census'!$X470)</f>
        <v/>
      </c>
      <c r="E479" s="91">
        <f>IF($A479="","",'Enrollment Census'!$S470)</f>
        <v/>
      </c>
      <c r="F479" s="91">
        <f>IF($A479="","",IF('Enrollment Census'!$AF470&lt;&gt;"","FIX",IF('Enrollment Census'!$AD470&lt;&gt;"","REVIEW","READY")))</f>
        <v/>
      </c>
      <c r="G479" s="91">
        <f>IF($A479="","",'Enrollment Census'!$AE470)</f>
        <v/>
      </c>
      <c r="H479" s="91">
        <f>IF($A479="","",'Enrollment Census'!$AF470)</f>
        <v/>
      </c>
      <c r="I479" s="91">
        <f>IF($A479="","",'Enrollment Census'!$AD470)</f>
        <v/>
      </c>
      <c r="J479">
        <f>IF($A479="","",'Enrollment Census'!$A470)</f>
        <v/>
      </c>
      <c r="K479">
        <f>IF($F479="FIX",ROW(),IF($F479="REVIEW",1000+ROW(),""))</f>
        <v/>
      </c>
    </row>
    <row r="480" ht="36" customHeight="1">
      <c r="A480" s="91">
        <f>IF(COUNTA('Enrollment Census'!$A471:$U471)&gt;0,471,"")</f>
        <v/>
      </c>
      <c r="B480" s="91">
        <f>IF($A480="","","Employee ending "&amp;RIGHT('Enrollment Census'!$A471&amp;"",4)&amp;IF('Enrollment Census'!$AH471&gt;0," • "&amp;'Enrollment Census'!$AH471&amp;" row"&amp;IF('Enrollment Census'!$AH471=1,"","s")&amp;" need attention",""))</f>
        <v/>
      </c>
      <c r="C480" s="91">
        <f>IF($A480="","",TRIM('Enrollment Census'!$C471&amp;" "&amp;'Enrollment Census'!$D471)&amp;" • ending "&amp;RIGHT('Enrollment Census'!$W471&amp;"",4))</f>
        <v/>
      </c>
      <c r="D480" s="91">
        <f>IF($A480="","",'Enrollment Census'!$X471)</f>
        <v/>
      </c>
      <c r="E480" s="91">
        <f>IF($A480="","",'Enrollment Census'!$S471)</f>
        <v/>
      </c>
      <c r="F480" s="91">
        <f>IF($A480="","",IF('Enrollment Census'!$AF471&lt;&gt;"","FIX",IF('Enrollment Census'!$AD471&lt;&gt;"","REVIEW","READY")))</f>
        <v/>
      </c>
      <c r="G480" s="91">
        <f>IF($A480="","",'Enrollment Census'!$AE471)</f>
        <v/>
      </c>
      <c r="H480" s="91">
        <f>IF($A480="","",'Enrollment Census'!$AF471)</f>
        <v/>
      </c>
      <c r="I480" s="91">
        <f>IF($A480="","",'Enrollment Census'!$AD471)</f>
        <v/>
      </c>
      <c r="J480">
        <f>IF($A480="","",'Enrollment Census'!$A471)</f>
        <v/>
      </c>
      <c r="K480">
        <f>IF($F480="FIX",ROW(),IF($F480="REVIEW",1000+ROW(),""))</f>
        <v/>
      </c>
    </row>
    <row r="481" ht="36" customHeight="1">
      <c r="A481" s="91">
        <f>IF(COUNTA('Enrollment Census'!$A472:$U472)&gt;0,472,"")</f>
        <v/>
      </c>
      <c r="B481" s="91">
        <f>IF($A481="","","Employee ending "&amp;RIGHT('Enrollment Census'!$A472&amp;"",4)&amp;IF('Enrollment Census'!$AH472&gt;0," • "&amp;'Enrollment Census'!$AH472&amp;" row"&amp;IF('Enrollment Census'!$AH472=1,"","s")&amp;" need attention",""))</f>
        <v/>
      </c>
      <c r="C481" s="91">
        <f>IF($A481="","",TRIM('Enrollment Census'!$C472&amp;" "&amp;'Enrollment Census'!$D472)&amp;" • ending "&amp;RIGHT('Enrollment Census'!$W472&amp;"",4))</f>
        <v/>
      </c>
      <c r="D481" s="91">
        <f>IF($A481="","",'Enrollment Census'!$X472)</f>
        <v/>
      </c>
      <c r="E481" s="91">
        <f>IF($A481="","",'Enrollment Census'!$S472)</f>
        <v/>
      </c>
      <c r="F481" s="91">
        <f>IF($A481="","",IF('Enrollment Census'!$AF472&lt;&gt;"","FIX",IF('Enrollment Census'!$AD472&lt;&gt;"","REVIEW","READY")))</f>
        <v/>
      </c>
      <c r="G481" s="91">
        <f>IF($A481="","",'Enrollment Census'!$AE472)</f>
        <v/>
      </c>
      <c r="H481" s="91">
        <f>IF($A481="","",'Enrollment Census'!$AF472)</f>
        <v/>
      </c>
      <c r="I481" s="91">
        <f>IF($A481="","",'Enrollment Census'!$AD472)</f>
        <v/>
      </c>
      <c r="J481">
        <f>IF($A481="","",'Enrollment Census'!$A472)</f>
        <v/>
      </c>
      <c r="K481">
        <f>IF($F481="FIX",ROW(),IF($F481="REVIEW",1000+ROW(),""))</f>
        <v/>
      </c>
    </row>
    <row r="482" ht="36" customHeight="1">
      <c r="A482" s="91">
        <f>IF(COUNTA('Enrollment Census'!$A473:$U473)&gt;0,473,"")</f>
        <v/>
      </c>
      <c r="B482" s="91">
        <f>IF($A482="","","Employee ending "&amp;RIGHT('Enrollment Census'!$A473&amp;"",4)&amp;IF('Enrollment Census'!$AH473&gt;0," • "&amp;'Enrollment Census'!$AH473&amp;" row"&amp;IF('Enrollment Census'!$AH473=1,"","s")&amp;" need attention",""))</f>
        <v/>
      </c>
      <c r="C482" s="91">
        <f>IF($A482="","",TRIM('Enrollment Census'!$C473&amp;" "&amp;'Enrollment Census'!$D473)&amp;" • ending "&amp;RIGHT('Enrollment Census'!$W473&amp;"",4))</f>
        <v/>
      </c>
      <c r="D482" s="91">
        <f>IF($A482="","",'Enrollment Census'!$X473)</f>
        <v/>
      </c>
      <c r="E482" s="91">
        <f>IF($A482="","",'Enrollment Census'!$S473)</f>
        <v/>
      </c>
      <c r="F482" s="91">
        <f>IF($A482="","",IF('Enrollment Census'!$AF473&lt;&gt;"","FIX",IF('Enrollment Census'!$AD473&lt;&gt;"","REVIEW","READY")))</f>
        <v/>
      </c>
      <c r="G482" s="91">
        <f>IF($A482="","",'Enrollment Census'!$AE473)</f>
        <v/>
      </c>
      <c r="H482" s="91">
        <f>IF($A482="","",'Enrollment Census'!$AF473)</f>
        <v/>
      </c>
      <c r="I482" s="91">
        <f>IF($A482="","",'Enrollment Census'!$AD473)</f>
        <v/>
      </c>
      <c r="J482">
        <f>IF($A482="","",'Enrollment Census'!$A473)</f>
        <v/>
      </c>
      <c r="K482">
        <f>IF($F482="FIX",ROW(),IF($F482="REVIEW",1000+ROW(),""))</f>
        <v/>
      </c>
    </row>
    <row r="483" ht="36" customHeight="1">
      <c r="A483" s="91">
        <f>IF(COUNTA('Enrollment Census'!$A474:$U474)&gt;0,474,"")</f>
        <v/>
      </c>
      <c r="B483" s="91">
        <f>IF($A483="","","Employee ending "&amp;RIGHT('Enrollment Census'!$A474&amp;"",4)&amp;IF('Enrollment Census'!$AH474&gt;0," • "&amp;'Enrollment Census'!$AH474&amp;" row"&amp;IF('Enrollment Census'!$AH474=1,"","s")&amp;" need attention",""))</f>
        <v/>
      </c>
      <c r="C483" s="91">
        <f>IF($A483="","",TRIM('Enrollment Census'!$C474&amp;" "&amp;'Enrollment Census'!$D474)&amp;" • ending "&amp;RIGHT('Enrollment Census'!$W474&amp;"",4))</f>
        <v/>
      </c>
      <c r="D483" s="91">
        <f>IF($A483="","",'Enrollment Census'!$X474)</f>
        <v/>
      </c>
      <c r="E483" s="91">
        <f>IF($A483="","",'Enrollment Census'!$S474)</f>
        <v/>
      </c>
      <c r="F483" s="91">
        <f>IF($A483="","",IF('Enrollment Census'!$AF474&lt;&gt;"","FIX",IF('Enrollment Census'!$AD474&lt;&gt;"","REVIEW","READY")))</f>
        <v/>
      </c>
      <c r="G483" s="91">
        <f>IF($A483="","",'Enrollment Census'!$AE474)</f>
        <v/>
      </c>
      <c r="H483" s="91">
        <f>IF($A483="","",'Enrollment Census'!$AF474)</f>
        <v/>
      </c>
      <c r="I483" s="91">
        <f>IF($A483="","",'Enrollment Census'!$AD474)</f>
        <v/>
      </c>
      <c r="J483">
        <f>IF($A483="","",'Enrollment Census'!$A474)</f>
        <v/>
      </c>
      <c r="K483">
        <f>IF($F483="FIX",ROW(),IF($F483="REVIEW",1000+ROW(),""))</f>
        <v/>
      </c>
    </row>
    <row r="484" ht="36" customHeight="1">
      <c r="A484" s="91">
        <f>IF(COUNTA('Enrollment Census'!$A475:$U475)&gt;0,475,"")</f>
        <v/>
      </c>
      <c r="B484" s="91">
        <f>IF($A484="","","Employee ending "&amp;RIGHT('Enrollment Census'!$A475&amp;"",4)&amp;IF('Enrollment Census'!$AH475&gt;0," • "&amp;'Enrollment Census'!$AH475&amp;" row"&amp;IF('Enrollment Census'!$AH475=1,"","s")&amp;" need attention",""))</f>
        <v/>
      </c>
      <c r="C484" s="91">
        <f>IF($A484="","",TRIM('Enrollment Census'!$C475&amp;" "&amp;'Enrollment Census'!$D475)&amp;" • ending "&amp;RIGHT('Enrollment Census'!$W475&amp;"",4))</f>
        <v/>
      </c>
      <c r="D484" s="91">
        <f>IF($A484="","",'Enrollment Census'!$X475)</f>
        <v/>
      </c>
      <c r="E484" s="91">
        <f>IF($A484="","",'Enrollment Census'!$S475)</f>
        <v/>
      </c>
      <c r="F484" s="91">
        <f>IF($A484="","",IF('Enrollment Census'!$AF475&lt;&gt;"","FIX",IF('Enrollment Census'!$AD475&lt;&gt;"","REVIEW","READY")))</f>
        <v/>
      </c>
      <c r="G484" s="91">
        <f>IF($A484="","",'Enrollment Census'!$AE475)</f>
        <v/>
      </c>
      <c r="H484" s="91">
        <f>IF($A484="","",'Enrollment Census'!$AF475)</f>
        <v/>
      </c>
      <c r="I484" s="91">
        <f>IF($A484="","",'Enrollment Census'!$AD475)</f>
        <v/>
      </c>
      <c r="J484">
        <f>IF($A484="","",'Enrollment Census'!$A475)</f>
        <v/>
      </c>
      <c r="K484">
        <f>IF($F484="FIX",ROW(),IF($F484="REVIEW",1000+ROW(),""))</f>
        <v/>
      </c>
    </row>
    <row r="485" ht="36" customHeight="1">
      <c r="A485" s="91">
        <f>IF(COUNTA('Enrollment Census'!$A476:$U476)&gt;0,476,"")</f>
        <v/>
      </c>
      <c r="B485" s="91">
        <f>IF($A485="","","Employee ending "&amp;RIGHT('Enrollment Census'!$A476&amp;"",4)&amp;IF('Enrollment Census'!$AH476&gt;0," • "&amp;'Enrollment Census'!$AH476&amp;" row"&amp;IF('Enrollment Census'!$AH476=1,"","s")&amp;" need attention",""))</f>
        <v/>
      </c>
      <c r="C485" s="91">
        <f>IF($A485="","",TRIM('Enrollment Census'!$C476&amp;" "&amp;'Enrollment Census'!$D476)&amp;" • ending "&amp;RIGHT('Enrollment Census'!$W476&amp;"",4))</f>
        <v/>
      </c>
      <c r="D485" s="91">
        <f>IF($A485="","",'Enrollment Census'!$X476)</f>
        <v/>
      </c>
      <c r="E485" s="91">
        <f>IF($A485="","",'Enrollment Census'!$S476)</f>
        <v/>
      </c>
      <c r="F485" s="91">
        <f>IF($A485="","",IF('Enrollment Census'!$AF476&lt;&gt;"","FIX",IF('Enrollment Census'!$AD476&lt;&gt;"","REVIEW","READY")))</f>
        <v/>
      </c>
      <c r="G485" s="91">
        <f>IF($A485="","",'Enrollment Census'!$AE476)</f>
        <v/>
      </c>
      <c r="H485" s="91">
        <f>IF($A485="","",'Enrollment Census'!$AF476)</f>
        <v/>
      </c>
      <c r="I485" s="91">
        <f>IF($A485="","",'Enrollment Census'!$AD476)</f>
        <v/>
      </c>
      <c r="J485">
        <f>IF($A485="","",'Enrollment Census'!$A476)</f>
        <v/>
      </c>
      <c r="K485">
        <f>IF($F485="FIX",ROW(),IF($F485="REVIEW",1000+ROW(),""))</f>
        <v/>
      </c>
    </row>
    <row r="486" ht="36" customHeight="1">
      <c r="A486" s="91">
        <f>IF(COUNTA('Enrollment Census'!$A477:$U477)&gt;0,477,"")</f>
        <v/>
      </c>
      <c r="B486" s="91">
        <f>IF($A486="","","Employee ending "&amp;RIGHT('Enrollment Census'!$A477&amp;"",4)&amp;IF('Enrollment Census'!$AH477&gt;0," • "&amp;'Enrollment Census'!$AH477&amp;" row"&amp;IF('Enrollment Census'!$AH477=1,"","s")&amp;" need attention",""))</f>
        <v/>
      </c>
      <c r="C486" s="91">
        <f>IF($A486="","",TRIM('Enrollment Census'!$C477&amp;" "&amp;'Enrollment Census'!$D477)&amp;" • ending "&amp;RIGHT('Enrollment Census'!$W477&amp;"",4))</f>
        <v/>
      </c>
      <c r="D486" s="91">
        <f>IF($A486="","",'Enrollment Census'!$X477)</f>
        <v/>
      </c>
      <c r="E486" s="91">
        <f>IF($A486="","",'Enrollment Census'!$S477)</f>
        <v/>
      </c>
      <c r="F486" s="91">
        <f>IF($A486="","",IF('Enrollment Census'!$AF477&lt;&gt;"","FIX",IF('Enrollment Census'!$AD477&lt;&gt;"","REVIEW","READY")))</f>
        <v/>
      </c>
      <c r="G486" s="91">
        <f>IF($A486="","",'Enrollment Census'!$AE477)</f>
        <v/>
      </c>
      <c r="H486" s="91">
        <f>IF($A486="","",'Enrollment Census'!$AF477)</f>
        <v/>
      </c>
      <c r="I486" s="91">
        <f>IF($A486="","",'Enrollment Census'!$AD477)</f>
        <v/>
      </c>
      <c r="J486">
        <f>IF($A486="","",'Enrollment Census'!$A477)</f>
        <v/>
      </c>
      <c r="K486">
        <f>IF($F486="FIX",ROW(),IF($F486="REVIEW",1000+ROW(),""))</f>
        <v/>
      </c>
    </row>
    <row r="487" ht="36" customHeight="1">
      <c r="A487" s="91">
        <f>IF(COUNTA('Enrollment Census'!$A478:$U478)&gt;0,478,"")</f>
        <v/>
      </c>
      <c r="B487" s="91">
        <f>IF($A487="","","Employee ending "&amp;RIGHT('Enrollment Census'!$A478&amp;"",4)&amp;IF('Enrollment Census'!$AH478&gt;0," • "&amp;'Enrollment Census'!$AH478&amp;" row"&amp;IF('Enrollment Census'!$AH478=1,"","s")&amp;" need attention",""))</f>
        <v/>
      </c>
      <c r="C487" s="91">
        <f>IF($A487="","",TRIM('Enrollment Census'!$C478&amp;" "&amp;'Enrollment Census'!$D478)&amp;" • ending "&amp;RIGHT('Enrollment Census'!$W478&amp;"",4))</f>
        <v/>
      </c>
      <c r="D487" s="91">
        <f>IF($A487="","",'Enrollment Census'!$X478)</f>
        <v/>
      </c>
      <c r="E487" s="91">
        <f>IF($A487="","",'Enrollment Census'!$S478)</f>
        <v/>
      </c>
      <c r="F487" s="91">
        <f>IF($A487="","",IF('Enrollment Census'!$AF478&lt;&gt;"","FIX",IF('Enrollment Census'!$AD478&lt;&gt;"","REVIEW","READY")))</f>
        <v/>
      </c>
      <c r="G487" s="91">
        <f>IF($A487="","",'Enrollment Census'!$AE478)</f>
        <v/>
      </c>
      <c r="H487" s="91">
        <f>IF($A487="","",'Enrollment Census'!$AF478)</f>
        <v/>
      </c>
      <c r="I487" s="91">
        <f>IF($A487="","",'Enrollment Census'!$AD478)</f>
        <v/>
      </c>
      <c r="J487">
        <f>IF($A487="","",'Enrollment Census'!$A478)</f>
        <v/>
      </c>
      <c r="K487">
        <f>IF($F487="FIX",ROW(),IF($F487="REVIEW",1000+ROW(),""))</f>
        <v/>
      </c>
    </row>
    <row r="488" ht="36" customHeight="1">
      <c r="A488" s="91">
        <f>IF(COUNTA('Enrollment Census'!$A479:$U479)&gt;0,479,"")</f>
        <v/>
      </c>
      <c r="B488" s="91">
        <f>IF($A488="","","Employee ending "&amp;RIGHT('Enrollment Census'!$A479&amp;"",4)&amp;IF('Enrollment Census'!$AH479&gt;0," • "&amp;'Enrollment Census'!$AH479&amp;" row"&amp;IF('Enrollment Census'!$AH479=1,"","s")&amp;" need attention",""))</f>
        <v/>
      </c>
      <c r="C488" s="91">
        <f>IF($A488="","",TRIM('Enrollment Census'!$C479&amp;" "&amp;'Enrollment Census'!$D479)&amp;" • ending "&amp;RIGHT('Enrollment Census'!$W479&amp;"",4))</f>
        <v/>
      </c>
      <c r="D488" s="91">
        <f>IF($A488="","",'Enrollment Census'!$X479)</f>
        <v/>
      </c>
      <c r="E488" s="91">
        <f>IF($A488="","",'Enrollment Census'!$S479)</f>
        <v/>
      </c>
      <c r="F488" s="91">
        <f>IF($A488="","",IF('Enrollment Census'!$AF479&lt;&gt;"","FIX",IF('Enrollment Census'!$AD479&lt;&gt;"","REVIEW","READY")))</f>
        <v/>
      </c>
      <c r="G488" s="91">
        <f>IF($A488="","",'Enrollment Census'!$AE479)</f>
        <v/>
      </c>
      <c r="H488" s="91">
        <f>IF($A488="","",'Enrollment Census'!$AF479)</f>
        <v/>
      </c>
      <c r="I488" s="91">
        <f>IF($A488="","",'Enrollment Census'!$AD479)</f>
        <v/>
      </c>
      <c r="J488">
        <f>IF($A488="","",'Enrollment Census'!$A479)</f>
        <v/>
      </c>
      <c r="K488">
        <f>IF($F488="FIX",ROW(),IF($F488="REVIEW",1000+ROW(),""))</f>
        <v/>
      </c>
    </row>
    <row r="489" ht="36" customHeight="1">
      <c r="A489" s="91">
        <f>IF(COUNTA('Enrollment Census'!$A480:$U480)&gt;0,480,"")</f>
        <v/>
      </c>
      <c r="B489" s="91">
        <f>IF($A489="","","Employee ending "&amp;RIGHT('Enrollment Census'!$A480&amp;"",4)&amp;IF('Enrollment Census'!$AH480&gt;0," • "&amp;'Enrollment Census'!$AH480&amp;" row"&amp;IF('Enrollment Census'!$AH480=1,"","s")&amp;" need attention",""))</f>
        <v/>
      </c>
      <c r="C489" s="91">
        <f>IF($A489="","",TRIM('Enrollment Census'!$C480&amp;" "&amp;'Enrollment Census'!$D480)&amp;" • ending "&amp;RIGHT('Enrollment Census'!$W480&amp;"",4))</f>
        <v/>
      </c>
      <c r="D489" s="91">
        <f>IF($A489="","",'Enrollment Census'!$X480)</f>
        <v/>
      </c>
      <c r="E489" s="91">
        <f>IF($A489="","",'Enrollment Census'!$S480)</f>
        <v/>
      </c>
      <c r="F489" s="91">
        <f>IF($A489="","",IF('Enrollment Census'!$AF480&lt;&gt;"","FIX",IF('Enrollment Census'!$AD480&lt;&gt;"","REVIEW","READY")))</f>
        <v/>
      </c>
      <c r="G489" s="91">
        <f>IF($A489="","",'Enrollment Census'!$AE480)</f>
        <v/>
      </c>
      <c r="H489" s="91">
        <f>IF($A489="","",'Enrollment Census'!$AF480)</f>
        <v/>
      </c>
      <c r="I489" s="91">
        <f>IF($A489="","",'Enrollment Census'!$AD480)</f>
        <v/>
      </c>
      <c r="J489">
        <f>IF($A489="","",'Enrollment Census'!$A480)</f>
        <v/>
      </c>
      <c r="K489">
        <f>IF($F489="FIX",ROW(),IF($F489="REVIEW",1000+ROW(),""))</f>
        <v/>
      </c>
    </row>
    <row r="490" ht="36" customHeight="1">
      <c r="A490" s="91">
        <f>IF(COUNTA('Enrollment Census'!$A481:$U481)&gt;0,481,"")</f>
        <v/>
      </c>
      <c r="B490" s="91">
        <f>IF($A490="","","Employee ending "&amp;RIGHT('Enrollment Census'!$A481&amp;"",4)&amp;IF('Enrollment Census'!$AH481&gt;0," • "&amp;'Enrollment Census'!$AH481&amp;" row"&amp;IF('Enrollment Census'!$AH481=1,"","s")&amp;" need attention",""))</f>
        <v/>
      </c>
      <c r="C490" s="91">
        <f>IF($A490="","",TRIM('Enrollment Census'!$C481&amp;" "&amp;'Enrollment Census'!$D481)&amp;" • ending "&amp;RIGHT('Enrollment Census'!$W481&amp;"",4))</f>
        <v/>
      </c>
      <c r="D490" s="91">
        <f>IF($A490="","",'Enrollment Census'!$X481)</f>
        <v/>
      </c>
      <c r="E490" s="91">
        <f>IF($A490="","",'Enrollment Census'!$S481)</f>
        <v/>
      </c>
      <c r="F490" s="91">
        <f>IF($A490="","",IF('Enrollment Census'!$AF481&lt;&gt;"","FIX",IF('Enrollment Census'!$AD481&lt;&gt;"","REVIEW","READY")))</f>
        <v/>
      </c>
      <c r="G490" s="91">
        <f>IF($A490="","",'Enrollment Census'!$AE481)</f>
        <v/>
      </c>
      <c r="H490" s="91">
        <f>IF($A490="","",'Enrollment Census'!$AF481)</f>
        <v/>
      </c>
      <c r="I490" s="91">
        <f>IF($A490="","",'Enrollment Census'!$AD481)</f>
        <v/>
      </c>
      <c r="J490">
        <f>IF($A490="","",'Enrollment Census'!$A481)</f>
        <v/>
      </c>
      <c r="K490">
        <f>IF($F490="FIX",ROW(),IF($F490="REVIEW",1000+ROW(),""))</f>
        <v/>
      </c>
    </row>
    <row r="491" ht="36" customHeight="1">
      <c r="A491" s="91">
        <f>IF(COUNTA('Enrollment Census'!$A482:$U482)&gt;0,482,"")</f>
        <v/>
      </c>
      <c r="B491" s="91">
        <f>IF($A491="","","Employee ending "&amp;RIGHT('Enrollment Census'!$A482&amp;"",4)&amp;IF('Enrollment Census'!$AH482&gt;0," • "&amp;'Enrollment Census'!$AH482&amp;" row"&amp;IF('Enrollment Census'!$AH482=1,"","s")&amp;" need attention",""))</f>
        <v/>
      </c>
      <c r="C491" s="91">
        <f>IF($A491="","",TRIM('Enrollment Census'!$C482&amp;" "&amp;'Enrollment Census'!$D482)&amp;" • ending "&amp;RIGHT('Enrollment Census'!$W482&amp;"",4))</f>
        <v/>
      </c>
      <c r="D491" s="91">
        <f>IF($A491="","",'Enrollment Census'!$X482)</f>
        <v/>
      </c>
      <c r="E491" s="91">
        <f>IF($A491="","",'Enrollment Census'!$S482)</f>
        <v/>
      </c>
      <c r="F491" s="91">
        <f>IF($A491="","",IF('Enrollment Census'!$AF482&lt;&gt;"","FIX",IF('Enrollment Census'!$AD482&lt;&gt;"","REVIEW","READY")))</f>
        <v/>
      </c>
      <c r="G491" s="91">
        <f>IF($A491="","",'Enrollment Census'!$AE482)</f>
        <v/>
      </c>
      <c r="H491" s="91">
        <f>IF($A491="","",'Enrollment Census'!$AF482)</f>
        <v/>
      </c>
      <c r="I491" s="91">
        <f>IF($A491="","",'Enrollment Census'!$AD482)</f>
        <v/>
      </c>
      <c r="J491">
        <f>IF($A491="","",'Enrollment Census'!$A482)</f>
        <v/>
      </c>
      <c r="K491">
        <f>IF($F491="FIX",ROW(),IF($F491="REVIEW",1000+ROW(),""))</f>
        <v/>
      </c>
    </row>
    <row r="492" ht="36" customHeight="1">
      <c r="A492" s="91">
        <f>IF(COUNTA('Enrollment Census'!$A483:$U483)&gt;0,483,"")</f>
        <v/>
      </c>
      <c r="B492" s="91">
        <f>IF($A492="","","Employee ending "&amp;RIGHT('Enrollment Census'!$A483&amp;"",4)&amp;IF('Enrollment Census'!$AH483&gt;0," • "&amp;'Enrollment Census'!$AH483&amp;" row"&amp;IF('Enrollment Census'!$AH483=1,"","s")&amp;" need attention",""))</f>
        <v/>
      </c>
      <c r="C492" s="91">
        <f>IF($A492="","",TRIM('Enrollment Census'!$C483&amp;" "&amp;'Enrollment Census'!$D483)&amp;" • ending "&amp;RIGHT('Enrollment Census'!$W483&amp;"",4))</f>
        <v/>
      </c>
      <c r="D492" s="91">
        <f>IF($A492="","",'Enrollment Census'!$X483)</f>
        <v/>
      </c>
      <c r="E492" s="91">
        <f>IF($A492="","",'Enrollment Census'!$S483)</f>
        <v/>
      </c>
      <c r="F492" s="91">
        <f>IF($A492="","",IF('Enrollment Census'!$AF483&lt;&gt;"","FIX",IF('Enrollment Census'!$AD483&lt;&gt;"","REVIEW","READY")))</f>
        <v/>
      </c>
      <c r="G492" s="91">
        <f>IF($A492="","",'Enrollment Census'!$AE483)</f>
        <v/>
      </c>
      <c r="H492" s="91">
        <f>IF($A492="","",'Enrollment Census'!$AF483)</f>
        <v/>
      </c>
      <c r="I492" s="91">
        <f>IF($A492="","",'Enrollment Census'!$AD483)</f>
        <v/>
      </c>
      <c r="J492">
        <f>IF($A492="","",'Enrollment Census'!$A483)</f>
        <v/>
      </c>
      <c r="K492">
        <f>IF($F492="FIX",ROW(),IF($F492="REVIEW",1000+ROW(),""))</f>
        <v/>
      </c>
    </row>
    <row r="493" ht="36" customHeight="1">
      <c r="A493" s="91">
        <f>IF(COUNTA('Enrollment Census'!$A484:$U484)&gt;0,484,"")</f>
        <v/>
      </c>
      <c r="B493" s="91">
        <f>IF($A493="","","Employee ending "&amp;RIGHT('Enrollment Census'!$A484&amp;"",4)&amp;IF('Enrollment Census'!$AH484&gt;0," • "&amp;'Enrollment Census'!$AH484&amp;" row"&amp;IF('Enrollment Census'!$AH484=1,"","s")&amp;" need attention",""))</f>
        <v/>
      </c>
      <c r="C493" s="91">
        <f>IF($A493="","",TRIM('Enrollment Census'!$C484&amp;" "&amp;'Enrollment Census'!$D484)&amp;" • ending "&amp;RIGHT('Enrollment Census'!$W484&amp;"",4))</f>
        <v/>
      </c>
      <c r="D493" s="91">
        <f>IF($A493="","",'Enrollment Census'!$X484)</f>
        <v/>
      </c>
      <c r="E493" s="91">
        <f>IF($A493="","",'Enrollment Census'!$S484)</f>
        <v/>
      </c>
      <c r="F493" s="91">
        <f>IF($A493="","",IF('Enrollment Census'!$AF484&lt;&gt;"","FIX",IF('Enrollment Census'!$AD484&lt;&gt;"","REVIEW","READY")))</f>
        <v/>
      </c>
      <c r="G493" s="91">
        <f>IF($A493="","",'Enrollment Census'!$AE484)</f>
        <v/>
      </c>
      <c r="H493" s="91">
        <f>IF($A493="","",'Enrollment Census'!$AF484)</f>
        <v/>
      </c>
      <c r="I493" s="91">
        <f>IF($A493="","",'Enrollment Census'!$AD484)</f>
        <v/>
      </c>
      <c r="J493">
        <f>IF($A493="","",'Enrollment Census'!$A484)</f>
        <v/>
      </c>
      <c r="K493">
        <f>IF($F493="FIX",ROW(),IF($F493="REVIEW",1000+ROW(),""))</f>
        <v/>
      </c>
    </row>
    <row r="494" ht="36" customHeight="1">
      <c r="A494" s="91">
        <f>IF(COUNTA('Enrollment Census'!$A485:$U485)&gt;0,485,"")</f>
        <v/>
      </c>
      <c r="B494" s="91">
        <f>IF($A494="","","Employee ending "&amp;RIGHT('Enrollment Census'!$A485&amp;"",4)&amp;IF('Enrollment Census'!$AH485&gt;0," • "&amp;'Enrollment Census'!$AH485&amp;" row"&amp;IF('Enrollment Census'!$AH485=1,"","s")&amp;" need attention",""))</f>
        <v/>
      </c>
      <c r="C494" s="91">
        <f>IF($A494="","",TRIM('Enrollment Census'!$C485&amp;" "&amp;'Enrollment Census'!$D485)&amp;" • ending "&amp;RIGHT('Enrollment Census'!$W485&amp;"",4))</f>
        <v/>
      </c>
      <c r="D494" s="91">
        <f>IF($A494="","",'Enrollment Census'!$X485)</f>
        <v/>
      </c>
      <c r="E494" s="91">
        <f>IF($A494="","",'Enrollment Census'!$S485)</f>
        <v/>
      </c>
      <c r="F494" s="91">
        <f>IF($A494="","",IF('Enrollment Census'!$AF485&lt;&gt;"","FIX",IF('Enrollment Census'!$AD485&lt;&gt;"","REVIEW","READY")))</f>
        <v/>
      </c>
      <c r="G494" s="91">
        <f>IF($A494="","",'Enrollment Census'!$AE485)</f>
        <v/>
      </c>
      <c r="H494" s="91">
        <f>IF($A494="","",'Enrollment Census'!$AF485)</f>
        <v/>
      </c>
      <c r="I494" s="91">
        <f>IF($A494="","",'Enrollment Census'!$AD485)</f>
        <v/>
      </c>
      <c r="J494">
        <f>IF($A494="","",'Enrollment Census'!$A485)</f>
        <v/>
      </c>
      <c r="K494">
        <f>IF($F494="FIX",ROW(),IF($F494="REVIEW",1000+ROW(),""))</f>
        <v/>
      </c>
    </row>
    <row r="495" ht="36" customHeight="1">
      <c r="A495" s="91">
        <f>IF(COUNTA('Enrollment Census'!$A486:$U486)&gt;0,486,"")</f>
        <v/>
      </c>
      <c r="B495" s="91">
        <f>IF($A495="","","Employee ending "&amp;RIGHT('Enrollment Census'!$A486&amp;"",4)&amp;IF('Enrollment Census'!$AH486&gt;0," • "&amp;'Enrollment Census'!$AH486&amp;" row"&amp;IF('Enrollment Census'!$AH486=1,"","s")&amp;" need attention",""))</f>
        <v/>
      </c>
      <c r="C495" s="91">
        <f>IF($A495="","",TRIM('Enrollment Census'!$C486&amp;" "&amp;'Enrollment Census'!$D486)&amp;" • ending "&amp;RIGHT('Enrollment Census'!$W486&amp;"",4))</f>
        <v/>
      </c>
      <c r="D495" s="91">
        <f>IF($A495="","",'Enrollment Census'!$X486)</f>
        <v/>
      </c>
      <c r="E495" s="91">
        <f>IF($A495="","",'Enrollment Census'!$S486)</f>
        <v/>
      </c>
      <c r="F495" s="91">
        <f>IF($A495="","",IF('Enrollment Census'!$AF486&lt;&gt;"","FIX",IF('Enrollment Census'!$AD486&lt;&gt;"","REVIEW","READY")))</f>
        <v/>
      </c>
      <c r="G495" s="91">
        <f>IF($A495="","",'Enrollment Census'!$AE486)</f>
        <v/>
      </c>
      <c r="H495" s="91">
        <f>IF($A495="","",'Enrollment Census'!$AF486)</f>
        <v/>
      </c>
      <c r="I495" s="91">
        <f>IF($A495="","",'Enrollment Census'!$AD486)</f>
        <v/>
      </c>
      <c r="J495">
        <f>IF($A495="","",'Enrollment Census'!$A486)</f>
        <v/>
      </c>
      <c r="K495">
        <f>IF($F495="FIX",ROW(),IF($F495="REVIEW",1000+ROW(),""))</f>
        <v/>
      </c>
    </row>
    <row r="496" ht="36" customHeight="1">
      <c r="A496" s="91">
        <f>IF(COUNTA('Enrollment Census'!$A487:$U487)&gt;0,487,"")</f>
        <v/>
      </c>
      <c r="B496" s="91">
        <f>IF($A496="","","Employee ending "&amp;RIGHT('Enrollment Census'!$A487&amp;"",4)&amp;IF('Enrollment Census'!$AH487&gt;0," • "&amp;'Enrollment Census'!$AH487&amp;" row"&amp;IF('Enrollment Census'!$AH487=1,"","s")&amp;" need attention",""))</f>
        <v/>
      </c>
      <c r="C496" s="91">
        <f>IF($A496="","",TRIM('Enrollment Census'!$C487&amp;" "&amp;'Enrollment Census'!$D487)&amp;" • ending "&amp;RIGHT('Enrollment Census'!$W487&amp;"",4))</f>
        <v/>
      </c>
      <c r="D496" s="91">
        <f>IF($A496="","",'Enrollment Census'!$X487)</f>
        <v/>
      </c>
      <c r="E496" s="91">
        <f>IF($A496="","",'Enrollment Census'!$S487)</f>
        <v/>
      </c>
      <c r="F496" s="91">
        <f>IF($A496="","",IF('Enrollment Census'!$AF487&lt;&gt;"","FIX",IF('Enrollment Census'!$AD487&lt;&gt;"","REVIEW","READY")))</f>
        <v/>
      </c>
      <c r="G496" s="91">
        <f>IF($A496="","",'Enrollment Census'!$AE487)</f>
        <v/>
      </c>
      <c r="H496" s="91">
        <f>IF($A496="","",'Enrollment Census'!$AF487)</f>
        <v/>
      </c>
      <c r="I496" s="91">
        <f>IF($A496="","",'Enrollment Census'!$AD487)</f>
        <v/>
      </c>
      <c r="J496">
        <f>IF($A496="","",'Enrollment Census'!$A487)</f>
        <v/>
      </c>
      <c r="K496">
        <f>IF($F496="FIX",ROW(),IF($F496="REVIEW",1000+ROW(),""))</f>
        <v/>
      </c>
    </row>
    <row r="497" ht="36" customHeight="1">
      <c r="A497" s="91">
        <f>IF(COUNTA('Enrollment Census'!$A488:$U488)&gt;0,488,"")</f>
        <v/>
      </c>
      <c r="B497" s="91">
        <f>IF($A497="","","Employee ending "&amp;RIGHT('Enrollment Census'!$A488&amp;"",4)&amp;IF('Enrollment Census'!$AH488&gt;0," • "&amp;'Enrollment Census'!$AH488&amp;" row"&amp;IF('Enrollment Census'!$AH488=1,"","s")&amp;" need attention",""))</f>
        <v/>
      </c>
      <c r="C497" s="91">
        <f>IF($A497="","",TRIM('Enrollment Census'!$C488&amp;" "&amp;'Enrollment Census'!$D488)&amp;" • ending "&amp;RIGHT('Enrollment Census'!$W488&amp;"",4))</f>
        <v/>
      </c>
      <c r="D497" s="91">
        <f>IF($A497="","",'Enrollment Census'!$X488)</f>
        <v/>
      </c>
      <c r="E497" s="91">
        <f>IF($A497="","",'Enrollment Census'!$S488)</f>
        <v/>
      </c>
      <c r="F497" s="91">
        <f>IF($A497="","",IF('Enrollment Census'!$AF488&lt;&gt;"","FIX",IF('Enrollment Census'!$AD488&lt;&gt;"","REVIEW","READY")))</f>
        <v/>
      </c>
      <c r="G497" s="91">
        <f>IF($A497="","",'Enrollment Census'!$AE488)</f>
        <v/>
      </c>
      <c r="H497" s="91">
        <f>IF($A497="","",'Enrollment Census'!$AF488)</f>
        <v/>
      </c>
      <c r="I497" s="91">
        <f>IF($A497="","",'Enrollment Census'!$AD488)</f>
        <v/>
      </c>
      <c r="J497">
        <f>IF($A497="","",'Enrollment Census'!$A488)</f>
        <v/>
      </c>
      <c r="K497">
        <f>IF($F497="FIX",ROW(),IF($F497="REVIEW",1000+ROW(),""))</f>
        <v/>
      </c>
    </row>
    <row r="498" ht="36" customHeight="1">
      <c r="A498" s="91">
        <f>IF(COUNTA('Enrollment Census'!$A489:$U489)&gt;0,489,"")</f>
        <v/>
      </c>
      <c r="B498" s="91">
        <f>IF($A498="","","Employee ending "&amp;RIGHT('Enrollment Census'!$A489&amp;"",4)&amp;IF('Enrollment Census'!$AH489&gt;0," • "&amp;'Enrollment Census'!$AH489&amp;" row"&amp;IF('Enrollment Census'!$AH489=1,"","s")&amp;" need attention",""))</f>
        <v/>
      </c>
      <c r="C498" s="91">
        <f>IF($A498="","",TRIM('Enrollment Census'!$C489&amp;" "&amp;'Enrollment Census'!$D489)&amp;" • ending "&amp;RIGHT('Enrollment Census'!$W489&amp;"",4))</f>
        <v/>
      </c>
      <c r="D498" s="91">
        <f>IF($A498="","",'Enrollment Census'!$X489)</f>
        <v/>
      </c>
      <c r="E498" s="91">
        <f>IF($A498="","",'Enrollment Census'!$S489)</f>
        <v/>
      </c>
      <c r="F498" s="91">
        <f>IF($A498="","",IF('Enrollment Census'!$AF489&lt;&gt;"","FIX",IF('Enrollment Census'!$AD489&lt;&gt;"","REVIEW","READY")))</f>
        <v/>
      </c>
      <c r="G498" s="91">
        <f>IF($A498="","",'Enrollment Census'!$AE489)</f>
        <v/>
      </c>
      <c r="H498" s="91">
        <f>IF($A498="","",'Enrollment Census'!$AF489)</f>
        <v/>
      </c>
      <c r="I498" s="91">
        <f>IF($A498="","",'Enrollment Census'!$AD489)</f>
        <v/>
      </c>
      <c r="J498">
        <f>IF($A498="","",'Enrollment Census'!$A489)</f>
        <v/>
      </c>
      <c r="K498">
        <f>IF($F498="FIX",ROW(),IF($F498="REVIEW",1000+ROW(),""))</f>
        <v/>
      </c>
    </row>
    <row r="499" ht="36" customHeight="1">
      <c r="A499" s="91">
        <f>IF(COUNTA('Enrollment Census'!$A490:$U490)&gt;0,490,"")</f>
        <v/>
      </c>
      <c r="B499" s="91">
        <f>IF($A499="","","Employee ending "&amp;RIGHT('Enrollment Census'!$A490&amp;"",4)&amp;IF('Enrollment Census'!$AH490&gt;0," • "&amp;'Enrollment Census'!$AH490&amp;" row"&amp;IF('Enrollment Census'!$AH490=1,"","s")&amp;" need attention",""))</f>
        <v/>
      </c>
      <c r="C499" s="91">
        <f>IF($A499="","",TRIM('Enrollment Census'!$C490&amp;" "&amp;'Enrollment Census'!$D490)&amp;" • ending "&amp;RIGHT('Enrollment Census'!$W490&amp;"",4))</f>
        <v/>
      </c>
      <c r="D499" s="91">
        <f>IF($A499="","",'Enrollment Census'!$X490)</f>
        <v/>
      </c>
      <c r="E499" s="91">
        <f>IF($A499="","",'Enrollment Census'!$S490)</f>
        <v/>
      </c>
      <c r="F499" s="91">
        <f>IF($A499="","",IF('Enrollment Census'!$AF490&lt;&gt;"","FIX",IF('Enrollment Census'!$AD490&lt;&gt;"","REVIEW","READY")))</f>
        <v/>
      </c>
      <c r="G499" s="91">
        <f>IF($A499="","",'Enrollment Census'!$AE490)</f>
        <v/>
      </c>
      <c r="H499" s="91">
        <f>IF($A499="","",'Enrollment Census'!$AF490)</f>
        <v/>
      </c>
      <c r="I499" s="91">
        <f>IF($A499="","",'Enrollment Census'!$AD490)</f>
        <v/>
      </c>
      <c r="J499">
        <f>IF($A499="","",'Enrollment Census'!$A490)</f>
        <v/>
      </c>
      <c r="K499">
        <f>IF($F499="FIX",ROW(),IF($F499="REVIEW",1000+ROW(),""))</f>
        <v/>
      </c>
    </row>
    <row r="500" ht="36" customHeight="1">
      <c r="A500" s="91">
        <f>IF(COUNTA('Enrollment Census'!$A491:$U491)&gt;0,491,"")</f>
        <v/>
      </c>
      <c r="B500" s="91">
        <f>IF($A500="","","Employee ending "&amp;RIGHT('Enrollment Census'!$A491&amp;"",4)&amp;IF('Enrollment Census'!$AH491&gt;0," • "&amp;'Enrollment Census'!$AH491&amp;" row"&amp;IF('Enrollment Census'!$AH491=1,"","s")&amp;" need attention",""))</f>
        <v/>
      </c>
      <c r="C500" s="91">
        <f>IF($A500="","",TRIM('Enrollment Census'!$C491&amp;" "&amp;'Enrollment Census'!$D491)&amp;" • ending "&amp;RIGHT('Enrollment Census'!$W491&amp;"",4))</f>
        <v/>
      </c>
      <c r="D500" s="91">
        <f>IF($A500="","",'Enrollment Census'!$X491)</f>
        <v/>
      </c>
      <c r="E500" s="91">
        <f>IF($A500="","",'Enrollment Census'!$S491)</f>
        <v/>
      </c>
      <c r="F500" s="91">
        <f>IF($A500="","",IF('Enrollment Census'!$AF491&lt;&gt;"","FIX",IF('Enrollment Census'!$AD491&lt;&gt;"","REVIEW","READY")))</f>
        <v/>
      </c>
      <c r="G500" s="91">
        <f>IF($A500="","",'Enrollment Census'!$AE491)</f>
        <v/>
      </c>
      <c r="H500" s="91">
        <f>IF($A500="","",'Enrollment Census'!$AF491)</f>
        <v/>
      </c>
      <c r="I500" s="91">
        <f>IF($A500="","",'Enrollment Census'!$AD491)</f>
        <v/>
      </c>
      <c r="J500">
        <f>IF($A500="","",'Enrollment Census'!$A491)</f>
        <v/>
      </c>
      <c r="K500">
        <f>IF($F500="FIX",ROW(),IF($F500="REVIEW",1000+ROW(),""))</f>
        <v/>
      </c>
    </row>
    <row r="501" ht="36" customHeight="1">
      <c r="A501" s="91">
        <f>IF(COUNTA('Enrollment Census'!$A492:$U492)&gt;0,492,"")</f>
        <v/>
      </c>
      <c r="B501" s="91">
        <f>IF($A501="","","Employee ending "&amp;RIGHT('Enrollment Census'!$A492&amp;"",4)&amp;IF('Enrollment Census'!$AH492&gt;0," • "&amp;'Enrollment Census'!$AH492&amp;" row"&amp;IF('Enrollment Census'!$AH492=1,"","s")&amp;" need attention",""))</f>
        <v/>
      </c>
      <c r="C501" s="91">
        <f>IF($A501="","",TRIM('Enrollment Census'!$C492&amp;" "&amp;'Enrollment Census'!$D492)&amp;" • ending "&amp;RIGHT('Enrollment Census'!$W492&amp;"",4))</f>
        <v/>
      </c>
      <c r="D501" s="91">
        <f>IF($A501="","",'Enrollment Census'!$X492)</f>
        <v/>
      </c>
      <c r="E501" s="91">
        <f>IF($A501="","",'Enrollment Census'!$S492)</f>
        <v/>
      </c>
      <c r="F501" s="91">
        <f>IF($A501="","",IF('Enrollment Census'!$AF492&lt;&gt;"","FIX",IF('Enrollment Census'!$AD492&lt;&gt;"","REVIEW","READY")))</f>
        <v/>
      </c>
      <c r="G501" s="91">
        <f>IF($A501="","",'Enrollment Census'!$AE492)</f>
        <v/>
      </c>
      <c r="H501" s="91">
        <f>IF($A501="","",'Enrollment Census'!$AF492)</f>
        <v/>
      </c>
      <c r="I501" s="91">
        <f>IF($A501="","",'Enrollment Census'!$AD492)</f>
        <v/>
      </c>
      <c r="J501">
        <f>IF($A501="","",'Enrollment Census'!$A492)</f>
        <v/>
      </c>
      <c r="K501">
        <f>IF($F501="FIX",ROW(),IF($F501="REVIEW",1000+ROW(),""))</f>
        <v/>
      </c>
    </row>
    <row r="502" ht="36" customHeight="1">
      <c r="A502" s="91">
        <f>IF(COUNTA('Enrollment Census'!$A493:$U493)&gt;0,493,"")</f>
        <v/>
      </c>
      <c r="B502" s="91">
        <f>IF($A502="","","Employee ending "&amp;RIGHT('Enrollment Census'!$A493&amp;"",4)&amp;IF('Enrollment Census'!$AH493&gt;0," • "&amp;'Enrollment Census'!$AH493&amp;" row"&amp;IF('Enrollment Census'!$AH493=1,"","s")&amp;" need attention",""))</f>
        <v/>
      </c>
      <c r="C502" s="91">
        <f>IF($A502="","",TRIM('Enrollment Census'!$C493&amp;" "&amp;'Enrollment Census'!$D493)&amp;" • ending "&amp;RIGHT('Enrollment Census'!$W493&amp;"",4))</f>
        <v/>
      </c>
      <c r="D502" s="91">
        <f>IF($A502="","",'Enrollment Census'!$X493)</f>
        <v/>
      </c>
      <c r="E502" s="91">
        <f>IF($A502="","",'Enrollment Census'!$S493)</f>
        <v/>
      </c>
      <c r="F502" s="91">
        <f>IF($A502="","",IF('Enrollment Census'!$AF493&lt;&gt;"","FIX",IF('Enrollment Census'!$AD493&lt;&gt;"","REVIEW","READY")))</f>
        <v/>
      </c>
      <c r="G502" s="91">
        <f>IF($A502="","",'Enrollment Census'!$AE493)</f>
        <v/>
      </c>
      <c r="H502" s="91">
        <f>IF($A502="","",'Enrollment Census'!$AF493)</f>
        <v/>
      </c>
      <c r="I502" s="91">
        <f>IF($A502="","",'Enrollment Census'!$AD493)</f>
        <v/>
      </c>
      <c r="J502">
        <f>IF($A502="","",'Enrollment Census'!$A493)</f>
        <v/>
      </c>
      <c r="K502">
        <f>IF($F502="FIX",ROW(),IF($F502="REVIEW",1000+ROW(),""))</f>
        <v/>
      </c>
    </row>
    <row r="503" ht="36" customHeight="1">
      <c r="A503" s="91">
        <f>IF(COUNTA('Enrollment Census'!$A494:$U494)&gt;0,494,"")</f>
        <v/>
      </c>
      <c r="B503" s="91">
        <f>IF($A503="","","Employee ending "&amp;RIGHT('Enrollment Census'!$A494&amp;"",4)&amp;IF('Enrollment Census'!$AH494&gt;0," • "&amp;'Enrollment Census'!$AH494&amp;" row"&amp;IF('Enrollment Census'!$AH494=1,"","s")&amp;" need attention",""))</f>
        <v/>
      </c>
      <c r="C503" s="91">
        <f>IF($A503="","",TRIM('Enrollment Census'!$C494&amp;" "&amp;'Enrollment Census'!$D494)&amp;" • ending "&amp;RIGHT('Enrollment Census'!$W494&amp;"",4))</f>
        <v/>
      </c>
      <c r="D503" s="91">
        <f>IF($A503="","",'Enrollment Census'!$X494)</f>
        <v/>
      </c>
      <c r="E503" s="91">
        <f>IF($A503="","",'Enrollment Census'!$S494)</f>
        <v/>
      </c>
      <c r="F503" s="91">
        <f>IF($A503="","",IF('Enrollment Census'!$AF494&lt;&gt;"","FIX",IF('Enrollment Census'!$AD494&lt;&gt;"","REVIEW","READY")))</f>
        <v/>
      </c>
      <c r="G503" s="91">
        <f>IF($A503="","",'Enrollment Census'!$AE494)</f>
        <v/>
      </c>
      <c r="H503" s="91">
        <f>IF($A503="","",'Enrollment Census'!$AF494)</f>
        <v/>
      </c>
      <c r="I503" s="91">
        <f>IF($A503="","",'Enrollment Census'!$AD494)</f>
        <v/>
      </c>
      <c r="J503">
        <f>IF($A503="","",'Enrollment Census'!$A494)</f>
        <v/>
      </c>
      <c r="K503">
        <f>IF($F503="FIX",ROW(),IF($F503="REVIEW",1000+ROW(),""))</f>
        <v/>
      </c>
    </row>
    <row r="504" ht="36" customHeight="1">
      <c r="A504" s="91">
        <f>IF(COUNTA('Enrollment Census'!$A495:$U495)&gt;0,495,"")</f>
        <v/>
      </c>
      <c r="B504" s="91">
        <f>IF($A504="","","Employee ending "&amp;RIGHT('Enrollment Census'!$A495&amp;"",4)&amp;IF('Enrollment Census'!$AH495&gt;0," • "&amp;'Enrollment Census'!$AH495&amp;" row"&amp;IF('Enrollment Census'!$AH495=1,"","s")&amp;" need attention",""))</f>
        <v/>
      </c>
      <c r="C504" s="91">
        <f>IF($A504="","",TRIM('Enrollment Census'!$C495&amp;" "&amp;'Enrollment Census'!$D495)&amp;" • ending "&amp;RIGHT('Enrollment Census'!$W495&amp;"",4))</f>
        <v/>
      </c>
      <c r="D504" s="91">
        <f>IF($A504="","",'Enrollment Census'!$X495)</f>
        <v/>
      </c>
      <c r="E504" s="91">
        <f>IF($A504="","",'Enrollment Census'!$S495)</f>
        <v/>
      </c>
      <c r="F504" s="91">
        <f>IF($A504="","",IF('Enrollment Census'!$AF495&lt;&gt;"","FIX",IF('Enrollment Census'!$AD495&lt;&gt;"","REVIEW","READY")))</f>
        <v/>
      </c>
      <c r="G504" s="91">
        <f>IF($A504="","",'Enrollment Census'!$AE495)</f>
        <v/>
      </c>
      <c r="H504" s="91">
        <f>IF($A504="","",'Enrollment Census'!$AF495)</f>
        <v/>
      </c>
      <c r="I504" s="91">
        <f>IF($A504="","",'Enrollment Census'!$AD495)</f>
        <v/>
      </c>
      <c r="J504">
        <f>IF($A504="","",'Enrollment Census'!$A495)</f>
        <v/>
      </c>
      <c r="K504">
        <f>IF($F504="FIX",ROW(),IF($F504="REVIEW",1000+ROW(),""))</f>
        <v/>
      </c>
    </row>
    <row r="505" ht="36" customHeight="1">
      <c r="A505" s="91">
        <f>IF(COUNTA('Enrollment Census'!$A496:$U496)&gt;0,496,"")</f>
        <v/>
      </c>
      <c r="B505" s="91">
        <f>IF($A505="","","Employee ending "&amp;RIGHT('Enrollment Census'!$A496&amp;"",4)&amp;IF('Enrollment Census'!$AH496&gt;0," • "&amp;'Enrollment Census'!$AH496&amp;" row"&amp;IF('Enrollment Census'!$AH496=1,"","s")&amp;" need attention",""))</f>
        <v/>
      </c>
      <c r="C505" s="91">
        <f>IF($A505="","",TRIM('Enrollment Census'!$C496&amp;" "&amp;'Enrollment Census'!$D496)&amp;" • ending "&amp;RIGHT('Enrollment Census'!$W496&amp;"",4))</f>
        <v/>
      </c>
      <c r="D505" s="91">
        <f>IF($A505="","",'Enrollment Census'!$X496)</f>
        <v/>
      </c>
      <c r="E505" s="91">
        <f>IF($A505="","",'Enrollment Census'!$S496)</f>
        <v/>
      </c>
      <c r="F505" s="91">
        <f>IF($A505="","",IF('Enrollment Census'!$AF496&lt;&gt;"","FIX",IF('Enrollment Census'!$AD496&lt;&gt;"","REVIEW","READY")))</f>
        <v/>
      </c>
      <c r="G505" s="91">
        <f>IF($A505="","",'Enrollment Census'!$AE496)</f>
        <v/>
      </c>
      <c r="H505" s="91">
        <f>IF($A505="","",'Enrollment Census'!$AF496)</f>
        <v/>
      </c>
      <c r="I505" s="91">
        <f>IF($A505="","",'Enrollment Census'!$AD496)</f>
        <v/>
      </c>
      <c r="J505">
        <f>IF($A505="","",'Enrollment Census'!$A496)</f>
        <v/>
      </c>
      <c r="K505">
        <f>IF($F505="FIX",ROW(),IF($F505="REVIEW",1000+ROW(),""))</f>
        <v/>
      </c>
    </row>
    <row r="506" ht="36" customHeight="1">
      <c r="A506" s="91">
        <f>IF(COUNTA('Enrollment Census'!$A497:$U497)&gt;0,497,"")</f>
        <v/>
      </c>
      <c r="B506" s="91">
        <f>IF($A506="","","Employee ending "&amp;RIGHT('Enrollment Census'!$A497&amp;"",4)&amp;IF('Enrollment Census'!$AH497&gt;0," • "&amp;'Enrollment Census'!$AH497&amp;" row"&amp;IF('Enrollment Census'!$AH497=1,"","s")&amp;" need attention",""))</f>
        <v/>
      </c>
      <c r="C506" s="91">
        <f>IF($A506="","",TRIM('Enrollment Census'!$C497&amp;" "&amp;'Enrollment Census'!$D497)&amp;" • ending "&amp;RIGHT('Enrollment Census'!$W497&amp;"",4))</f>
        <v/>
      </c>
      <c r="D506" s="91">
        <f>IF($A506="","",'Enrollment Census'!$X497)</f>
        <v/>
      </c>
      <c r="E506" s="91">
        <f>IF($A506="","",'Enrollment Census'!$S497)</f>
        <v/>
      </c>
      <c r="F506" s="91">
        <f>IF($A506="","",IF('Enrollment Census'!$AF497&lt;&gt;"","FIX",IF('Enrollment Census'!$AD497&lt;&gt;"","REVIEW","READY")))</f>
        <v/>
      </c>
      <c r="G506" s="91">
        <f>IF($A506="","",'Enrollment Census'!$AE497)</f>
        <v/>
      </c>
      <c r="H506" s="91">
        <f>IF($A506="","",'Enrollment Census'!$AF497)</f>
        <v/>
      </c>
      <c r="I506" s="91">
        <f>IF($A506="","",'Enrollment Census'!$AD497)</f>
        <v/>
      </c>
      <c r="J506">
        <f>IF($A506="","",'Enrollment Census'!$A497)</f>
        <v/>
      </c>
      <c r="K506">
        <f>IF($F506="FIX",ROW(),IF($F506="REVIEW",1000+ROW(),""))</f>
        <v/>
      </c>
    </row>
    <row r="507" ht="36" customHeight="1">
      <c r="A507" s="91">
        <f>IF(COUNTA('Enrollment Census'!$A498:$U498)&gt;0,498,"")</f>
        <v/>
      </c>
      <c r="B507" s="91">
        <f>IF($A507="","","Employee ending "&amp;RIGHT('Enrollment Census'!$A498&amp;"",4)&amp;IF('Enrollment Census'!$AH498&gt;0," • "&amp;'Enrollment Census'!$AH498&amp;" row"&amp;IF('Enrollment Census'!$AH498=1,"","s")&amp;" need attention",""))</f>
        <v/>
      </c>
      <c r="C507" s="91">
        <f>IF($A507="","",TRIM('Enrollment Census'!$C498&amp;" "&amp;'Enrollment Census'!$D498)&amp;" • ending "&amp;RIGHT('Enrollment Census'!$W498&amp;"",4))</f>
        <v/>
      </c>
      <c r="D507" s="91">
        <f>IF($A507="","",'Enrollment Census'!$X498)</f>
        <v/>
      </c>
      <c r="E507" s="91">
        <f>IF($A507="","",'Enrollment Census'!$S498)</f>
        <v/>
      </c>
      <c r="F507" s="91">
        <f>IF($A507="","",IF('Enrollment Census'!$AF498&lt;&gt;"","FIX",IF('Enrollment Census'!$AD498&lt;&gt;"","REVIEW","READY")))</f>
        <v/>
      </c>
      <c r="G507" s="91">
        <f>IF($A507="","",'Enrollment Census'!$AE498)</f>
        <v/>
      </c>
      <c r="H507" s="91">
        <f>IF($A507="","",'Enrollment Census'!$AF498)</f>
        <v/>
      </c>
      <c r="I507" s="91">
        <f>IF($A507="","",'Enrollment Census'!$AD498)</f>
        <v/>
      </c>
      <c r="J507">
        <f>IF($A507="","",'Enrollment Census'!$A498)</f>
        <v/>
      </c>
      <c r="K507">
        <f>IF($F507="FIX",ROW(),IF($F507="REVIEW",1000+ROW(),""))</f>
        <v/>
      </c>
    </row>
    <row r="508" ht="36" customHeight="1">
      <c r="A508" s="91">
        <f>IF(COUNTA('Enrollment Census'!$A499:$U499)&gt;0,499,"")</f>
        <v/>
      </c>
      <c r="B508" s="91">
        <f>IF($A508="","","Employee ending "&amp;RIGHT('Enrollment Census'!$A499&amp;"",4)&amp;IF('Enrollment Census'!$AH499&gt;0," • "&amp;'Enrollment Census'!$AH499&amp;" row"&amp;IF('Enrollment Census'!$AH499=1,"","s")&amp;" need attention",""))</f>
        <v/>
      </c>
      <c r="C508" s="91">
        <f>IF($A508="","",TRIM('Enrollment Census'!$C499&amp;" "&amp;'Enrollment Census'!$D499)&amp;" • ending "&amp;RIGHT('Enrollment Census'!$W499&amp;"",4))</f>
        <v/>
      </c>
      <c r="D508" s="91">
        <f>IF($A508="","",'Enrollment Census'!$X499)</f>
        <v/>
      </c>
      <c r="E508" s="91">
        <f>IF($A508="","",'Enrollment Census'!$S499)</f>
        <v/>
      </c>
      <c r="F508" s="91">
        <f>IF($A508="","",IF('Enrollment Census'!$AF499&lt;&gt;"","FIX",IF('Enrollment Census'!$AD499&lt;&gt;"","REVIEW","READY")))</f>
        <v/>
      </c>
      <c r="G508" s="91">
        <f>IF($A508="","",'Enrollment Census'!$AE499)</f>
        <v/>
      </c>
      <c r="H508" s="91">
        <f>IF($A508="","",'Enrollment Census'!$AF499)</f>
        <v/>
      </c>
      <c r="I508" s="91">
        <f>IF($A508="","",'Enrollment Census'!$AD499)</f>
        <v/>
      </c>
      <c r="J508">
        <f>IF($A508="","",'Enrollment Census'!$A499)</f>
        <v/>
      </c>
      <c r="K508">
        <f>IF($F508="FIX",ROW(),IF($F508="REVIEW",1000+ROW(),""))</f>
        <v/>
      </c>
    </row>
    <row r="509" ht="36" customHeight="1">
      <c r="A509" s="91">
        <f>IF(COUNTA('Enrollment Census'!$A500:$U500)&gt;0,500,"")</f>
        <v/>
      </c>
      <c r="B509" s="91">
        <f>IF($A509="","","Employee ending "&amp;RIGHT('Enrollment Census'!$A500&amp;"",4)&amp;IF('Enrollment Census'!$AH500&gt;0," • "&amp;'Enrollment Census'!$AH500&amp;" row"&amp;IF('Enrollment Census'!$AH500=1,"","s")&amp;" need attention",""))</f>
        <v/>
      </c>
      <c r="C509" s="91">
        <f>IF($A509="","",TRIM('Enrollment Census'!$C500&amp;" "&amp;'Enrollment Census'!$D500)&amp;" • ending "&amp;RIGHT('Enrollment Census'!$W500&amp;"",4))</f>
        <v/>
      </c>
      <c r="D509" s="91">
        <f>IF($A509="","",'Enrollment Census'!$X500)</f>
        <v/>
      </c>
      <c r="E509" s="91">
        <f>IF($A509="","",'Enrollment Census'!$S500)</f>
        <v/>
      </c>
      <c r="F509" s="91">
        <f>IF($A509="","",IF('Enrollment Census'!$AF500&lt;&gt;"","FIX",IF('Enrollment Census'!$AD500&lt;&gt;"","REVIEW","READY")))</f>
        <v/>
      </c>
      <c r="G509" s="91">
        <f>IF($A509="","",'Enrollment Census'!$AE500)</f>
        <v/>
      </c>
      <c r="H509" s="91">
        <f>IF($A509="","",'Enrollment Census'!$AF500)</f>
        <v/>
      </c>
      <c r="I509" s="91">
        <f>IF($A509="","",'Enrollment Census'!$AD500)</f>
        <v/>
      </c>
      <c r="J509">
        <f>IF($A509="","",'Enrollment Census'!$A500)</f>
        <v/>
      </c>
      <c r="K509">
        <f>IF($F509="FIX",ROW(),IF($F509="REVIEW",1000+ROW(),""))</f>
        <v/>
      </c>
    </row>
    <row r="510" ht="36" customHeight="1">
      <c r="A510" s="91">
        <f>IF(COUNTA('Enrollment Census'!$A501:$U501)&gt;0,501,"")</f>
        <v/>
      </c>
      <c r="B510" s="91">
        <f>IF($A510="","","Employee ending "&amp;RIGHT('Enrollment Census'!$A501&amp;"",4)&amp;IF('Enrollment Census'!$AH501&gt;0," • "&amp;'Enrollment Census'!$AH501&amp;" row"&amp;IF('Enrollment Census'!$AH501=1,"","s")&amp;" need attention",""))</f>
        <v/>
      </c>
      <c r="C510" s="91">
        <f>IF($A510="","",TRIM('Enrollment Census'!$C501&amp;" "&amp;'Enrollment Census'!$D501)&amp;" • ending "&amp;RIGHT('Enrollment Census'!$W501&amp;"",4))</f>
        <v/>
      </c>
      <c r="D510" s="91">
        <f>IF($A510="","",'Enrollment Census'!$X501)</f>
        <v/>
      </c>
      <c r="E510" s="91">
        <f>IF($A510="","",'Enrollment Census'!$S501)</f>
        <v/>
      </c>
      <c r="F510" s="91">
        <f>IF($A510="","",IF('Enrollment Census'!$AF501&lt;&gt;"","FIX",IF('Enrollment Census'!$AD501&lt;&gt;"","REVIEW","READY")))</f>
        <v/>
      </c>
      <c r="G510" s="91">
        <f>IF($A510="","",'Enrollment Census'!$AE501)</f>
        <v/>
      </c>
      <c r="H510" s="91">
        <f>IF($A510="","",'Enrollment Census'!$AF501)</f>
        <v/>
      </c>
      <c r="I510" s="91">
        <f>IF($A510="","",'Enrollment Census'!$AD501)</f>
        <v/>
      </c>
      <c r="J510">
        <f>IF($A510="","",'Enrollment Census'!$A501)</f>
        <v/>
      </c>
      <c r="K510">
        <f>IF($F510="FIX",ROW(),IF($F510="REVIEW",1000+ROW(),""))</f>
        <v/>
      </c>
    </row>
  </sheetData>
  <sheetProtection selectLockedCells="0" selectUnlockedCells="0" sheet="1" objects="1" insertRows="1" insertHyperlinks="1" autoFilter="0" scenarios="1" formatColumns="1" deleteColumns="1" insertColumns="1" pivotTables="1" deleteRows="1" formatCells="1" formatRows="1" sort="0"/>
  <autoFilter ref="A10:I510"/>
  <mergeCells count="3">
    <mergeCell ref="A1:I1"/>
    <mergeCell ref="A7:I7"/>
    <mergeCell ref="A2:I2"/>
  </mergeCells>
  <conditionalFormatting sqref="F8:F510">
    <cfRule type="expression" priority="1" dxfId="12">
      <formula>F8="FIX"</formula>
    </cfRule>
    <cfRule type="expression" priority="2" dxfId="13">
      <formula>F8="REVIEW"</formula>
    </cfRule>
    <cfRule type="expression" priority="3" dxfId="14">
      <formula>F8="READY"</formula>
    </cfRule>
  </conditionalFormatting>
  <conditionalFormatting sqref="I8:I510">
    <cfRule type="expression" priority="4" dxfId="16">
      <formula>I8&lt;&gt;""</formula>
    </cfRule>
  </conditionalFormatting>
  <conditionalFormatting sqref="B4:C4">
    <cfRule type="expression" priority="6" dxfId="12">
      <formula>$B$4="FIX ERRORS"</formula>
    </cfRule>
    <cfRule type="expression" priority="7" dxfId="13">
      <formula>$B$4="READY WITH WARNINGS"</formula>
    </cfRule>
    <cfRule type="expression" priority="8" dxfId="14">
      <formula>$B$4="READY TO SUBMIT"</formula>
    </cfRule>
  </conditionalFormatting>
  <conditionalFormatting sqref="B11:B510">
    <cfRule type="expression" priority="9" dxfId="18">
      <formula>ISNUMBER(SEARCH("need attention",$B11))</formula>
    </cfRule>
  </conditionalFormatting>
  <pageMargins left="0.25" right="0.25" top="0.35" bottom="0.35" header="0.2" footer="0.2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D6EAEC"/>
    <outlinePr summaryBelow="1" summaryRight="1"/>
    <pageSetUpPr fitToPage="1"/>
  </sheetPr>
  <dimension ref="A1:J5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25" customWidth="1" min="3" max="3"/>
    <col width="20" customWidth="1" min="4" max="4"/>
    <col width="12" customWidth="1" min="5" max="5"/>
    <col width="28" customWidth="1" min="6" max="6"/>
    <col width="58" customWidth="1" min="7" max="7"/>
    <col width="48" customWidth="1" min="8" max="8"/>
    <col hidden="1" width="3" customWidth="1" min="10" max="10"/>
  </cols>
  <sheetData>
    <row r="1" ht="34" customHeight="1">
      <c r="A1" s="84" t="inlineStr">
        <is>
          <t>Enrollment Validation Report</t>
        </is>
      </c>
    </row>
    <row r="2" ht="28" customHeight="1">
      <c r="A2" s="92">
        <f>IF(VALIDATE!$I$4=0,"No enrollment rows entered.",IF(VALIDATE!$E$4&gt;0,VALIDATE!$E$4&amp;" item"&amp;IF(VALIDATE!$E$4=1,"","s")&amp;" need attention before submission",IF(VALIDATE!$G$4&gt;0,VALIDATE!$G$4&amp;" warning"&amp;IF(VALIDATE!$G$4=1,"","s")&amp;" to review before submission","Ready to submit to Marin Benefits")))</f>
        <v/>
      </c>
    </row>
    <row r="4">
      <c r="A4" s="93" t="inlineStr">
        <is>
          <t>Client / Employer</t>
        </is>
      </c>
      <c r="B4" s="109">
        <f>'START HERE'!$C$5</f>
        <v/>
      </c>
      <c r="C4" s="101" t="n"/>
      <c r="D4" s="93" t="inlineStr">
        <is>
          <t>Submission Type</t>
        </is>
      </c>
      <c r="E4" s="109">
        <f>'START HERE'!$C$8</f>
        <v/>
      </c>
      <c r="F4" s="101" t="n"/>
    </row>
    <row r="5">
      <c r="A5" s="93" t="inlineStr">
        <is>
          <t>Prepared By</t>
        </is>
      </c>
      <c r="B5" s="109">
        <f>'START HERE'!$C$6</f>
        <v/>
      </c>
      <c r="C5" s="101" t="n"/>
      <c r="D5" s="93" t="inlineStr">
        <is>
          <t>Submission Date</t>
        </is>
      </c>
      <c r="E5" s="109">
        <f>'START HERE'!$C$7</f>
        <v/>
      </c>
      <c r="F5" s="101" t="n"/>
    </row>
    <row r="7" ht="20" customHeight="1">
      <c r="A7" s="95" t="inlineStr">
        <is>
          <t xml:space="preserve">Employees: </t>
        </is>
      </c>
      <c r="C7" s="95" t="inlineStr">
        <is>
          <t xml:space="preserve">Dependents: </t>
        </is>
      </c>
      <c r="E7" s="95" t="inlineStr">
        <is>
          <t xml:space="preserve">Items to Fix: </t>
        </is>
      </c>
      <c r="G7" s="95" t="inlineStr">
        <is>
          <t xml:space="preserve">Warnings: </t>
        </is>
      </c>
    </row>
    <row r="8" ht="28" customHeight="1">
      <c r="A8" s="96">
        <f>VALIDATE!$B$5</f>
        <v/>
      </c>
      <c r="B8" s="103" t="n"/>
      <c r="C8" s="96">
        <f>VALIDATE!$E$5</f>
        <v/>
      </c>
      <c r="D8" s="103" t="n"/>
      <c r="E8" s="96">
        <f>VALIDATE!$E$4</f>
        <v/>
      </c>
      <c r="F8" s="103" t="n"/>
      <c r="G8" s="96">
        <f>VALIDATE!$G$4</f>
        <v/>
      </c>
      <c r="H8" s="103" t="n"/>
    </row>
    <row r="10" ht="32" customHeight="1">
      <c r="A10" s="97" t="inlineStr">
        <is>
          <t>Census Row</t>
        </is>
      </c>
      <c r="B10" s="97" t="inlineStr">
        <is>
          <t>Household</t>
        </is>
      </c>
      <c r="C10" s="97" t="inlineStr">
        <is>
          <t>Participant</t>
        </is>
      </c>
      <c r="D10" s="97" t="inlineStr">
        <is>
          <t>Plan Name</t>
        </is>
      </c>
      <c r="E10" s="97" t="inlineStr">
        <is>
          <t>Status</t>
        </is>
      </c>
      <c r="F10" s="97" t="inlineStr">
        <is>
          <t>Fields to Review</t>
        </is>
      </c>
      <c r="G10" s="97" t="inlineStr">
        <is>
          <t>How to Fix</t>
        </is>
      </c>
      <c r="H10" s="97" t="inlineStr">
        <is>
          <t>Warnings</t>
        </is>
      </c>
    </row>
    <row r="11" ht="42" customHeight="1">
      <c r="A11" s="98">
        <f>IF($J11="","",INDEX(VALIDATE!$A:$A,IF($J11&gt;1000,$J11-1000,$J11)))</f>
        <v/>
      </c>
      <c r="B11" s="98">
        <f>IF($J11="","",INDEX(VALIDATE!$B:$B,IF($J11&gt;1000,$J11-1000,$J11)))</f>
        <v/>
      </c>
      <c r="C11" s="98">
        <f>IF($J11="","",INDEX(VALIDATE!$C:$C,IF($J11&gt;1000,$J11-1000,$J11)))</f>
        <v/>
      </c>
      <c r="D11" s="98">
        <f>IF($J11="","",INDEX(VALIDATE!$E:$E,IF($J11&gt;1000,$J11-1000,$J11)))</f>
        <v/>
      </c>
      <c r="E11" s="98">
        <f>IF($J11="","",INDEX(VALIDATE!$F:$F,IF($J11&gt;1000,$J11-1000,$J11)))</f>
        <v/>
      </c>
      <c r="F11" s="98">
        <f>IF($J11="","",INDEX(VALIDATE!$G:$G,IF($J11&gt;1000,$J11-1000,$J11)))</f>
        <v/>
      </c>
      <c r="G11" s="98">
        <f>IF($J11="","",INDEX(VALIDATE!$H:$H,IF($J11&gt;1000,$J11-1000,$J11)))</f>
        <v/>
      </c>
      <c r="H11" s="98">
        <f>IF($J11="","",INDEX(VALIDATE!$I:$I,IF($J11&gt;1000,$J11-1000,$J11)))</f>
        <v/>
      </c>
      <c r="J11">
        <f>IFERROR(SMALL(VALIDATE!$K$8:$K$510,ROWS($J$11:J11)),"")</f>
        <v/>
      </c>
    </row>
    <row r="12" ht="42" customHeight="1">
      <c r="A12" s="98">
        <f>IF($J12="","",INDEX(VALIDATE!$A:$A,IF($J12&gt;1000,$J12-1000,$J12)))</f>
        <v/>
      </c>
      <c r="B12" s="98">
        <f>IF($J12="","",INDEX(VALIDATE!$B:$B,IF($J12&gt;1000,$J12-1000,$J12)))</f>
        <v/>
      </c>
      <c r="C12" s="98">
        <f>IF($J12="","",INDEX(VALIDATE!$C:$C,IF($J12&gt;1000,$J12-1000,$J12)))</f>
        <v/>
      </c>
      <c r="D12" s="98">
        <f>IF($J12="","",INDEX(VALIDATE!$E:$E,IF($J12&gt;1000,$J12-1000,$J12)))</f>
        <v/>
      </c>
      <c r="E12" s="98">
        <f>IF($J12="","",INDEX(VALIDATE!$F:$F,IF($J12&gt;1000,$J12-1000,$J12)))</f>
        <v/>
      </c>
      <c r="F12" s="98">
        <f>IF($J12="","",INDEX(VALIDATE!$G:$G,IF($J12&gt;1000,$J12-1000,$J12)))</f>
        <v/>
      </c>
      <c r="G12" s="98">
        <f>IF($J12="","",INDEX(VALIDATE!$H:$H,IF($J12&gt;1000,$J12-1000,$J12)))</f>
        <v/>
      </c>
      <c r="H12" s="98">
        <f>IF($J12="","",INDEX(VALIDATE!$I:$I,IF($J12&gt;1000,$J12-1000,$J12)))</f>
        <v/>
      </c>
      <c r="J12">
        <f>IFERROR(SMALL(VALIDATE!$K$8:$K$510,ROWS($J$11:J12)),"")</f>
        <v/>
      </c>
    </row>
    <row r="13" ht="42" customHeight="1">
      <c r="A13" s="98">
        <f>IF($J13="","",INDEX(VALIDATE!$A:$A,IF($J13&gt;1000,$J13-1000,$J13)))</f>
        <v/>
      </c>
      <c r="B13" s="98">
        <f>IF($J13="","",INDEX(VALIDATE!$B:$B,IF($J13&gt;1000,$J13-1000,$J13)))</f>
        <v/>
      </c>
      <c r="C13" s="98">
        <f>IF($J13="","",INDEX(VALIDATE!$C:$C,IF($J13&gt;1000,$J13-1000,$J13)))</f>
        <v/>
      </c>
      <c r="D13" s="98">
        <f>IF($J13="","",INDEX(VALIDATE!$E:$E,IF($J13&gt;1000,$J13-1000,$J13)))</f>
        <v/>
      </c>
      <c r="E13" s="98">
        <f>IF($J13="","",INDEX(VALIDATE!$F:$F,IF($J13&gt;1000,$J13-1000,$J13)))</f>
        <v/>
      </c>
      <c r="F13" s="98">
        <f>IF($J13="","",INDEX(VALIDATE!$G:$G,IF($J13&gt;1000,$J13-1000,$J13)))</f>
        <v/>
      </c>
      <c r="G13" s="98">
        <f>IF($J13="","",INDEX(VALIDATE!$H:$H,IF($J13&gt;1000,$J13-1000,$J13)))</f>
        <v/>
      </c>
      <c r="H13" s="98">
        <f>IF($J13="","",INDEX(VALIDATE!$I:$I,IF($J13&gt;1000,$J13-1000,$J13)))</f>
        <v/>
      </c>
      <c r="J13">
        <f>IFERROR(SMALL(VALIDATE!$K$8:$K$510,ROWS($J$11:J13)),"")</f>
        <v/>
      </c>
    </row>
    <row r="14" ht="42" customHeight="1">
      <c r="A14" s="98">
        <f>IF($J14="","",INDEX(VALIDATE!$A:$A,IF($J14&gt;1000,$J14-1000,$J14)))</f>
        <v/>
      </c>
      <c r="B14" s="98">
        <f>IF($J14="","",INDEX(VALIDATE!$B:$B,IF($J14&gt;1000,$J14-1000,$J14)))</f>
        <v/>
      </c>
      <c r="C14" s="98">
        <f>IF($J14="","",INDEX(VALIDATE!$C:$C,IF($J14&gt;1000,$J14-1000,$J14)))</f>
        <v/>
      </c>
      <c r="D14" s="98">
        <f>IF($J14="","",INDEX(VALIDATE!$E:$E,IF($J14&gt;1000,$J14-1000,$J14)))</f>
        <v/>
      </c>
      <c r="E14" s="98">
        <f>IF($J14="","",INDEX(VALIDATE!$F:$F,IF($J14&gt;1000,$J14-1000,$J14)))</f>
        <v/>
      </c>
      <c r="F14" s="98">
        <f>IF($J14="","",INDEX(VALIDATE!$G:$G,IF($J14&gt;1000,$J14-1000,$J14)))</f>
        <v/>
      </c>
      <c r="G14" s="98">
        <f>IF($J14="","",INDEX(VALIDATE!$H:$H,IF($J14&gt;1000,$J14-1000,$J14)))</f>
        <v/>
      </c>
      <c r="H14" s="98">
        <f>IF($J14="","",INDEX(VALIDATE!$I:$I,IF($J14&gt;1000,$J14-1000,$J14)))</f>
        <v/>
      </c>
      <c r="J14">
        <f>IFERROR(SMALL(VALIDATE!$K$8:$K$510,ROWS($J$11:J14)),"")</f>
        <v/>
      </c>
    </row>
    <row r="15" ht="42" customHeight="1">
      <c r="A15" s="98">
        <f>IF($J15="","",INDEX(VALIDATE!$A:$A,IF($J15&gt;1000,$J15-1000,$J15)))</f>
        <v/>
      </c>
      <c r="B15" s="98">
        <f>IF($J15="","",INDEX(VALIDATE!$B:$B,IF($J15&gt;1000,$J15-1000,$J15)))</f>
        <v/>
      </c>
      <c r="C15" s="98">
        <f>IF($J15="","",INDEX(VALIDATE!$C:$C,IF($J15&gt;1000,$J15-1000,$J15)))</f>
        <v/>
      </c>
      <c r="D15" s="98">
        <f>IF($J15="","",INDEX(VALIDATE!$E:$E,IF($J15&gt;1000,$J15-1000,$J15)))</f>
        <v/>
      </c>
      <c r="E15" s="98">
        <f>IF($J15="","",INDEX(VALIDATE!$F:$F,IF($J15&gt;1000,$J15-1000,$J15)))</f>
        <v/>
      </c>
      <c r="F15" s="98">
        <f>IF($J15="","",INDEX(VALIDATE!$G:$G,IF($J15&gt;1000,$J15-1000,$J15)))</f>
        <v/>
      </c>
      <c r="G15" s="98">
        <f>IF($J15="","",INDEX(VALIDATE!$H:$H,IF($J15&gt;1000,$J15-1000,$J15)))</f>
        <v/>
      </c>
      <c r="H15" s="98">
        <f>IF($J15="","",INDEX(VALIDATE!$I:$I,IF($J15&gt;1000,$J15-1000,$J15)))</f>
        <v/>
      </c>
      <c r="J15">
        <f>IFERROR(SMALL(VALIDATE!$K$8:$K$510,ROWS($J$11:J15)),"")</f>
        <v/>
      </c>
    </row>
    <row r="16" ht="42" customHeight="1">
      <c r="A16" s="98">
        <f>IF($J16="","",INDEX(VALIDATE!$A:$A,IF($J16&gt;1000,$J16-1000,$J16)))</f>
        <v/>
      </c>
      <c r="B16" s="98">
        <f>IF($J16="","",INDEX(VALIDATE!$B:$B,IF($J16&gt;1000,$J16-1000,$J16)))</f>
        <v/>
      </c>
      <c r="C16" s="98">
        <f>IF($J16="","",INDEX(VALIDATE!$C:$C,IF($J16&gt;1000,$J16-1000,$J16)))</f>
        <v/>
      </c>
      <c r="D16" s="98">
        <f>IF($J16="","",INDEX(VALIDATE!$E:$E,IF($J16&gt;1000,$J16-1000,$J16)))</f>
        <v/>
      </c>
      <c r="E16" s="98">
        <f>IF($J16="","",INDEX(VALIDATE!$F:$F,IF($J16&gt;1000,$J16-1000,$J16)))</f>
        <v/>
      </c>
      <c r="F16" s="98">
        <f>IF($J16="","",INDEX(VALIDATE!$G:$G,IF($J16&gt;1000,$J16-1000,$J16)))</f>
        <v/>
      </c>
      <c r="G16" s="98">
        <f>IF($J16="","",INDEX(VALIDATE!$H:$H,IF($J16&gt;1000,$J16-1000,$J16)))</f>
        <v/>
      </c>
      <c r="H16" s="98">
        <f>IF($J16="","",INDEX(VALIDATE!$I:$I,IF($J16&gt;1000,$J16-1000,$J16)))</f>
        <v/>
      </c>
      <c r="J16">
        <f>IFERROR(SMALL(VALIDATE!$K$8:$K$510,ROWS($J$11:J16)),"")</f>
        <v/>
      </c>
    </row>
    <row r="17" ht="42" customHeight="1">
      <c r="A17" s="98">
        <f>IF($J17="","",INDEX(VALIDATE!$A:$A,IF($J17&gt;1000,$J17-1000,$J17)))</f>
        <v/>
      </c>
      <c r="B17" s="98">
        <f>IF($J17="","",INDEX(VALIDATE!$B:$B,IF($J17&gt;1000,$J17-1000,$J17)))</f>
        <v/>
      </c>
      <c r="C17" s="98">
        <f>IF($J17="","",INDEX(VALIDATE!$C:$C,IF($J17&gt;1000,$J17-1000,$J17)))</f>
        <v/>
      </c>
      <c r="D17" s="98">
        <f>IF($J17="","",INDEX(VALIDATE!$E:$E,IF($J17&gt;1000,$J17-1000,$J17)))</f>
        <v/>
      </c>
      <c r="E17" s="98">
        <f>IF($J17="","",INDEX(VALIDATE!$F:$F,IF($J17&gt;1000,$J17-1000,$J17)))</f>
        <v/>
      </c>
      <c r="F17" s="98">
        <f>IF($J17="","",INDEX(VALIDATE!$G:$G,IF($J17&gt;1000,$J17-1000,$J17)))</f>
        <v/>
      </c>
      <c r="G17" s="98">
        <f>IF($J17="","",INDEX(VALIDATE!$H:$H,IF($J17&gt;1000,$J17-1000,$J17)))</f>
        <v/>
      </c>
      <c r="H17" s="98">
        <f>IF($J17="","",INDEX(VALIDATE!$I:$I,IF($J17&gt;1000,$J17-1000,$J17)))</f>
        <v/>
      </c>
      <c r="J17">
        <f>IFERROR(SMALL(VALIDATE!$K$8:$K$510,ROWS($J$11:J17)),"")</f>
        <v/>
      </c>
    </row>
    <row r="18" ht="42" customHeight="1">
      <c r="A18" s="98">
        <f>IF($J18="","",INDEX(VALIDATE!$A:$A,IF($J18&gt;1000,$J18-1000,$J18)))</f>
        <v/>
      </c>
      <c r="B18" s="98">
        <f>IF($J18="","",INDEX(VALIDATE!$B:$B,IF($J18&gt;1000,$J18-1000,$J18)))</f>
        <v/>
      </c>
      <c r="C18" s="98">
        <f>IF($J18="","",INDEX(VALIDATE!$C:$C,IF($J18&gt;1000,$J18-1000,$J18)))</f>
        <v/>
      </c>
      <c r="D18" s="98">
        <f>IF($J18="","",INDEX(VALIDATE!$E:$E,IF($J18&gt;1000,$J18-1000,$J18)))</f>
        <v/>
      </c>
      <c r="E18" s="98">
        <f>IF($J18="","",INDEX(VALIDATE!$F:$F,IF($J18&gt;1000,$J18-1000,$J18)))</f>
        <v/>
      </c>
      <c r="F18" s="98">
        <f>IF($J18="","",INDEX(VALIDATE!$G:$G,IF($J18&gt;1000,$J18-1000,$J18)))</f>
        <v/>
      </c>
      <c r="G18" s="98">
        <f>IF($J18="","",INDEX(VALIDATE!$H:$H,IF($J18&gt;1000,$J18-1000,$J18)))</f>
        <v/>
      </c>
      <c r="H18" s="98">
        <f>IF($J18="","",INDEX(VALIDATE!$I:$I,IF($J18&gt;1000,$J18-1000,$J18)))</f>
        <v/>
      </c>
      <c r="J18">
        <f>IFERROR(SMALL(VALIDATE!$K$8:$K$510,ROWS($J$11:J18)),"")</f>
        <v/>
      </c>
    </row>
    <row r="19" ht="42" customHeight="1">
      <c r="A19" s="98">
        <f>IF($J19="","",INDEX(VALIDATE!$A:$A,IF($J19&gt;1000,$J19-1000,$J19)))</f>
        <v/>
      </c>
      <c r="B19" s="98">
        <f>IF($J19="","",INDEX(VALIDATE!$B:$B,IF($J19&gt;1000,$J19-1000,$J19)))</f>
        <v/>
      </c>
      <c r="C19" s="98">
        <f>IF($J19="","",INDEX(VALIDATE!$C:$C,IF($J19&gt;1000,$J19-1000,$J19)))</f>
        <v/>
      </c>
      <c r="D19" s="98">
        <f>IF($J19="","",INDEX(VALIDATE!$E:$E,IF($J19&gt;1000,$J19-1000,$J19)))</f>
        <v/>
      </c>
      <c r="E19" s="98">
        <f>IF($J19="","",INDEX(VALIDATE!$F:$F,IF($J19&gt;1000,$J19-1000,$J19)))</f>
        <v/>
      </c>
      <c r="F19" s="98">
        <f>IF($J19="","",INDEX(VALIDATE!$G:$G,IF($J19&gt;1000,$J19-1000,$J19)))</f>
        <v/>
      </c>
      <c r="G19" s="98">
        <f>IF($J19="","",INDEX(VALIDATE!$H:$H,IF($J19&gt;1000,$J19-1000,$J19)))</f>
        <v/>
      </c>
      <c r="H19" s="98">
        <f>IF($J19="","",INDEX(VALIDATE!$I:$I,IF($J19&gt;1000,$J19-1000,$J19)))</f>
        <v/>
      </c>
      <c r="J19">
        <f>IFERROR(SMALL(VALIDATE!$K$8:$K$510,ROWS($J$11:J19)),"")</f>
        <v/>
      </c>
    </row>
    <row r="20" ht="42" customHeight="1">
      <c r="A20" s="98">
        <f>IF($J20="","",INDEX(VALIDATE!$A:$A,IF($J20&gt;1000,$J20-1000,$J20)))</f>
        <v/>
      </c>
      <c r="B20" s="98">
        <f>IF($J20="","",INDEX(VALIDATE!$B:$B,IF($J20&gt;1000,$J20-1000,$J20)))</f>
        <v/>
      </c>
      <c r="C20" s="98">
        <f>IF($J20="","",INDEX(VALIDATE!$C:$C,IF($J20&gt;1000,$J20-1000,$J20)))</f>
        <v/>
      </c>
      <c r="D20" s="98">
        <f>IF($J20="","",INDEX(VALIDATE!$E:$E,IF($J20&gt;1000,$J20-1000,$J20)))</f>
        <v/>
      </c>
      <c r="E20" s="98">
        <f>IF($J20="","",INDEX(VALIDATE!$F:$F,IF($J20&gt;1000,$J20-1000,$J20)))</f>
        <v/>
      </c>
      <c r="F20" s="98">
        <f>IF($J20="","",INDEX(VALIDATE!$G:$G,IF($J20&gt;1000,$J20-1000,$J20)))</f>
        <v/>
      </c>
      <c r="G20" s="98">
        <f>IF($J20="","",INDEX(VALIDATE!$H:$H,IF($J20&gt;1000,$J20-1000,$J20)))</f>
        <v/>
      </c>
      <c r="H20" s="98">
        <f>IF($J20="","",INDEX(VALIDATE!$I:$I,IF($J20&gt;1000,$J20-1000,$J20)))</f>
        <v/>
      </c>
      <c r="J20">
        <f>IFERROR(SMALL(VALIDATE!$K$8:$K$510,ROWS($J$11:J20)),"")</f>
        <v/>
      </c>
    </row>
    <row r="21" ht="42" customHeight="1">
      <c r="A21" s="98">
        <f>IF($J21="","",INDEX(VALIDATE!$A:$A,IF($J21&gt;1000,$J21-1000,$J21)))</f>
        <v/>
      </c>
      <c r="B21" s="98">
        <f>IF($J21="","",INDEX(VALIDATE!$B:$B,IF($J21&gt;1000,$J21-1000,$J21)))</f>
        <v/>
      </c>
      <c r="C21" s="98">
        <f>IF($J21="","",INDEX(VALIDATE!$C:$C,IF($J21&gt;1000,$J21-1000,$J21)))</f>
        <v/>
      </c>
      <c r="D21" s="98">
        <f>IF($J21="","",INDEX(VALIDATE!$E:$E,IF($J21&gt;1000,$J21-1000,$J21)))</f>
        <v/>
      </c>
      <c r="E21" s="98">
        <f>IF($J21="","",INDEX(VALIDATE!$F:$F,IF($J21&gt;1000,$J21-1000,$J21)))</f>
        <v/>
      </c>
      <c r="F21" s="98">
        <f>IF($J21="","",INDEX(VALIDATE!$G:$G,IF($J21&gt;1000,$J21-1000,$J21)))</f>
        <v/>
      </c>
      <c r="G21" s="98">
        <f>IF($J21="","",INDEX(VALIDATE!$H:$H,IF($J21&gt;1000,$J21-1000,$J21)))</f>
        <v/>
      </c>
      <c r="H21" s="98">
        <f>IF($J21="","",INDEX(VALIDATE!$I:$I,IF($J21&gt;1000,$J21-1000,$J21)))</f>
        <v/>
      </c>
      <c r="J21">
        <f>IFERROR(SMALL(VALIDATE!$K$8:$K$510,ROWS($J$11:J21)),"")</f>
        <v/>
      </c>
    </row>
    <row r="22" ht="42" customHeight="1">
      <c r="A22" s="98">
        <f>IF($J22="","",INDEX(VALIDATE!$A:$A,IF($J22&gt;1000,$J22-1000,$J22)))</f>
        <v/>
      </c>
      <c r="B22" s="98">
        <f>IF($J22="","",INDEX(VALIDATE!$B:$B,IF($J22&gt;1000,$J22-1000,$J22)))</f>
        <v/>
      </c>
      <c r="C22" s="98">
        <f>IF($J22="","",INDEX(VALIDATE!$C:$C,IF($J22&gt;1000,$J22-1000,$J22)))</f>
        <v/>
      </c>
      <c r="D22" s="98">
        <f>IF($J22="","",INDEX(VALIDATE!$E:$E,IF($J22&gt;1000,$J22-1000,$J22)))</f>
        <v/>
      </c>
      <c r="E22" s="98">
        <f>IF($J22="","",INDEX(VALIDATE!$F:$F,IF($J22&gt;1000,$J22-1000,$J22)))</f>
        <v/>
      </c>
      <c r="F22" s="98">
        <f>IF($J22="","",INDEX(VALIDATE!$G:$G,IF($J22&gt;1000,$J22-1000,$J22)))</f>
        <v/>
      </c>
      <c r="G22" s="98">
        <f>IF($J22="","",INDEX(VALIDATE!$H:$H,IF($J22&gt;1000,$J22-1000,$J22)))</f>
        <v/>
      </c>
      <c r="H22" s="98">
        <f>IF($J22="","",INDEX(VALIDATE!$I:$I,IF($J22&gt;1000,$J22-1000,$J22)))</f>
        <v/>
      </c>
      <c r="J22">
        <f>IFERROR(SMALL(VALIDATE!$K$8:$K$510,ROWS($J$11:J22)),"")</f>
        <v/>
      </c>
    </row>
    <row r="23" ht="42" customHeight="1">
      <c r="A23" s="98">
        <f>IF($J23="","",INDEX(VALIDATE!$A:$A,IF($J23&gt;1000,$J23-1000,$J23)))</f>
        <v/>
      </c>
      <c r="B23" s="98">
        <f>IF($J23="","",INDEX(VALIDATE!$B:$B,IF($J23&gt;1000,$J23-1000,$J23)))</f>
        <v/>
      </c>
      <c r="C23" s="98">
        <f>IF($J23="","",INDEX(VALIDATE!$C:$C,IF($J23&gt;1000,$J23-1000,$J23)))</f>
        <v/>
      </c>
      <c r="D23" s="98">
        <f>IF($J23="","",INDEX(VALIDATE!$E:$E,IF($J23&gt;1000,$J23-1000,$J23)))</f>
        <v/>
      </c>
      <c r="E23" s="98">
        <f>IF($J23="","",INDEX(VALIDATE!$F:$F,IF($J23&gt;1000,$J23-1000,$J23)))</f>
        <v/>
      </c>
      <c r="F23" s="98">
        <f>IF($J23="","",INDEX(VALIDATE!$G:$G,IF($J23&gt;1000,$J23-1000,$J23)))</f>
        <v/>
      </c>
      <c r="G23" s="98">
        <f>IF($J23="","",INDEX(VALIDATE!$H:$H,IF($J23&gt;1000,$J23-1000,$J23)))</f>
        <v/>
      </c>
      <c r="H23" s="98">
        <f>IF($J23="","",INDEX(VALIDATE!$I:$I,IF($J23&gt;1000,$J23-1000,$J23)))</f>
        <v/>
      </c>
      <c r="J23">
        <f>IFERROR(SMALL(VALIDATE!$K$8:$K$510,ROWS($J$11:J23)),"")</f>
        <v/>
      </c>
    </row>
    <row r="24" ht="42" customHeight="1">
      <c r="A24" s="98">
        <f>IF($J24="","",INDEX(VALIDATE!$A:$A,IF($J24&gt;1000,$J24-1000,$J24)))</f>
        <v/>
      </c>
      <c r="B24" s="98">
        <f>IF($J24="","",INDEX(VALIDATE!$B:$B,IF($J24&gt;1000,$J24-1000,$J24)))</f>
        <v/>
      </c>
      <c r="C24" s="98">
        <f>IF($J24="","",INDEX(VALIDATE!$C:$C,IF($J24&gt;1000,$J24-1000,$J24)))</f>
        <v/>
      </c>
      <c r="D24" s="98">
        <f>IF($J24="","",INDEX(VALIDATE!$E:$E,IF($J24&gt;1000,$J24-1000,$J24)))</f>
        <v/>
      </c>
      <c r="E24" s="98">
        <f>IF($J24="","",INDEX(VALIDATE!$F:$F,IF($J24&gt;1000,$J24-1000,$J24)))</f>
        <v/>
      </c>
      <c r="F24" s="98">
        <f>IF($J24="","",INDEX(VALIDATE!$G:$G,IF($J24&gt;1000,$J24-1000,$J24)))</f>
        <v/>
      </c>
      <c r="G24" s="98">
        <f>IF($J24="","",INDEX(VALIDATE!$H:$H,IF($J24&gt;1000,$J24-1000,$J24)))</f>
        <v/>
      </c>
      <c r="H24" s="98">
        <f>IF($J24="","",INDEX(VALIDATE!$I:$I,IF($J24&gt;1000,$J24-1000,$J24)))</f>
        <v/>
      </c>
      <c r="J24">
        <f>IFERROR(SMALL(VALIDATE!$K$8:$K$510,ROWS($J$11:J24)),"")</f>
        <v/>
      </c>
    </row>
    <row r="25" ht="42" customHeight="1">
      <c r="A25" s="98">
        <f>IF($J25="","",INDEX(VALIDATE!$A:$A,IF($J25&gt;1000,$J25-1000,$J25)))</f>
        <v/>
      </c>
      <c r="B25" s="98">
        <f>IF($J25="","",INDEX(VALIDATE!$B:$B,IF($J25&gt;1000,$J25-1000,$J25)))</f>
        <v/>
      </c>
      <c r="C25" s="98">
        <f>IF($J25="","",INDEX(VALIDATE!$C:$C,IF($J25&gt;1000,$J25-1000,$J25)))</f>
        <v/>
      </c>
      <c r="D25" s="98">
        <f>IF($J25="","",INDEX(VALIDATE!$E:$E,IF($J25&gt;1000,$J25-1000,$J25)))</f>
        <v/>
      </c>
      <c r="E25" s="98">
        <f>IF($J25="","",INDEX(VALIDATE!$F:$F,IF($J25&gt;1000,$J25-1000,$J25)))</f>
        <v/>
      </c>
      <c r="F25" s="98">
        <f>IF($J25="","",INDEX(VALIDATE!$G:$G,IF($J25&gt;1000,$J25-1000,$J25)))</f>
        <v/>
      </c>
      <c r="G25" s="98">
        <f>IF($J25="","",INDEX(VALIDATE!$H:$H,IF($J25&gt;1000,$J25-1000,$J25)))</f>
        <v/>
      </c>
      <c r="H25" s="98">
        <f>IF($J25="","",INDEX(VALIDATE!$I:$I,IF($J25&gt;1000,$J25-1000,$J25)))</f>
        <v/>
      </c>
      <c r="J25">
        <f>IFERROR(SMALL(VALIDATE!$K$8:$K$510,ROWS($J$11:J25)),"")</f>
        <v/>
      </c>
    </row>
    <row r="26" ht="42" customHeight="1">
      <c r="A26" s="98">
        <f>IF($J26="","",INDEX(VALIDATE!$A:$A,IF($J26&gt;1000,$J26-1000,$J26)))</f>
        <v/>
      </c>
      <c r="B26" s="98">
        <f>IF($J26="","",INDEX(VALIDATE!$B:$B,IF($J26&gt;1000,$J26-1000,$J26)))</f>
        <v/>
      </c>
      <c r="C26" s="98">
        <f>IF($J26="","",INDEX(VALIDATE!$C:$C,IF($J26&gt;1000,$J26-1000,$J26)))</f>
        <v/>
      </c>
      <c r="D26" s="98">
        <f>IF($J26="","",INDEX(VALIDATE!$E:$E,IF($J26&gt;1000,$J26-1000,$J26)))</f>
        <v/>
      </c>
      <c r="E26" s="98">
        <f>IF($J26="","",INDEX(VALIDATE!$F:$F,IF($J26&gt;1000,$J26-1000,$J26)))</f>
        <v/>
      </c>
      <c r="F26" s="98">
        <f>IF($J26="","",INDEX(VALIDATE!$G:$G,IF($J26&gt;1000,$J26-1000,$J26)))</f>
        <v/>
      </c>
      <c r="G26" s="98">
        <f>IF($J26="","",INDEX(VALIDATE!$H:$H,IF($J26&gt;1000,$J26-1000,$J26)))</f>
        <v/>
      </c>
      <c r="H26" s="98">
        <f>IF($J26="","",INDEX(VALIDATE!$I:$I,IF($J26&gt;1000,$J26-1000,$J26)))</f>
        <v/>
      </c>
      <c r="J26">
        <f>IFERROR(SMALL(VALIDATE!$K$8:$K$510,ROWS($J$11:J26)),"")</f>
        <v/>
      </c>
    </row>
    <row r="27" ht="42" customHeight="1">
      <c r="A27" s="98">
        <f>IF($J27="","",INDEX(VALIDATE!$A:$A,IF($J27&gt;1000,$J27-1000,$J27)))</f>
        <v/>
      </c>
      <c r="B27" s="98">
        <f>IF($J27="","",INDEX(VALIDATE!$B:$B,IF($J27&gt;1000,$J27-1000,$J27)))</f>
        <v/>
      </c>
      <c r="C27" s="98">
        <f>IF($J27="","",INDEX(VALIDATE!$C:$C,IF($J27&gt;1000,$J27-1000,$J27)))</f>
        <v/>
      </c>
      <c r="D27" s="98">
        <f>IF($J27="","",INDEX(VALIDATE!$E:$E,IF($J27&gt;1000,$J27-1000,$J27)))</f>
        <v/>
      </c>
      <c r="E27" s="98">
        <f>IF($J27="","",INDEX(VALIDATE!$F:$F,IF($J27&gt;1000,$J27-1000,$J27)))</f>
        <v/>
      </c>
      <c r="F27" s="98">
        <f>IF($J27="","",INDEX(VALIDATE!$G:$G,IF($J27&gt;1000,$J27-1000,$J27)))</f>
        <v/>
      </c>
      <c r="G27" s="98">
        <f>IF($J27="","",INDEX(VALIDATE!$H:$H,IF($J27&gt;1000,$J27-1000,$J27)))</f>
        <v/>
      </c>
      <c r="H27" s="98">
        <f>IF($J27="","",INDEX(VALIDATE!$I:$I,IF($J27&gt;1000,$J27-1000,$J27)))</f>
        <v/>
      </c>
      <c r="J27">
        <f>IFERROR(SMALL(VALIDATE!$K$8:$K$510,ROWS($J$11:J27)),"")</f>
        <v/>
      </c>
    </row>
    <row r="28" ht="42" customHeight="1">
      <c r="A28" s="98">
        <f>IF($J28="","",INDEX(VALIDATE!$A:$A,IF($J28&gt;1000,$J28-1000,$J28)))</f>
        <v/>
      </c>
      <c r="B28" s="98">
        <f>IF($J28="","",INDEX(VALIDATE!$B:$B,IF($J28&gt;1000,$J28-1000,$J28)))</f>
        <v/>
      </c>
      <c r="C28" s="98">
        <f>IF($J28="","",INDEX(VALIDATE!$C:$C,IF($J28&gt;1000,$J28-1000,$J28)))</f>
        <v/>
      </c>
      <c r="D28" s="98">
        <f>IF($J28="","",INDEX(VALIDATE!$E:$E,IF($J28&gt;1000,$J28-1000,$J28)))</f>
        <v/>
      </c>
      <c r="E28" s="98">
        <f>IF($J28="","",INDEX(VALIDATE!$F:$F,IF($J28&gt;1000,$J28-1000,$J28)))</f>
        <v/>
      </c>
      <c r="F28" s="98">
        <f>IF($J28="","",INDEX(VALIDATE!$G:$G,IF($J28&gt;1000,$J28-1000,$J28)))</f>
        <v/>
      </c>
      <c r="G28" s="98">
        <f>IF($J28="","",INDEX(VALIDATE!$H:$H,IF($J28&gt;1000,$J28-1000,$J28)))</f>
        <v/>
      </c>
      <c r="H28" s="98">
        <f>IF($J28="","",INDEX(VALIDATE!$I:$I,IF($J28&gt;1000,$J28-1000,$J28)))</f>
        <v/>
      </c>
      <c r="J28">
        <f>IFERROR(SMALL(VALIDATE!$K$8:$K$510,ROWS($J$11:J28)),"")</f>
        <v/>
      </c>
    </row>
    <row r="29" ht="42" customHeight="1">
      <c r="A29" s="98">
        <f>IF($J29="","",INDEX(VALIDATE!$A:$A,IF($J29&gt;1000,$J29-1000,$J29)))</f>
        <v/>
      </c>
      <c r="B29" s="98">
        <f>IF($J29="","",INDEX(VALIDATE!$B:$B,IF($J29&gt;1000,$J29-1000,$J29)))</f>
        <v/>
      </c>
      <c r="C29" s="98">
        <f>IF($J29="","",INDEX(VALIDATE!$C:$C,IF($J29&gt;1000,$J29-1000,$J29)))</f>
        <v/>
      </c>
      <c r="D29" s="98">
        <f>IF($J29="","",INDEX(VALIDATE!$E:$E,IF($J29&gt;1000,$J29-1000,$J29)))</f>
        <v/>
      </c>
      <c r="E29" s="98">
        <f>IF($J29="","",INDEX(VALIDATE!$F:$F,IF($J29&gt;1000,$J29-1000,$J29)))</f>
        <v/>
      </c>
      <c r="F29" s="98">
        <f>IF($J29="","",INDEX(VALIDATE!$G:$G,IF($J29&gt;1000,$J29-1000,$J29)))</f>
        <v/>
      </c>
      <c r="G29" s="98">
        <f>IF($J29="","",INDEX(VALIDATE!$H:$H,IF($J29&gt;1000,$J29-1000,$J29)))</f>
        <v/>
      </c>
      <c r="H29" s="98">
        <f>IF($J29="","",INDEX(VALIDATE!$I:$I,IF($J29&gt;1000,$J29-1000,$J29)))</f>
        <v/>
      </c>
      <c r="J29">
        <f>IFERROR(SMALL(VALIDATE!$K$8:$K$510,ROWS($J$11:J29)),"")</f>
        <v/>
      </c>
    </row>
    <row r="30" ht="42" customHeight="1">
      <c r="A30" s="98">
        <f>IF($J30="","",INDEX(VALIDATE!$A:$A,IF($J30&gt;1000,$J30-1000,$J30)))</f>
        <v/>
      </c>
      <c r="B30" s="98">
        <f>IF($J30="","",INDEX(VALIDATE!$B:$B,IF($J30&gt;1000,$J30-1000,$J30)))</f>
        <v/>
      </c>
      <c r="C30" s="98">
        <f>IF($J30="","",INDEX(VALIDATE!$C:$C,IF($J30&gt;1000,$J30-1000,$J30)))</f>
        <v/>
      </c>
      <c r="D30" s="98">
        <f>IF($J30="","",INDEX(VALIDATE!$E:$E,IF($J30&gt;1000,$J30-1000,$J30)))</f>
        <v/>
      </c>
      <c r="E30" s="98">
        <f>IF($J30="","",INDEX(VALIDATE!$F:$F,IF($J30&gt;1000,$J30-1000,$J30)))</f>
        <v/>
      </c>
      <c r="F30" s="98">
        <f>IF($J30="","",INDEX(VALIDATE!$G:$G,IF($J30&gt;1000,$J30-1000,$J30)))</f>
        <v/>
      </c>
      <c r="G30" s="98">
        <f>IF($J30="","",INDEX(VALIDATE!$H:$H,IF($J30&gt;1000,$J30-1000,$J30)))</f>
        <v/>
      </c>
      <c r="H30" s="98">
        <f>IF($J30="","",INDEX(VALIDATE!$I:$I,IF($J30&gt;1000,$J30-1000,$J30)))</f>
        <v/>
      </c>
      <c r="J30">
        <f>IFERROR(SMALL(VALIDATE!$K$8:$K$510,ROWS($J$11:J30)),"")</f>
        <v/>
      </c>
    </row>
    <row r="31" ht="42" customHeight="1">
      <c r="A31" s="98">
        <f>IF($J31="","",INDEX(VALIDATE!$A:$A,IF($J31&gt;1000,$J31-1000,$J31)))</f>
        <v/>
      </c>
      <c r="B31" s="98">
        <f>IF($J31="","",INDEX(VALIDATE!$B:$B,IF($J31&gt;1000,$J31-1000,$J31)))</f>
        <v/>
      </c>
      <c r="C31" s="98">
        <f>IF($J31="","",INDEX(VALIDATE!$C:$C,IF($J31&gt;1000,$J31-1000,$J31)))</f>
        <v/>
      </c>
      <c r="D31" s="98">
        <f>IF($J31="","",INDEX(VALIDATE!$E:$E,IF($J31&gt;1000,$J31-1000,$J31)))</f>
        <v/>
      </c>
      <c r="E31" s="98">
        <f>IF($J31="","",INDEX(VALIDATE!$F:$F,IF($J31&gt;1000,$J31-1000,$J31)))</f>
        <v/>
      </c>
      <c r="F31" s="98">
        <f>IF($J31="","",INDEX(VALIDATE!$G:$G,IF($J31&gt;1000,$J31-1000,$J31)))</f>
        <v/>
      </c>
      <c r="G31" s="98">
        <f>IF($J31="","",INDEX(VALIDATE!$H:$H,IF($J31&gt;1000,$J31-1000,$J31)))</f>
        <v/>
      </c>
      <c r="H31" s="98">
        <f>IF($J31="","",INDEX(VALIDATE!$I:$I,IF($J31&gt;1000,$J31-1000,$J31)))</f>
        <v/>
      </c>
      <c r="J31">
        <f>IFERROR(SMALL(VALIDATE!$K$8:$K$510,ROWS($J$11:J31)),"")</f>
        <v/>
      </c>
    </row>
    <row r="32" ht="42" customHeight="1">
      <c r="A32" s="98">
        <f>IF($J32="","",INDEX(VALIDATE!$A:$A,IF($J32&gt;1000,$J32-1000,$J32)))</f>
        <v/>
      </c>
      <c r="B32" s="98">
        <f>IF($J32="","",INDEX(VALIDATE!$B:$B,IF($J32&gt;1000,$J32-1000,$J32)))</f>
        <v/>
      </c>
      <c r="C32" s="98">
        <f>IF($J32="","",INDEX(VALIDATE!$C:$C,IF($J32&gt;1000,$J32-1000,$J32)))</f>
        <v/>
      </c>
      <c r="D32" s="98">
        <f>IF($J32="","",INDEX(VALIDATE!$E:$E,IF($J32&gt;1000,$J32-1000,$J32)))</f>
        <v/>
      </c>
      <c r="E32" s="98">
        <f>IF($J32="","",INDEX(VALIDATE!$F:$F,IF($J32&gt;1000,$J32-1000,$J32)))</f>
        <v/>
      </c>
      <c r="F32" s="98">
        <f>IF($J32="","",INDEX(VALIDATE!$G:$G,IF($J32&gt;1000,$J32-1000,$J32)))</f>
        <v/>
      </c>
      <c r="G32" s="98">
        <f>IF($J32="","",INDEX(VALIDATE!$H:$H,IF($J32&gt;1000,$J32-1000,$J32)))</f>
        <v/>
      </c>
      <c r="H32" s="98">
        <f>IF($J32="","",INDEX(VALIDATE!$I:$I,IF($J32&gt;1000,$J32-1000,$J32)))</f>
        <v/>
      </c>
      <c r="J32">
        <f>IFERROR(SMALL(VALIDATE!$K$8:$K$510,ROWS($J$11:J32)),"")</f>
        <v/>
      </c>
    </row>
    <row r="33" ht="42" customHeight="1">
      <c r="A33" s="98">
        <f>IF($J33="","",INDEX(VALIDATE!$A:$A,IF($J33&gt;1000,$J33-1000,$J33)))</f>
        <v/>
      </c>
      <c r="B33" s="98">
        <f>IF($J33="","",INDEX(VALIDATE!$B:$B,IF($J33&gt;1000,$J33-1000,$J33)))</f>
        <v/>
      </c>
      <c r="C33" s="98">
        <f>IF($J33="","",INDEX(VALIDATE!$C:$C,IF($J33&gt;1000,$J33-1000,$J33)))</f>
        <v/>
      </c>
      <c r="D33" s="98">
        <f>IF($J33="","",INDEX(VALIDATE!$E:$E,IF($J33&gt;1000,$J33-1000,$J33)))</f>
        <v/>
      </c>
      <c r="E33" s="98">
        <f>IF($J33="","",INDEX(VALIDATE!$F:$F,IF($J33&gt;1000,$J33-1000,$J33)))</f>
        <v/>
      </c>
      <c r="F33" s="98">
        <f>IF($J33="","",INDEX(VALIDATE!$G:$G,IF($J33&gt;1000,$J33-1000,$J33)))</f>
        <v/>
      </c>
      <c r="G33" s="98">
        <f>IF($J33="","",INDEX(VALIDATE!$H:$H,IF($J33&gt;1000,$J33-1000,$J33)))</f>
        <v/>
      </c>
      <c r="H33" s="98">
        <f>IF($J33="","",INDEX(VALIDATE!$I:$I,IF($J33&gt;1000,$J33-1000,$J33)))</f>
        <v/>
      </c>
      <c r="J33">
        <f>IFERROR(SMALL(VALIDATE!$K$8:$K$510,ROWS($J$11:J33)),"")</f>
        <v/>
      </c>
    </row>
    <row r="34" ht="42" customHeight="1">
      <c r="A34" s="98">
        <f>IF($J34="","",INDEX(VALIDATE!$A:$A,IF($J34&gt;1000,$J34-1000,$J34)))</f>
        <v/>
      </c>
      <c r="B34" s="98">
        <f>IF($J34="","",INDEX(VALIDATE!$B:$B,IF($J34&gt;1000,$J34-1000,$J34)))</f>
        <v/>
      </c>
      <c r="C34" s="98">
        <f>IF($J34="","",INDEX(VALIDATE!$C:$C,IF($J34&gt;1000,$J34-1000,$J34)))</f>
        <v/>
      </c>
      <c r="D34" s="98">
        <f>IF($J34="","",INDEX(VALIDATE!$E:$E,IF($J34&gt;1000,$J34-1000,$J34)))</f>
        <v/>
      </c>
      <c r="E34" s="98">
        <f>IF($J34="","",INDEX(VALIDATE!$F:$F,IF($J34&gt;1000,$J34-1000,$J34)))</f>
        <v/>
      </c>
      <c r="F34" s="98">
        <f>IF($J34="","",INDEX(VALIDATE!$G:$G,IF($J34&gt;1000,$J34-1000,$J34)))</f>
        <v/>
      </c>
      <c r="G34" s="98">
        <f>IF($J34="","",INDEX(VALIDATE!$H:$H,IF($J34&gt;1000,$J34-1000,$J34)))</f>
        <v/>
      </c>
      <c r="H34" s="98">
        <f>IF($J34="","",INDEX(VALIDATE!$I:$I,IF($J34&gt;1000,$J34-1000,$J34)))</f>
        <v/>
      </c>
      <c r="J34">
        <f>IFERROR(SMALL(VALIDATE!$K$8:$K$510,ROWS($J$11:J34)),"")</f>
        <v/>
      </c>
    </row>
    <row r="35" ht="42" customHeight="1">
      <c r="A35" s="98">
        <f>IF($J35="","",INDEX(VALIDATE!$A:$A,IF($J35&gt;1000,$J35-1000,$J35)))</f>
        <v/>
      </c>
      <c r="B35" s="98">
        <f>IF($J35="","",INDEX(VALIDATE!$B:$B,IF($J35&gt;1000,$J35-1000,$J35)))</f>
        <v/>
      </c>
      <c r="C35" s="98">
        <f>IF($J35="","",INDEX(VALIDATE!$C:$C,IF($J35&gt;1000,$J35-1000,$J35)))</f>
        <v/>
      </c>
      <c r="D35" s="98">
        <f>IF($J35="","",INDEX(VALIDATE!$E:$E,IF($J35&gt;1000,$J35-1000,$J35)))</f>
        <v/>
      </c>
      <c r="E35" s="98">
        <f>IF($J35="","",INDEX(VALIDATE!$F:$F,IF($J35&gt;1000,$J35-1000,$J35)))</f>
        <v/>
      </c>
      <c r="F35" s="98">
        <f>IF($J35="","",INDEX(VALIDATE!$G:$G,IF($J35&gt;1000,$J35-1000,$J35)))</f>
        <v/>
      </c>
      <c r="G35" s="98">
        <f>IF($J35="","",INDEX(VALIDATE!$H:$H,IF($J35&gt;1000,$J35-1000,$J35)))</f>
        <v/>
      </c>
      <c r="H35" s="98">
        <f>IF($J35="","",INDEX(VALIDATE!$I:$I,IF($J35&gt;1000,$J35-1000,$J35)))</f>
        <v/>
      </c>
      <c r="J35">
        <f>IFERROR(SMALL(VALIDATE!$K$8:$K$510,ROWS($J$11:J35)),"")</f>
        <v/>
      </c>
    </row>
    <row r="36" ht="42" customHeight="1">
      <c r="A36" s="98">
        <f>IF($J36="","",INDEX(VALIDATE!$A:$A,IF($J36&gt;1000,$J36-1000,$J36)))</f>
        <v/>
      </c>
      <c r="B36" s="98">
        <f>IF($J36="","",INDEX(VALIDATE!$B:$B,IF($J36&gt;1000,$J36-1000,$J36)))</f>
        <v/>
      </c>
      <c r="C36" s="98">
        <f>IF($J36="","",INDEX(VALIDATE!$C:$C,IF($J36&gt;1000,$J36-1000,$J36)))</f>
        <v/>
      </c>
      <c r="D36" s="98">
        <f>IF($J36="","",INDEX(VALIDATE!$E:$E,IF($J36&gt;1000,$J36-1000,$J36)))</f>
        <v/>
      </c>
      <c r="E36" s="98">
        <f>IF($J36="","",INDEX(VALIDATE!$F:$F,IF($J36&gt;1000,$J36-1000,$J36)))</f>
        <v/>
      </c>
      <c r="F36" s="98">
        <f>IF($J36="","",INDEX(VALIDATE!$G:$G,IF($J36&gt;1000,$J36-1000,$J36)))</f>
        <v/>
      </c>
      <c r="G36" s="98">
        <f>IF($J36="","",INDEX(VALIDATE!$H:$H,IF($J36&gt;1000,$J36-1000,$J36)))</f>
        <v/>
      </c>
      <c r="H36" s="98">
        <f>IF($J36="","",INDEX(VALIDATE!$I:$I,IF($J36&gt;1000,$J36-1000,$J36)))</f>
        <v/>
      </c>
      <c r="J36">
        <f>IFERROR(SMALL(VALIDATE!$K$8:$K$510,ROWS($J$11:J36)),"")</f>
        <v/>
      </c>
    </row>
    <row r="37" ht="42" customHeight="1">
      <c r="A37" s="98">
        <f>IF($J37="","",INDEX(VALIDATE!$A:$A,IF($J37&gt;1000,$J37-1000,$J37)))</f>
        <v/>
      </c>
      <c r="B37" s="98">
        <f>IF($J37="","",INDEX(VALIDATE!$B:$B,IF($J37&gt;1000,$J37-1000,$J37)))</f>
        <v/>
      </c>
      <c r="C37" s="98">
        <f>IF($J37="","",INDEX(VALIDATE!$C:$C,IF($J37&gt;1000,$J37-1000,$J37)))</f>
        <v/>
      </c>
      <c r="D37" s="98">
        <f>IF($J37="","",INDEX(VALIDATE!$E:$E,IF($J37&gt;1000,$J37-1000,$J37)))</f>
        <v/>
      </c>
      <c r="E37" s="98">
        <f>IF($J37="","",INDEX(VALIDATE!$F:$F,IF($J37&gt;1000,$J37-1000,$J37)))</f>
        <v/>
      </c>
      <c r="F37" s="98">
        <f>IF($J37="","",INDEX(VALIDATE!$G:$G,IF($J37&gt;1000,$J37-1000,$J37)))</f>
        <v/>
      </c>
      <c r="G37" s="98">
        <f>IF($J37="","",INDEX(VALIDATE!$H:$H,IF($J37&gt;1000,$J37-1000,$J37)))</f>
        <v/>
      </c>
      <c r="H37" s="98">
        <f>IF($J37="","",INDEX(VALIDATE!$I:$I,IF($J37&gt;1000,$J37-1000,$J37)))</f>
        <v/>
      </c>
      <c r="J37">
        <f>IFERROR(SMALL(VALIDATE!$K$8:$K$510,ROWS($J$11:J37)),"")</f>
        <v/>
      </c>
    </row>
    <row r="38" ht="42" customHeight="1">
      <c r="A38" s="98">
        <f>IF($J38="","",INDEX(VALIDATE!$A:$A,IF($J38&gt;1000,$J38-1000,$J38)))</f>
        <v/>
      </c>
      <c r="B38" s="98">
        <f>IF($J38="","",INDEX(VALIDATE!$B:$B,IF($J38&gt;1000,$J38-1000,$J38)))</f>
        <v/>
      </c>
      <c r="C38" s="98">
        <f>IF($J38="","",INDEX(VALIDATE!$C:$C,IF($J38&gt;1000,$J38-1000,$J38)))</f>
        <v/>
      </c>
      <c r="D38" s="98">
        <f>IF($J38="","",INDEX(VALIDATE!$E:$E,IF($J38&gt;1000,$J38-1000,$J38)))</f>
        <v/>
      </c>
      <c r="E38" s="98">
        <f>IF($J38="","",INDEX(VALIDATE!$F:$F,IF($J38&gt;1000,$J38-1000,$J38)))</f>
        <v/>
      </c>
      <c r="F38" s="98">
        <f>IF($J38="","",INDEX(VALIDATE!$G:$G,IF($J38&gt;1000,$J38-1000,$J38)))</f>
        <v/>
      </c>
      <c r="G38" s="98">
        <f>IF($J38="","",INDEX(VALIDATE!$H:$H,IF($J38&gt;1000,$J38-1000,$J38)))</f>
        <v/>
      </c>
      <c r="H38" s="98">
        <f>IF($J38="","",INDEX(VALIDATE!$I:$I,IF($J38&gt;1000,$J38-1000,$J38)))</f>
        <v/>
      </c>
      <c r="J38">
        <f>IFERROR(SMALL(VALIDATE!$K$8:$K$510,ROWS($J$11:J38)),"")</f>
        <v/>
      </c>
    </row>
    <row r="39" ht="42" customHeight="1">
      <c r="A39" s="98">
        <f>IF($J39="","",INDEX(VALIDATE!$A:$A,IF($J39&gt;1000,$J39-1000,$J39)))</f>
        <v/>
      </c>
      <c r="B39" s="98">
        <f>IF($J39="","",INDEX(VALIDATE!$B:$B,IF($J39&gt;1000,$J39-1000,$J39)))</f>
        <v/>
      </c>
      <c r="C39" s="98">
        <f>IF($J39="","",INDEX(VALIDATE!$C:$C,IF($J39&gt;1000,$J39-1000,$J39)))</f>
        <v/>
      </c>
      <c r="D39" s="98">
        <f>IF($J39="","",INDEX(VALIDATE!$E:$E,IF($J39&gt;1000,$J39-1000,$J39)))</f>
        <v/>
      </c>
      <c r="E39" s="98">
        <f>IF($J39="","",INDEX(VALIDATE!$F:$F,IF($J39&gt;1000,$J39-1000,$J39)))</f>
        <v/>
      </c>
      <c r="F39" s="98">
        <f>IF($J39="","",INDEX(VALIDATE!$G:$G,IF($J39&gt;1000,$J39-1000,$J39)))</f>
        <v/>
      </c>
      <c r="G39" s="98">
        <f>IF($J39="","",INDEX(VALIDATE!$H:$H,IF($J39&gt;1000,$J39-1000,$J39)))</f>
        <v/>
      </c>
      <c r="H39" s="98">
        <f>IF($J39="","",INDEX(VALIDATE!$I:$I,IF($J39&gt;1000,$J39-1000,$J39)))</f>
        <v/>
      </c>
      <c r="J39">
        <f>IFERROR(SMALL(VALIDATE!$K$8:$K$510,ROWS($J$11:J39)),"")</f>
        <v/>
      </c>
    </row>
    <row r="40" ht="42" customHeight="1">
      <c r="A40" s="98">
        <f>IF($J40="","",INDEX(VALIDATE!$A:$A,IF($J40&gt;1000,$J40-1000,$J40)))</f>
        <v/>
      </c>
      <c r="B40" s="98">
        <f>IF($J40="","",INDEX(VALIDATE!$B:$B,IF($J40&gt;1000,$J40-1000,$J40)))</f>
        <v/>
      </c>
      <c r="C40" s="98">
        <f>IF($J40="","",INDEX(VALIDATE!$C:$C,IF($J40&gt;1000,$J40-1000,$J40)))</f>
        <v/>
      </c>
      <c r="D40" s="98">
        <f>IF($J40="","",INDEX(VALIDATE!$E:$E,IF($J40&gt;1000,$J40-1000,$J40)))</f>
        <v/>
      </c>
      <c r="E40" s="98">
        <f>IF($J40="","",INDEX(VALIDATE!$F:$F,IF($J40&gt;1000,$J40-1000,$J40)))</f>
        <v/>
      </c>
      <c r="F40" s="98">
        <f>IF($J40="","",INDEX(VALIDATE!$G:$G,IF($J40&gt;1000,$J40-1000,$J40)))</f>
        <v/>
      </c>
      <c r="G40" s="98">
        <f>IF($J40="","",INDEX(VALIDATE!$H:$H,IF($J40&gt;1000,$J40-1000,$J40)))</f>
        <v/>
      </c>
      <c r="H40" s="98">
        <f>IF($J40="","",INDEX(VALIDATE!$I:$I,IF($J40&gt;1000,$J40-1000,$J40)))</f>
        <v/>
      </c>
      <c r="J40">
        <f>IFERROR(SMALL(VALIDATE!$K$8:$K$510,ROWS($J$11:J40)),"")</f>
        <v/>
      </c>
    </row>
    <row r="41" ht="42" customHeight="1">
      <c r="A41" s="98">
        <f>IF($J41="","",INDEX(VALIDATE!$A:$A,IF($J41&gt;1000,$J41-1000,$J41)))</f>
        <v/>
      </c>
      <c r="B41" s="98">
        <f>IF($J41="","",INDEX(VALIDATE!$B:$B,IF($J41&gt;1000,$J41-1000,$J41)))</f>
        <v/>
      </c>
      <c r="C41" s="98">
        <f>IF($J41="","",INDEX(VALIDATE!$C:$C,IF($J41&gt;1000,$J41-1000,$J41)))</f>
        <v/>
      </c>
      <c r="D41" s="98">
        <f>IF($J41="","",INDEX(VALIDATE!$E:$E,IF($J41&gt;1000,$J41-1000,$J41)))</f>
        <v/>
      </c>
      <c r="E41" s="98">
        <f>IF($J41="","",INDEX(VALIDATE!$F:$F,IF($J41&gt;1000,$J41-1000,$J41)))</f>
        <v/>
      </c>
      <c r="F41" s="98">
        <f>IF($J41="","",INDEX(VALIDATE!$G:$G,IF($J41&gt;1000,$J41-1000,$J41)))</f>
        <v/>
      </c>
      <c r="G41" s="98">
        <f>IF($J41="","",INDEX(VALIDATE!$H:$H,IF($J41&gt;1000,$J41-1000,$J41)))</f>
        <v/>
      </c>
      <c r="H41" s="98">
        <f>IF($J41="","",INDEX(VALIDATE!$I:$I,IF($J41&gt;1000,$J41-1000,$J41)))</f>
        <v/>
      </c>
      <c r="J41">
        <f>IFERROR(SMALL(VALIDATE!$K$8:$K$510,ROWS($J$11:J41)),"")</f>
        <v/>
      </c>
    </row>
    <row r="42" ht="42" customHeight="1">
      <c r="A42" s="98">
        <f>IF($J42="","",INDEX(VALIDATE!$A:$A,IF($J42&gt;1000,$J42-1000,$J42)))</f>
        <v/>
      </c>
      <c r="B42" s="98">
        <f>IF($J42="","",INDEX(VALIDATE!$B:$B,IF($J42&gt;1000,$J42-1000,$J42)))</f>
        <v/>
      </c>
      <c r="C42" s="98">
        <f>IF($J42="","",INDEX(VALIDATE!$C:$C,IF($J42&gt;1000,$J42-1000,$J42)))</f>
        <v/>
      </c>
      <c r="D42" s="98">
        <f>IF($J42="","",INDEX(VALIDATE!$E:$E,IF($J42&gt;1000,$J42-1000,$J42)))</f>
        <v/>
      </c>
      <c r="E42" s="98">
        <f>IF($J42="","",INDEX(VALIDATE!$F:$F,IF($J42&gt;1000,$J42-1000,$J42)))</f>
        <v/>
      </c>
      <c r="F42" s="98">
        <f>IF($J42="","",INDEX(VALIDATE!$G:$G,IF($J42&gt;1000,$J42-1000,$J42)))</f>
        <v/>
      </c>
      <c r="G42" s="98">
        <f>IF($J42="","",INDEX(VALIDATE!$H:$H,IF($J42&gt;1000,$J42-1000,$J42)))</f>
        <v/>
      </c>
      <c r="H42" s="98">
        <f>IF($J42="","",INDEX(VALIDATE!$I:$I,IF($J42&gt;1000,$J42-1000,$J42)))</f>
        <v/>
      </c>
      <c r="J42">
        <f>IFERROR(SMALL(VALIDATE!$K$8:$K$510,ROWS($J$11:J42)),"")</f>
        <v/>
      </c>
    </row>
    <row r="43" ht="42" customHeight="1">
      <c r="A43" s="98">
        <f>IF($J43="","",INDEX(VALIDATE!$A:$A,IF($J43&gt;1000,$J43-1000,$J43)))</f>
        <v/>
      </c>
      <c r="B43" s="98">
        <f>IF($J43="","",INDEX(VALIDATE!$B:$B,IF($J43&gt;1000,$J43-1000,$J43)))</f>
        <v/>
      </c>
      <c r="C43" s="98">
        <f>IF($J43="","",INDEX(VALIDATE!$C:$C,IF($J43&gt;1000,$J43-1000,$J43)))</f>
        <v/>
      </c>
      <c r="D43" s="98">
        <f>IF($J43="","",INDEX(VALIDATE!$E:$E,IF($J43&gt;1000,$J43-1000,$J43)))</f>
        <v/>
      </c>
      <c r="E43" s="98">
        <f>IF($J43="","",INDEX(VALIDATE!$F:$F,IF($J43&gt;1000,$J43-1000,$J43)))</f>
        <v/>
      </c>
      <c r="F43" s="98">
        <f>IF($J43="","",INDEX(VALIDATE!$G:$G,IF($J43&gt;1000,$J43-1000,$J43)))</f>
        <v/>
      </c>
      <c r="G43" s="98">
        <f>IF($J43="","",INDEX(VALIDATE!$H:$H,IF($J43&gt;1000,$J43-1000,$J43)))</f>
        <v/>
      </c>
      <c r="H43" s="98">
        <f>IF($J43="","",INDEX(VALIDATE!$I:$I,IF($J43&gt;1000,$J43-1000,$J43)))</f>
        <v/>
      </c>
      <c r="J43">
        <f>IFERROR(SMALL(VALIDATE!$K$8:$K$510,ROWS($J$11:J43)),"")</f>
        <v/>
      </c>
    </row>
    <row r="44" ht="42" customHeight="1">
      <c r="A44" s="98">
        <f>IF($J44="","",INDEX(VALIDATE!$A:$A,IF($J44&gt;1000,$J44-1000,$J44)))</f>
        <v/>
      </c>
      <c r="B44" s="98">
        <f>IF($J44="","",INDEX(VALIDATE!$B:$B,IF($J44&gt;1000,$J44-1000,$J44)))</f>
        <v/>
      </c>
      <c r="C44" s="98">
        <f>IF($J44="","",INDEX(VALIDATE!$C:$C,IF($J44&gt;1000,$J44-1000,$J44)))</f>
        <v/>
      </c>
      <c r="D44" s="98">
        <f>IF($J44="","",INDEX(VALIDATE!$E:$E,IF($J44&gt;1000,$J44-1000,$J44)))</f>
        <v/>
      </c>
      <c r="E44" s="98">
        <f>IF($J44="","",INDEX(VALIDATE!$F:$F,IF($J44&gt;1000,$J44-1000,$J44)))</f>
        <v/>
      </c>
      <c r="F44" s="98">
        <f>IF($J44="","",INDEX(VALIDATE!$G:$G,IF($J44&gt;1000,$J44-1000,$J44)))</f>
        <v/>
      </c>
      <c r="G44" s="98">
        <f>IF($J44="","",INDEX(VALIDATE!$H:$H,IF($J44&gt;1000,$J44-1000,$J44)))</f>
        <v/>
      </c>
      <c r="H44" s="98">
        <f>IF($J44="","",INDEX(VALIDATE!$I:$I,IF($J44&gt;1000,$J44-1000,$J44)))</f>
        <v/>
      </c>
      <c r="J44">
        <f>IFERROR(SMALL(VALIDATE!$K$8:$K$510,ROWS($J$11:J44)),"")</f>
        <v/>
      </c>
    </row>
    <row r="45" ht="42" customHeight="1">
      <c r="A45" s="98">
        <f>IF($J45="","",INDEX(VALIDATE!$A:$A,IF($J45&gt;1000,$J45-1000,$J45)))</f>
        <v/>
      </c>
      <c r="B45" s="98">
        <f>IF($J45="","",INDEX(VALIDATE!$B:$B,IF($J45&gt;1000,$J45-1000,$J45)))</f>
        <v/>
      </c>
      <c r="C45" s="98">
        <f>IF($J45="","",INDEX(VALIDATE!$C:$C,IF($J45&gt;1000,$J45-1000,$J45)))</f>
        <v/>
      </c>
      <c r="D45" s="98">
        <f>IF($J45="","",INDEX(VALIDATE!$E:$E,IF($J45&gt;1000,$J45-1000,$J45)))</f>
        <v/>
      </c>
      <c r="E45" s="98">
        <f>IF($J45="","",INDEX(VALIDATE!$F:$F,IF($J45&gt;1000,$J45-1000,$J45)))</f>
        <v/>
      </c>
      <c r="F45" s="98">
        <f>IF($J45="","",INDEX(VALIDATE!$G:$G,IF($J45&gt;1000,$J45-1000,$J45)))</f>
        <v/>
      </c>
      <c r="G45" s="98">
        <f>IF($J45="","",INDEX(VALIDATE!$H:$H,IF($J45&gt;1000,$J45-1000,$J45)))</f>
        <v/>
      </c>
      <c r="H45" s="98">
        <f>IF($J45="","",INDEX(VALIDATE!$I:$I,IF($J45&gt;1000,$J45-1000,$J45)))</f>
        <v/>
      </c>
      <c r="J45">
        <f>IFERROR(SMALL(VALIDATE!$K$8:$K$510,ROWS($J$11:J45)),"")</f>
        <v/>
      </c>
    </row>
    <row r="46" ht="42" customHeight="1">
      <c r="A46" s="98">
        <f>IF($J46="","",INDEX(VALIDATE!$A:$A,IF($J46&gt;1000,$J46-1000,$J46)))</f>
        <v/>
      </c>
      <c r="B46" s="98">
        <f>IF($J46="","",INDEX(VALIDATE!$B:$B,IF($J46&gt;1000,$J46-1000,$J46)))</f>
        <v/>
      </c>
      <c r="C46" s="98">
        <f>IF($J46="","",INDEX(VALIDATE!$C:$C,IF($J46&gt;1000,$J46-1000,$J46)))</f>
        <v/>
      </c>
      <c r="D46" s="98">
        <f>IF($J46="","",INDEX(VALIDATE!$E:$E,IF($J46&gt;1000,$J46-1000,$J46)))</f>
        <v/>
      </c>
      <c r="E46" s="98">
        <f>IF($J46="","",INDEX(VALIDATE!$F:$F,IF($J46&gt;1000,$J46-1000,$J46)))</f>
        <v/>
      </c>
      <c r="F46" s="98">
        <f>IF($J46="","",INDEX(VALIDATE!$G:$G,IF($J46&gt;1000,$J46-1000,$J46)))</f>
        <v/>
      </c>
      <c r="G46" s="98">
        <f>IF($J46="","",INDEX(VALIDATE!$H:$H,IF($J46&gt;1000,$J46-1000,$J46)))</f>
        <v/>
      </c>
      <c r="H46" s="98">
        <f>IF($J46="","",INDEX(VALIDATE!$I:$I,IF($J46&gt;1000,$J46-1000,$J46)))</f>
        <v/>
      </c>
      <c r="J46">
        <f>IFERROR(SMALL(VALIDATE!$K$8:$K$510,ROWS($J$11:J46)),"")</f>
        <v/>
      </c>
    </row>
    <row r="47" ht="42" customHeight="1">
      <c r="A47" s="98">
        <f>IF($J47="","",INDEX(VALIDATE!$A:$A,IF($J47&gt;1000,$J47-1000,$J47)))</f>
        <v/>
      </c>
      <c r="B47" s="98">
        <f>IF($J47="","",INDEX(VALIDATE!$B:$B,IF($J47&gt;1000,$J47-1000,$J47)))</f>
        <v/>
      </c>
      <c r="C47" s="98">
        <f>IF($J47="","",INDEX(VALIDATE!$C:$C,IF($J47&gt;1000,$J47-1000,$J47)))</f>
        <v/>
      </c>
      <c r="D47" s="98">
        <f>IF($J47="","",INDEX(VALIDATE!$E:$E,IF($J47&gt;1000,$J47-1000,$J47)))</f>
        <v/>
      </c>
      <c r="E47" s="98">
        <f>IF($J47="","",INDEX(VALIDATE!$F:$F,IF($J47&gt;1000,$J47-1000,$J47)))</f>
        <v/>
      </c>
      <c r="F47" s="98">
        <f>IF($J47="","",INDEX(VALIDATE!$G:$G,IF($J47&gt;1000,$J47-1000,$J47)))</f>
        <v/>
      </c>
      <c r="G47" s="98">
        <f>IF($J47="","",INDEX(VALIDATE!$H:$H,IF($J47&gt;1000,$J47-1000,$J47)))</f>
        <v/>
      </c>
      <c r="H47" s="98">
        <f>IF($J47="","",INDEX(VALIDATE!$I:$I,IF($J47&gt;1000,$J47-1000,$J47)))</f>
        <v/>
      </c>
      <c r="J47">
        <f>IFERROR(SMALL(VALIDATE!$K$8:$K$510,ROWS($J$11:J47)),"")</f>
        <v/>
      </c>
    </row>
    <row r="48" ht="42" customHeight="1">
      <c r="A48" s="98">
        <f>IF($J48="","",INDEX(VALIDATE!$A:$A,IF($J48&gt;1000,$J48-1000,$J48)))</f>
        <v/>
      </c>
      <c r="B48" s="98">
        <f>IF($J48="","",INDEX(VALIDATE!$B:$B,IF($J48&gt;1000,$J48-1000,$J48)))</f>
        <v/>
      </c>
      <c r="C48" s="98">
        <f>IF($J48="","",INDEX(VALIDATE!$C:$C,IF($J48&gt;1000,$J48-1000,$J48)))</f>
        <v/>
      </c>
      <c r="D48" s="98">
        <f>IF($J48="","",INDEX(VALIDATE!$E:$E,IF($J48&gt;1000,$J48-1000,$J48)))</f>
        <v/>
      </c>
      <c r="E48" s="98">
        <f>IF($J48="","",INDEX(VALIDATE!$F:$F,IF($J48&gt;1000,$J48-1000,$J48)))</f>
        <v/>
      </c>
      <c r="F48" s="98">
        <f>IF($J48="","",INDEX(VALIDATE!$G:$G,IF($J48&gt;1000,$J48-1000,$J48)))</f>
        <v/>
      </c>
      <c r="G48" s="98">
        <f>IF($J48="","",INDEX(VALIDATE!$H:$H,IF($J48&gt;1000,$J48-1000,$J48)))</f>
        <v/>
      </c>
      <c r="H48" s="98">
        <f>IF($J48="","",INDEX(VALIDATE!$I:$I,IF($J48&gt;1000,$J48-1000,$J48)))</f>
        <v/>
      </c>
      <c r="J48">
        <f>IFERROR(SMALL(VALIDATE!$K$8:$K$510,ROWS($J$11:J48)),"")</f>
        <v/>
      </c>
    </row>
    <row r="49" ht="42" customHeight="1">
      <c r="A49" s="98">
        <f>IF($J49="","",INDEX(VALIDATE!$A:$A,IF($J49&gt;1000,$J49-1000,$J49)))</f>
        <v/>
      </c>
      <c r="B49" s="98">
        <f>IF($J49="","",INDEX(VALIDATE!$B:$B,IF($J49&gt;1000,$J49-1000,$J49)))</f>
        <v/>
      </c>
      <c r="C49" s="98">
        <f>IF($J49="","",INDEX(VALIDATE!$C:$C,IF($J49&gt;1000,$J49-1000,$J49)))</f>
        <v/>
      </c>
      <c r="D49" s="98">
        <f>IF($J49="","",INDEX(VALIDATE!$E:$E,IF($J49&gt;1000,$J49-1000,$J49)))</f>
        <v/>
      </c>
      <c r="E49" s="98">
        <f>IF($J49="","",INDEX(VALIDATE!$F:$F,IF($J49&gt;1000,$J49-1000,$J49)))</f>
        <v/>
      </c>
      <c r="F49" s="98">
        <f>IF($J49="","",INDEX(VALIDATE!$G:$G,IF($J49&gt;1000,$J49-1000,$J49)))</f>
        <v/>
      </c>
      <c r="G49" s="98">
        <f>IF($J49="","",INDEX(VALIDATE!$H:$H,IF($J49&gt;1000,$J49-1000,$J49)))</f>
        <v/>
      </c>
      <c r="H49" s="98">
        <f>IF($J49="","",INDEX(VALIDATE!$I:$I,IF($J49&gt;1000,$J49-1000,$J49)))</f>
        <v/>
      </c>
      <c r="J49">
        <f>IFERROR(SMALL(VALIDATE!$K$8:$K$510,ROWS($J$11:J49)),"")</f>
        <v/>
      </c>
    </row>
    <row r="50" ht="42" customHeight="1">
      <c r="A50" s="98">
        <f>IF($J50="","",INDEX(VALIDATE!$A:$A,IF($J50&gt;1000,$J50-1000,$J50)))</f>
        <v/>
      </c>
      <c r="B50" s="98">
        <f>IF($J50="","",INDEX(VALIDATE!$B:$B,IF($J50&gt;1000,$J50-1000,$J50)))</f>
        <v/>
      </c>
      <c r="C50" s="98">
        <f>IF($J50="","",INDEX(VALIDATE!$C:$C,IF($J50&gt;1000,$J50-1000,$J50)))</f>
        <v/>
      </c>
      <c r="D50" s="98">
        <f>IF($J50="","",INDEX(VALIDATE!$E:$E,IF($J50&gt;1000,$J50-1000,$J50)))</f>
        <v/>
      </c>
      <c r="E50" s="98">
        <f>IF($J50="","",INDEX(VALIDATE!$F:$F,IF($J50&gt;1000,$J50-1000,$J50)))</f>
        <v/>
      </c>
      <c r="F50" s="98">
        <f>IF($J50="","",INDEX(VALIDATE!$G:$G,IF($J50&gt;1000,$J50-1000,$J50)))</f>
        <v/>
      </c>
      <c r="G50" s="98">
        <f>IF($J50="","",INDEX(VALIDATE!$H:$H,IF($J50&gt;1000,$J50-1000,$J50)))</f>
        <v/>
      </c>
      <c r="H50" s="98">
        <f>IF($J50="","",INDEX(VALIDATE!$I:$I,IF($J50&gt;1000,$J50-1000,$J50)))</f>
        <v/>
      </c>
      <c r="J50">
        <f>IFERROR(SMALL(VALIDATE!$K$8:$K$510,ROWS($J$11:J50)),"")</f>
        <v/>
      </c>
    </row>
    <row r="52">
      <c r="A52" s="99" t="inlineStr">
        <is>
          <t>Only rows requiring attention are shown. Correct the source data on Enrollment Census, including any unsupported or encoded name characters, then review this report again.</t>
        </is>
      </c>
    </row>
  </sheetData>
  <sheetProtection selectLockedCells="0" selectUnlockedCells="0" sheet="1" objects="1" insertRows="1" insertHyperlinks="1" autoFilter="0" scenarios="1" formatColumns="1" deleteColumns="1" insertColumns="1" pivotTables="1" deleteRows="1" formatCells="1" formatRows="1" sort="0"/>
  <mergeCells count="15">
    <mergeCell ref="E4:F4"/>
    <mergeCell ref="C7:D7"/>
    <mergeCell ref="A7:B7"/>
    <mergeCell ref="G7:H7"/>
    <mergeCell ref="E7:F7"/>
    <mergeCell ref="B5:C5"/>
    <mergeCell ref="A2:H2"/>
    <mergeCell ref="E8:F8"/>
    <mergeCell ref="A52:H52"/>
    <mergeCell ref="E5:F5"/>
    <mergeCell ref="A1:H1"/>
    <mergeCell ref="G8:H8"/>
    <mergeCell ref="A8:B8"/>
    <mergeCell ref="B4:C4"/>
    <mergeCell ref="C8:D8"/>
  </mergeCells>
  <conditionalFormatting sqref="E11:E50">
    <cfRule type="expression" priority="1" dxfId="12">
      <formula>E11="FIX"</formula>
    </cfRule>
    <cfRule type="expression" priority="2" dxfId="13">
      <formula>E11="REVIEW"</formula>
    </cfRule>
  </conditionalFormatting>
  <conditionalFormatting sqref="A2:H2">
    <cfRule type="expression" priority="6" dxfId="12">
      <formula>ISNUMBER(SEARCH("need attention",$A2))</formula>
    </cfRule>
    <cfRule type="expression" priority="7" dxfId="13">
      <formula>ISNUMBER(SEARCH("warning",$A2))</formula>
    </cfRule>
    <cfRule type="expression" priority="8" dxfId="14">
      <formula>$A2="Ready to submit to Marin Benefits"</formula>
    </cfRule>
  </conditionalFormatting>
  <pageMargins left="0.25" right="0.25" top="0.35" bottom="0.35" header="0.2" footer="0.2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D6EAEC"/>
    <outlinePr summaryBelow="1" summaryRight="1"/>
    <pageSetUpPr fitToPage="1"/>
  </sheetPr>
  <dimension ref="A1:U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5" customWidth="1" min="3" max="3"/>
    <col width="17" customWidth="1" min="4" max="4"/>
    <col width="12" customWidth="1" min="5" max="5"/>
    <col width="24" customWidth="1" min="6" max="6"/>
    <col width="15" customWidth="1" min="7" max="7"/>
    <col width="18" customWidth="1" min="8" max="8"/>
    <col width="10" customWidth="1" min="9" max="9"/>
    <col width="11" customWidth="1" min="10" max="10"/>
    <col width="11" customWidth="1" min="11" max="11"/>
    <col width="13" customWidth="1" min="12" max="12"/>
    <col width="16" customWidth="1" min="13" max="13"/>
    <col width="27" customWidth="1" min="14" max="14"/>
    <col width="22" customWidth="1" min="15" max="15"/>
    <col width="16" customWidth="1" min="16" max="16"/>
    <col width="16" customWidth="1" min="17" max="17"/>
    <col width="13" customWidth="1" min="18" max="18"/>
    <col width="24" customWidth="1" min="19" max="19"/>
    <col width="25" customWidth="1" min="20" max="20"/>
    <col width="22" customWidth="1" min="21" max="21"/>
    <col width="15" customWidth="1" min="22" max="22"/>
  </cols>
  <sheetData>
    <row r="1" ht="28" customHeight="1">
      <c r="A1" s="18" t="inlineStr">
        <is>
          <t>EXAMPLE ONLY — Do not enter or submit client data on this tab.</t>
        </is>
      </c>
    </row>
    <row r="3" ht="44" customHeight="1">
      <c r="A3" s="35" t="inlineStr">
        <is>
          <t>Employee SSN</t>
        </is>
      </c>
      <c r="B3" s="35" t="inlineStr">
        <is>
          <t>Dependent SSN</t>
        </is>
      </c>
      <c r="C3" s="110" t="inlineStr">
        <is>
          <t>First Name</t>
        </is>
      </c>
      <c r="D3" s="110" t="inlineStr">
        <is>
          <t>Last Name</t>
        </is>
      </c>
      <c r="E3" s="35" t="inlineStr">
        <is>
          <t>Middle Initial</t>
        </is>
      </c>
      <c r="F3" s="35" t="inlineStr">
        <is>
          <t>Address</t>
        </is>
      </c>
      <c r="G3" s="35" t="inlineStr">
        <is>
          <t>Address 2</t>
        </is>
      </c>
      <c r="H3" s="35" t="inlineStr">
        <is>
          <t>City</t>
        </is>
      </c>
      <c r="I3" s="35" t="inlineStr">
        <is>
          <t>State</t>
        </is>
      </c>
      <c r="J3" s="35" t="inlineStr">
        <is>
          <t>Zip</t>
        </is>
      </c>
      <c r="K3" s="35" t="inlineStr">
        <is>
          <t>Country</t>
        </is>
      </c>
      <c r="L3" s="35" t="inlineStr">
        <is>
          <t>Birthdate</t>
        </is>
      </c>
      <c r="M3" s="35" t="inlineStr">
        <is>
          <t>Phone</t>
        </is>
      </c>
      <c r="N3" s="35" t="inlineStr">
        <is>
          <t>Email</t>
        </is>
      </c>
      <c r="O3" s="35" t="inlineStr">
        <is>
          <t>Dependent Relationship</t>
        </is>
      </c>
      <c r="P3" s="35" t="inlineStr">
        <is>
          <t>Eligibility Date</t>
        </is>
      </c>
      <c r="Q3" s="35" t="inlineStr">
        <is>
          <t>Termination Date</t>
        </is>
      </c>
      <c r="R3" s="35" t="inlineStr">
        <is>
          <t>Status</t>
        </is>
      </c>
      <c r="S3" s="110" t="inlineStr">
        <is>
          <t>Plan Name</t>
        </is>
      </c>
      <c r="T3" s="35" t="inlineStr">
        <is>
          <t>Benefit Coverage Level</t>
        </is>
      </c>
      <c r="U3" s="35" t="inlineStr">
        <is>
          <t>Plan Funding Amount ($)</t>
        </is>
      </c>
    </row>
    <row r="4">
      <c r="A4" s="36" t="inlineStr">
        <is>
          <t>valid employee SSN</t>
        </is>
      </c>
      <c r="B4" s="36" t="inlineStr"/>
      <c r="C4" s="37" t="inlineStr">
        <is>
          <t>John</t>
        </is>
      </c>
      <c r="D4" s="37" t="inlineStr">
        <is>
          <t>Smith</t>
        </is>
      </c>
      <c r="E4" s="36" t="inlineStr">
        <is>
          <t>Q</t>
        </is>
      </c>
      <c r="F4" s="37" t="inlineStr">
        <is>
          <t>1234 1st Street</t>
        </is>
      </c>
      <c r="G4" s="37" t="inlineStr"/>
      <c r="H4" s="37" t="inlineStr">
        <is>
          <t>San Francisco</t>
        </is>
      </c>
      <c r="I4" s="36" t="inlineStr">
        <is>
          <t>CA</t>
        </is>
      </c>
      <c r="J4" s="36" t="inlineStr">
        <is>
          <t>94100</t>
        </is>
      </c>
      <c r="K4" s="36" t="inlineStr">
        <is>
          <t>US</t>
        </is>
      </c>
      <c r="L4" s="38" t="n">
        <v>29221</v>
      </c>
      <c r="M4" s="36" t="inlineStr">
        <is>
          <t>4151234567</t>
        </is>
      </c>
      <c r="N4" s="36" t="inlineStr">
        <is>
          <t>john@example.com</t>
        </is>
      </c>
      <c r="O4" s="36" t="inlineStr"/>
      <c r="P4" s="38" t="n">
        <v>46388</v>
      </c>
      <c r="Q4" s="38" t="inlineStr"/>
      <c r="R4" s="36" t="inlineStr">
        <is>
          <t>Active</t>
        </is>
      </c>
      <c r="S4" s="36" t="inlineStr">
        <is>
          <t>Kaiser</t>
        </is>
      </c>
      <c r="T4" s="36" t="inlineStr">
        <is>
          <t>Employee + Spouse</t>
        </is>
      </c>
      <c r="U4" s="37" t="inlineStr"/>
    </row>
    <row r="5">
      <c r="A5" s="36" t="inlineStr">
        <is>
          <t>same employee SSN</t>
        </is>
      </c>
      <c r="B5" s="36" t="inlineStr">
        <is>
          <t>valid dependent SSN</t>
        </is>
      </c>
      <c r="C5" s="37" t="inlineStr">
        <is>
          <t>Jane</t>
        </is>
      </c>
      <c r="D5" s="37" t="inlineStr">
        <is>
          <t>Smith</t>
        </is>
      </c>
      <c r="E5" s="36" t="inlineStr">
        <is>
          <t>Q</t>
        </is>
      </c>
      <c r="F5" s="37" t="inlineStr">
        <is>
          <t>1234 1st Street</t>
        </is>
      </c>
      <c r="G5" s="37" t="inlineStr"/>
      <c r="H5" s="37" t="inlineStr">
        <is>
          <t>San Francisco</t>
        </is>
      </c>
      <c r="I5" s="36" t="inlineStr">
        <is>
          <t>CA</t>
        </is>
      </c>
      <c r="J5" s="36" t="inlineStr">
        <is>
          <t>94100</t>
        </is>
      </c>
      <c r="K5" s="36" t="inlineStr">
        <is>
          <t>US</t>
        </is>
      </c>
      <c r="L5" s="38" t="n">
        <v>30316</v>
      </c>
      <c r="M5" s="36" t="inlineStr">
        <is>
          <t>4157654321</t>
        </is>
      </c>
      <c r="N5" s="36" t="inlineStr"/>
      <c r="O5" s="36" t="inlineStr">
        <is>
          <t>Spouse or Common Law Spouse</t>
        </is>
      </c>
      <c r="P5" s="38" t="n">
        <v>46388</v>
      </c>
      <c r="Q5" s="38" t="inlineStr"/>
      <c r="R5" s="36" t="inlineStr">
        <is>
          <t>Active</t>
        </is>
      </c>
      <c r="S5" s="36" t="inlineStr">
        <is>
          <t>Kaiser</t>
        </is>
      </c>
      <c r="T5" s="36" t="inlineStr">
        <is>
          <t>Employee + Spouse</t>
        </is>
      </c>
      <c r="U5" s="37" t="inlineStr"/>
    </row>
    <row r="7" ht="34" customHeight="1">
      <c r="A7" s="9" t="inlineStr">
        <is>
          <t>Row 4 is the employee. Row 5 is the spouse. The same employee SSN, address, plan, coverage level, eligibility date, and status are repeated on the dependent row. Plan Name and coverage wording only need to be clear.</t>
        </is>
      </c>
    </row>
    <row r="8" ht="34" customHeight="1">
      <c r="A8" s="7" t="inlineStr">
        <is>
          <t>Validation checks include required fields, 9-digit SSNs, a dependent SSN matching the employee or a different dependent in the same family, valid dates, dependent relationship rules, duplicate participant/plan rows, and common formatting issues.</t>
        </is>
      </c>
    </row>
  </sheetData>
  <sheetProtection selectLockedCells="0" selectUnlockedCells="0" sheet="1" objects="1" insertRows="1" insertHyperlinks="1" autoFilter="0" scenarios="1" formatColumns="1" deleteColumns="1" insertColumns="1" pivotTables="1" deleteRows="1" formatCells="1" formatRows="1" sort="0"/>
  <mergeCells count="3">
    <mergeCell ref="A1:U1"/>
    <mergeCell ref="A7:U7"/>
    <mergeCell ref="A8:U8"/>
  </mergeCell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U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5" customWidth="1" min="3" max="3"/>
    <col width="17" customWidth="1" min="4" max="4"/>
    <col width="12" customWidth="1" min="5" max="5"/>
    <col width="24" customWidth="1" min="6" max="6"/>
    <col width="15" customWidth="1" min="7" max="7"/>
    <col width="18" customWidth="1" min="8" max="8"/>
    <col width="10" customWidth="1" min="9" max="9"/>
    <col width="11" customWidth="1" min="10" max="10"/>
    <col width="11" customWidth="1" min="11" max="11"/>
    <col width="13" customWidth="1" min="12" max="12"/>
    <col width="16" customWidth="1" min="13" max="13"/>
    <col width="27" customWidth="1" min="14" max="14"/>
    <col width="22" customWidth="1" min="15" max="15"/>
    <col width="16" customWidth="1" min="16" max="16"/>
    <col width="16" customWidth="1" min="17" max="17"/>
    <col width="13" customWidth="1" min="18" max="18"/>
    <col width="24" customWidth="1" min="19" max="19"/>
    <col width="25" customWidth="1" min="20" max="20"/>
    <col width="22" customWidth="1" min="21" max="21"/>
  </cols>
  <sheetData>
    <row r="1" ht="44" customHeight="1">
      <c r="A1" s="35" t="inlineStr">
        <is>
          <t>Employee SSN</t>
        </is>
      </c>
      <c r="B1" s="35" t="inlineStr">
        <is>
          <t>Dependent SSN</t>
        </is>
      </c>
      <c r="C1" s="110" t="inlineStr">
        <is>
          <t>First Name</t>
        </is>
      </c>
      <c r="D1" s="110" t="inlineStr">
        <is>
          <t>Last Name</t>
        </is>
      </c>
      <c r="E1" s="35" t="inlineStr">
        <is>
          <t>Middle Initial</t>
        </is>
      </c>
      <c r="F1" s="35" t="inlineStr">
        <is>
          <t>Address</t>
        </is>
      </c>
      <c r="G1" s="35" t="inlineStr">
        <is>
          <t>Address 2</t>
        </is>
      </c>
      <c r="H1" s="35" t="inlineStr">
        <is>
          <t>City</t>
        </is>
      </c>
      <c r="I1" s="35" t="inlineStr">
        <is>
          <t>State</t>
        </is>
      </c>
      <c r="J1" s="35" t="inlineStr">
        <is>
          <t>Zip</t>
        </is>
      </c>
      <c r="K1" s="35" t="inlineStr">
        <is>
          <t>Country</t>
        </is>
      </c>
      <c r="L1" s="35" t="inlineStr">
        <is>
          <t>Birthdate</t>
        </is>
      </c>
      <c r="M1" s="35" t="inlineStr">
        <is>
          <t>Phone</t>
        </is>
      </c>
      <c r="N1" s="35" t="inlineStr">
        <is>
          <t>Email</t>
        </is>
      </c>
      <c r="O1" s="35" t="inlineStr">
        <is>
          <t>Dependent Relationship</t>
        </is>
      </c>
      <c r="P1" s="35" t="inlineStr">
        <is>
          <t>Eligibility Date</t>
        </is>
      </c>
      <c r="Q1" s="35" t="inlineStr">
        <is>
          <t>Termination Date</t>
        </is>
      </c>
      <c r="R1" s="35" t="inlineStr">
        <is>
          <t>Status</t>
        </is>
      </c>
      <c r="S1" s="110" t="inlineStr">
        <is>
          <t>Plan Name</t>
        </is>
      </c>
      <c r="T1" s="35" t="inlineStr">
        <is>
          <t>Benefit Coverage Level</t>
        </is>
      </c>
      <c r="U1" s="35" t="inlineStr">
        <is>
          <t>Plan Funding Amount ($)</t>
        </is>
      </c>
    </row>
    <row r="2">
      <c r="A2" s="36">
        <f>IF('Enrollment Census'!A2="","",TRIM('Enrollment Census'!A2&amp;""))</f>
        <v/>
      </c>
      <c r="B2" s="36">
        <f>IF('Enrollment Census'!B2="","",TRIM('Enrollment Census'!B2&amp;""))</f>
        <v/>
      </c>
      <c r="C2" s="37">
        <f>IF('Enrollment Census'!C2="","",TRIM('Enrollment Census'!C2&amp;""))</f>
        <v/>
      </c>
      <c r="D2" s="37">
        <f>IF('Enrollment Census'!D2="","",TRIM('Enrollment Census'!D2&amp;""))</f>
        <v/>
      </c>
      <c r="E2" s="36">
        <f>IF('Enrollment Census'!E2="","",TRIM('Enrollment Census'!E2&amp;""))</f>
        <v/>
      </c>
      <c r="F2" s="37">
        <f>IF('Enrollment Census'!F2="","",TRIM('Enrollment Census'!F2&amp;""))</f>
        <v/>
      </c>
      <c r="G2" s="37">
        <f>IF('Enrollment Census'!G2="","",TRIM('Enrollment Census'!G2&amp;""))</f>
        <v/>
      </c>
      <c r="H2" s="37">
        <f>IF('Enrollment Census'!H2="","",TRIM('Enrollment Census'!H2&amp;""))</f>
        <v/>
      </c>
      <c r="I2" s="36">
        <f>IF('Enrollment Census'!I2="","",TRIM('Enrollment Census'!I2&amp;""))</f>
        <v/>
      </c>
      <c r="J2" s="36">
        <f>IF('Enrollment Census'!J2="","",TRIM('Enrollment Census'!J2&amp;""))</f>
        <v/>
      </c>
      <c r="K2" s="36">
        <f>IF('Enrollment Census'!K2="","",TRIM('Enrollment Census'!K2&amp;""))</f>
        <v/>
      </c>
      <c r="L2" s="38">
        <f>IF('Enrollment Census'!L2="","",'Enrollment Census'!L2)</f>
        <v/>
      </c>
      <c r="M2" s="36">
        <f>IF('Enrollment Census'!M2="","",TRIM('Enrollment Census'!M2&amp;""))</f>
        <v/>
      </c>
      <c r="N2" s="36">
        <f>IF('Enrollment Census'!N2="","",LOWER(TRIM('Enrollment Census'!N2&amp;"")))</f>
        <v/>
      </c>
      <c r="O2" s="36">
        <f>IF('Enrollment Census'!O2="","",TRIM('Enrollment Census'!O2&amp;""))</f>
        <v/>
      </c>
      <c r="P2" s="38">
        <f>IF('Enrollment Census'!P2="","",'Enrollment Census'!P2)</f>
        <v/>
      </c>
      <c r="Q2" s="38">
        <f>IF('Enrollment Census'!Q2="","",'Enrollment Census'!Q2)</f>
        <v/>
      </c>
      <c r="R2" s="36">
        <f>IF('Enrollment Census'!R2="","",TRIM('Enrollment Census'!R2&amp;""))</f>
        <v/>
      </c>
      <c r="S2" s="36">
        <f>IF('Enrollment Census'!S2="","",TRIM('Enrollment Census'!S2&amp;""))</f>
        <v/>
      </c>
      <c r="T2" s="36">
        <f>IF('Enrollment Census'!T2="","",TRIM('Enrollment Census'!T2&amp;""))</f>
        <v/>
      </c>
      <c r="U2" s="39">
        <f>IF('Enrollment Census'!U2="","",'Enrollment Census'!U2)</f>
        <v/>
      </c>
    </row>
    <row r="3">
      <c r="A3" s="36">
        <f>IF('Enrollment Census'!A3="","",TRIM('Enrollment Census'!A3&amp;""))</f>
        <v/>
      </c>
      <c r="B3" s="36">
        <f>IF('Enrollment Census'!B3="","",TRIM('Enrollment Census'!B3&amp;""))</f>
        <v/>
      </c>
      <c r="C3" s="37">
        <f>IF('Enrollment Census'!C3="","",TRIM('Enrollment Census'!C3&amp;""))</f>
        <v/>
      </c>
      <c r="D3" s="37">
        <f>IF('Enrollment Census'!D3="","",TRIM('Enrollment Census'!D3&amp;""))</f>
        <v/>
      </c>
      <c r="E3" s="36">
        <f>IF('Enrollment Census'!E3="","",TRIM('Enrollment Census'!E3&amp;""))</f>
        <v/>
      </c>
      <c r="F3" s="37">
        <f>IF('Enrollment Census'!F3="","",TRIM('Enrollment Census'!F3&amp;""))</f>
        <v/>
      </c>
      <c r="G3" s="37">
        <f>IF('Enrollment Census'!G3="","",TRIM('Enrollment Census'!G3&amp;""))</f>
        <v/>
      </c>
      <c r="H3" s="37">
        <f>IF('Enrollment Census'!H3="","",TRIM('Enrollment Census'!H3&amp;""))</f>
        <v/>
      </c>
      <c r="I3" s="36">
        <f>IF('Enrollment Census'!I3="","",TRIM('Enrollment Census'!I3&amp;""))</f>
        <v/>
      </c>
      <c r="J3" s="36">
        <f>IF('Enrollment Census'!J3="","",TRIM('Enrollment Census'!J3&amp;""))</f>
        <v/>
      </c>
      <c r="K3" s="36">
        <f>IF('Enrollment Census'!K3="","",TRIM('Enrollment Census'!K3&amp;""))</f>
        <v/>
      </c>
      <c r="L3" s="38">
        <f>IF('Enrollment Census'!L3="","",'Enrollment Census'!L3)</f>
        <v/>
      </c>
      <c r="M3" s="36">
        <f>IF('Enrollment Census'!M3="","",TRIM('Enrollment Census'!M3&amp;""))</f>
        <v/>
      </c>
      <c r="N3" s="36">
        <f>IF('Enrollment Census'!N3="","",LOWER(TRIM('Enrollment Census'!N3&amp;"")))</f>
        <v/>
      </c>
      <c r="O3" s="36">
        <f>IF('Enrollment Census'!O3="","",TRIM('Enrollment Census'!O3&amp;""))</f>
        <v/>
      </c>
      <c r="P3" s="38">
        <f>IF('Enrollment Census'!P3="","",'Enrollment Census'!P3)</f>
        <v/>
      </c>
      <c r="Q3" s="38">
        <f>IF('Enrollment Census'!Q3="","",'Enrollment Census'!Q3)</f>
        <v/>
      </c>
      <c r="R3" s="36">
        <f>IF('Enrollment Census'!R3="","",TRIM('Enrollment Census'!R3&amp;""))</f>
        <v/>
      </c>
      <c r="S3" s="36">
        <f>IF('Enrollment Census'!S3="","",TRIM('Enrollment Census'!S3&amp;""))</f>
        <v/>
      </c>
      <c r="T3" s="36">
        <f>IF('Enrollment Census'!T3="","",TRIM('Enrollment Census'!T3&amp;""))</f>
        <v/>
      </c>
      <c r="U3" s="39">
        <f>IF('Enrollment Census'!U3="","",'Enrollment Census'!U3)</f>
        <v/>
      </c>
    </row>
    <row r="4">
      <c r="A4" s="36">
        <f>IF('Enrollment Census'!A4="","",TRIM('Enrollment Census'!A4&amp;""))</f>
        <v/>
      </c>
      <c r="B4" s="36">
        <f>IF('Enrollment Census'!B4="","",TRIM('Enrollment Census'!B4&amp;""))</f>
        <v/>
      </c>
      <c r="C4" s="37">
        <f>IF('Enrollment Census'!C4="","",TRIM('Enrollment Census'!C4&amp;""))</f>
        <v/>
      </c>
      <c r="D4" s="37">
        <f>IF('Enrollment Census'!D4="","",TRIM('Enrollment Census'!D4&amp;""))</f>
        <v/>
      </c>
      <c r="E4" s="36">
        <f>IF('Enrollment Census'!E4="","",TRIM('Enrollment Census'!E4&amp;""))</f>
        <v/>
      </c>
      <c r="F4" s="37">
        <f>IF('Enrollment Census'!F4="","",TRIM('Enrollment Census'!F4&amp;""))</f>
        <v/>
      </c>
      <c r="G4" s="37">
        <f>IF('Enrollment Census'!G4="","",TRIM('Enrollment Census'!G4&amp;""))</f>
        <v/>
      </c>
      <c r="H4" s="37">
        <f>IF('Enrollment Census'!H4="","",TRIM('Enrollment Census'!H4&amp;""))</f>
        <v/>
      </c>
      <c r="I4" s="36">
        <f>IF('Enrollment Census'!I4="","",TRIM('Enrollment Census'!I4&amp;""))</f>
        <v/>
      </c>
      <c r="J4" s="36">
        <f>IF('Enrollment Census'!J4="","",TRIM('Enrollment Census'!J4&amp;""))</f>
        <v/>
      </c>
      <c r="K4" s="36">
        <f>IF('Enrollment Census'!K4="","",TRIM('Enrollment Census'!K4&amp;""))</f>
        <v/>
      </c>
      <c r="L4" s="38">
        <f>IF('Enrollment Census'!L4="","",'Enrollment Census'!L4)</f>
        <v/>
      </c>
      <c r="M4" s="36">
        <f>IF('Enrollment Census'!M4="","",TRIM('Enrollment Census'!M4&amp;""))</f>
        <v/>
      </c>
      <c r="N4" s="36">
        <f>IF('Enrollment Census'!N4="","",LOWER(TRIM('Enrollment Census'!N4&amp;"")))</f>
        <v/>
      </c>
      <c r="O4" s="36">
        <f>IF('Enrollment Census'!O4="","",TRIM('Enrollment Census'!O4&amp;""))</f>
        <v/>
      </c>
      <c r="P4" s="38">
        <f>IF('Enrollment Census'!P4="","",'Enrollment Census'!P4)</f>
        <v/>
      </c>
      <c r="Q4" s="38">
        <f>IF('Enrollment Census'!Q4="","",'Enrollment Census'!Q4)</f>
        <v/>
      </c>
      <c r="R4" s="36">
        <f>IF('Enrollment Census'!R4="","",TRIM('Enrollment Census'!R4&amp;""))</f>
        <v/>
      </c>
      <c r="S4" s="36">
        <f>IF('Enrollment Census'!S4="","",TRIM('Enrollment Census'!S4&amp;""))</f>
        <v/>
      </c>
      <c r="T4" s="36">
        <f>IF('Enrollment Census'!T4="","",TRIM('Enrollment Census'!T4&amp;""))</f>
        <v/>
      </c>
      <c r="U4" s="39">
        <f>IF('Enrollment Census'!U4="","",'Enrollment Census'!U4)</f>
        <v/>
      </c>
    </row>
    <row r="5">
      <c r="A5" s="36">
        <f>IF('Enrollment Census'!A5="","",TRIM('Enrollment Census'!A5&amp;""))</f>
        <v/>
      </c>
      <c r="B5" s="36">
        <f>IF('Enrollment Census'!B5="","",TRIM('Enrollment Census'!B5&amp;""))</f>
        <v/>
      </c>
      <c r="C5" s="37">
        <f>IF('Enrollment Census'!C5="","",TRIM('Enrollment Census'!C5&amp;""))</f>
        <v/>
      </c>
      <c r="D5" s="37">
        <f>IF('Enrollment Census'!D5="","",TRIM('Enrollment Census'!D5&amp;""))</f>
        <v/>
      </c>
      <c r="E5" s="36">
        <f>IF('Enrollment Census'!E5="","",TRIM('Enrollment Census'!E5&amp;""))</f>
        <v/>
      </c>
      <c r="F5" s="37">
        <f>IF('Enrollment Census'!F5="","",TRIM('Enrollment Census'!F5&amp;""))</f>
        <v/>
      </c>
      <c r="G5" s="37">
        <f>IF('Enrollment Census'!G5="","",TRIM('Enrollment Census'!G5&amp;""))</f>
        <v/>
      </c>
      <c r="H5" s="37">
        <f>IF('Enrollment Census'!H5="","",TRIM('Enrollment Census'!H5&amp;""))</f>
        <v/>
      </c>
      <c r="I5" s="36">
        <f>IF('Enrollment Census'!I5="","",TRIM('Enrollment Census'!I5&amp;""))</f>
        <v/>
      </c>
      <c r="J5" s="36">
        <f>IF('Enrollment Census'!J5="","",TRIM('Enrollment Census'!J5&amp;""))</f>
        <v/>
      </c>
      <c r="K5" s="36">
        <f>IF('Enrollment Census'!K5="","",TRIM('Enrollment Census'!K5&amp;""))</f>
        <v/>
      </c>
      <c r="L5" s="38">
        <f>IF('Enrollment Census'!L5="","",'Enrollment Census'!L5)</f>
        <v/>
      </c>
      <c r="M5" s="36">
        <f>IF('Enrollment Census'!M5="","",TRIM('Enrollment Census'!M5&amp;""))</f>
        <v/>
      </c>
      <c r="N5" s="36">
        <f>IF('Enrollment Census'!N5="","",LOWER(TRIM('Enrollment Census'!N5&amp;"")))</f>
        <v/>
      </c>
      <c r="O5" s="36">
        <f>IF('Enrollment Census'!O5="","",TRIM('Enrollment Census'!O5&amp;""))</f>
        <v/>
      </c>
      <c r="P5" s="38">
        <f>IF('Enrollment Census'!P5="","",'Enrollment Census'!P5)</f>
        <v/>
      </c>
      <c r="Q5" s="38">
        <f>IF('Enrollment Census'!Q5="","",'Enrollment Census'!Q5)</f>
        <v/>
      </c>
      <c r="R5" s="36">
        <f>IF('Enrollment Census'!R5="","",TRIM('Enrollment Census'!R5&amp;""))</f>
        <v/>
      </c>
      <c r="S5" s="36">
        <f>IF('Enrollment Census'!S5="","",TRIM('Enrollment Census'!S5&amp;""))</f>
        <v/>
      </c>
      <c r="T5" s="36">
        <f>IF('Enrollment Census'!T5="","",TRIM('Enrollment Census'!T5&amp;""))</f>
        <v/>
      </c>
      <c r="U5" s="39">
        <f>IF('Enrollment Census'!U5="","",'Enrollment Census'!U5)</f>
        <v/>
      </c>
    </row>
    <row r="6">
      <c r="A6" s="36">
        <f>IF('Enrollment Census'!A6="","",TRIM('Enrollment Census'!A6&amp;""))</f>
        <v/>
      </c>
      <c r="B6" s="36">
        <f>IF('Enrollment Census'!B6="","",TRIM('Enrollment Census'!B6&amp;""))</f>
        <v/>
      </c>
      <c r="C6" s="37">
        <f>IF('Enrollment Census'!C6="","",TRIM('Enrollment Census'!C6&amp;""))</f>
        <v/>
      </c>
      <c r="D6" s="37">
        <f>IF('Enrollment Census'!D6="","",TRIM('Enrollment Census'!D6&amp;""))</f>
        <v/>
      </c>
      <c r="E6" s="36">
        <f>IF('Enrollment Census'!E6="","",TRIM('Enrollment Census'!E6&amp;""))</f>
        <v/>
      </c>
      <c r="F6" s="37">
        <f>IF('Enrollment Census'!F6="","",TRIM('Enrollment Census'!F6&amp;""))</f>
        <v/>
      </c>
      <c r="G6" s="37">
        <f>IF('Enrollment Census'!G6="","",TRIM('Enrollment Census'!G6&amp;""))</f>
        <v/>
      </c>
      <c r="H6" s="37">
        <f>IF('Enrollment Census'!H6="","",TRIM('Enrollment Census'!H6&amp;""))</f>
        <v/>
      </c>
      <c r="I6" s="36">
        <f>IF('Enrollment Census'!I6="","",TRIM('Enrollment Census'!I6&amp;""))</f>
        <v/>
      </c>
      <c r="J6" s="36">
        <f>IF('Enrollment Census'!J6="","",TRIM('Enrollment Census'!J6&amp;""))</f>
        <v/>
      </c>
      <c r="K6" s="36">
        <f>IF('Enrollment Census'!K6="","",TRIM('Enrollment Census'!K6&amp;""))</f>
        <v/>
      </c>
      <c r="L6" s="38">
        <f>IF('Enrollment Census'!L6="","",'Enrollment Census'!L6)</f>
        <v/>
      </c>
      <c r="M6" s="36">
        <f>IF('Enrollment Census'!M6="","",TRIM('Enrollment Census'!M6&amp;""))</f>
        <v/>
      </c>
      <c r="N6" s="36">
        <f>IF('Enrollment Census'!N6="","",LOWER(TRIM('Enrollment Census'!N6&amp;"")))</f>
        <v/>
      </c>
      <c r="O6" s="36">
        <f>IF('Enrollment Census'!O6="","",TRIM('Enrollment Census'!O6&amp;""))</f>
        <v/>
      </c>
      <c r="P6" s="38">
        <f>IF('Enrollment Census'!P6="","",'Enrollment Census'!P6)</f>
        <v/>
      </c>
      <c r="Q6" s="38">
        <f>IF('Enrollment Census'!Q6="","",'Enrollment Census'!Q6)</f>
        <v/>
      </c>
      <c r="R6" s="36">
        <f>IF('Enrollment Census'!R6="","",TRIM('Enrollment Census'!R6&amp;""))</f>
        <v/>
      </c>
      <c r="S6" s="36">
        <f>IF('Enrollment Census'!S6="","",TRIM('Enrollment Census'!S6&amp;""))</f>
        <v/>
      </c>
      <c r="T6" s="36">
        <f>IF('Enrollment Census'!T6="","",TRIM('Enrollment Census'!T6&amp;""))</f>
        <v/>
      </c>
      <c r="U6" s="39">
        <f>IF('Enrollment Census'!U6="","",'Enrollment Census'!U6)</f>
        <v/>
      </c>
    </row>
    <row r="7">
      <c r="A7" s="36">
        <f>IF('Enrollment Census'!A7="","",TRIM('Enrollment Census'!A7&amp;""))</f>
        <v/>
      </c>
      <c r="B7" s="36">
        <f>IF('Enrollment Census'!B7="","",TRIM('Enrollment Census'!B7&amp;""))</f>
        <v/>
      </c>
      <c r="C7" s="37">
        <f>IF('Enrollment Census'!C7="","",TRIM('Enrollment Census'!C7&amp;""))</f>
        <v/>
      </c>
      <c r="D7" s="37">
        <f>IF('Enrollment Census'!D7="","",TRIM('Enrollment Census'!D7&amp;""))</f>
        <v/>
      </c>
      <c r="E7" s="36">
        <f>IF('Enrollment Census'!E7="","",TRIM('Enrollment Census'!E7&amp;""))</f>
        <v/>
      </c>
      <c r="F7" s="37">
        <f>IF('Enrollment Census'!F7="","",TRIM('Enrollment Census'!F7&amp;""))</f>
        <v/>
      </c>
      <c r="G7" s="37">
        <f>IF('Enrollment Census'!G7="","",TRIM('Enrollment Census'!G7&amp;""))</f>
        <v/>
      </c>
      <c r="H7" s="37">
        <f>IF('Enrollment Census'!H7="","",TRIM('Enrollment Census'!H7&amp;""))</f>
        <v/>
      </c>
      <c r="I7" s="36">
        <f>IF('Enrollment Census'!I7="","",TRIM('Enrollment Census'!I7&amp;""))</f>
        <v/>
      </c>
      <c r="J7" s="36">
        <f>IF('Enrollment Census'!J7="","",TRIM('Enrollment Census'!J7&amp;""))</f>
        <v/>
      </c>
      <c r="K7" s="36">
        <f>IF('Enrollment Census'!K7="","",TRIM('Enrollment Census'!K7&amp;""))</f>
        <v/>
      </c>
      <c r="L7" s="38">
        <f>IF('Enrollment Census'!L7="","",'Enrollment Census'!L7)</f>
        <v/>
      </c>
      <c r="M7" s="36">
        <f>IF('Enrollment Census'!M7="","",TRIM('Enrollment Census'!M7&amp;""))</f>
        <v/>
      </c>
      <c r="N7" s="36">
        <f>IF('Enrollment Census'!N7="","",LOWER(TRIM('Enrollment Census'!N7&amp;"")))</f>
        <v/>
      </c>
      <c r="O7" s="36">
        <f>IF('Enrollment Census'!O7="","",TRIM('Enrollment Census'!O7&amp;""))</f>
        <v/>
      </c>
      <c r="P7" s="38">
        <f>IF('Enrollment Census'!P7="","",'Enrollment Census'!P7)</f>
        <v/>
      </c>
      <c r="Q7" s="38">
        <f>IF('Enrollment Census'!Q7="","",'Enrollment Census'!Q7)</f>
        <v/>
      </c>
      <c r="R7" s="36">
        <f>IF('Enrollment Census'!R7="","",TRIM('Enrollment Census'!R7&amp;""))</f>
        <v/>
      </c>
      <c r="S7" s="36">
        <f>IF('Enrollment Census'!S7="","",TRIM('Enrollment Census'!S7&amp;""))</f>
        <v/>
      </c>
      <c r="T7" s="36">
        <f>IF('Enrollment Census'!T7="","",TRIM('Enrollment Census'!T7&amp;""))</f>
        <v/>
      </c>
      <c r="U7" s="39">
        <f>IF('Enrollment Census'!U7="","",'Enrollment Census'!U7)</f>
        <v/>
      </c>
    </row>
    <row r="8">
      <c r="A8" s="36">
        <f>IF('Enrollment Census'!A8="","",TRIM('Enrollment Census'!A8&amp;""))</f>
        <v/>
      </c>
      <c r="B8" s="36">
        <f>IF('Enrollment Census'!B8="","",TRIM('Enrollment Census'!B8&amp;""))</f>
        <v/>
      </c>
      <c r="C8" s="37">
        <f>IF('Enrollment Census'!C8="","",TRIM('Enrollment Census'!C8&amp;""))</f>
        <v/>
      </c>
      <c r="D8" s="37">
        <f>IF('Enrollment Census'!D8="","",TRIM('Enrollment Census'!D8&amp;""))</f>
        <v/>
      </c>
      <c r="E8" s="36">
        <f>IF('Enrollment Census'!E8="","",TRIM('Enrollment Census'!E8&amp;""))</f>
        <v/>
      </c>
      <c r="F8" s="37">
        <f>IF('Enrollment Census'!F8="","",TRIM('Enrollment Census'!F8&amp;""))</f>
        <v/>
      </c>
      <c r="G8" s="37">
        <f>IF('Enrollment Census'!G8="","",TRIM('Enrollment Census'!G8&amp;""))</f>
        <v/>
      </c>
      <c r="H8" s="37">
        <f>IF('Enrollment Census'!H8="","",TRIM('Enrollment Census'!H8&amp;""))</f>
        <v/>
      </c>
      <c r="I8" s="36">
        <f>IF('Enrollment Census'!I8="","",TRIM('Enrollment Census'!I8&amp;""))</f>
        <v/>
      </c>
      <c r="J8" s="36">
        <f>IF('Enrollment Census'!J8="","",TRIM('Enrollment Census'!J8&amp;""))</f>
        <v/>
      </c>
      <c r="K8" s="36">
        <f>IF('Enrollment Census'!K8="","",TRIM('Enrollment Census'!K8&amp;""))</f>
        <v/>
      </c>
      <c r="L8" s="38">
        <f>IF('Enrollment Census'!L8="","",'Enrollment Census'!L8)</f>
        <v/>
      </c>
      <c r="M8" s="36">
        <f>IF('Enrollment Census'!M8="","",TRIM('Enrollment Census'!M8&amp;""))</f>
        <v/>
      </c>
      <c r="N8" s="36">
        <f>IF('Enrollment Census'!N8="","",LOWER(TRIM('Enrollment Census'!N8&amp;"")))</f>
        <v/>
      </c>
      <c r="O8" s="36">
        <f>IF('Enrollment Census'!O8="","",TRIM('Enrollment Census'!O8&amp;""))</f>
        <v/>
      </c>
      <c r="P8" s="38">
        <f>IF('Enrollment Census'!P8="","",'Enrollment Census'!P8)</f>
        <v/>
      </c>
      <c r="Q8" s="38">
        <f>IF('Enrollment Census'!Q8="","",'Enrollment Census'!Q8)</f>
        <v/>
      </c>
      <c r="R8" s="36">
        <f>IF('Enrollment Census'!R8="","",TRIM('Enrollment Census'!R8&amp;""))</f>
        <v/>
      </c>
      <c r="S8" s="36">
        <f>IF('Enrollment Census'!S8="","",TRIM('Enrollment Census'!S8&amp;""))</f>
        <v/>
      </c>
      <c r="T8" s="36">
        <f>IF('Enrollment Census'!T8="","",TRIM('Enrollment Census'!T8&amp;""))</f>
        <v/>
      </c>
      <c r="U8" s="39">
        <f>IF('Enrollment Census'!U8="","",'Enrollment Census'!U8)</f>
        <v/>
      </c>
    </row>
    <row r="9">
      <c r="A9" s="36">
        <f>IF('Enrollment Census'!A9="","",TRIM('Enrollment Census'!A9&amp;""))</f>
        <v/>
      </c>
      <c r="B9" s="36">
        <f>IF('Enrollment Census'!B9="","",TRIM('Enrollment Census'!B9&amp;""))</f>
        <v/>
      </c>
      <c r="C9" s="37">
        <f>IF('Enrollment Census'!C9="","",TRIM('Enrollment Census'!C9&amp;""))</f>
        <v/>
      </c>
      <c r="D9" s="37">
        <f>IF('Enrollment Census'!D9="","",TRIM('Enrollment Census'!D9&amp;""))</f>
        <v/>
      </c>
      <c r="E9" s="36">
        <f>IF('Enrollment Census'!E9="","",TRIM('Enrollment Census'!E9&amp;""))</f>
        <v/>
      </c>
      <c r="F9" s="37">
        <f>IF('Enrollment Census'!F9="","",TRIM('Enrollment Census'!F9&amp;""))</f>
        <v/>
      </c>
      <c r="G9" s="37">
        <f>IF('Enrollment Census'!G9="","",TRIM('Enrollment Census'!G9&amp;""))</f>
        <v/>
      </c>
      <c r="H9" s="37">
        <f>IF('Enrollment Census'!H9="","",TRIM('Enrollment Census'!H9&amp;""))</f>
        <v/>
      </c>
      <c r="I9" s="36">
        <f>IF('Enrollment Census'!I9="","",TRIM('Enrollment Census'!I9&amp;""))</f>
        <v/>
      </c>
      <c r="J9" s="36">
        <f>IF('Enrollment Census'!J9="","",TRIM('Enrollment Census'!J9&amp;""))</f>
        <v/>
      </c>
      <c r="K9" s="36">
        <f>IF('Enrollment Census'!K9="","",TRIM('Enrollment Census'!K9&amp;""))</f>
        <v/>
      </c>
      <c r="L9" s="38">
        <f>IF('Enrollment Census'!L9="","",'Enrollment Census'!L9)</f>
        <v/>
      </c>
      <c r="M9" s="36">
        <f>IF('Enrollment Census'!M9="","",TRIM('Enrollment Census'!M9&amp;""))</f>
        <v/>
      </c>
      <c r="N9" s="36">
        <f>IF('Enrollment Census'!N9="","",LOWER(TRIM('Enrollment Census'!N9&amp;"")))</f>
        <v/>
      </c>
      <c r="O9" s="36">
        <f>IF('Enrollment Census'!O9="","",TRIM('Enrollment Census'!O9&amp;""))</f>
        <v/>
      </c>
      <c r="P9" s="38">
        <f>IF('Enrollment Census'!P9="","",'Enrollment Census'!P9)</f>
        <v/>
      </c>
      <c r="Q9" s="38">
        <f>IF('Enrollment Census'!Q9="","",'Enrollment Census'!Q9)</f>
        <v/>
      </c>
      <c r="R9" s="36">
        <f>IF('Enrollment Census'!R9="","",TRIM('Enrollment Census'!R9&amp;""))</f>
        <v/>
      </c>
      <c r="S9" s="36">
        <f>IF('Enrollment Census'!S9="","",TRIM('Enrollment Census'!S9&amp;""))</f>
        <v/>
      </c>
      <c r="T9" s="36">
        <f>IF('Enrollment Census'!T9="","",TRIM('Enrollment Census'!T9&amp;""))</f>
        <v/>
      </c>
      <c r="U9" s="39">
        <f>IF('Enrollment Census'!U9="","",'Enrollment Census'!U9)</f>
        <v/>
      </c>
    </row>
    <row r="10">
      <c r="A10" s="36">
        <f>IF('Enrollment Census'!A10="","",TRIM('Enrollment Census'!A10&amp;""))</f>
        <v/>
      </c>
      <c r="B10" s="36">
        <f>IF('Enrollment Census'!B10="","",TRIM('Enrollment Census'!B10&amp;""))</f>
        <v/>
      </c>
      <c r="C10" s="37">
        <f>IF('Enrollment Census'!C10="","",TRIM('Enrollment Census'!C10&amp;""))</f>
        <v/>
      </c>
      <c r="D10" s="37">
        <f>IF('Enrollment Census'!D10="","",TRIM('Enrollment Census'!D10&amp;""))</f>
        <v/>
      </c>
      <c r="E10" s="36">
        <f>IF('Enrollment Census'!E10="","",TRIM('Enrollment Census'!E10&amp;""))</f>
        <v/>
      </c>
      <c r="F10" s="37">
        <f>IF('Enrollment Census'!F10="","",TRIM('Enrollment Census'!F10&amp;""))</f>
        <v/>
      </c>
      <c r="G10" s="37">
        <f>IF('Enrollment Census'!G10="","",TRIM('Enrollment Census'!G10&amp;""))</f>
        <v/>
      </c>
      <c r="H10" s="37">
        <f>IF('Enrollment Census'!H10="","",TRIM('Enrollment Census'!H10&amp;""))</f>
        <v/>
      </c>
      <c r="I10" s="36">
        <f>IF('Enrollment Census'!I10="","",TRIM('Enrollment Census'!I10&amp;""))</f>
        <v/>
      </c>
      <c r="J10" s="36">
        <f>IF('Enrollment Census'!J10="","",TRIM('Enrollment Census'!J10&amp;""))</f>
        <v/>
      </c>
      <c r="K10" s="36">
        <f>IF('Enrollment Census'!K10="","",TRIM('Enrollment Census'!K10&amp;""))</f>
        <v/>
      </c>
      <c r="L10" s="38">
        <f>IF('Enrollment Census'!L10="","",'Enrollment Census'!L10)</f>
        <v/>
      </c>
      <c r="M10" s="36">
        <f>IF('Enrollment Census'!M10="","",TRIM('Enrollment Census'!M10&amp;""))</f>
        <v/>
      </c>
      <c r="N10" s="36">
        <f>IF('Enrollment Census'!N10="","",LOWER(TRIM('Enrollment Census'!N10&amp;"")))</f>
        <v/>
      </c>
      <c r="O10" s="36">
        <f>IF('Enrollment Census'!O10="","",TRIM('Enrollment Census'!O10&amp;""))</f>
        <v/>
      </c>
      <c r="P10" s="38">
        <f>IF('Enrollment Census'!P10="","",'Enrollment Census'!P10)</f>
        <v/>
      </c>
      <c r="Q10" s="38">
        <f>IF('Enrollment Census'!Q10="","",'Enrollment Census'!Q10)</f>
        <v/>
      </c>
      <c r="R10" s="36">
        <f>IF('Enrollment Census'!R10="","",TRIM('Enrollment Census'!R10&amp;""))</f>
        <v/>
      </c>
      <c r="S10" s="36">
        <f>IF('Enrollment Census'!S10="","",TRIM('Enrollment Census'!S10&amp;""))</f>
        <v/>
      </c>
      <c r="T10" s="36">
        <f>IF('Enrollment Census'!T10="","",TRIM('Enrollment Census'!T10&amp;""))</f>
        <v/>
      </c>
      <c r="U10" s="39">
        <f>IF('Enrollment Census'!U10="","",'Enrollment Census'!U10)</f>
        <v/>
      </c>
    </row>
    <row r="11">
      <c r="A11" s="36">
        <f>IF('Enrollment Census'!A11="","",TRIM('Enrollment Census'!A11&amp;""))</f>
        <v/>
      </c>
      <c r="B11" s="36">
        <f>IF('Enrollment Census'!B11="","",TRIM('Enrollment Census'!B11&amp;""))</f>
        <v/>
      </c>
      <c r="C11" s="37">
        <f>IF('Enrollment Census'!C11="","",TRIM('Enrollment Census'!C11&amp;""))</f>
        <v/>
      </c>
      <c r="D11" s="37">
        <f>IF('Enrollment Census'!D11="","",TRIM('Enrollment Census'!D11&amp;""))</f>
        <v/>
      </c>
      <c r="E11" s="36">
        <f>IF('Enrollment Census'!E11="","",TRIM('Enrollment Census'!E11&amp;""))</f>
        <v/>
      </c>
      <c r="F11" s="37">
        <f>IF('Enrollment Census'!F11="","",TRIM('Enrollment Census'!F11&amp;""))</f>
        <v/>
      </c>
      <c r="G11" s="37">
        <f>IF('Enrollment Census'!G11="","",TRIM('Enrollment Census'!G11&amp;""))</f>
        <v/>
      </c>
      <c r="H11" s="37">
        <f>IF('Enrollment Census'!H11="","",TRIM('Enrollment Census'!H11&amp;""))</f>
        <v/>
      </c>
      <c r="I11" s="36">
        <f>IF('Enrollment Census'!I11="","",TRIM('Enrollment Census'!I11&amp;""))</f>
        <v/>
      </c>
      <c r="J11" s="36">
        <f>IF('Enrollment Census'!J11="","",TRIM('Enrollment Census'!J11&amp;""))</f>
        <v/>
      </c>
      <c r="K11" s="36">
        <f>IF('Enrollment Census'!K11="","",TRIM('Enrollment Census'!K11&amp;""))</f>
        <v/>
      </c>
      <c r="L11" s="38">
        <f>IF('Enrollment Census'!L11="","",'Enrollment Census'!L11)</f>
        <v/>
      </c>
      <c r="M11" s="36">
        <f>IF('Enrollment Census'!M11="","",TRIM('Enrollment Census'!M11&amp;""))</f>
        <v/>
      </c>
      <c r="N11" s="36">
        <f>IF('Enrollment Census'!N11="","",LOWER(TRIM('Enrollment Census'!N11&amp;"")))</f>
        <v/>
      </c>
      <c r="O11" s="36">
        <f>IF('Enrollment Census'!O11="","",TRIM('Enrollment Census'!O11&amp;""))</f>
        <v/>
      </c>
      <c r="P11" s="38">
        <f>IF('Enrollment Census'!P11="","",'Enrollment Census'!P11)</f>
        <v/>
      </c>
      <c r="Q11" s="38">
        <f>IF('Enrollment Census'!Q11="","",'Enrollment Census'!Q11)</f>
        <v/>
      </c>
      <c r="R11" s="36">
        <f>IF('Enrollment Census'!R11="","",TRIM('Enrollment Census'!R11&amp;""))</f>
        <v/>
      </c>
      <c r="S11" s="36">
        <f>IF('Enrollment Census'!S11="","",TRIM('Enrollment Census'!S11&amp;""))</f>
        <v/>
      </c>
      <c r="T11" s="36">
        <f>IF('Enrollment Census'!T11="","",TRIM('Enrollment Census'!T11&amp;""))</f>
        <v/>
      </c>
      <c r="U11" s="39">
        <f>IF('Enrollment Census'!U11="","",'Enrollment Census'!U11)</f>
        <v/>
      </c>
    </row>
    <row r="12">
      <c r="A12" s="36">
        <f>IF('Enrollment Census'!A12="","",TRIM('Enrollment Census'!A12&amp;""))</f>
        <v/>
      </c>
      <c r="B12" s="36">
        <f>IF('Enrollment Census'!B12="","",TRIM('Enrollment Census'!B12&amp;""))</f>
        <v/>
      </c>
      <c r="C12" s="37">
        <f>IF('Enrollment Census'!C12="","",TRIM('Enrollment Census'!C12&amp;""))</f>
        <v/>
      </c>
      <c r="D12" s="37">
        <f>IF('Enrollment Census'!D12="","",TRIM('Enrollment Census'!D12&amp;""))</f>
        <v/>
      </c>
      <c r="E12" s="36">
        <f>IF('Enrollment Census'!E12="","",TRIM('Enrollment Census'!E12&amp;""))</f>
        <v/>
      </c>
      <c r="F12" s="37">
        <f>IF('Enrollment Census'!F12="","",TRIM('Enrollment Census'!F12&amp;""))</f>
        <v/>
      </c>
      <c r="G12" s="37">
        <f>IF('Enrollment Census'!G12="","",TRIM('Enrollment Census'!G12&amp;""))</f>
        <v/>
      </c>
      <c r="H12" s="37">
        <f>IF('Enrollment Census'!H12="","",TRIM('Enrollment Census'!H12&amp;""))</f>
        <v/>
      </c>
      <c r="I12" s="36">
        <f>IF('Enrollment Census'!I12="","",TRIM('Enrollment Census'!I12&amp;""))</f>
        <v/>
      </c>
      <c r="J12" s="36">
        <f>IF('Enrollment Census'!J12="","",TRIM('Enrollment Census'!J12&amp;""))</f>
        <v/>
      </c>
      <c r="K12" s="36">
        <f>IF('Enrollment Census'!K12="","",TRIM('Enrollment Census'!K12&amp;""))</f>
        <v/>
      </c>
      <c r="L12" s="38">
        <f>IF('Enrollment Census'!L12="","",'Enrollment Census'!L12)</f>
        <v/>
      </c>
      <c r="M12" s="36">
        <f>IF('Enrollment Census'!M12="","",TRIM('Enrollment Census'!M12&amp;""))</f>
        <v/>
      </c>
      <c r="N12" s="36">
        <f>IF('Enrollment Census'!N12="","",LOWER(TRIM('Enrollment Census'!N12&amp;"")))</f>
        <v/>
      </c>
      <c r="O12" s="36">
        <f>IF('Enrollment Census'!O12="","",TRIM('Enrollment Census'!O12&amp;""))</f>
        <v/>
      </c>
      <c r="P12" s="38">
        <f>IF('Enrollment Census'!P12="","",'Enrollment Census'!P12)</f>
        <v/>
      </c>
      <c r="Q12" s="38">
        <f>IF('Enrollment Census'!Q12="","",'Enrollment Census'!Q12)</f>
        <v/>
      </c>
      <c r="R12" s="36">
        <f>IF('Enrollment Census'!R12="","",TRIM('Enrollment Census'!R12&amp;""))</f>
        <v/>
      </c>
      <c r="S12" s="36">
        <f>IF('Enrollment Census'!S12="","",TRIM('Enrollment Census'!S12&amp;""))</f>
        <v/>
      </c>
      <c r="T12" s="36">
        <f>IF('Enrollment Census'!T12="","",TRIM('Enrollment Census'!T12&amp;""))</f>
        <v/>
      </c>
      <c r="U12" s="39">
        <f>IF('Enrollment Census'!U12="","",'Enrollment Census'!U12)</f>
        <v/>
      </c>
    </row>
    <row r="13">
      <c r="A13" s="36">
        <f>IF('Enrollment Census'!A13="","",TRIM('Enrollment Census'!A13&amp;""))</f>
        <v/>
      </c>
      <c r="B13" s="36">
        <f>IF('Enrollment Census'!B13="","",TRIM('Enrollment Census'!B13&amp;""))</f>
        <v/>
      </c>
      <c r="C13" s="37">
        <f>IF('Enrollment Census'!C13="","",TRIM('Enrollment Census'!C13&amp;""))</f>
        <v/>
      </c>
      <c r="D13" s="37">
        <f>IF('Enrollment Census'!D13="","",TRIM('Enrollment Census'!D13&amp;""))</f>
        <v/>
      </c>
      <c r="E13" s="36">
        <f>IF('Enrollment Census'!E13="","",TRIM('Enrollment Census'!E13&amp;""))</f>
        <v/>
      </c>
      <c r="F13" s="37">
        <f>IF('Enrollment Census'!F13="","",TRIM('Enrollment Census'!F13&amp;""))</f>
        <v/>
      </c>
      <c r="G13" s="37">
        <f>IF('Enrollment Census'!G13="","",TRIM('Enrollment Census'!G13&amp;""))</f>
        <v/>
      </c>
      <c r="H13" s="37">
        <f>IF('Enrollment Census'!H13="","",TRIM('Enrollment Census'!H13&amp;""))</f>
        <v/>
      </c>
      <c r="I13" s="36">
        <f>IF('Enrollment Census'!I13="","",TRIM('Enrollment Census'!I13&amp;""))</f>
        <v/>
      </c>
      <c r="J13" s="36">
        <f>IF('Enrollment Census'!J13="","",TRIM('Enrollment Census'!J13&amp;""))</f>
        <v/>
      </c>
      <c r="K13" s="36">
        <f>IF('Enrollment Census'!K13="","",TRIM('Enrollment Census'!K13&amp;""))</f>
        <v/>
      </c>
      <c r="L13" s="38">
        <f>IF('Enrollment Census'!L13="","",'Enrollment Census'!L13)</f>
        <v/>
      </c>
      <c r="M13" s="36">
        <f>IF('Enrollment Census'!M13="","",TRIM('Enrollment Census'!M13&amp;""))</f>
        <v/>
      </c>
      <c r="N13" s="36">
        <f>IF('Enrollment Census'!N13="","",LOWER(TRIM('Enrollment Census'!N13&amp;"")))</f>
        <v/>
      </c>
      <c r="O13" s="36">
        <f>IF('Enrollment Census'!O13="","",TRIM('Enrollment Census'!O13&amp;""))</f>
        <v/>
      </c>
      <c r="P13" s="38">
        <f>IF('Enrollment Census'!P13="","",'Enrollment Census'!P13)</f>
        <v/>
      </c>
      <c r="Q13" s="38">
        <f>IF('Enrollment Census'!Q13="","",'Enrollment Census'!Q13)</f>
        <v/>
      </c>
      <c r="R13" s="36">
        <f>IF('Enrollment Census'!R13="","",TRIM('Enrollment Census'!R13&amp;""))</f>
        <v/>
      </c>
      <c r="S13" s="36">
        <f>IF('Enrollment Census'!S13="","",TRIM('Enrollment Census'!S13&amp;""))</f>
        <v/>
      </c>
      <c r="T13" s="36">
        <f>IF('Enrollment Census'!T13="","",TRIM('Enrollment Census'!T13&amp;""))</f>
        <v/>
      </c>
      <c r="U13" s="39">
        <f>IF('Enrollment Census'!U13="","",'Enrollment Census'!U13)</f>
        <v/>
      </c>
    </row>
    <row r="14">
      <c r="A14" s="36">
        <f>IF('Enrollment Census'!A14="","",TRIM('Enrollment Census'!A14&amp;""))</f>
        <v/>
      </c>
      <c r="B14" s="36">
        <f>IF('Enrollment Census'!B14="","",TRIM('Enrollment Census'!B14&amp;""))</f>
        <v/>
      </c>
      <c r="C14" s="37">
        <f>IF('Enrollment Census'!C14="","",TRIM('Enrollment Census'!C14&amp;""))</f>
        <v/>
      </c>
      <c r="D14" s="37">
        <f>IF('Enrollment Census'!D14="","",TRIM('Enrollment Census'!D14&amp;""))</f>
        <v/>
      </c>
      <c r="E14" s="36">
        <f>IF('Enrollment Census'!E14="","",TRIM('Enrollment Census'!E14&amp;""))</f>
        <v/>
      </c>
      <c r="F14" s="37">
        <f>IF('Enrollment Census'!F14="","",TRIM('Enrollment Census'!F14&amp;""))</f>
        <v/>
      </c>
      <c r="G14" s="37">
        <f>IF('Enrollment Census'!G14="","",TRIM('Enrollment Census'!G14&amp;""))</f>
        <v/>
      </c>
      <c r="H14" s="37">
        <f>IF('Enrollment Census'!H14="","",TRIM('Enrollment Census'!H14&amp;""))</f>
        <v/>
      </c>
      <c r="I14" s="36">
        <f>IF('Enrollment Census'!I14="","",TRIM('Enrollment Census'!I14&amp;""))</f>
        <v/>
      </c>
      <c r="J14" s="36">
        <f>IF('Enrollment Census'!J14="","",TRIM('Enrollment Census'!J14&amp;""))</f>
        <v/>
      </c>
      <c r="K14" s="36">
        <f>IF('Enrollment Census'!K14="","",TRIM('Enrollment Census'!K14&amp;""))</f>
        <v/>
      </c>
      <c r="L14" s="38">
        <f>IF('Enrollment Census'!L14="","",'Enrollment Census'!L14)</f>
        <v/>
      </c>
      <c r="M14" s="36">
        <f>IF('Enrollment Census'!M14="","",TRIM('Enrollment Census'!M14&amp;""))</f>
        <v/>
      </c>
      <c r="N14" s="36">
        <f>IF('Enrollment Census'!N14="","",LOWER(TRIM('Enrollment Census'!N14&amp;"")))</f>
        <v/>
      </c>
      <c r="O14" s="36">
        <f>IF('Enrollment Census'!O14="","",TRIM('Enrollment Census'!O14&amp;""))</f>
        <v/>
      </c>
      <c r="P14" s="38">
        <f>IF('Enrollment Census'!P14="","",'Enrollment Census'!P14)</f>
        <v/>
      </c>
      <c r="Q14" s="38">
        <f>IF('Enrollment Census'!Q14="","",'Enrollment Census'!Q14)</f>
        <v/>
      </c>
      <c r="R14" s="36">
        <f>IF('Enrollment Census'!R14="","",TRIM('Enrollment Census'!R14&amp;""))</f>
        <v/>
      </c>
      <c r="S14" s="36">
        <f>IF('Enrollment Census'!S14="","",TRIM('Enrollment Census'!S14&amp;""))</f>
        <v/>
      </c>
      <c r="T14" s="36">
        <f>IF('Enrollment Census'!T14="","",TRIM('Enrollment Census'!T14&amp;""))</f>
        <v/>
      </c>
      <c r="U14" s="39">
        <f>IF('Enrollment Census'!U14="","",'Enrollment Census'!U14)</f>
        <v/>
      </c>
    </row>
    <row r="15">
      <c r="A15" s="36">
        <f>IF('Enrollment Census'!A15="","",TRIM('Enrollment Census'!A15&amp;""))</f>
        <v/>
      </c>
      <c r="B15" s="36">
        <f>IF('Enrollment Census'!B15="","",TRIM('Enrollment Census'!B15&amp;""))</f>
        <v/>
      </c>
      <c r="C15" s="37">
        <f>IF('Enrollment Census'!C15="","",TRIM('Enrollment Census'!C15&amp;""))</f>
        <v/>
      </c>
      <c r="D15" s="37">
        <f>IF('Enrollment Census'!D15="","",TRIM('Enrollment Census'!D15&amp;""))</f>
        <v/>
      </c>
      <c r="E15" s="36">
        <f>IF('Enrollment Census'!E15="","",TRIM('Enrollment Census'!E15&amp;""))</f>
        <v/>
      </c>
      <c r="F15" s="37">
        <f>IF('Enrollment Census'!F15="","",TRIM('Enrollment Census'!F15&amp;""))</f>
        <v/>
      </c>
      <c r="G15" s="37">
        <f>IF('Enrollment Census'!G15="","",TRIM('Enrollment Census'!G15&amp;""))</f>
        <v/>
      </c>
      <c r="H15" s="37">
        <f>IF('Enrollment Census'!H15="","",TRIM('Enrollment Census'!H15&amp;""))</f>
        <v/>
      </c>
      <c r="I15" s="36">
        <f>IF('Enrollment Census'!I15="","",TRIM('Enrollment Census'!I15&amp;""))</f>
        <v/>
      </c>
      <c r="J15" s="36">
        <f>IF('Enrollment Census'!J15="","",TRIM('Enrollment Census'!J15&amp;""))</f>
        <v/>
      </c>
      <c r="K15" s="36">
        <f>IF('Enrollment Census'!K15="","",TRIM('Enrollment Census'!K15&amp;""))</f>
        <v/>
      </c>
      <c r="L15" s="38">
        <f>IF('Enrollment Census'!L15="","",'Enrollment Census'!L15)</f>
        <v/>
      </c>
      <c r="M15" s="36">
        <f>IF('Enrollment Census'!M15="","",TRIM('Enrollment Census'!M15&amp;""))</f>
        <v/>
      </c>
      <c r="N15" s="36">
        <f>IF('Enrollment Census'!N15="","",LOWER(TRIM('Enrollment Census'!N15&amp;"")))</f>
        <v/>
      </c>
      <c r="O15" s="36">
        <f>IF('Enrollment Census'!O15="","",TRIM('Enrollment Census'!O15&amp;""))</f>
        <v/>
      </c>
      <c r="P15" s="38">
        <f>IF('Enrollment Census'!P15="","",'Enrollment Census'!P15)</f>
        <v/>
      </c>
      <c r="Q15" s="38">
        <f>IF('Enrollment Census'!Q15="","",'Enrollment Census'!Q15)</f>
        <v/>
      </c>
      <c r="R15" s="36">
        <f>IF('Enrollment Census'!R15="","",TRIM('Enrollment Census'!R15&amp;""))</f>
        <v/>
      </c>
      <c r="S15" s="36">
        <f>IF('Enrollment Census'!S15="","",TRIM('Enrollment Census'!S15&amp;""))</f>
        <v/>
      </c>
      <c r="T15" s="36">
        <f>IF('Enrollment Census'!T15="","",TRIM('Enrollment Census'!T15&amp;""))</f>
        <v/>
      </c>
      <c r="U15" s="39">
        <f>IF('Enrollment Census'!U15="","",'Enrollment Census'!U15)</f>
        <v/>
      </c>
    </row>
    <row r="16">
      <c r="A16" s="36">
        <f>IF('Enrollment Census'!A16="","",TRIM('Enrollment Census'!A16&amp;""))</f>
        <v/>
      </c>
      <c r="B16" s="36">
        <f>IF('Enrollment Census'!B16="","",TRIM('Enrollment Census'!B16&amp;""))</f>
        <v/>
      </c>
      <c r="C16" s="37">
        <f>IF('Enrollment Census'!C16="","",TRIM('Enrollment Census'!C16&amp;""))</f>
        <v/>
      </c>
      <c r="D16" s="37">
        <f>IF('Enrollment Census'!D16="","",TRIM('Enrollment Census'!D16&amp;""))</f>
        <v/>
      </c>
      <c r="E16" s="36">
        <f>IF('Enrollment Census'!E16="","",TRIM('Enrollment Census'!E16&amp;""))</f>
        <v/>
      </c>
      <c r="F16" s="37">
        <f>IF('Enrollment Census'!F16="","",TRIM('Enrollment Census'!F16&amp;""))</f>
        <v/>
      </c>
      <c r="G16" s="37">
        <f>IF('Enrollment Census'!G16="","",TRIM('Enrollment Census'!G16&amp;""))</f>
        <v/>
      </c>
      <c r="H16" s="37">
        <f>IF('Enrollment Census'!H16="","",TRIM('Enrollment Census'!H16&amp;""))</f>
        <v/>
      </c>
      <c r="I16" s="36">
        <f>IF('Enrollment Census'!I16="","",TRIM('Enrollment Census'!I16&amp;""))</f>
        <v/>
      </c>
      <c r="J16" s="36">
        <f>IF('Enrollment Census'!J16="","",TRIM('Enrollment Census'!J16&amp;""))</f>
        <v/>
      </c>
      <c r="K16" s="36">
        <f>IF('Enrollment Census'!K16="","",TRIM('Enrollment Census'!K16&amp;""))</f>
        <v/>
      </c>
      <c r="L16" s="38">
        <f>IF('Enrollment Census'!L16="","",'Enrollment Census'!L16)</f>
        <v/>
      </c>
      <c r="M16" s="36">
        <f>IF('Enrollment Census'!M16="","",TRIM('Enrollment Census'!M16&amp;""))</f>
        <v/>
      </c>
      <c r="N16" s="36">
        <f>IF('Enrollment Census'!N16="","",LOWER(TRIM('Enrollment Census'!N16&amp;"")))</f>
        <v/>
      </c>
      <c r="O16" s="36">
        <f>IF('Enrollment Census'!O16="","",TRIM('Enrollment Census'!O16&amp;""))</f>
        <v/>
      </c>
      <c r="P16" s="38">
        <f>IF('Enrollment Census'!P16="","",'Enrollment Census'!P16)</f>
        <v/>
      </c>
      <c r="Q16" s="38">
        <f>IF('Enrollment Census'!Q16="","",'Enrollment Census'!Q16)</f>
        <v/>
      </c>
      <c r="R16" s="36">
        <f>IF('Enrollment Census'!R16="","",TRIM('Enrollment Census'!R16&amp;""))</f>
        <v/>
      </c>
      <c r="S16" s="36">
        <f>IF('Enrollment Census'!S16="","",TRIM('Enrollment Census'!S16&amp;""))</f>
        <v/>
      </c>
      <c r="T16" s="36">
        <f>IF('Enrollment Census'!T16="","",TRIM('Enrollment Census'!T16&amp;""))</f>
        <v/>
      </c>
      <c r="U16" s="39">
        <f>IF('Enrollment Census'!U16="","",'Enrollment Census'!U16)</f>
        <v/>
      </c>
    </row>
    <row r="17">
      <c r="A17" s="36">
        <f>IF('Enrollment Census'!A17="","",TRIM('Enrollment Census'!A17&amp;""))</f>
        <v/>
      </c>
      <c r="B17" s="36">
        <f>IF('Enrollment Census'!B17="","",TRIM('Enrollment Census'!B17&amp;""))</f>
        <v/>
      </c>
      <c r="C17" s="37">
        <f>IF('Enrollment Census'!C17="","",TRIM('Enrollment Census'!C17&amp;""))</f>
        <v/>
      </c>
      <c r="D17" s="37">
        <f>IF('Enrollment Census'!D17="","",TRIM('Enrollment Census'!D17&amp;""))</f>
        <v/>
      </c>
      <c r="E17" s="36">
        <f>IF('Enrollment Census'!E17="","",TRIM('Enrollment Census'!E17&amp;""))</f>
        <v/>
      </c>
      <c r="F17" s="37">
        <f>IF('Enrollment Census'!F17="","",TRIM('Enrollment Census'!F17&amp;""))</f>
        <v/>
      </c>
      <c r="G17" s="37">
        <f>IF('Enrollment Census'!G17="","",TRIM('Enrollment Census'!G17&amp;""))</f>
        <v/>
      </c>
      <c r="H17" s="37">
        <f>IF('Enrollment Census'!H17="","",TRIM('Enrollment Census'!H17&amp;""))</f>
        <v/>
      </c>
      <c r="I17" s="36">
        <f>IF('Enrollment Census'!I17="","",TRIM('Enrollment Census'!I17&amp;""))</f>
        <v/>
      </c>
      <c r="J17" s="36">
        <f>IF('Enrollment Census'!J17="","",TRIM('Enrollment Census'!J17&amp;""))</f>
        <v/>
      </c>
      <c r="K17" s="36">
        <f>IF('Enrollment Census'!K17="","",TRIM('Enrollment Census'!K17&amp;""))</f>
        <v/>
      </c>
      <c r="L17" s="38">
        <f>IF('Enrollment Census'!L17="","",'Enrollment Census'!L17)</f>
        <v/>
      </c>
      <c r="M17" s="36">
        <f>IF('Enrollment Census'!M17="","",TRIM('Enrollment Census'!M17&amp;""))</f>
        <v/>
      </c>
      <c r="N17" s="36">
        <f>IF('Enrollment Census'!N17="","",LOWER(TRIM('Enrollment Census'!N17&amp;"")))</f>
        <v/>
      </c>
      <c r="O17" s="36">
        <f>IF('Enrollment Census'!O17="","",TRIM('Enrollment Census'!O17&amp;""))</f>
        <v/>
      </c>
      <c r="P17" s="38">
        <f>IF('Enrollment Census'!P17="","",'Enrollment Census'!P17)</f>
        <v/>
      </c>
      <c r="Q17" s="38">
        <f>IF('Enrollment Census'!Q17="","",'Enrollment Census'!Q17)</f>
        <v/>
      </c>
      <c r="R17" s="36">
        <f>IF('Enrollment Census'!R17="","",TRIM('Enrollment Census'!R17&amp;""))</f>
        <v/>
      </c>
      <c r="S17" s="36">
        <f>IF('Enrollment Census'!S17="","",TRIM('Enrollment Census'!S17&amp;""))</f>
        <v/>
      </c>
      <c r="T17" s="36">
        <f>IF('Enrollment Census'!T17="","",TRIM('Enrollment Census'!T17&amp;""))</f>
        <v/>
      </c>
      <c r="U17" s="39">
        <f>IF('Enrollment Census'!U17="","",'Enrollment Census'!U17)</f>
        <v/>
      </c>
    </row>
    <row r="18">
      <c r="A18" s="36">
        <f>IF('Enrollment Census'!A18="","",TRIM('Enrollment Census'!A18&amp;""))</f>
        <v/>
      </c>
      <c r="B18" s="36">
        <f>IF('Enrollment Census'!B18="","",TRIM('Enrollment Census'!B18&amp;""))</f>
        <v/>
      </c>
      <c r="C18" s="37">
        <f>IF('Enrollment Census'!C18="","",TRIM('Enrollment Census'!C18&amp;""))</f>
        <v/>
      </c>
      <c r="D18" s="37">
        <f>IF('Enrollment Census'!D18="","",TRIM('Enrollment Census'!D18&amp;""))</f>
        <v/>
      </c>
      <c r="E18" s="36">
        <f>IF('Enrollment Census'!E18="","",TRIM('Enrollment Census'!E18&amp;""))</f>
        <v/>
      </c>
      <c r="F18" s="37">
        <f>IF('Enrollment Census'!F18="","",TRIM('Enrollment Census'!F18&amp;""))</f>
        <v/>
      </c>
      <c r="G18" s="37">
        <f>IF('Enrollment Census'!G18="","",TRIM('Enrollment Census'!G18&amp;""))</f>
        <v/>
      </c>
      <c r="H18" s="37">
        <f>IF('Enrollment Census'!H18="","",TRIM('Enrollment Census'!H18&amp;""))</f>
        <v/>
      </c>
      <c r="I18" s="36">
        <f>IF('Enrollment Census'!I18="","",TRIM('Enrollment Census'!I18&amp;""))</f>
        <v/>
      </c>
      <c r="J18" s="36">
        <f>IF('Enrollment Census'!J18="","",TRIM('Enrollment Census'!J18&amp;""))</f>
        <v/>
      </c>
      <c r="K18" s="36">
        <f>IF('Enrollment Census'!K18="","",TRIM('Enrollment Census'!K18&amp;""))</f>
        <v/>
      </c>
      <c r="L18" s="38">
        <f>IF('Enrollment Census'!L18="","",'Enrollment Census'!L18)</f>
        <v/>
      </c>
      <c r="M18" s="36">
        <f>IF('Enrollment Census'!M18="","",TRIM('Enrollment Census'!M18&amp;""))</f>
        <v/>
      </c>
      <c r="N18" s="36">
        <f>IF('Enrollment Census'!N18="","",LOWER(TRIM('Enrollment Census'!N18&amp;"")))</f>
        <v/>
      </c>
      <c r="O18" s="36">
        <f>IF('Enrollment Census'!O18="","",TRIM('Enrollment Census'!O18&amp;""))</f>
        <v/>
      </c>
      <c r="P18" s="38">
        <f>IF('Enrollment Census'!P18="","",'Enrollment Census'!P18)</f>
        <v/>
      </c>
      <c r="Q18" s="38">
        <f>IF('Enrollment Census'!Q18="","",'Enrollment Census'!Q18)</f>
        <v/>
      </c>
      <c r="R18" s="36">
        <f>IF('Enrollment Census'!R18="","",TRIM('Enrollment Census'!R18&amp;""))</f>
        <v/>
      </c>
      <c r="S18" s="36">
        <f>IF('Enrollment Census'!S18="","",TRIM('Enrollment Census'!S18&amp;""))</f>
        <v/>
      </c>
      <c r="T18" s="36">
        <f>IF('Enrollment Census'!T18="","",TRIM('Enrollment Census'!T18&amp;""))</f>
        <v/>
      </c>
      <c r="U18" s="39">
        <f>IF('Enrollment Census'!U18="","",'Enrollment Census'!U18)</f>
        <v/>
      </c>
    </row>
    <row r="19">
      <c r="A19" s="36">
        <f>IF('Enrollment Census'!A19="","",TRIM('Enrollment Census'!A19&amp;""))</f>
        <v/>
      </c>
      <c r="B19" s="36">
        <f>IF('Enrollment Census'!B19="","",TRIM('Enrollment Census'!B19&amp;""))</f>
        <v/>
      </c>
      <c r="C19" s="37">
        <f>IF('Enrollment Census'!C19="","",TRIM('Enrollment Census'!C19&amp;""))</f>
        <v/>
      </c>
      <c r="D19" s="37">
        <f>IF('Enrollment Census'!D19="","",TRIM('Enrollment Census'!D19&amp;""))</f>
        <v/>
      </c>
      <c r="E19" s="36">
        <f>IF('Enrollment Census'!E19="","",TRIM('Enrollment Census'!E19&amp;""))</f>
        <v/>
      </c>
      <c r="F19" s="37">
        <f>IF('Enrollment Census'!F19="","",TRIM('Enrollment Census'!F19&amp;""))</f>
        <v/>
      </c>
      <c r="G19" s="37">
        <f>IF('Enrollment Census'!G19="","",TRIM('Enrollment Census'!G19&amp;""))</f>
        <v/>
      </c>
      <c r="H19" s="37">
        <f>IF('Enrollment Census'!H19="","",TRIM('Enrollment Census'!H19&amp;""))</f>
        <v/>
      </c>
      <c r="I19" s="36">
        <f>IF('Enrollment Census'!I19="","",TRIM('Enrollment Census'!I19&amp;""))</f>
        <v/>
      </c>
      <c r="J19" s="36">
        <f>IF('Enrollment Census'!J19="","",TRIM('Enrollment Census'!J19&amp;""))</f>
        <v/>
      </c>
      <c r="K19" s="36">
        <f>IF('Enrollment Census'!K19="","",TRIM('Enrollment Census'!K19&amp;""))</f>
        <v/>
      </c>
      <c r="L19" s="38">
        <f>IF('Enrollment Census'!L19="","",'Enrollment Census'!L19)</f>
        <v/>
      </c>
      <c r="M19" s="36">
        <f>IF('Enrollment Census'!M19="","",TRIM('Enrollment Census'!M19&amp;""))</f>
        <v/>
      </c>
      <c r="N19" s="36">
        <f>IF('Enrollment Census'!N19="","",LOWER(TRIM('Enrollment Census'!N19&amp;"")))</f>
        <v/>
      </c>
      <c r="O19" s="36">
        <f>IF('Enrollment Census'!O19="","",TRIM('Enrollment Census'!O19&amp;""))</f>
        <v/>
      </c>
      <c r="P19" s="38">
        <f>IF('Enrollment Census'!P19="","",'Enrollment Census'!P19)</f>
        <v/>
      </c>
      <c r="Q19" s="38">
        <f>IF('Enrollment Census'!Q19="","",'Enrollment Census'!Q19)</f>
        <v/>
      </c>
      <c r="R19" s="36">
        <f>IF('Enrollment Census'!R19="","",TRIM('Enrollment Census'!R19&amp;""))</f>
        <v/>
      </c>
      <c r="S19" s="36">
        <f>IF('Enrollment Census'!S19="","",TRIM('Enrollment Census'!S19&amp;""))</f>
        <v/>
      </c>
      <c r="T19" s="36">
        <f>IF('Enrollment Census'!T19="","",TRIM('Enrollment Census'!T19&amp;""))</f>
        <v/>
      </c>
      <c r="U19" s="39">
        <f>IF('Enrollment Census'!U19="","",'Enrollment Census'!U19)</f>
        <v/>
      </c>
    </row>
    <row r="20">
      <c r="A20" s="36">
        <f>IF('Enrollment Census'!A20="","",TRIM('Enrollment Census'!A20&amp;""))</f>
        <v/>
      </c>
      <c r="B20" s="36">
        <f>IF('Enrollment Census'!B20="","",TRIM('Enrollment Census'!B20&amp;""))</f>
        <v/>
      </c>
      <c r="C20" s="37">
        <f>IF('Enrollment Census'!C20="","",TRIM('Enrollment Census'!C20&amp;""))</f>
        <v/>
      </c>
      <c r="D20" s="37">
        <f>IF('Enrollment Census'!D20="","",TRIM('Enrollment Census'!D20&amp;""))</f>
        <v/>
      </c>
      <c r="E20" s="36">
        <f>IF('Enrollment Census'!E20="","",TRIM('Enrollment Census'!E20&amp;""))</f>
        <v/>
      </c>
      <c r="F20" s="37">
        <f>IF('Enrollment Census'!F20="","",TRIM('Enrollment Census'!F20&amp;""))</f>
        <v/>
      </c>
      <c r="G20" s="37">
        <f>IF('Enrollment Census'!G20="","",TRIM('Enrollment Census'!G20&amp;""))</f>
        <v/>
      </c>
      <c r="H20" s="37">
        <f>IF('Enrollment Census'!H20="","",TRIM('Enrollment Census'!H20&amp;""))</f>
        <v/>
      </c>
      <c r="I20" s="36">
        <f>IF('Enrollment Census'!I20="","",TRIM('Enrollment Census'!I20&amp;""))</f>
        <v/>
      </c>
      <c r="J20" s="36">
        <f>IF('Enrollment Census'!J20="","",TRIM('Enrollment Census'!J20&amp;""))</f>
        <v/>
      </c>
      <c r="K20" s="36">
        <f>IF('Enrollment Census'!K20="","",TRIM('Enrollment Census'!K20&amp;""))</f>
        <v/>
      </c>
      <c r="L20" s="38">
        <f>IF('Enrollment Census'!L20="","",'Enrollment Census'!L20)</f>
        <v/>
      </c>
      <c r="M20" s="36">
        <f>IF('Enrollment Census'!M20="","",TRIM('Enrollment Census'!M20&amp;""))</f>
        <v/>
      </c>
      <c r="N20" s="36">
        <f>IF('Enrollment Census'!N20="","",LOWER(TRIM('Enrollment Census'!N20&amp;"")))</f>
        <v/>
      </c>
      <c r="O20" s="36">
        <f>IF('Enrollment Census'!O20="","",TRIM('Enrollment Census'!O20&amp;""))</f>
        <v/>
      </c>
      <c r="P20" s="38">
        <f>IF('Enrollment Census'!P20="","",'Enrollment Census'!P20)</f>
        <v/>
      </c>
      <c r="Q20" s="38">
        <f>IF('Enrollment Census'!Q20="","",'Enrollment Census'!Q20)</f>
        <v/>
      </c>
      <c r="R20" s="36">
        <f>IF('Enrollment Census'!R20="","",TRIM('Enrollment Census'!R20&amp;""))</f>
        <v/>
      </c>
      <c r="S20" s="36">
        <f>IF('Enrollment Census'!S20="","",TRIM('Enrollment Census'!S20&amp;""))</f>
        <v/>
      </c>
      <c r="T20" s="36">
        <f>IF('Enrollment Census'!T20="","",TRIM('Enrollment Census'!T20&amp;""))</f>
        <v/>
      </c>
      <c r="U20" s="39">
        <f>IF('Enrollment Census'!U20="","",'Enrollment Census'!U20)</f>
        <v/>
      </c>
    </row>
    <row r="21">
      <c r="A21" s="36">
        <f>IF('Enrollment Census'!A21="","",TRIM('Enrollment Census'!A21&amp;""))</f>
        <v/>
      </c>
      <c r="B21" s="36">
        <f>IF('Enrollment Census'!B21="","",TRIM('Enrollment Census'!B21&amp;""))</f>
        <v/>
      </c>
      <c r="C21" s="37">
        <f>IF('Enrollment Census'!C21="","",TRIM('Enrollment Census'!C21&amp;""))</f>
        <v/>
      </c>
      <c r="D21" s="37">
        <f>IF('Enrollment Census'!D21="","",TRIM('Enrollment Census'!D21&amp;""))</f>
        <v/>
      </c>
      <c r="E21" s="36">
        <f>IF('Enrollment Census'!E21="","",TRIM('Enrollment Census'!E21&amp;""))</f>
        <v/>
      </c>
      <c r="F21" s="37">
        <f>IF('Enrollment Census'!F21="","",TRIM('Enrollment Census'!F21&amp;""))</f>
        <v/>
      </c>
      <c r="G21" s="37">
        <f>IF('Enrollment Census'!G21="","",TRIM('Enrollment Census'!G21&amp;""))</f>
        <v/>
      </c>
      <c r="H21" s="37">
        <f>IF('Enrollment Census'!H21="","",TRIM('Enrollment Census'!H21&amp;""))</f>
        <v/>
      </c>
      <c r="I21" s="36">
        <f>IF('Enrollment Census'!I21="","",TRIM('Enrollment Census'!I21&amp;""))</f>
        <v/>
      </c>
      <c r="J21" s="36">
        <f>IF('Enrollment Census'!J21="","",TRIM('Enrollment Census'!J21&amp;""))</f>
        <v/>
      </c>
      <c r="K21" s="36">
        <f>IF('Enrollment Census'!K21="","",TRIM('Enrollment Census'!K21&amp;""))</f>
        <v/>
      </c>
      <c r="L21" s="38">
        <f>IF('Enrollment Census'!L21="","",'Enrollment Census'!L21)</f>
        <v/>
      </c>
      <c r="M21" s="36">
        <f>IF('Enrollment Census'!M21="","",TRIM('Enrollment Census'!M21&amp;""))</f>
        <v/>
      </c>
      <c r="N21" s="36">
        <f>IF('Enrollment Census'!N21="","",LOWER(TRIM('Enrollment Census'!N21&amp;"")))</f>
        <v/>
      </c>
      <c r="O21" s="36">
        <f>IF('Enrollment Census'!O21="","",TRIM('Enrollment Census'!O21&amp;""))</f>
        <v/>
      </c>
      <c r="P21" s="38">
        <f>IF('Enrollment Census'!P21="","",'Enrollment Census'!P21)</f>
        <v/>
      </c>
      <c r="Q21" s="38">
        <f>IF('Enrollment Census'!Q21="","",'Enrollment Census'!Q21)</f>
        <v/>
      </c>
      <c r="R21" s="36">
        <f>IF('Enrollment Census'!R21="","",TRIM('Enrollment Census'!R21&amp;""))</f>
        <v/>
      </c>
      <c r="S21" s="36">
        <f>IF('Enrollment Census'!S21="","",TRIM('Enrollment Census'!S21&amp;""))</f>
        <v/>
      </c>
      <c r="T21" s="36">
        <f>IF('Enrollment Census'!T21="","",TRIM('Enrollment Census'!T21&amp;""))</f>
        <v/>
      </c>
      <c r="U21" s="39">
        <f>IF('Enrollment Census'!U21="","",'Enrollment Census'!U21)</f>
        <v/>
      </c>
    </row>
    <row r="22">
      <c r="A22" s="36">
        <f>IF('Enrollment Census'!A22="","",TRIM('Enrollment Census'!A22&amp;""))</f>
        <v/>
      </c>
      <c r="B22" s="36">
        <f>IF('Enrollment Census'!B22="","",TRIM('Enrollment Census'!B22&amp;""))</f>
        <v/>
      </c>
      <c r="C22" s="37">
        <f>IF('Enrollment Census'!C22="","",TRIM('Enrollment Census'!C22&amp;""))</f>
        <v/>
      </c>
      <c r="D22" s="37">
        <f>IF('Enrollment Census'!D22="","",TRIM('Enrollment Census'!D22&amp;""))</f>
        <v/>
      </c>
      <c r="E22" s="36">
        <f>IF('Enrollment Census'!E22="","",TRIM('Enrollment Census'!E22&amp;""))</f>
        <v/>
      </c>
      <c r="F22" s="37">
        <f>IF('Enrollment Census'!F22="","",TRIM('Enrollment Census'!F22&amp;""))</f>
        <v/>
      </c>
      <c r="G22" s="37">
        <f>IF('Enrollment Census'!G22="","",TRIM('Enrollment Census'!G22&amp;""))</f>
        <v/>
      </c>
      <c r="H22" s="37">
        <f>IF('Enrollment Census'!H22="","",TRIM('Enrollment Census'!H22&amp;""))</f>
        <v/>
      </c>
      <c r="I22" s="36">
        <f>IF('Enrollment Census'!I22="","",TRIM('Enrollment Census'!I22&amp;""))</f>
        <v/>
      </c>
      <c r="J22" s="36">
        <f>IF('Enrollment Census'!J22="","",TRIM('Enrollment Census'!J22&amp;""))</f>
        <v/>
      </c>
      <c r="K22" s="36">
        <f>IF('Enrollment Census'!K22="","",TRIM('Enrollment Census'!K22&amp;""))</f>
        <v/>
      </c>
      <c r="L22" s="38">
        <f>IF('Enrollment Census'!L22="","",'Enrollment Census'!L22)</f>
        <v/>
      </c>
      <c r="M22" s="36">
        <f>IF('Enrollment Census'!M22="","",TRIM('Enrollment Census'!M22&amp;""))</f>
        <v/>
      </c>
      <c r="N22" s="36">
        <f>IF('Enrollment Census'!N22="","",LOWER(TRIM('Enrollment Census'!N22&amp;"")))</f>
        <v/>
      </c>
      <c r="O22" s="36">
        <f>IF('Enrollment Census'!O22="","",TRIM('Enrollment Census'!O22&amp;""))</f>
        <v/>
      </c>
      <c r="P22" s="38">
        <f>IF('Enrollment Census'!P22="","",'Enrollment Census'!P22)</f>
        <v/>
      </c>
      <c r="Q22" s="38">
        <f>IF('Enrollment Census'!Q22="","",'Enrollment Census'!Q22)</f>
        <v/>
      </c>
      <c r="R22" s="36">
        <f>IF('Enrollment Census'!R22="","",TRIM('Enrollment Census'!R22&amp;""))</f>
        <v/>
      </c>
      <c r="S22" s="36">
        <f>IF('Enrollment Census'!S22="","",TRIM('Enrollment Census'!S22&amp;""))</f>
        <v/>
      </c>
      <c r="T22" s="36">
        <f>IF('Enrollment Census'!T22="","",TRIM('Enrollment Census'!T22&amp;""))</f>
        <v/>
      </c>
      <c r="U22" s="39">
        <f>IF('Enrollment Census'!U22="","",'Enrollment Census'!U22)</f>
        <v/>
      </c>
    </row>
    <row r="23">
      <c r="A23" s="36">
        <f>IF('Enrollment Census'!A23="","",TRIM('Enrollment Census'!A23&amp;""))</f>
        <v/>
      </c>
      <c r="B23" s="36">
        <f>IF('Enrollment Census'!B23="","",TRIM('Enrollment Census'!B23&amp;""))</f>
        <v/>
      </c>
      <c r="C23" s="37">
        <f>IF('Enrollment Census'!C23="","",TRIM('Enrollment Census'!C23&amp;""))</f>
        <v/>
      </c>
      <c r="D23" s="37">
        <f>IF('Enrollment Census'!D23="","",TRIM('Enrollment Census'!D23&amp;""))</f>
        <v/>
      </c>
      <c r="E23" s="36">
        <f>IF('Enrollment Census'!E23="","",TRIM('Enrollment Census'!E23&amp;""))</f>
        <v/>
      </c>
      <c r="F23" s="37">
        <f>IF('Enrollment Census'!F23="","",TRIM('Enrollment Census'!F23&amp;""))</f>
        <v/>
      </c>
      <c r="G23" s="37">
        <f>IF('Enrollment Census'!G23="","",TRIM('Enrollment Census'!G23&amp;""))</f>
        <v/>
      </c>
      <c r="H23" s="37">
        <f>IF('Enrollment Census'!H23="","",TRIM('Enrollment Census'!H23&amp;""))</f>
        <v/>
      </c>
      <c r="I23" s="36">
        <f>IF('Enrollment Census'!I23="","",TRIM('Enrollment Census'!I23&amp;""))</f>
        <v/>
      </c>
      <c r="J23" s="36">
        <f>IF('Enrollment Census'!J23="","",TRIM('Enrollment Census'!J23&amp;""))</f>
        <v/>
      </c>
      <c r="K23" s="36">
        <f>IF('Enrollment Census'!K23="","",TRIM('Enrollment Census'!K23&amp;""))</f>
        <v/>
      </c>
      <c r="L23" s="38">
        <f>IF('Enrollment Census'!L23="","",'Enrollment Census'!L23)</f>
        <v/>
      </c>
      <c r="M23" s="36">
        <f>IF('Enrollment Census'!M23="","",TRIM('Enrollment Census'!M23&amp;""))</f>
        <v/>
      </c>
      <c r="N23" s="36">
        <f>IF('Enrollment Census'!N23="","",LOWER(TRIM('Enrollment Census'!N23&amp;"")))</f>
        <v/>
      </c>
      <c r="O23" s="36">
        <f>IF('Enrollment Census'!O23="","",TRIM('Enrollment Census'!O23&amp;""))</f>
        <v/>
      </c>
      <c r="P23" s="38">
        <f>IF('Enrollment Census'!P23="","",'Enrollment Census'!P23)</f>
        <v/>
      </c>
      <c r="Q23" s="38">
        <f>IF('Enrollment Census'!Q23="","",'Enrollment Census'!Q23)</f>
        <v/>
      </c>
      <c r="R23" s="36">
        <f>IF('Enrollment Census'!R23="","",TRIM('Enrollment Census'!R23&amp;""))</f>
        <v/>
      </c>
      <c r="S23" s="36">
        <f>IF('Enrollment Census'!S23="","",TRIM('Enrollment Census'!S23&amp;""))</f>
        <v/>
      </c>
      <c r="T23" s="36">
        <f>IF('Enrollment Census'!T23="","",TRIM('Enrollment Census'!T23&amp;""))</f>
        <v/>
      </c>
      <c r="U23" s="39">
        <f>IF('Enrollment Census'!U23="","",'Enrollment Census'!U23)</f>
        <v/>
      </c>
    </row>
    <row r="24">
      <c r="A24" s="36">
        <f>IF('Enrollment Census'!A24="","",TRIM('Enrollment Census'!A24&amp;""))</f>
        <v/>
      </c>
      <c r="B24" s="36">
        <f>IF('Enrollment Census'!B24="","",TRIM('Enrollment Census'!B24&amp;""))</f>
        <v/>
      </c>
      <c r="C24" s="37">
        <f>IF('Enrollment Census'!C24="","",TRIM('Enrollment Census'!C24&amp;""))</f>
        <v/>
      </c>
      <c r="D24" s="37">
        <f>IF('Enrollment Census'!D24="","",TRIM('Enrollment Census'!D24&amp;""))</f>
        <v/>
      </c>
      <c r="E24" s="36">
        <f>IF('Enrollment Census'!E24="","",TRIM('Enrollment Census'!E24&amp;""))</f>
        <v/>
      </c>
      <c r="F24" s="37">
        <f>IF('Enrollment Census'!F24="","",TRIM('Enrollment Census'!F24&amp;""))</f>
        <v/>
      </c>
      <c r="G24" s="37">
        <f>IF('Enrollment Census'!G24="","",TRIM('Enrollment Census'!G24&amp;""))</f>
        <v/>
      </c>
      <c r="H24" s="37">
        <f>IF('Enrollment Census'!H24="","",TRIM('Enrollment Census'!H24&amp;""))</f>
        <v/>
      </c>
      <c r="I24" s="36">
        <f>IF('Enrollment Census'!I24="","",TRIM('Enrollment Census'!I24&amp;""))</f>
        <v/>
      </c>
      <c r="J24" s="36">
        <f>IF('Enrollment Census'!J24="","",TRIM('Enrollment Census'!J24&amp;""))</f>
        <v/>
      </c>
      <c r="K24" s="36">
        <f>IF('Enrollment Census'!K24="","",TRIM('Enrollment Census'!K24&amp;""))</f>
        <v/>
      </c>
      <c r="L24" s="38">
        <f>IF('Enrollment Census'!L24="","",'Enrollment Census'!L24)</f>
        <v/>
      </c>
      <c r="M24" s="36">
        <f>IF('Enrollment Census'!M24="","",TRIM('Enrollment Census'!M24&amp;""))</f>
        <v/>
      </c>
      <c r="N24" s="36">
        <f>IF('Enrollment Census'!N24="","",LOWER(TRIM('Enrollment Census'!N24&amp;"")))</f>
        <v/>
      </c>
      <c r="O24" s="36">
        <f>IF('Enrollment Census'!O24="","",TRIM('Enrollment Census'!O24&amp;""))</f>
        <v/>
      </c>
      <c r="P24" s="38">
        <f>IF('Enrollment Census'!P24="","",'Enrollment Census'!P24)</f>
        <v/>
      </c>
      <c r="Q24" s="38">
        <f>IF('Enrollment Census'!Q24="","",'Enrollment Census'!Q24)</f>
        <v/>
      </c>
      <c r="R24" s="36">
        <f>IF('Enrollment Census'!R24="","",TRIM('Enrollment Census'!R24&amp;""))</f>
        <v/>
      </c>
      <c r="S24" s="36">
        <f>IF('Enrollment Census'!S24="","",TRIM('Enrollment Census'!S24&amp;""))</f>
        <v/>
      </c>
      <c r="T24" s="36">
        <f>IF('Enrollment Census'!T24="","",TRIM('Enrollment Census'!T24&amp;""))</f>
        <v/>
      </c>
      <c r="U24" s="39">
        <f>IF('Enrollment Census'!U24="","",'Enrollment Census'!U24)</f>
        <v/>
      </c>
    </row>
    <row r="25">
      <c r="A25" s="36">
        <f>IF('Enrollment Census'!A25="","",TRIM('Enrollment Census'!A25&amp;""))</f>
        <v/>
      </c>
      <c r="B25" s="36">
        <f>IF('Enrollment Census'!B25="","",TRIM('Enrollment Census'!B25&amp;""))</f>
        <v/>
      </c>
      <c r="C25" s="37">
        <f>IF('Enrollment Census'!C25="","",TRIM('Enrollment Census'!C25&amp;""))</f>
        <v/>
      </c>
      <c r="D25" s="37">
        <f>IF('Enrollment Census'!D25="","",TRIM('Enrollment Census'!D25&amp;""))</f>
        <v/>
      </c>
      <c r="E25" s="36">
        <f>IF('Enrollment Census'!E25="","",TRIM('Enrollment Census'!E25&amp;""))</f>
        <v/>
      </c>
      <c r="F25" s="37">
        <f>IF('Enrollment Census'!F25="","",TRIM('Enrollment Census'!F25&amp;""))</f>
        <v/>
      </c>
      <c r="G25" s="37">
        <f>IF('Enrollment Census'!G25="","",TRIM('Enrollment Census'!G25&amp;""))</f>
        <v/>
      </c>
      <c r="H25" s="37">
        <f>IF('Enrollment Census'!H25="","",TRIM('Enrollment Census'!H25&amp;""))</f>
        <v/>
      </c>
      <c r="I25" s="36">
        <f>IF('Enrollment Census'!I25="","",TRIM('Enrollment Census'!I25&amp;""))</f>
        <v/>
      </c>
      <c r="J25" s="36">
        <f>IF('Enrollment Census'!J25="","",TRIM('Enrollment Census'!J25&amp;""))</f>
        <v/>
      </c>
      <c r="K25" s="36">
        <f>IF('Enrollment Census'!K25="","",TRIM('Enrollment Census'!K25&amp;""))</f>
        <v/>
      </c>
      <c r="L25" s="38">
        <f>IF('Enrollment Census'!L25="","",'Enrollment Census'!L25)</f>
        <v/>
      </c>
      <c r="M25" s="36">
        <f>IF('Enrollment Census'!M25="","",TRIM('Enrollment Census'!M25&amp;""))</f>
        <v/>
      </c>
      <c r="N25" s="36">
        <f>IF('Enrollment Census'!N25="","",LOWER(TRIM('Enrollment Census'!N25&amp;"")))</f>
        <v/>
      </c>
      <c r="O25" s="36">
        <f>IF('Enrollment Census'!O25="","",TRIM('Enrollment Census'!O25&amp;""))</f>
        <v/>
      </c>
      <c r="P25" s="38">
        <f>IF('Enrollment Census'!P25="","",'Enrollment Census'!P25)</f>
        <v/>
      </c>
      <c r="Q25" s="38">
        <f>IF('Enrollment Census'!Q25="","",'Enrollment Census'!Q25)</f>
        <v/>
      </c>
      <c r="R25" s="36">
        <f>IF('Enrollment Census'!R25="","",TRIM('Enrollment Census'!R25&amp;""))</f>
        <v/>
      </c>
      <c r="S25" s="36">
        <f>IF('Enrollment Census'!S25="","",TRIM('Enrollment Census'!S25&amp;""))</f>
        <v/>
      </c>
      <c r="T25" s="36">
        <f>IF('Enrollment Census'!T25="","",TRIM('Enrollment Census'!T25&amp;""))</f>
        <v/>
      </c>
      <c r="U25" s="39">
        <f>IF('Enrollment Census'!U25="","",'Enrollment Census'!U25)</f>
        <v/>
      </c>
    </row>
    <row r="26">
      <c r="A26" s="36">
        <f>IF('Enrollment Census'!A26="","",TRIM('Enrollment Census'!A26&amp;""))</f>
        <v/>
      </c>
      <c r="B26" s="36">
        <f>IF('Enrollment Census'!B26="","",TRIM('Enrollment Census'!B26&amp;""))</f>
        <v/>
      </c>
      <c r="C26" s="37">
        <f>IF('Enrollment Census'!C26="","",TRIM('Enrollment Census'!C26&amp;""))</f>
        <v/>
      </c>
      <c r="D26" s="37">
        <f>IF('Enrollment Census'!D26="","",TRIM('Enrollment Census'!D26&amp;""))</f>
        <v/>
      </c>
      <c r="E26" s="36">
        <f>IF('Enrollment Census'!E26="","",TRIM('Enrollment Census'!E26&amp;""))</f>
        <v/>
      </c>
      <c r="F26" s="37">
        <f>IF('Enrollment Census'!F26="","",TRIM('Enrollment Census'!F26&amp;""))</f>
        <v/>
      </c>
      <c r="G26" s="37">
        <f>IF('Enrollment Census'!G26="","",TRIM('Enrollment Census'!G26&amp;""))</f>
        <v/>
      </c>
      <c r="H26" s="37">
        <f>IF('Enrollment Census'!H26="","",TRIM('Enrollment Census'!H26&amp;""))</f>
        <v/>
      </c>
      <c r="I26" s="36">
        <f>IF('Enrollment Census'!I26="","",TRIM('Enrollment Census'!I26&amp;""))</f>
        <v/>
      </c>
      <c r="J26" s="36">
        <f>IF('Enrollment Census'!J26="","",TRIM('Enrollment Census'!J26&amp;""))</f>
        <v/>
      </c>
      <c r="K26" s="36">
        <f>IF('Enrollment Census'!K26="","",TRIM('Enrollment Census'!K26&amp;""))</f>
        <v/>
      </c>
      <c r="L26" s="38">
        <f>IF('Enrollment Census'!L26="","",'Enrollment Census'!L26)</f>
        <v/>
      </c>
      <c r="M26" s="36">
        <f>IF('Enrollment Census'!M26="","",TRIM('Enrollment Census'!M26&amp;""))</f>
        <v/>
      </c>
      <c r="N26" s="36">
        <f>IF('Enrollment Census'!N26="","",LOWER(TRIM('Enrollment Census'!N26&amp;"")))</f>
        <v/>
      </c>
      <c r="O26" s="36">
        <f>IF('Enrollment Census'!O26="","",TRIM('Enrollment Census'!O26&amp;""))</f>
        <v/>
      </c>
      <c r="P26" s="38">
        <f>IF('Enrollment Census'!P26="","",'Enrollment Census'!P26)</f>
        <v/>
      </c>
      <c r="Q26" s="38">
        <f>IF('Enrollment Census'!Q26="","",'Enrollment Census'!Q26)</f>
        <v/>
      </c>
      <c r="R26" s="36">
        <f>IF('Enrollment Census'!R26="","",TRIM('Enrollment Census'!R26&amp;""))</f>
        <v/>
      </c>
      <c r="S26" s="36">
        <f>IF('Enrollment Census'!S26="","",TRIM('Enrollment Census'!S26&amp;""))</f>
        <v/>
      </c>
      <c r="T26" s="36">
        <f>IF('Enrollment Census'!T26="","",TRIM('Enrollment Census'!T26&amp;""))</f>
        <v/>
      </c>
      <c r="U26" s="39">
        <f>IF('Enrollment Census'!U26="","",'Enrollment Census'!U26)</f>
        <v/>
      </c>
    </row>
    <row r="27">
      <c r="A27" s="36">
        <f>IF('Enrollment Census'!A27="","",TRIM('Enrollment Census'!A27&amp;""))</f>
        <v/>
      </c>
      <c r="B27" s="36">
        <f>IF('Enrollment Census'!B27="","",TRIM('Enrollment Census'!B27&amp;""))</f>
        <v/>
      </c>
      <c r="C27" s="37">
        <f>IF('Enrollment Census'!C27="","",TRIM('Enrollment Census'!C27&amp;""))</f>
        <v/>
      </c>
      <c r="D27" s="37">
        <f>IF('Enrollment Census'!D27="","",TRIM('Enrollment Census'!D27&amp;""))</f>
        <v/>
      </c>
      <c r="E27" s="36">
        <f>IF('Enrollment Census'!E27="","",TRIM('Enrollment Census'!E27&amp;""))</f>
        <v/>
      </c>
      <c r="F27" s="37">
        <f>IF('Enrollment Census'!F27="","",TRIM('Enrollment Census'!F27&amp;""))</f>
        <v/>
      </c>
      <c r="G27" s="37">
        <f>IF('Enrollment Census'!G27="","",TRIM('Enrollment Census'!G27&amp;""))</f>
        <v/>
      </c>
      <c r="H27" s="37">
        <f>IF('Enrollment Census'!H27="","",TRIM('Enrollment Census'!H27&amp;""))</f>
        <v/>
      </c>
      <c r="I27" s="36">
        <f>IF('Enrollment Census'!I27="","",TRIM('Enrollment Census'!I27&amp;""))</f>
        <v/>
      </c>
      <c r="J27" s="36">
        <f>IF('Enrollment Census'!J27="","",TRIM('Enrollment Census'!J27&amp;""))</f>
        <v/>
      </c>
      <c r="K27" s="36">
        <f>IF('Enrollment Census'!K27="","",TRIM('Enrollment Census'!K27&amp;""))</f>
        <v/>
      </c>
      <c r="L27" s="38">
        <f>IF('Enrollment Census'!L27="","",'Enrollment Census'!L27)</f>
        <v/>
      </c>
      <c r="M27" s="36">
        <f>IF('Enrollment Census'!M27="","",TRIM('Enrollment Census'!M27&amp;""))</f>
        <v/>
      </c>
      <c r="N27" s="36">
        <f>IF('Enrollment Census'!N27="","",LOWER(TRIM('Enrollment Census'!N27&amp;"")))</f>
        <v/>
      </c>
      <c r="O27" s="36">
        <f>IF('Enrollment Census'!O27="","",TRIM('Enrollment Census'!O27&amp;""))</f>
        <v/>
      </c>
      <c r="P27" s="38">
        <f>IF('Enrollment Census'!P27="","",'Enrollment Census'!P27)</f>
        <v/>
      </c>
      <c r="Q27" s="38">
        <f>IF('Enrollment Census'!Q27="","",'Enrollment Census'!Q27)</f>
        <v/>
      </c>
      <c r="R27" s="36">
        <f>IF('Enrollment Census'!R27="","",TRIM('Enrollment Census'!R27&amp;""))</f>
        <v/>
      </c>
      <c r="S27" s="36">
        <f>IF('Enrollment Census'!S27="","",TRIM('Enrollment Census'!S27&amp;""))</f>
        <v/>
      </c>
      <c r="T27" s="36">
        <f>IF('Enrollment Census'!T27="","",TRIM('Enrollment Census'!T27&amp;""))</f>
        <v/>
      </c>
      <c r="U27" s="39">
        <f>IF('Enrollment Census'!U27="","",'Enrollment Census'!U27)</f>
        <v/>
      </c>
    </row>
    <row r="28">
      <c r="A28" s="36">
        <f>IF('Enrollment Census'!A28="","",TRIM('Enrollment Census'!A28&amp;""))</f>
        <v/>
      </c>
      <c r="B28" s="36">
        <f>IF('Enrollment Census'!B28="","",TRIM('Enrollment Census'!B28&amp;""))</f>
        <v/>
      </c>
      <c r="C28" s="37">
        <f>IF('Enrollment Census'!C28="","",TRIM('Enrollment Census'!C28&amp;""))</f>
        <v/>
      </c>
      <c r="D28" s="37">
        <f>IF('Enrollment Census'!D28="","",TRIM('Enrollment Census'!D28&amp;""))</f>
        <v/>
      </c>
      <c r="E28" s="36">
        <f>IF('Enrollment Census'!E28="","",TRIM('Enrollment Census'!E28&amp;""))</f>
        <v/>
      </c>
      <c r="F28" s="37">
        <f>IF('Enrollment Census'!F28="","",TRIM('Enrollment Census'!F28&amp;""))</f>
        <v/>
      </c>
      <c r="G28" s="37">
        <f>IF('Enrollment Census'!G28="","",TRIM('Enrollment Census'!G28&amp;""))</f>
        <v/>
      </c>
      <c r="H28" s="37">
        <f>IF('Enrollment Census'!H28="","",TRIM('Enrollment Census'!H28&amp;""))</f>
        <v/>
      </c>
      <c r="I28" s="36">
        <f>IF('Enrollment Census'!I28="","",TRIM('Enrollment Census'!I28&amp;""))</f>
        <v/>
      </c>
      <c r="J28" s="36">
        <f>IF('Enrollment Census'!J28="","",TRIM('Enrollment Census'!J28&amp;""))</f>
        <v/>
      </c>
      <c r="K28" s="36">
        <f>IF('Enrollment Census'!K28="","",TRIM('Enrollment Census'!K28&amp;""))</f>
        <v/>
      </c>
      <c r="L28" s="38">
        <f>IF('Enrollment Census'!L28="","",'Enrollment Census'!L28)</f>
        <v/>
      </c>
      <c r="M28" s="36">
        <f>IF('Enrollment Census'!M28="","",TRIM('Enrollment Census'!M28&amp;""))</f>
        <v/>
      </c>
      <c r="N28" s="36">
        <f>IF('Enrollment Census'!N28="","",LOWER(TRIM('Enrollment Census'!N28&amp;"")))</f>
        <v/>
      </c>
      <c r="O28" s="36">
        <f>IF('Enrollment Census'!O28="","",TRIM('Enrollment Census'!O28&amp;""))</f>
        <v/>
      </c>
      <c r="P28" s="38">
        <f>IF('Enrollment Census'!P28="","",'Enrollment Census'!P28)</f>
        <v/>
      </c>
      <c r="Q28" s="38">
        <f>IF('Enrollment Census'!Q28="","",'Enrollment Census'!Q28)</f>
        <v/>
      </c>
      <c r="R28" s="36">
        <f>IF('Enrollment Census'!R28="","",TRIM('Enrollment Census'!R28&amp;""))</f>
        <v/>
      </c>
      <c r="S28" s="36">
        <f>IF('Enrollment Census'!S28="","",TRIM('Enrollment Census'!S28&amp;""))</f>
        <v/>
      </c>
      <c r="T28" s="36">
        <f>IF('Enrollment Census'!T28="","",TRIM('Enrollment Census'!T28&amp;""))</f>
        <v/>
      </c>
      <c r="U28" s="39">
        <f>IF('Enrollment Census'!U28="","",'Enrollment Census'!U28)</f>
        <v/>
      </c>
    </row>
    <row r="29">
      <c r="A29" s="36">
        <f>IF('Enrollment Census'!A29="","",TRIM('Enrollment Census'!A29&amp;""))</f>
        <v/>
      </c>
      <c r="B29" s="36">
        <f>IF('Enrollment Census'!B29="","",TRIM('Enrollment Census'!B29&amp;""))</f>
        <v/>
      </c>
      <c r="C29" s="37">
        <f>IF('Enrollment Census'!C29="","",TRIM('Enrollment Census'!C29&amp;""))</f>
        <v/>
      </c>
      <c r="D29" s="37">
        <f>IF('Enrollment Census'!D29="","",TRIM('Enrollment Census'!D29&amp;""))</f>
        <v/>
      </c>
      <c r="E29" s="36">
        <f>IF('Enrollment Census'!E29="","",TRIM('Enrollment Census'!E29&amp;""))</f>
        <v/>
      </c>
      <c r="F29" s="37">
        <f>IF('Enrollment Census'!F29="","",TRIM('Enrollment Census'!F29&amp;""))</f>
        <v/>
      </c>
      <c r="G29" s="37">
        <f>IF('Enrollment Census'!G29="","",TRIM('Enrollment Census'!G29&amp;""))</f>
        <v/>
      </c>
      <c r="H29" s="37">
        <f>IF('Enrollment Census'!H29="","",TRIM('Enrollment Census'!H29&amp;""))</f>
        <v/>
      </c>
      <c r="I29" s="36">
        <f>IF('Enrollment Census'!I29="","",TRIM('Enrollment Census'!I29&amp;""))</f>
        <v/>
      </c>
      <c r="J29" s="36">
        <f>IF('Enrollment Census'!J29="","",TRIM('Enrollment Census'!J29&amp;""))</f>
        <v/>
      </c>
      <c r="K29" s="36">
        <f>IF('Enrollment Census'!K29="","",TRIM('Enrollment Census'!K29&amp;""))</f>
        <v/>
      </c>
      <c r="L29" s="38">
        <f>IF('Enrollment Census'!L29="","",'Enrollment Census'!L29)</f>
        <v/>
      </c>
      <c r="M29" s="36">
        <f>IF('Enrollment Census'!M29="","",TRIM('Enrollment Census'!M29&amp;""))</f>
        <v/>
      </c>
      <c r="N29" s="36">
        <f>IF('Enrollment Census'!N29="","",LOWER(TRIM('Enrollment Census'!N29&amp;"")))</f>
        <v/>
      </c>
      <c r="O29" s="36">
        <f>IF('Enrollment Census'!O29="","",TRIM('Enrollment Census'!O29&amp;""))</f>
        <v/>
      </c>
      <c r="P29" s="38">
        <f>IF('Enrollment Census'!P29="","",'Enrollment Census'!P29)</f>
        <v/>
      </c>
      <c r="Q29" s="38">
        <f>IF('Enrollment Census'!Q29="","",'Enrollment Census'!Q29)</f>
        <v/>
      </c>
      <c r="R29" s="36">
        <f>IF('Enrollment Census'!R29="","",TRIM('Enrollment Census'!R29&amp;""))</f>
        <v/>
      </c>
      <c r="S29" s="36">
        <f>IF('Enrollment Census'!S29="","",TRIM('Enrollment Census'!S29&amp;""))</f>
        <v/>
      </c>
      <c r="T29" s="36">
        <f>IF('Enrollment Census'!T29="","",TRIM('Enrollment Census'!T29&amp;""))</f>
        <v/>
      </c>
      <c r="U29" s="39">
        <f>IF('Enrollment Census'!U29="","",'Enrollment Census'!U29)</f>
        <v/>
      </c>
    </row>
    <row r="30">
      <c r="A30" s="36">
        <f>IF('Enrollment Census'!A30="","",TRIM('Enrollment Census'!A30&amp;""))</f>
        <v/>
      </c>
      <c r="B30" s="36">
        <f>IF('Enrollment Census'!B30="","",TRIM('Enrollment Census'!B30&amp;""))</f>
        <v/>
      </c>
      <c r="C30" s="37">
        <f>IF('Enrollment Census'!C30="","",TRIM('Enrollment Census'!C30&amp;""))</f>
        <v/>
      </c>
      <c r="D30" s="37">
        <f>IF('Enrollment Census'!D30="","",TRIM('Enrollment Census'!D30&amp;""))</f>
        <v/>
      </c>
      <c r="E30" s="36">
        <f>IF('Enrollment Census'!E30="","",TRIM('Enrollment Census'!E30&amp;""))</f>
        <v/>
      </c>
      <c r="F30" s="37">
        <f>IF('Enrollment Census'!F30="","",TRIM('Enrollment Census'!F30&amp;""))</f>
        <v/>
      </c>
      <c r="G30" s="37">
        <f>IF('Enrollment Census'!G30="","",TRIM('Enrollment Census'!G30&amp;""))</f>
        <v/>
      </c>
      <c r="H30" s="37">
        <f>IF('Enrollment Census'!H30="","",TRIM('Enrollment Census'!H30&amp;""))</f>
        <v/>
      </c>
      <c r="I30" s="36">
        <f>IF('Enrollment Census'!I30="","",TRIM('Enrollment Census'!I30&amp;""))</f>
        <v/>
      </c>
      <c r="J30" s="36">
        <f>IF('Enrollment Census'!J30="","",TRIM('Enrollment Census'!J30&amp;""))</f>
        <v/>
      </c>
      <c r="K30" s="36">
        <f>IF('Enrollment Census'!K30="","",TRIM('Enrollment Census'!K30&amp;""))</f>
        <v/>
      </c>
      <c r="L30" s="38">
        <f>IF('Enrollment Census'!L30="","",'Enrollment Census'!L30)</f>
        <v/>
      </c>
      <c r="M30" s="36">
        <f>IF('Enrollment Census'!M30="","",TRIM('Enrollment Census'!M30&amp;""))</f>
        <v/>
      </c>
      <c r="N30" s="36">
        <f>IF('Enrollment Census'!N30="","",LOWER(TRIM('Enrollment Census'!N30&amp;"")))</f>
        <v/>
      </c>
      <c r="O30" s="36">
        <f>IF('Enrollment Census'!O30="","",TRIM('Enrollment Census'!O30&amp;""))</f>
        <v/>
      </c>
      <c r="P30" s="38">
        <f>IF('Enrollment Census'!P30="","",'Enrollment Census'!P30)</f>
        <v/>
      </c>
      <c r="Q30" s="38">
        <f>IF('Enrollment Census'!Q30="","",'Enrollment Census'!Q30)</f>
        <v/>
      </c>
      <c r="R30" s="36">
        <f>IF('Enrollment Census'!R30="","",TRIM('Enrollment Census'!R30&amp;""))</f>
        <v/>
      </c>
      <c r="S30" s="36">
        <f>IF('Enrollment Census'!S30="","",TRIM('Enrollment Census'!S30&amp;""))</f>
        <v/>
      </c>
      <c r="T30" s="36">
        <f>IF('Enrollment Census'!T30="","",TRIM('Enrollment Census'!T30&amp;""))</f>
        <v/>
      </c>
      <c r="U30" s="39">
        <f>IF('Enrollment Census'!U30="","",'Enrollment Census'!U30)</f>
        <v/>
      </c>
    </row>
    <row r="31">
      <c r="A31" s="36">
        <f>IF('Enrollment Census'!A31="","",TRIM('Enrollment Census'!A31&amp;""))</f>
        <v/>
      </c>
      <c r="B31" s="36">
        <f>IF('Enrollment Census'!B31="","",TRIM('Enrollment Census'!B31&amp;""))</f>
        <v/>
      </c>
      <c r="C31" s="37">
        <f>IF('Enrollment Census'!C31="","",TRIM('Enrollment Census'!C31&amp;""))</f>
        <v/>
      </c>
      <c r="D31" s="37">
        <f>IF('Enrollment Census'!D31="","",TRIM('Enrollment Census'!D31&amp;""))</f>
        <v/>
      </c>
      <c r="E31" s="36">
        <f>IF('Enrollment Census'!E31="","",TRIM('Enrollment Census'!E31&amp;""))</f>
        <v/>
      </c>
      <c r="F31" s="37">
        <f>IF('Enrollment Census'!F31="","",TRIM('Enrollment Census'!F31&amp;""))</f>
        <v/>
      </c>
      <c r="G31" s="37">
        <f>IF('Enrollment Census'!G31="","",TRIM('Enrollment Census'!G31&amp;""))</f>
        <v/>
      </c>
      <c r="H31" s="37">
        <f>IF('Enrollment Census'!H31="","",TRIM('Enrollment Census'!H31&amp;""))</f>
        <v/>
      </c>
      <c r="I31" s="36">
        <f>IF('Enrollment Census'!I31="","",TRIM('Enrollment Census'!I31&amp;""))</f>
        <v/>
      </c>
      <c r="J31" s="36">
        <f>IF('Enrollment Census'!J31="","",TRIM('Enrollment Census'!J31&amp;""))</f>
        <v/>
      </c>
      <c r="K31" s="36">
        <f>IF('Enrollment Census'!K31="","",TRIM('Enrollment Census'!K31&amp;""))</f>
        <v/>
      </c>
      <c r="L31" s="38">
        <f>IF('Enrollment Census'!L31="","",'Enrollment Census'!L31)</f>
        <v/>
      </c>
      <c r="M31" s="36">
        <f>IF('Enrollment Census'!M31="","",TRIM('Enrollment Census'!M31&amp;""))</f>
        <v/>
      </c>
      <c r="N31" s="36">
        <f>IF('Enrollment Census'!N31="","",LOWER(TRIM('Enrollment Census'!N31&amp;"")))</f>
        <v/>
      </c>
      <c r="O31" s="36">
        <f>IF('Enrollment Census'!O31="","",TRIM('Enrollment Census'!O31&amp;""))</f>
        <v/>
      </c>
      <c r="P31" s="38">
        <f>IF('Enrollment Census'!P31="","",'Enrollment Census'!P31)</f>
        <v/>
      </c>
      <c r="Q31" s="38">
        <f>IF('Enrollment Census'!Q31="","",'Enrollment Census'!Q31)</f>
        <v/>
      </c>
      <c r="R31" s="36">
        <f>IF('Enrollment Census'!R31="","",TRIM('Enrollment Census'!R31&amp;""))</f>
        <v/>
      </c>
      <c r="S31" s="36">
        <f>IF('Enrollment Census'!S31="","",TRIM('Enrollment Census'!S31&amp;""))</f>
        <v/>
      </c>
      <c r="T31" s="36">
        <f>IF('Enrollment Census'!T31="","",TRIM('Enrollment Census'!T31&amp;""))</f>
        <v/>
      </c>
      <c r="U31" s="39">
        <f>IF('Enrollment Census'!U31="","",'Enrollment Census'!U31)</f>
        <v/>
      </c>
    </row>
    <row r="32">
      <c r="A32" s="36">
        <f>IF('Enrollment Census'!A32="","",TRIM('Enrollment Census'!A32&amp;""))</f>
        <v/>
      </c>
      <c r="B32" s="36">
        <f>IF('Enrollment Census'!B32="","",TRIM('Enrollment Census'!B32&amp;""))</f>
        <v/>
      </c>
      <c r="C32" s="37">
        <f>IF('Enrollment Census'!C32="","",TRIM('Enrollment Census'!C32&amp;""))</f>
        <v/>
      </c>
      <c r="D32" s="37">
        <f>IF('Enrollment Census'!D32="","",TRIM('Enrollment Census'!D32&amp;""))</f>
        <v/>
      </c>
      <c r="E32" s="36">
        <f>IF('Enrollment Census'!E32="","",TRIM('Enrollment Census'!E32&amp;""))</f>
        <v/>
      </c>
      <c r="F32" s="37">
        <f>IF('Enrollment Census'!F32="","",TRIM('Enrollment Census'!F32&amp;""))</f>
        <v/>
      </c>
      <c r="G32" s="37">
        <f>IF('Enrollment Census'!G32="","",TRIM('Enrollment Census'!G32&amp;""))</f>
        <v/>
      </c>
      <c r="H32" s="37">
        <f>IF('Enrollment Census'!H32="","",TRIM('Enrollment Census'!H32&amp;""))</f>
        <v/>
      </c>
      <c r="I32" s="36">
        <f>IF('Enrollment Census'!I32="","",TRIM('Enrollment Census'!I32&amp;""))</f>
        <v/>
      </c>
      <c r="J32" s="36">
        <f>IF('Enrollment Census'!J32="","",TRIM('Enrollment Census'!J32&amp;""))</f>
        <v/>
      </c>
      <c r="K32" s="36">
        <f>IF('Enrollment Census'!K32="","",TRIM('Enrollment Census'!K32&amp;""))</f>
        <v/>
      </c>
      <c r="L32" s="38">
        <f>IF('Enrollment Census'!L32="","",'Enrollment Census'!L32)</f>
        <v/>
      </c>
      <c r="M32" s="36">
        <f>IF('Enrollment Census'!M32="","",TRIM('Enrollment Census'!M32&amp;""))</f>
        <v/>
      </c>
      <c r="N32" s="36">
        <f>IF('Enrollment Census'!N32="","",LOWER(TRIM('Enrollment Census'!N32&amp;"")))</f>
        <v/>
      </c>
      <c r="O32" s="36">
        <f>IF('Enrollment Census'!O32="","",TRIM('Enrollment Census'!O32&amp;""))</f>
        <v/>
      </c>
      <c r="P32" s="38">
        <f>IF('Enrollment Census'!P32="","",'Enrollment Census'!P32)</f>
        <v/>
      </c>
      <c r="Q32" s="38">
        <f>IF('Enrollment Census'!Q32="","",'Enrollment Census'!Q32)</f>
        <v/>
      </c>
      <c r="R32" s="36">
        <f>IF('Enrollment Census'!R32="","",TRIM('Enrollment Census'!R32&amp;""))</f>
        <v/>
      </c>
      <c r="S32" s="36">
        <f>IF('Enrollment Census'!S32="","",TRIM('Enrollment Census'!S32&amp;""))</f>
        <v/>
      </c>
      <c r="T32" s="36">
        <f>IF('Enrollment Census'!T32="","",TRIM('Enrollment Census'!T32&amp;""))</f>
        <v/>
      </c>
      <c r="U32" s="39">
        <f>IF('Enrollment Census'!U32="","",'Enrollment Census'!U32)</f>
        <v/>
      </c>
    </row>
    <row r="33">
      <c r="A33" s="36">
        <f>IF('Enrollment Census'!A33="","",TRIM('Enrollment Census'!A33&amp;""))</f>
        <v/>
      </c>
      <c r="B33" s="36">
        <f>IF('Enrollment Census'!B33="","",TRIM('Enrollment Census'!B33&amp;""))</f>
        <v/>
      </c>
      <c r="C33" s="37">
        <f>IF('Enrollment Census'!C33="","",TRIM('Enrollment Census'!C33&amp;""))</f>
        <v/>
      </c>
      <c r="D33" s="37">
        <f>IF('Enrollment Census'!D33="","",TRIM('Enrollment Census'!D33&amp;""))</f>
        <v/>
      </c>
      <c r="E33" s="36">
        <f>IF('Enrollment Census'!E33="","",TRIM('Enrollment Census'!E33&amp;""))</f>
        <v/>
      </c>
      <c r="F33" s="37">
        <f>IF('Enrollment Census'!F33="","",TRIM('Enrollment Census'!F33&amp;""))</f>
        <v/>
      </c>
      <c r="G33" s="37">
        <f>IF('Enrollment Census'!G33="","",TRIM('Enrollment Census'!G33&amp;""))</f>
        <v/>
      </c>
      <c r="H33" s="37">
        <f>IF('Enrollment Census'!H33="","",TRIM('Enrollment Census'!H33&amp;""))</f>
        <v/>
      </c>
      <c r="I33" s="36">
        <f>IF('Enrollment Census'!I33="","",TRIM('Enrollment Census'!I33&amp;""))</f>
        <v/>
      </c>
      <c r="J33" s="36">
        <f>IF('Enrollment Census'!J33="","",TRIM('Enrollment Census'!J33&amp;""))</f>
        <v/>
      </c>
      <c r="K33" s="36">
        <f>IF('Enrollment Census'!K33="","",TRIM('Enrollment Census'!K33&amp;""))</f>
        <v/>
      </c>
      <c r="L33" s="38">
        <f>IF('Enrollment Census'!L33="","",'Enrollment Census'!L33)</f>
        <v/>
      </c>
      <c r="M33" s="36">
        <f>IF('Enrollment Census'!M33="","",TRIM('Enrollment Census'!M33&amp;""))</f>
        <v/>
      </c>
      <c r="N33" s="36">
        <f>IF('Enrollment Census'!N33="","",LOWER(TRIM('Enrollment Census'!N33&amp;"")))</f>
        <v/>
      </c>
      <c r="O33" s="36">
        <f>IF('Enrollment Census'!O33="","",TRIM('Enrollment Census'!O33&amp;""))</f>
        <v/>
      </c>
      <c r="P33" s="38">
        <f>IF('Enrollment Census'!P33="","",'Enrollment Census'!P33)</f>
        <v/>
      </c>
      <c r="Q33" s="38">
        <f>IF('Enrollment Census'!Q33="","",'Enrollment Census'!Q33)</f>
        <v/>
      </c>
      <c r="R33" s="36">
        <f>IF('Enrollment Census'!R33="","",TRIM('Enrollment Census'!R33&amp;""))</f>
        <v/>
      </c>
      <c r="S33" s="36">
        <f>IF('Enrollment Census'!S33="","",TRIM('Enrollment Census'!S33&amp;""))</f>
        <v/>
      </c>
      <c r="T33" s="36">
        <f>IF('Enrollment Census'!T33="","",TRIM('Enrollment Census'!T33&amp;""))</f>
        <v/>
      </c>
      <c r="U33" s="39">
        <f>IF('Enrollment Census'!U33="","",'Enrollment Census'!U33)</f>
        <v/>
      </c>
    </row>
    <row r="34">
      <c r="A34" s="36">
        <f>IF('Enrollment Census'!A34="","",TRIM('Enrollment Census'!A34&amp;""))</f>
        <v/>
      </c>
      <c r="B34" s="36">
        <f>IF('Enrollment Census'!B34="","",TRIM('Enrollment Census'!B34&amp;""))</f>
        <v/>
      </c>
      <c r="C34" s="37">
        <f>IF('Enrollment Census'!C34="","",TRIM('Enrollment Census'!C34&amp;""))</f>
        <v/>
      </c>
      <c r="D34" s="37">
        <f>IF('Enrollment Census'!D34="","",TRIM('Enrollment Census'!D34&amp;""))</f>
        <v/>
      </c>
      <c r="E34" s="36">
        <f>IF('Enrollment Census'!E34="","",TRIM('Enrollment Census'!E34&amp;""))</f>
        <v/>
      </c>
      <c r="F34" s="37">
        <f>IF('Enrollment Census'!F34="","",TRIM('Enrollment Census'!F34&amp;""))</f>
        <v/>
      </c>
      <c r="G34" s="37">
        <f>IF('Enrollment Census'!G34="","",TRIM('Enrollment Census'!G34&amp;""))</f>
        <v/>
      </c>
      <c r="H34" s="37">
        <f>IF('Enrollment Census'!H34="","",TRIM('Enrollment Census'!H34&amp;""))</f>
        <v/>
      </c>
      <c r="I34" s="36">
        <f>IF('Enrollment Census'!I34="","",TRIM('Enrollment Census'!I34&amp;""))</f>
        <v/>
      </c>
      <c r="J34" s="36">
        <f>IF('Enrollment Census'!J34="","",TRIM('Enrollment Census'!J34&amp;""))</f>
        <v/>
      </c>
      <c r="K34" s="36">
        <f>IF('Enrollment Census'!K34="","",TRIM('Enrollment Census'!K34&amp;""))</f>
        <v/>
      </c>
      <c r="L34" s="38">
        <f>IF('Enrollment Census'!L34="","",'Enrollment Census'!L34)</f>
        <v/>
      </c>
      <c r="M34" s="36">
        <f>IF('Enrollment Census'!M34="","",TRIM('Enrollment Census'!M34&amp;""))</f>
        <v/>
      </c>
      <c r="N34" s="36">
        <f>IF('Enrollment Census'!N34="","",LOWER(TRIM('Enrollment Census'!N34&amp;"")))</f>
        <v/>
      </c>
      <c r="O34" s="36">
        <f>IF('Enrollment Census'!O34="","",TRIM('Enrollment Census'!O34&amp;""))</f>
        <v/>
      </c>
      <c r="P34" s="38">
        <f>IF('Enrollment Census'!P34="","",'Enrollment Census'!P34)</f>
        <v/>
      </c>
      <c r="Q34" s="38">
        <f>IF('Enrollment Census'!Q34="","",'Enrollment Census'!Q34)</f>
        <v/>
      </c>
      <c r="R34" s="36">
        <f>IF('Enrollment Census'!R34="","",TRIM('Enrollment Census'!R34&amp;""))</f>
        <v/>
      </c>
      <c r="S34" s="36">
        <f>IF('Enrollment Census'!S34="","",TRIM('Enrollment Census'!S34&amp;""))</f>
        <v/>
      </c>
      <c r="T34" s="36">
        <f>IF('Enrollment Census'!T34="","",TRIM('Enrollment Census'!T34&amp;""))</f>
        <v/>
      </c>
      <c r="U34" s="39">
        <f>IF('Enrollment Census'!U34="","",'Enrollment Census'!U34)</f>
        <v/>
      </c>
    </row>
    <row r="35">
      <c r="A35" s="36">
        <f>IF('Enrollment Census'!A35="","",TRIM('Enrollment Census'!A35&amp;""))</f>
        <v/>
      </c>
      <c r="B35" s="36">
        <f>IF('Enrollment Census'!B35="","",TRIM('Enrollment Census'!B35&amp;""))</f>
        <v/>
      </c>
      <c r="C35" s="37">
        <f>IF('Enrollment Census'!C35="","",TRIM('Enrollment Census'!C35&amp;""))</f>
        <v/>
      </c>
      <c r="D35" s="37">
        <f>IF('Enrollment Census'!D35="","",TRIM('Enrollment Census'!D35&amp;""))</f>
        <v/>
      </c>
      <c r="E35" s="36">
        <f>IF('Enrollment Census'!E35="","",TRIM('Enrollment Census'!E35&amp;""))</f>
        <v/>
      </c>
      <c r="F35" s="37">
        <f>IF('Enrollment Census'!F35="","",TRIM('Enrollment Census'!F35&amp;""))</f>
        <v/>
      </c>
      <c r="G35" s="37">
        <f>IF('Enrollment Census'!G35="","",TRIM('Enrollment Census'!G35&amp;""))</f>
        <v/>
      </c>
      <c r="H35" s="37">
        <f>IF('Enrollment Census'!H35="","",TRIM('Enrollment Census'!H35&amp;""))</f>
        <v/>
      </c>
      <c r="I35" s="36">
        <f>IF('Enrollment Census'!I35="","",TRIM('Enrollment Census'!I35&amp;""))</f>
        <v/>
      </c>
      <c r="J35" s="36">
        <f>IF('Enrollment Census'!J35="","",TRIM('Enrollment Census'!J35&amp;""))</f>
        <v/>
      </c>
      <c r="K35" s="36">
        <f>IF('Enrollment Census'!K35="","",TRIM('Enrollment Census'!K35&amp;""))</f>
        <v/>
      </c>
      <c r="L35" s="38">
        <f>IF('Enrollment Census'!L35="","",'Enrollment Census'!L35)</f>
        <v/>
      </c>
      <c r="M35" s="36">
        <f>IF('Enrollment Census'!M35="","",TRIM('Enrollment Census'!M35&amp;""))</f>
        <v/>
      </c>
      <c r="N35" s="36">
        <f>IF('Enrollment Census'!N35="","",LOWER(TRIM('Enrollment Census'!N35&amp;"")))</f>
        <v/>
      </c>
      <c r="O35" s="36">
        <f>IF('Enrollment Census'!O35="","",TRIM('Enrollment Census'!O35&amp;""))</f>
        <v/>
      </c>
      <c r="P35" s="38">
        <f>IF('Enrollment Census'!P35="","",'Enrollment Census'!P35)</f>
        <v/>
      </c>
      <c r="Q35" s="38">
        <f>IF('Enrollment Census'!Q35="","",'Enrollment Census'!Q35)</f>
        <v/>
      </c>
      <c r="R35" s="36">
        <f>IF('Enrollment Census'!R35="","",TRIM('Enrollment Census'!R35&amp;""))</f>
        <v/>
      </c>
      <c r="S35" s="36">
        <f>IF('Enrollment Census'!S35="","",TRIM('Enrollment Census'!S35&amp;""))</f>
        <v/>
      </c>
      <c r="T35" s="36">
        <f>IF('Enrollment Census'!T35="","",TRIM('Enrollment Census'!T35&amp;""))</f>
        <v/>
      </c>
      <c r="U35" s="39">
        <f>IF('Enrollment Census'!U35="","",'Enrollment Census'!U35)</f>
        <v/>
      </c>
    </row>
    <row r="36">
      <c r="A36" s="36">
        <f>IF('Enrollment Census'!A36="","",TRIM('Enrollment Census'!A36&amp;""))</f>
        <v/>
      </c>
      <c r="B36" s="36">
        <f>IF('Enrollment Census'!B36="","",TRIM('Enrollment Census'!B36&amp;""))</f>
        <v/>
      </c>
      <c r="C36" s="37">
        <f>IF('Enrollment Census'!C36="","",TRIM('Enrollment Census'!C36&amp;""))</f>
        <v/>
      </c>
      <c r="D36" s="37">
        <f>IF('Enrollment Census'!D36="","",TRIM('Enrollment Census'!D36&amp;""))</f>
        <v/>
      </c>
      <c r="E36" s="36">
        <f>IF('Enrollment Census'!E36="","",TRIM('Enrollment Census'!E36&amp;""))</f>
        <v/>
      </c>
      <c r="F36" s="37">
        <f>IF('Enrollment Census'!F36="","",TRIM('Enrollment Census'!F36&amp;""))</f>
        <v/>
      </c>
      <c r="G36" s="37">
        <f>IF('Enrollment Census'!G36="","",TRIM('Enrollment Census'!G36&amp;""))</f>
        <v/>
      </c>
      <c r="H36" s="37">
        <f>IF('Enrollment Census'!H36="","",TRIM('Enrollment Census'!H36&amp;""))</f>
        <v/>
      </c>
      <c r="I36" s="36">
        <f>IF('Enrollment Census'!I36="","",TRIM('Enrollment Census'!I36&amp;""))</f>
        <v/>
      </c>
      <c r="J36" s="36">
        <f>IF('Enrollment Census'!J36="","",TRIM('Enrollment Census'!J36&amp;""))</f>
        <v/>
      </c>
      <c r="K36" s="36">
        <f>IF('Enrollment Census'!K36="","",TRIM('Enrollment Census'!K36&amp;""))</f>
        <v/>
      </c>
      <c r="L36" s="38">
        <f>IF('Enrollment Census'!L36="","",'Enrollment Census'!L36)</f>
        <v/>
      </c>
      <c r="M36" s="36">
        <f>IF('Enrollment Census'!M36="","",TRIM('Enrollment Census'!M36&amp;""))</f>
        <v/>
      </c>
      <c r="N36" s="36">
        <f>IF('Enrollment Census'!N36="","",LOWER(TRIM('Enrollment Census'!N36&amp;"")))</f>
        <v/>
      </c>
      <c r="O36" s="36">
        <f>IF('Enrollment Census'!O36="","",TRIM('Enrollment Census'!O36&amp;""))</f>
        <v/>
      </c>
      <c r="P36" s="38">
        <f>IF('Enrollment Census'!P36="","",'Enrollment Census'!P36)</f>
        <v/>
      </c>
      <c r="Q36" s="38">
        <f>IF('Enrollment Census'!Q36="","",'Enrollment Census'!Q36)</f>
        <v/>
      </c>
      <c r="R36" s="36">
        <f>IF('Enrollment Census'!R36="","",TRIM('Enrollment Census'!R36&amp;""))</f>
        <v/>
      </c>
      <c r="S36" s="36">
        <f>IF('Enrollment Census'!S36="","",TRIM('Enrollment Census'!S36&amp;""))</f>
        <v/>
      </c>
      <c r="T36" s="36">
        <f>IF('Enrollment Census'!T36="","",TRIM('Enrollment Census'!T36&amp;""))</f>
        <v/>
      </c>
      <c r="U36" s="39">
        <f>IF('Enrollment Census'!U36="","",'Enrollment Census'!U36)</f>
        <v/>
      </c>
    </row>
    <row r="37">
      <c r="A37" s="36">
        <f>IF('Enrollment Census'!A37="","",TRIM('Enrollment Census'!A37&amp;""))</f>
        <v/>
      </c>
      <c r="B37" s="36">
        <f>IF('Enrollment Census'!B37="","",TRIM('Enrollment Census'!B37&amp;""))</f>
        <v/>
      </c>
      <c r="C37" s="37">
        <f>IF('Enrollment Census'!C37="","",TRIM('Enrollment Census'!C37&amp;""))</f>
        <v/>
      </c>
      <c r="D37" s="37">
        <f>IF('Enrollment Census'!D37="","",TRIM('Enrollment Census'!D37&amp;""))</f>
        <v/>
      </c>
      <c r="E37" s="36">
        <f>IF('Enrollment Census'!E37="","",TRIM('Enrollment Census'!E37&amp;""))</f>
        <v/>
      </c>
      <c r="F37" s="37">
        <f>IF('Enrollment Census'!F37="","",TRIM('Enrollment Census'!F37&amp;""))</f>
        <v/>
      </c>
      <c r="G37" s="37">
        <f>IF('Enrollment Census'!G37="","",TRIM('Enrollment Census'!G37&amp;""))</f>
        <v/>
      </c>
      <c r="H37" s="37">
        <f>IF('Enrollment Census'!H37="","",TRIM('Enrollment Census'!H37&amp;""))</f>
        <v/>
      </c>
      <c r="I37" s="36">
        <f>IF('Enrollment Census'!I37="","",TRIM('Enrollment Census'!I37&amp;""))</f>
        <v/>
      </c>
      <c r="J37" s="36">
        <f>IF('Enrollment Census'!J37="","",TRIM('Enrollment Census'!J37&amp;""))</f>
        <v/>
      </c>
      <c r="K37" s="36">
        <f>IF('Enrollment Census'!K37="","",TRIM('Enrollment Census'!K37&amp;""))</f>
        <v/>
      </c>
      <c r="L37" s="38">
        <f>IF('Enrollment Census'!L37="","",'Enrollment Census'!L37)</f>
        <v/>
      </c>
      <c r="M37" s="36">
        <f>IF('Enrollment Census'!M37="","",TRIM('Enrollment Census'!M37&amp;""))</f>
        <v/>
      </c>
      <c r="N37" s="36">
        <f>IF('Enrollment Census'!N37="","",LOWER(TRIM('Enrollment Census'!N37&amp;"")))</f>
        <v/>
      </c>
      <c r="O37" s="36">
        <f>IF('Enrollment Census'!O37="","",TRIM('Enrollment Census'!O37&amp;""))</f>
        <v/>
      </c>
      <c r="P37" s="38">
        <f>IF('Enrollment Census'!P37="","",'Enrollment Census'!P37)</f>
        <v/>
      </c>
      <c r="Q37" s="38">
        <f>IF('Enrollment Census'!Q37="","",'Enrollment Census'!Q37)</f>
        <v/>
      </c>
      <c r="R37" s="36">
        <f>IF('Enrollment Census'!R37="","",TRIM('Enrollment Census'!R37&amp;""))</f>
        <v/>
      </c>
      <c r="S37" s="36">
        <f>IF('Enrollment Census'!S37="","",TRIM('Enrollment Census'!S37&amp;""))</f>
        <v/>
      </c>
      <c r="T37" s="36">
        <f>IF('Enrollment Census'!T37="","",TRIM('Enrollment Census'!T37&amp;""))</f>
        <v/>
      </c>
      <c r="U37" s="39">
        <f>IF('Enrollment Census'!U37="","",'Enrollment Census'!U37)</f>
        <v/>
      </c>
    </row>
    <row r="38">
      <c r="A38" s="36">
        <f>IF('Enrollment Census'!A38="","",TRIM('Enrollment Census'!A38&amp;""))</f>
        <v/>
      </c>
      <c r="B38" s="36">
        <f>IF('Enrollment Census'!B38="","",TRIM('Enrollment Census'!B38&amp;""))</f>
        <v/>
      </c>
      <c r="C38" s="37">
        <f>IF('Enrollment Census'!C38="","",TRIM('Enrollment Census'!C38&amp;""))</f>
        <v/>
      </c>
      <c r="D38" s="37">
        <f>IF('Enrollment Census'!D38="","",TRIM('Enrollment Census'!D38&amp;""))</f>
        <v/>
      </c>
      <c r="E38" s="36">
        <f>IF('Enrollment Census'!E38="","",TRIM('Enrollment Census'!E38&amp;""))</f>
        <v/>
      </c>
      <c r="F38" s="37">
        <f>IF('Enrollment Census'!F38="","",TRIM('Enrollment Census'!F38&amp;""))</f>
        <v/>
      </c>
      <c r="G38" s="37">
        <f>IF('Enrollment Census'!G38="","",TRIM('Enrollment Census'!G38&amp;""))</f>
        <v/>
      </c>
      <c r="H38" s="37">
        <f>IF('Enrollment Census'!H38="","",TRIM('Enrollment Census'!H38&amp;""))</f>
        <v/>
      </c>
      <c r="I38" s="36">
        <f>IF('Enrollment Census'!I38="","",TRIM('Enrollment Census'!I38&amp;""))</f>
        <v/>
      </c>
      <c r="J38" s="36">
        <f>IF('Enrollment Census'!J38="","",TRIM('Enrollment Census'!J38&amp;""))</f>
        <v/>
      </c>
      <c r="K38" s="36">
        <f>IF('Enrollment Census'!K38="","",TRIM('Enrollment Census'!K38&amp;""))</f>
        <v/>
      </c>
      <c r="L38" s="38">
        <f>IF('Enrollment Census'!L38="","",'Enrollment Census'!L38)</f>
        <v/>
      </c>
      <c r="M38" s="36">
        <f>IF('Enrollment Census'!M38="","",TRIM('Enrollment Census'!M38&amp;""))</f>
        <v/>
      </c>
      <c r="N38" s="36">
        <f>IF('Enrollment Census'!N38="","",LOWER(TRIM('Enrollment Census'!N38&amp;"")))</f>
        <v/>
      </c>
      <c r="O38" s="36">
        <f>IF('Enrollment Census'!O38="","",TRIM('Enrollment Census'!O38&amp;""))</f>
        <v/>
      </c>
      <c r="P38" s="38">
        <f>IF('Enrollment Census'!P38="","",'Enrollment Census'!P38)</f>
        <v/>
      </c>
      <c r="Q38" s="38">
        <f>IF('Enrollment Census'!Q38="","",'Enrollment Census'!Q38)</f>
        <v/>
      </c>
      <c r="R38" s="36">
        <f>IF('Enrollment Census'!R38="","",TRIM('Enrollment Census'!R38&amp;""))</f>
        <v/>
      </c>
      <c r="S38" s="36">
        <f>IF('Enrollment Census'!S38="","",TRIM('Enrollment Census'!S38&amp;""))</f>
        <v/>
      </c>
      <c r="T38" s="36">
        <f>IF('Enrollment Census'!T38="","",TRIM('Enrollment Census'!T38&amp;""))</f>
        <v/>
      </c>
      <c r="U38" s="39">
        <f>IF('Enrollment Census'!U38="","",'Enrollment Census'!U38)</f>
        <v/>
      </c>
    </row>
    <row r="39">
      <c r="A39" s="36">
        <f>IF('Enrollment Census'!A39="","",TRIM('Enrollment Census'!A39&amp;""))</f>
        <v/>
      </c>
      <c r="B39" s="36">
        <f>IF('Enrollment Census'!B39="","",TRIM('Enrollment Census'!B39&amp;""))</f>
        <v/>
      </c>
      <c r="C39" s="37">
        <f>IF('Enrollment Census'!C39="","",TRIM('Enrollment Census'!C39&amp;""))</f>
        <v/>
      </c>
      <c r="D39" s="37">
        <f>IF('Enrollment Census'!D39="","",TRIM('Enrollment Census'!D39&amp;""))</f>
        <v/>
      </c>
      <c r="E39" s="36">
        <f>IF('Enrollment Census'!E39="","",TRIM('Enrollment Census'!E39&amp;""))</f>
        <v/>
      </c>
      <c r="F39" s="37">
        <f>IF('Enrollment Census'!F39="","",TRIM('Enrollment Census'!F39&amp;""))</f>
        <v/>
      </c>
      <c r="G39" s="37">
        <f>IF('Enrollment Census'!G39="","",TRIM('Enrollment Census'!G39&amp;""))</f>
        <v/>
      </c>
      <c r="H39" s="37">
        <f>IF('Enrollment Census'!H39="","",TRIM('Enrollment Census'!H39&amp;""))</f>
        <v/>
      </c>
      <c r="I39" s="36">
        <f>IF('Enrollment Census'!I39="","",TRIM('Enrollment Census'!I39&amp;""))</f>
        <v/>
      </c>
      <c r="J39" s="36">
        <f>IF('Enrollment Census'!J39="","",TRIM('Enrollment Census'!J39&amp;""))</f>
        <v/>
      </c>
      <c r="K39" s="36">
        <f>IF('Enrollment Census'!K39="","",TRIM('Enrollment Census'!K39&amp;""))</f>
        <v/>
      </c>
      <c r="L39" s="38">
        <f>IF('Enrollment Census'!L39="","",'Enrollment Census'!L39)</f>
        <v/>
      </c>
      <c r="M39" s="36">
        <f>IF('Enrollment Census'!M39="","",TRIM('Enrollment Census'!M39&amp;""))</f>
        <v/>
      </c>
      <c r="N39" s="36">
        <f>IF('Enrollment Census'!N39="","",LOWER(TRIM('Enrollment Census'!N39&amp;"")))</f>
        <v/>
      </c>
      <c r="O39" s="36">
        <f>IF('Enrollment Census'!O39="","",TRIM('Enrollment Census'!O39&amp;""))</f>
        <v/>
      </c>
      <c r="P39" s="38">
        <f>IF('Enrollment Census'!P39="","",'Enrollment Census'!P39)</f>
        <v/>
      </c>
      <c r="Q39" s="38">
        <f>IF('Enrollment Census'!Q39="","",'Enrollment Census'!Q39)</f>
        <v/>
      </c>
      <c r="R39" s="36">
        <f>IF('Enrollment Census'!R39="","",TRIM('Enrollment Census'!R39&amp;""))</f>
        <v/>
      </c>
      <c r="S39" s="36">
        <f>IF('Enrollment Census'!S39="","",TRIM('Enrollment Census'!S39&amp;""))</f>
        <v/>
      </c>
      <c r="T39" s="36">
        <f>IF('Enrollment Census'!T39="","",TRIM('Enrollment Census'!T39&amp;""))</f>
        <v/>
      </c>
      <c r="U39" s="39">
        <f>IF('Enrollment Census'!U39="","",'Enrollment Census'!U39)</f>
        <v/>
      </c>
    </row>
    <row r="40">
      <c r="A40" s="36">
        <f>IF('Enrollment Census'!A40="","",TRIM('Enrollment Census'!A40&amp;""))</f>
        <v/>
      </c>
      <c r="B40" s="36">
        <f>IF('Enrollment Census'!B40="","",TRIM('Enrollment Census'!B40&amp;""))</f>
        <v/>
      </c>
      <c r="C40" s="37">
        <f>IF('Enrollment Census'!C40="","",TRIM('Enrollment Census'!C40&amp;""))</f>
        <v/>
      </c>
      <c r="D40" s="37">
        <f>IF('Enrollment Census'!D40="","",TRIM('Enrollment Census'!D40&amp;""))</f>
        <v/>
      </c>
      <c r="E40" s="36">
        <f>IF('Enrollment Census'!E40="","",TRIM('Enrollment Census'!E40&amp;""))</f>
        <v/>
      </c>
      <c r="F40" s="37">
        <f>IF('Enrollment Census'!F40="","",TRIM('Enrollment Census'!F40&amp;""))</f>
        <v/>
      </c>
      <c r="G40" s="37">
        <f>IF('Enrollment Census'!G40="","",TRIM('Enrollment Census'!G40&amp;""))</f>
        <v/>
      </c>
      <c r="H40" s="37">
        <f>IF('Enrollment Census'!H40="","",TRIM('Enrollment Census'!H40&amp;""))</f>
        <v/>
      </c>
      <c r="I40" s="36">
        <f>IF('Enrollment Census'!I40="","",TRIM('Enrollment Census'!I40&amp;""))</f>
        <v/>
      </c>
      <c r="J40" s="36">
        <f>IF('Enrollment Census'!J40="","",TRIM('Enrollment Census'!J40&amp;""))</f>
        <v/>
      </c>
      <c r="K40" s="36">
        <f>IF('Enrollment Census'!K40="","",TRIM('Enrollment Census'!K40&amp;""))</f>
        <v/>
      </c>
      <c r="L40" s="38">
        <f>IF('Enrollment Census'!L40="","",'Enrollment Census'!L40)</f>
        <v/>
      </c>
      <c r="M40" s="36">
        <f>IF('Enrollment Census'!M40="","",TRIM('Enrollment Census'!M40&amp;""))</f>
        <v/>
      </c>
      <c r="N40" s="36">
        <f>IF('Enrollment Census'!N40="","",LOWER(TRIM('Enrollment Census'!N40&amp;"")))</f>
        <v/>
      </c>
      <c r="O40" s="36">
        <f>IF('Enrollment Census'!O40="","",TRIM('Enrollment Census'!O40&amp;""))</f>
        <v/>
      </c>
      <c r="P40" s="38">
        <f>IF('Enrollment Census'!P40="","",'Enrollment Census'!P40)</f>
        <v/>
      </c>
      <c r="Q40" s="38">
        <f>IF('Enrollment Census'!Q40="","",'Enrollment Census'!Q40)</f>
        <v/>
      </c>
      <c r="R40" s="36">
        <f>IF('Enrollment Census'!R40="","",TRIM('Enrollment Census'!R40&amp;""))</f>
        <v/>
      </c>
      <c r="S40" s="36">
        <f>IF('Enrollment Census'!S40="","",TRIM('Enrollment Census'!S40&amp;""))</f>
        <v/>
      </c>
      <c r="T40" s="36">
        <f>IF('Enrollment Census'!T40="","",TRIM('Enrollment Census'!T40&amp;""))</f>
        <v/>
      </c>
      <c r="U40" s="39">
        <f>IF('Enrollment Census'!U40="","",'Enrollment Census'!U40)</f>
        <v/>
      </c>
    </row>
    <row r="41">
      <c r="A41" s="36">
        <f>IF('Enrollment Census'!A41="","",TRIM('Enrollment Census'!A41&amp;""))</f>
        <v/>
      </c>
      <c r="B41" s="36">
        <f>IF('Enrollment Census'!B41="","",TRIM('Enrollment Census'!B41&amp;""))</f>
        <v/>
      </c>
      <c r="C41" s="37">
        <f>IF('Enrollment Census'!C41="","",TRIM('Enrollment Census'!C41&amp;""))</f>
        <v/>
      </c>
      <c r="D41" s="37">
        <f>IF('Enrollment Census'!D41="","",TRIM('Enrollment Census'!D41&amp;""))</f>
        <v/>
      </c>
      <c r="E41" s="36">
        <f>IF('Enrollment Census'!E41="","",TRIM('Enrollment Census'!E41&amp;""))</f>
        <v/>
      </c>
      <c r="F41" s="37">
        <f>IF('Enrollment Census'!F41="","",TRIM('Enrollment Census'!F41&amp;""))</f>
        <v/>
      </c>
      <c r="G41" s="37">
        <f>IF('Enrollment Census'!G41="","",TRIM('Enrollment Census'!G41&amp;""))</f>
        <v/>
      </c>
      <c r="H41" s="37">
        <f>IF('Enrollment Census'!H41="","",TRIM('Enrollment Census'!H41&amp;""))</f>
        <v/>
      </c>
      <c r="I41" s="36">
        <f>IF('Enrollment Census'!I41="","",TRIM('Enrollment Census'!I41&amp;""))</f>
        <v/>
      </c>
      <c r="J41" s="36">
        <f>IF('Enrollment Census'!J41="","",TRIM('Enrollment Census'!J41&amp;""))</f>
        <v/>
      </c>
      <c r="K41" s="36">
        <f>IF('Enrollment Census'!K41="","",TRIM('Enrollment Census'!K41&amp;""))</f>
        <v/>
      </c>
      <c r="L41" s="38">
        <f>IF('Enrollment Census'!L41="","",'Enrollment Census'!L41)</f>
        <v/>
      </c>
      <c r="M41" s="36">
        <f>IF('Enrollment Census'!M41="","",TRIM('Enrollment Census'!M41&amp;""))</f>
        <v/>
      </c>
      <c r="N41" s="36">
        <f>IF('Enrollment Census'!N41="","",LOWER(TRIM('Enrollment Census'!N41&amp;"")))</f>
        <v/>
      </c>
      <c r="O41" s="36">
        <f>IF('Enrollment Census'!O41="","",TRIM('Enrollment Census'!O41&amp;""))</f>
        <v/>
      </c>
      <c r="P41" s="38">
        <f>IF('Enrollment Census'!P41="","",'Enrollment Census'!P41)</f>
        <v/>
      </c>
      <c r="Q41" s="38">
        <f>IF('Enrollment Census'!Q41="","",'Enrollment Census'!Q41)</f>
        <v/>
      </c>
      <c r="R41" s="36">
        <f>IF('Enrollment Census'!R41="","",TRIM('Enrollment Census'!R41&amp;""))</f>
        <v/>
      </c>
      <c r="S41" s="36">
        <f>IF('Enrollment Census'!S41="","",TRIM('Enrollment Census'!S41&amp;""))</f>
        <v/>
      </c>
      <c r="T41" s="36">
        <f>IF('Enrollment Census'!T41="","",TRIM('Enrollment Census'!T41&amp;""))</f>
        <v/>
      </c>
      <c r="U41" s="39">
        <f>IF('Enrollment Census'!U41="","",'Enrollment Census'!U41)</f>
        <v/>
      </c>
    </row>
    <row r="42">
      <c r="A42" s="36">
        <f>IF('Enrollment Census'!A42="","",TRIM('Enrollment Census'!A42&amp;""))</f>
        <v/>
      </c>
      <c r="B42" s="36">
        <f>IF('Enrollment Census'!B42="","",TRIM('Enrollment Census'!B42&amp;""))</f>
        <v/>
      </c>
      <c r="C42" s="37">
        <f>IF('Enrollment Census'!C42="","",TRIM('Enrollment Census'!C42&amp;""))</f>
        <v/>
      </c>
      <c r="D42" s="37">
        <f>IF('Enrollment Census'!D42="","",TRIM('Enrollment Census'!D42&amp;""))</f>
        <v/>
      </c>
      <c r="E42" s="36">
        <f>IF('Enrollment Census'!E42="","",TRIM('Enrollment Census'!E42&amp;""))</f>
        <v/>
      </c>
      <c r="F42" s="37">
        <f>IF('Enrollment Census'!F42="","",TRIM('Enrollment Census'!F42&amp;""))</f>
        <v/>
      </c>
      <c r="G42" s="37">
        <f>IF('Enrollment Census'!G42="","",TRIM('Enrollment Census'!G42&amp;""))</f>
        <v/>
      </c>
      <c r="H42" s="37">
        <f>IF('Enrollment Census'!H42="","",TRIM('Enrollment Census'!H42&amp;""))</f>
        <v/>
      </c>
      <c r="I42" s="36">
        <f>IF('Enrollment Census'!I42="","",TRIM('Enrollment Census'!I42&amp;""))</f>
        <v/>
      </c>
      <c r="J42" s="36">
        <f>IF('Enrollment Census'!J42="","",TRIM('Enrollment Census'!J42&amp;""))</f>
        <v/>
      </c>
      <c r="K42" s="36">
        <f>IF('Enrollment Census'!K42="","",TRIM('Enrollment Census'!K42&amp;""))</f>
        <v/>
      </c>
      <c r="L42" s="38">
        <f>IF('Enrollment Census'!L42="","",'Enrollment Census'!L42)</f>
        <v/>
      </c>
      <c r="M42" s="36">
        <f>IF('Enrollment Census'!M42="","",TRIM('Enrollment Census'!M42&amp;""))</f>
        <v/>
      </c>
      <c r="N42" s="36">
        <f>IF('Enrollment Census'!N42="","",LOWER(TRIM('Enrollment Census'!N42&amp;"")))</f>
        <v/>
      </c>
      <c r="O42" s="36">
        <f>IF('Enrollment Census'!O42="","",TRIM('Enrollment Census'!O42&amp;""))</f>
        <v/>
      </c>
      <c r="P42" s="38">
        <f>IF('Enrollment Census'!P42="","",'Enrollment Census'!P42)</f>
        <v/>
      </c>
      <c r="Q42" s="38">
        <f>IF('Enrollment Census'!Q42="","",'Enrollment Census'!Q42)</f>
        <v/>
      </c>
      <c r="R42" s="36">
        <f>IF('Enrollment Census'!R42="","",TRIM('Enrollment Census'!R42&amp;""))</f>
        <v/>
      </c>
      <c r="S42" s="36">
        <f>IF('Enrollment Census'!S42="","",TRIM('Enrollment Census'!S42&amp;""))</f>
        <v/>
      </c>
      <c r="T42" s="36">
        <f>IF('Enrollment Census'!T42="","",TRIM('Enrollment Census'!T42&amp;""))</f>
        <v/>
      </c>
      <c r="U42" s="39">
        <f>IF('Enrollment Census'!U42="","",'Enrollment Census'!U42)</f>
        <v/>
      </c>
    </row>
    <row r="43">
      <c r="A43" s="36">
        <f>IF('Enrollment Census'!A43="","",TRIM('Enrollment Census'!A43&amp;""))</f>
        <v/>
      </c>
      <c r="B43" s="36">
        <f>IF('Enrollment Census'!B43="","",TRIM('Enrollment Census'!B43&amp;""))</f>
        <v/>
      </c>
      <c r="C43" s="37">
        <f>IF('Enrollment Census'!C43="","",TRIM('Enrollment Census'!C43&amp;""))</f>
        <v/>
      </c>
      <c r="D43" s="37">
        <f>IF('Enrollment Census'!D43="","",TRIM('Enrollment Census'!D43&amp;""))</f>
        <v/>
      </c>
      <c r="E43" s="36">
        <f>IF('Enrollment Census'!E43="","",TRIM('Enrollment Census'!E43&amp;""))</f>
        <v/>
      </c>
      <c r="F43" s="37">
        <f>IF('Enrollment Census'!F43="","",TRIM('Enrollment Census'!F43&amp;""))</f>
        <v/>
      </c>
      <c r="G43" s="37">
        <f>IF('Enrollment Census'!G43="","",TRIM('Enrollment Census'!G43&amp;""))</f>
        <v/>
      </c>
      <c r="H43" s="37">
        <f>IF('Enrollment Census'!H43="","",TRIM('Enrollment Census'!H43&amp;""))</f>
        <v/>
      </c>
      <c r="I43" s="36">
        <f>IF('Enrollment Census'!I43="","",TRIM('Enrollment Census'!I43&amp;""))</f>
        <v/>
      </c>
      <c r="J43" s="36">
        <f>IF('Enrollment Census'!J43="","",TRIM('Enrollment Census'!J43&amp;""))</f>
        <v/>
      </c>
      <c r="K43" s="36">
        <f>IF('Enrollment Census'!K43="","",TRIM('Enrollment Census'!K43&amp;""))</f>
        <v/>
      </c>
      <c r="L43" s="38">
        <f>IF('Enrollment Census'!L43="","",'Enrollment Census'!L43)</f>
        <v/>
      </c>
      <c r="M43" s="36">
        <f>IF('Enrollment Census'!M43="","",TRIM('Enrollment Census'!M43&amp;""))</f>
        <v/>
      </c>
      <c r="N43" s="36">
        <f>IF('Enrollment Census'!N43="","",LOWER(TRIM('Enrollment Census'!N43&amp;"")))</f>
        <v/>
      </c>
      <c r="O43" s="36">
        <f>IF('Enrollment Census'!O43="","",TRIM('Enrollment Census'!O43&amp;""))</f>
        <v/>
      </c>
      <c r="P43" s="38">
        <f>IF('Enrollment Census'!P43="","",'Enrollment Census'!P43)</f>
        <v/>
      </c>
      <c r="Q43" s="38">
        <f>IF('Enrollment Census'!Q43="","",'Enrollment Census'!Q43)</f>
        <v/>
      </c>
      <c r="R43" s="36">
        <f>IF('Enrollment Census'!R43="","",TRIM('Enrollment Census'!R43&amp;""))</f>
        <v/>
      </c>
      <c r="S43" s="36">
        <f>IF('Enrollment Census'!S43="","",TRIM('Enrollment Census'!S43&amp;""))</f>
        <v/>
      </c>
      <c r="T43" s="36">
        <f>IF('Enrollment Census'!T43="","",TRIM('Enrollment Census'!T43&amp;""))</f>
        <v/>
      </c>
      <c r="U43" s="39">
        <f>IF('Enrollment Census'!U43="","",'Enrollment Census'!U43)</f>
        <v/>
      </c>
    </row>
    <row r="44">
      <c r="A44" s="36">
        <f>IF('Enrollment Census'!A44="","",TRIM('Enrollment Census'!A44&amp;""))</f>
        <v/>
      </c>
      <c r="B44" s="36">
        <f>IF('Enrollment Census'!B44="","",TRIM('Enrollment Census'!B44&amp;""))</f>
        <v/>
      </c>
      <c r="C44" s="37">
        <f>IF('Enrollment Census'!C44="","",TRIM('Enrollment Census'!C44&amp;""))</f>
        <v/>
      </c>
      <c r="D44" s="37">
        <f>IF('Enrollment Census'!D44="","",TRIM('Enrollment Census'!D44&amp;""))</f>
        <v/>
      </c>
      <c r="E44" s="36">
        <f>IF('Enrollment Census'!E44="","",TRIM('Enrollment Census'!E44&amp;""))</f>
        <v/>
      </c>
      <c r="F44" s="37">
        <f>IF('Enrollment Census'!F44="","",TRIM('Enrollment Census'!F44&amp;""))</f>
        <v/>
      </c>
      <c r="G44" s="37">
        <f>IF('Enrollment Census'!G44="","",TRIM('Enrollment Census'!G44&amp;""))</f>
        <v/>
      </c>
      <c r="H44" s="37">
        <f>IF('Enrollment Census'!H44="","",TRIM('Enrollment Census'!H44&amp;""))</f>
        <v/>
      </c>
      <c r="I44" s="36">
        <f>IF('Enrollment Census'!I44="","",TRIM('Enrollment Census'!I44&amp;""))</f>
        <v/>
      </c>
      <c r="J44" s="36">
        <f>IF('Enrollment Census'!J44="","",TRIM('Enrollment Census'!J44&amp;""))</f>
        <v/>
      </c>
      <c r="K44" s="36">
        <f>IF('Enrollment Census'!K44="","",TRIM('Enrollment Census'!K44&amp;""))</f>
        <v/>
      </c>
      <c r="L44" s="38">
        <f>IF('Enrollment Census'!L44="","",'Enrollment Census'!L44)</f>
        <v/>
      </c>
      <c r="M44" s="36">
        <f>IF('Enrollment Census'!M44="","",TRIM('Enrollment Census'!M44&amp;""))</f>
        <v/>
      </c>
      <c r="N44" s="36">
        <f>IF('Enrollment Census'!N44="","",LOWER(TRIM('Enrollment Census'!N44&amp;"")))</f>
        <v/>
      </c>
      <c r="O44" s="36">
        <f>IF('Enrollment Census'!O44="","",TRIM('Enrollment Census'!O44&amp;""))</f>
        <v/>
      </c>
      <c r="P44" s="38">
        <f>IF('Enrollment Census'!P44="","",'Enrollment Census'!P44)</f>
        <v/>
      </c>
      <c r="Q44" s="38">
        <f>IF('Enrollment Census'!Q44="","",'Enrollment Census'!Q44)</f>
        <v/>
      </c>
      <c r="R44" s="36">
        <f>IF('Enrollment Census'!R44="","",TRIM('Enrollment Census'!R44&amp;""))</f>
        <v/>
      </c>
      <c r="S44" s="36">
        <f>IF('Enrollment Census'!S44="","",TRIM('Enrollment Census'!S44&amp;""))</f>
        <v/>
      </c>
      <c r="T44" s="36">
        <f>IF('Enrollment Census'!T44="","",TRIM('Enrollment Census'!T44&amp;""))</f>
        <v/>
      </c>
      <c r="U44" s="39">
        <f>IF('Enrollment Census'!U44="","",'Enrollment Census'!U44)</f>
        <v/>
      </c>
    </row>
    <row r="45">
      <c r="A45" s="36">
        <f>IF('Enrollment Census'!A45="","",TRIM('Enrollment Census'!A45&amp;""))</f>
        <v/>
      </c>
      <c r="B45" s="36">
        <f>IF('Enrollment Census'!B45="","",TRIM('Enrollment Census'!B45&amp;""))</f>
        <v/>
      </c>
      <c r="C45" s="37">
        <f>IF('Enrollment Census'!C45="","",TRIM('Enrollment Census'!C45&amp;""))</f>
        <v/>
      </c>
      <c r="D45" s="37">
        <f>IF('Enrollment Census'!D45="","",TRIM('Enrollment Census'!D45&amp;""))</f>
        <v/>
      </c>
      <c r="E45" s="36">
        <f>IF('Enrollment Census'!E45="","",TRIM('Enrollment Census'!E45&amp;""))</f>
        <v/>
      </c>
      <c r="F45" s="37">
        <f>IF('Enrollment Census'!F45="","",TRIM('Enrollment Census'!F45&amp;""))</f>
        <v/>
      </c>
      <c r="G45" s="37">
        <f>IF('Enrollment Census'!G45="","",TRIM('Enrollment Census'!G45&amp;""))</f>
        <v/>
      </c>
      <c r="H45" s="37">
        <f>IF('Enrollment Census'!H45="","",TRIM('Enrollment Census'!H45&amp;""))</f>
        <v/>
      </c>
      <c r="I45" s="36">
        <f>IF('Enrollment Census'!I45="","",TRIM('Enrollment Census'!I45&amp;""))</f>
        <v/>
      </c>
      <c r="J45" s="36">
        <f>IF('Enrollment Census'!J45="","",TRIM('Enrollment Census'!J45&amp;""))</f>
        <v/>
      </c>
      <c r="K45" s="36">
        <f>IF('Enrollment Census'!K45="","",TRIM('Enrollment Census'!K45&amp;""))</f>
        <v/>
      </c>
      <c r="L45" s="38">
        <f>IF('Enrollment Census'!L45="","",'Enrollment Census'!L45)</f>
        <v/>
      </c>
      <c r="M45" s="36">
        <f>IF('Enrollment Census'!M45="","",TRIM('Enrollment Census'!M45&amp;""))</f>
        <v/>
      </c>
      <c r="N45" s="36">
        <f>IF('Enrollment Census'!N45="","",LOWER(TRIM('Enrollment Census'!N45&amp;"")))</f>
        <v/>
      </c>
      <c r="O45" s="36">
        <f>IF('Enrollment Census'!O45="","",TRIM('Enrollment Census'!O45&amp;""))</f>
        <v/>
      </c>
      <c r="P45" s="38">
        <f>IF('Enrollment Census'!P45="","",'Enrollment Census'!P45)</f>
        <v/>
      </c>
      <c r="Q45" s="38">
        <f>IF('Enrollment Census'!Q45="","",'Enrollment Census'!Q45)</f>
        <v/>
      </c>
      <c r="R45" s="36">
        <f>IF('Enrollment Census'!R45="","",TRIM('Enrollment Census'!R45&amp;""))</f>
        <v/>
      </c>
      <c r="S45" s="36">
        <f>IF('Enrollment Census'!S45="","",TRIM('Enrollment Census'!S45&amp;""))</f>
        <v/>
      </c>
      <c r="T45" s="36">
        <f>IF('Enrollment Census'!T45="","",TRIM('Enrollment Census'!T45&amp;""))</f>
        <v/>
      </c>
      <c r="U45" s="39">
        <f>IF('Enrollment Census'!U45="","",'Enrollment Census'!U45)</f>
        <v/>
      </c>
    </row>
    <row r="46">
      <c r="A46" s="36">
        <f>IF('Enrollment Census'!A46="","",TRIM('Enrollment Census'!A46&amp;""))</f>
        <v/>
      </c>
      <c r="B46" s="36">
        <f>IF('Enrollment Census'!B46="","",TRIM('Enrollment Census'!B46&amp;""))</f>
        <v/>
      </c>
      <c r="C46" s="37">
        <f>IF('Enrollment Census'!C46="","",TRIM('Enrollment Census'!C46&amp;""))</f>
        <v/>
      </c>
      <c r="D46" s="37">
        <f>IF('Enrollment Census'!D46="","",TRIM('Enrollment Census'!D46&amp;""))</f>
        <v/>
      </c>
      <c r="E46" s="36">
        <f>IF('Enrollment Census'!E46="","",TRIM('Enrollment Census'!E46&amp;""))</f>
        <v/>
      </c>
      <c r="F46" s="37">
        <f>IF('Enrollment Census'!F46="","",TRIM('Enrollment Census'!F46&amp;""))</f>
        <v/>
      </c>
      <c r="G46" s="37">
        <f>IF('Enrollment Census'!G46="","",TRIM('Enrollment Census'!G46&amp;""))</f>
        <v/>
      </c>
      <c r="H46" s="37">
        <f>IF('Enrollment Census'!H46="","",TRIM('Enrollment Census'!H46&amp;""))</f>
        <v/>
      </c>
      <c r="I46" s="36">
        <f>IF('Enrollment Census'!I46="","",TRIM('Enrollment Census'!I46&amp;""))</f>
        <v/>
      </c>
      <c r="J46" s="36">
        <f>IF('Enrollment Census'!J46="","",TRIM('Enrollment Census'!J46&amp;""))</f>
        <v/>
      </c>
      <c r="K46" s="36">
        <f>IF('Enrollment Census'!K46="","",TRIM('Enrollment Census'!K46&amp;""))</f>
        <v/>
      </c>
      <c r="L46" s="38">
        <f>IF('Enrollment Census'!L46="","",'Enrollment Census'!L46)</f>
        <v/>
      </c>
      <c r="M46" s="36">
        <f>IF('Enrollment Census'!M46="","",TRIM('Enrollment Census'!M46&amp;""))</f>
        <v/>
      </c>
      <c r="N46" s="36">
        <f>IF('Enrollment Census'!N46="","",LOWER(TRIM('Enrollment Census'!N46&amp;"")))</f>
        <v/>
      </c>
      <c r="O46" s="36">
        <f>IF('Enrollment Census'!O46="","",TRIM('Enrollment Census'!O46&amp;""))</f>
        <v/>
      </c>
      <c r="P46" s="38">
        <f>IF('Enrollment Census'!P46="","",'Enrollment Census'!P46)</f>
        <v/>
      </c>
      <c r="Q46" s="38">
        <f>IF('Enrollment Census'!Q46="","",'Enrollment Census'!Q46)</f>
        <v/>
      </c>
      <c r="R46" s="36">
        <f>IF('Enrollment Census'!R46="","",TRIM('Enrollment Census'!R46&amp;""))</f>
        <v/>
      </c>
      <c r="S46" s="36">
        <f>IF('Enrollment Census'!S46="","",TRIM('Enrollment Census'!S46&amp;""))</f>
        <v/>
      </c>
      <c r="T46" s="36">
        <f>IF('Enrollment Census'!T46="","",TRIM('Enrollment Census'!T46&amp;""))</f>
        <v/>
      </c>
      <c r="U46" s="39">
        <f>IF('Enrollment Census'!U46="","",'Enrollment Census'!U46)</f>
        <v/>
      </c>
    </row>
    <row r="47">
      <c r="A47" s="36">
        <f>IF('Enrollment Census'!A47="","",TRIM('Enrollment Census'!A47&amp;""))</f>
        <v/>
      </c>
      <c r="B47" s="36">
        <f>IF('Enrollment Census'!B47="","",TRIM('Enrollment Census'!B47&amp;""))</f>
        <v/>
      </c>
      <c r="C47" s="37">
        <f>IF('Enrollment Census'!C47="","",TRIM('Enrollment Census'!C47&amp;""))</f>
        <v/>
      </c>
      <c r="D47" s="37">
        <f>IF('Enrollment Census'!D47="","",TRIM('Enrollment Census'!D47&amp;""))</f>
        <v/>
      </c>
      <c r="E47" s="36">
        <f>IF('Enrollment Census'!E47="","",TRIM('Enrollment Census'!E47&amp;""))</f>
        <v/>
      </c>
      <c r="F47" s="37">
        <f>IF('Enrollment Census'!F47="","",TRIM('Enrollment Census'!F47&amp;""))</f>
        <v/>
      </c>
      <c r="G47" s="37">
        <f>IF('Enrollment Census'!G47="","",TRIM('Enrollment Census'!G47&amp;""))</f>
        <v/>
      </c>
      <c r="H47" s="37">
        <f>IF('Enrollment Census'!H47="","",TRIM('Enrollment Census'!H47&amp;""))</f>
        <v/>
      </c>
      <c r="I47" s="36">
        <f>IF('Enrollment Census'!I47="","",TRIM('Enrollment Census'!I47&amp;""))</f>
        <v/>
      </c>
      <c r="J47" s="36">
        <f>IF('Enrollment Census'!J47="","",TRIM('Enrollment Census'!J47&amp;""))</f>
        <v/>
      </c>
      <c r="K47" s="36">
        <f>IF('Enrollment Census'!K47="","",TRIM('Enrollment Census'!K47&amp;""))</f>
        <v/>
      </c>
      <c r="L47" s="38">
        <f>IF('Enrollment Census'!L47="","",'Enrollment Census'!L47)</f>
        <v/>
      </c>
      <c r="M47" s="36">
        <f>IF('Enrollment Census'!M47="","",TRIM('Enrollment Census'!M47&amp;""))</f>
        <v/>
      </c>
      <c r="N47" s="36">
        <f>IF('Enrollment Census'!N47="","",LOWER(TRIM('Enrollment Census'!N47&amp;"")))</f>
        <v/>
      </c>
      <c r="O47" s="36">
        <f>IF('Enrollment Census'!O47="","",TRIM('Enrollment Census'!O47&amp;""))</f>
        <v/>
      </c>
      <c r="P47" s="38">
        <f>IF('Enrollment Census'!P47="","",'Enrollment Census'!P47)</f>
        <v/>
      </c>
      <c r="Q47" s="38">
        <f>IF('Enrollment Census'!Q47="","",'Enrollment Census'!Q47)</f>
        <v/>
      </c>
      <c r="R47" s="36">
        <f>IF('Enrollment Census'!R47="","",TRIM('Enrollment Census'!R47&amp;""))</f>
        <v/>
      </c>
      <c r="S47" s="36">
        <f>IF('Enrollment Census'!S47="","",TRIM('Enrollment Census'!S47&amp;""))</f>
        <v/>
      </c>
      <c r="T47" s="36">
        <f>IF('Enrollment Census'!T47="","",TRIM('Enrollment Census'!T47&amp;""))</f>
        <v/>
      </c>
      <c r="U47" s="39">
        <f>IF('Enrollment Census'!U47="","",'Enrollment Census'!U47)</f>
        <v/>
      </c>
    </row>
    <row r="48">
      <c r="A48" s="36">
        <f>IF('Enrollment Census'!A48="","",TRIM('Enrollment Census'!A48&amp;""))</f>
        <v/>
      </c>
      <c r="B48" s="36">
        <f>IF('Enrollment Census'!B48="","",TRIM('Enrollment Census'!B48&amp;""))</f>
        <v/>
      </c>
      <c r="C48" s="37">
        <f>IF('Enrollment Census'!C48="","",TRIM('Enrollment Census'!C48&amp;""))</f>
        <v/>
      </c>
      <c r="D48" s="37">
        <f>IF('Enrollment Census'!D48="","",TRIM('Enrollment Census'!D48&amp;""))</f>
        <v/>
      </c>
      <c r="E48" s="36">
        <f>IF('Enrollment Census'!E48="","",TRIM('Enrollment Census'!E48&amp;""))</f>
        <v/>
      </c>
      <c r="F48" s="37">
        <f>IF('Enrollment Census'!F48="","",TRIM('Enrollment Census'!F48&amp;""))</f>
        <v/>
      </c>
      <c r="G48" s="37">
        <f>IF('Enrollment Census'!G48="","",TRIM('Enrollment Census'!G48&amp;""))</f>
        <v/>
      </c>
      <c r="H48" s="37">
        <f>IF('Enrollment Census'!H48="","",TRIM('Enrollment Census'!H48&amp;""))</f>
        <v/>
      </c>
      <c r="I48" s="36">
        <f>IF('Enrollment Census'!I48="","",TRIM('Enrollment Census'!I48&amp;""))</f>
        <v/>
      </c>
      <c r="J48" s="36">
        <f>IF('Enrollment Census'!J48="","",TRIM('Enrollment Census'!J48&amp;""))</f>
        <v/>
      </c>
      <c r="K48" s="36">
        <f>IF('Enrollment Census'!K48="","",TRIM('Enrollment Census'!K48&amp;""))</f>
        <v/>
      </c>
      <c r="L48" s="38">
        <f>IF('Enrollment Census'!L48="","",'Enrollment Census'!L48)</f>
        <v/>
      </c>
      <c r="M48" s="36">
        <f>IF('Enrollment Census'!M48="","",TRIM('Enrollment Census'!M48&amp;""))</f>
        <v/>
      </c>
      <c r="N48" s="36">
        <f>IF('Enrollment Census'!N48="","",LOWER(TRIM('Enrollment Census'!N48&amp;"")))</f>
        <v/>
      </c>
      <c r="O48" s="36">
        <f>IF('Enrollment Census'!O48="","",TRIM('Enrollment Census'!O48&amp;""))</f>
        <v/>
      </c>
      <c r="P48" s="38">
        <f>IF('Enrollment Census'!P48="","",'Enrollment Census'!P48)</f>
        <v/>
      </c>
      <c r="Q48" s="38">
        <f>IF('Enrollment Census'!Q48="","",'Enrollment Census'!Q48)</f>
        <v/>
      </c>
      <c r="R48" s="36">
        <f>IF('Enrollment Census'!R48="","",TRIM('Enrollment Census'!R48&amp;""))</f>
        <v/>
      </c>
      <c r="S48" s="36">
        <f>IF('Enrollment Census'!S48="","",TRIM('Enrollment Census'!S48&amp;""))</f>
        <v/>
      </c>
      <c r="T48" s="36">
        <f>IF('Enrollment Census'!T48="","",TRIM('Enrollment Census'!T48&amp;""))</f>
        <v/>
      </c>
      <c r="U48" s="39">
        <f>IF('Enrollment Census'!U48="","",'Enrollment Census'!U48)</f>
        <v/>
      </c>
    </row>
    <row r="49">
      <c r="A49" s="36">
        <f>IF('Enrollment Census'!A49="","",TRIM('Enrollment Census'!A49&amp;""))</f>
        <v/>
      </c>
      <c r="B49" s="36">
        <f>IF('Enrollment Census'!B49="","",TRIM('Enrollment Census'!B49&amp;""))</f>
        <v/>
      </c>
      <c r="C49" s="37">
        <f>IF('Enrollment Census'!C49="","",TRIM('Enrollment Census'!C49&amp;""))</f>
        <v/>
      </c>
      <c r="D49" s="37">
        <f>IF('Enrollment Census'!D49="","",TRIM('Enrollment Census'!D49&amp;""))</f>
        <v/>
      </c>
      <c r="E49" s="36">
        <f>IF('Enrollment Census'!E49="","",TRIM('Enrollment Census'!E49&amp;""))</f>
        <v/>
      </c>
      <c r="F49" s="37">
        <f>IF('Enrollment Census'!F49="","",TRIM('Enrollment Census'!F49&amp;""))</f>
        <v/>
      </c>
      <c r="G49" s="37">
        <f>IF('Enrollment Census'!G49="","",TRIM('Enrollment Census'!G49&amp;""))</f>
        <v/>
      </c>
      <c r="H49" s="37">
        <f>IF('Enrollment Census'!H49="","",TRIM('Enrollment Census'!H49&amp;""))</f>
        <v/>
      </c>
      <c r="I49" s="36">
        <f>IF('Enrollment Census'!I49="","",TRIM('Enrollment Census'!I49&amp;""))</f>
        <v/>
      </c>
      <c r="J49" s="36">
        <f>IF('Enrollment Census'!J49="","",TRIM('Enrollment Census'!J49&amp;""))</f>
        <v/>
      </c>
      <c r="K49" s="36">
        <f>IF('Enrollment Census'!K49="","",TRIM('Enrollment Census'!K49&amp;""))</f>
        <v/>
      </c>
      <c r="L49" s="38">
        <f>IF('Enrollment Census'!L49="","",'Enrollment Census'!L49)</f>
        <v/>
      </c>
      <c r="M49" s="36">
        <f>IF('Enrollment Census'!M49="","",TRIM('Enrollment Census'!M49&amp;""))</f>
        <v/>
      </c>
      <c r="N49" s="36">
        <f>IF('Enrollment Census'!N49="","",LOWER(TRIM('Enrollment Census'!N49&amp;"")))</f>
        <v/>
      </c>
      <c r="O49" s="36">
        <f>IF('Enrollment Census'!O49="","",TRIM('Enrollment Census'!O49&amp;""))</f>
        <v/>
      </c>
      <c r="P49" s="38">
        <f>IF('Enrollment Census'!P49="","",'Enrollment Census'!P49)</f>
        <v/>
      </c>
      <c r="Q49" s="38">
        <f>IF('Enrollment Census'!Q49="","",'Enrollment Census'!Q49)</f>
        <v/>
      </c>
      <c r="R49" s="36">
        <f>IF('Enrollment Census'!R49="","",TRIM('Enrollment Census'!R49&amp;""))</f>
        <v/>
      </c>
      <c r="S49" s="36">
        <f>IF('Enrollment Census'!S49="","",TRIM('Enrollment Census'!S49&amp;""))</f>
        <v/>
      </c>
      <c r="T49" s="36">
        <f>IF('Enrollment Census'!T49="","",TRIM('Enrollment Census'!T49&amp;""))</f>
        <v/>
      </c>
      <c r="U49" s="39">
        <f>IF('Enrollment Census'!U49="","",'Enrollment Census'!U49)</f>
        <v/>
      </c>
    </row>
    <row r="50">
      <c r="A50" s="36">
        <f>IF('Enrollment Census'!A50="","",TRIM('Enrollment Census'!A50&amp;""))</f>
        <v/>
      </c>
      <c r="B50" s="36">
        <f>IF('Enrollment Census'!B50="","",TRIM('Enrollment Census'!B50&amp;""))</f>
        <v/>
      </c>
      <c r="C50" s="37">
        <f>IF('Enrollment Census'!C50="","",TRIM('Enrollment Census'!C50&amp;""))</f>
        <v/>
      </c>
      <c r="D50" s="37">
        <f>IF('Enrollment Census'!D50="","",TRIM('Enrollment Census'!D50&amp;""))</f>
        <v/>
      </c>
      <c r="E50" s="36">
        <f>IF('Enrollment Census'!E50="","",TRIM('Enrollment Census'!E50&amp;""))</f>
        <v/>
      </c>
      <c r="F50" s="37">
        <f>IF('Enrollment Census'!F50="","",TRIM('Enrollment Census'!F50&amp;""))</f>
        <v/>
      </c>
      <c r="G50" s="37">
        <f>IF('Enrollment Census'!G50="","",TRIM('Enrollment Census'!G50&amp;""))</f>
        <v/>
      </c>
      <c r="H50" s="37">
        <f>IF('Enrollment Census'!H50="","",TRIM('Enrollment Census'!H50&amp;""))</f>
        <v/>
      </c>
      <c r="I50" s="36">
        <f>IF('Enrollment Census'!I50="","",TRIM('Enrollment Census'!I50&amp;""))</f>
        <v/>
      </c>
      <c r="J50" s="36">
        <f>IF('Enrollment Census'!J50="","",TRIM('Enrollment Census'!J50&amp;""))</f>
        <v/>
      </c>
      <c r="K50" s="36">
        <f>IF('Enrollment Census'!K50="","",TRIM('Enrollment Census'!K50&amp;""))</f>
        <v/>
      </c>
      <c r="L50" s="38">
        <f>IF('Enrollment Census'!L50="","",'Enrollment Census'!L50)</f>
        <v/>
      </c>
      <c r="M50" s="36">
        <f>IF('Enrollment Census'!M50="","",TRIM('Enrollment Census'!M50&amp;""))</f>
        <v/>
      </c>
      <c r="N50" s="36">
        <f>IF('Enrollment Census'!N50="","",LOWER(TRIM('Enrollment Census'!N50&amp;"")))</f>
        <v/>
      </c>
      <c r="O50" s="36">
        <f>IF('Enrollment Census'!O50="","",TRIM('Enrollment Census'!O50&amp;""))</f>
        <v/>
      </c>
      <c r="P50" s="38">
        <f>IF('Enrollment Census'!P50="","",'Enrollment Census'!P50)</f>
        <v/>
      </c>
      <c r="Q50" s="38">
        <f>IF('Enrollment Census'!Q50="","",'Enrollment Census'!Q50)</f>
        <v/>
      </c>
      <c r="R50" s="36">
        <f>IF('Enrollment Census'!R50="","",TRIM('Enrollment Census'!R50&amp;""))</f>
        <v/>
      </c>
      <c r="S50" s="36">
        <f>IF('Enrollment Census'!S50="","",TRIM('Enrollment Census'!S50&amp;""))</f>
        <v/>
      </c>
      <c r="T50" s="36">
        <f>IF('Enrollment Census'!T50="","",TRIM('Enrollment Census'!T50&amp;""))</f>
        <v/>
      </c>
      <c r="U50" s="39">
        <f>IF('Enrollment Census'!U50="","",'Enrollment Census'!U50)</f>
        <v/>
      </c>
    </row>
    <row r="51">
      <c r="A51" s="36">
        <f>IF('Enrollment Census'!A51="","",TRIM('Enrollment Census'!A51&amp;""))</f>
        <v/>
      </c>
      <c r="B51" s="36">
        <f>IF('Enrollment Census'!B51="","",TRIM('Enrollment Census'!B51&amp;""))</f>
        <v/>
      </c>
      <c r="C51" s="37">
        <f>IF('Enrollment Census'!C51="","",TRIM('Enrollment Census'!C51&amp;""))</f>
        <v/>
      </c>
      <c r="D51" s="37">
        <f>IF('Enrollment Census'!D51="","",TRIM('Enrollment Census'!D51&amp;""))</f>
        <v/>
      </c>
      <c r="E51" s="36">
        <f>IF('Enrollment Census'!E51="","",TRIM('Enrollment Census'!E51&amp;""))</f>
        <v/>
      </c>
      <c r="F51" s="37">
        <f>IF('Enrollment Census'!F51="","",TRIM('Enrollment Census'!F51&amp;""))</f>
        <v/>
      </c>
      <c r="G51" s="37">
        <f>IF('Enrollment Census'!G51="","",TRIM('Enrollment Census'!G51&amp;""))</f>
        <v/>
      </c>
      <c r="H51" s="37">
        <f>IF('Enrollment Census'!H51="","",TRIM('Enrollment Census'!H51&amp;""))</f>
        <v/>
      </c>
      <c r="I51" s="36">
        <f>IF('Enrollment Census'!I51="","",TRIM('Enrollment Census'!I51&amp;""))</f>
        <v/>
      </c>
      <c r="J51" s="36">
        <f>IF('Enrollment Census'!J51="","",TRIM('Enrollment Census'!J51&amp;""))</f>
        <v/>
      </c>
      <c r="K51" s="36">
        <f>IF('Enrollment Census'!K51="","",TRIM('Enrollment Census'!K51&amp;""))</f>
        <v/>
      </c>
      <c r="L51" s="38">
        <f>IF('Enrollment Census'!L51="","",'Enrollment Census'!L51)</f>
        <v/>
      </c>
      <c r="M51" s="36">
        <f>IF('Enrollment Census'!M51="","",TRIM('Enrollment Census'!M51&amp;""))</f>
        <v/>
      </c>
      <c r="N51" s="36">
        <f>IF('Enrollment Census'!N51="","",LOWER(TRIM('Enrollment Census'!N51&amp;"")))</f>
        <v/>
      </c>
      <c r="O51" s="36">
        <f>IF('Enrollment Census'!O51="","",TRIM('Enrollment Census'!O51&amp;""))</f>
        <v/>
      </c>
      <c r="P51" s="38">
        <f>IF('Enrollment Census'!P51="","",'Enrollment Census'!P51)</f>
        <v/>
      </c>
      <c r="Q51" s="38">
        <f>IF('Enrollment Census'!Q51="","",'Enrollment Census'!Q51)</f>
        <v/>
      </c>
      <c r="R51" s="36">
        <f>IF('Enrollment Census'!R51="","",TRIM('Enrollment Census'!R51&amp;""))</f>
        <v/>
      </c>
      <c r="S51" s="36">
        <f>IF('Enrollment Census'!S51="","",TRIM('Enrollment Census'!S51&amp;""))</f>
        <v/>
      </c>
      <c r="T51" s="36">
        <f>IF('Enrollment Census'!T51="","",TRIM('Enrollment Census'!T51&amp;""))</f>
        <v/>
      </c>
      <c r="U51" s="39">
        <f>IF('Enrollment Census'!U51="","",'Enrollment Census'!U51)</f>
        <v/>
      </c>
    </row>
    <row r="52">
      <c r="A52" s="36">
        <f>IF('Enrollment Census'!A52="","",TRIM('Enrollment Census'!A52&amp;""))</f>
        <v/>
      </c>
      <c r="B52" s="36">
        <f>IF('Enrollment Census'!B52="","",TRIM('Enrollment Census'!B52&amp;""))</f>
        <v/>
      </c>
      <c r="C52" s="37">
        <f>IF('Enrollment Census'!C52="","",TRIM('Enrollment Census'!C52&amp;""))</f>
        <v/>
      </c>
      <c r="D52" s="37">
        <f>IF('Enrollment Census'!D52="","",TRIM('Enrollment Census'!D52&amp;""))</f>
        <v/>
      </c>
      <c r="E52" s="36">
        <f>IF('Enrollment Census'!E52="","",TRIM('Enrollment Census'!E52&amp;""))</f>
        <v/>
      </c>
      <c r="F52" s="37">
        <f>IF('Enrollment Census'!F52="","",TRIM('Enrollment Census'!F52&amp;""))</f>
        <v/>
      </c>
      <c r="G52" s="37">
        <f>IF('Enrollment Census'!G52="","",TRIM('Enrollment Census'!G52&amp;""))</f>
        <v/>
      </c>
      <c r="H52" s="37">
        <f>IF('Enrollment Census'!H52="","",TRIM('Enrollment Census'!H52&amp;""))</f>
        <v/>
      </c>
      <c r="I52" s="36">
        <f>IF('Enrollment Census'!I52="","",TRIM('Enrollment Census'!I52&amp;""))</f>
        <v/>
      </c>
      <c r="J52" s="36">
        <f>IF('Enrollment Census'!J52="","",TRIM('Enrollment Census'!J52&amp;""))</f>
        <v/>
      </c>
      <c r="K52" s="36">
        <f>IF('Enrollment Census'!K52="","",TRIM('Enrollment Census'!K52&amp;""))</f>
        <v/>
      </c>
      <c r="L52" s="38">
        <f>IF('Enrollment Census'!L52="","",'Enrollment Census'!L52)</f>
        <v/>
      </c>
      <c r="M52" s="36">
        <f>IF('Enrollment Census'!M52="","",TRIM('Enrollment Census'!M52&amp;""))</f>
        <v/>
      </c>
      <c r="N52" s="36">
        <f>IF('Enrollment Census'!N52="","",LOWER(TRIM('Enrollment Census'!N52&amp;"")))</f>
        <v/>
      </c>
      <c r="O52" s="36">
        <f>IF('Enrollment Census'!O52="","",TRIM('Enrollment Census'!O52&amp;""))</f>
        <v/>
      </c>
      <c r="P52" s="38">
        <f>IF('Enrollment Census'!P52="","",'Enrollment Census'!P52)</f>
        <v/>
      </c>
      <c r="Q52" s="38">
        <f>IF('Enrollment Census'!Q52="","",'Enrollment Census'!Q52)</f>
        <v/>
      </c>
      <c r="R52" s="36">
        <f>IF('Enrollment Census'!R52="","",TRIM('Enrollment Census'!R52&amp;""))</f>
        <v/>
      </c>
      <c r="S52" s="36">
        <f>IF('Enrollment Census'!S52="","",TRIM('Enrollment Census'!S52&amp;""))</f>
        <v/>
      </c>
      <c r="T52" s="36">
        <f>IF('Enrollment Census'!T52="","",TRIM('Enrollment Census'!T52&amp;""))</f>
        <v/>
      </c>
      <c r="U52" s="39">
        <f>IF('Enrollment Census'!U52="","",'Enrollment Census'!U52)</f>
        <v/>
      </c>
    </row>
    <row r="53">
      <c r="A53" s="36">
        <f>IF('Enrollment Census'!A53="","",TRIM('Enrollment Census'!A53&amp;""))</f>
        <v/>
      </c>
      <c r="B53" s="36">
        <f>IF('Enrollment Census'!B53="","",TRIM('Enrollment Census'!B53&amp;""))</f>
        <v/>
      </c>
      <c r="C53" s="37">
        <f>IF('Enrollment Census'!C53="","",TRIM('Enrollment Census'!C53&amp;""))</f>
        <v/>
      </c>
      <c r="D53" s="37">
        <f>IF('Enrollment Census'!D53="","",TRIM('Enrollment Census'!D53&amp;""))</f>
        <v/>
      </c>
      <c r="E53" s="36">
        <f>IF('Enrollment Census'!E53="","",TRIM('Enrollment Census'!E53&amp;""))</f>
        <v/>
      </c>
      <c r="F53" s="37">
        <f>IF('Enrollment Census'!F53="","",TRIM('Enrollment Census'!F53&amp;""))</f>
        <v/>
      </c>
      <c r="G53" s="37">
        <f>IF('Enrollment Census'!G53="","",TRIM('Enrollment Census'!G53&amp;""))</f>
        <v/>
      </c>
      <c r="H53" s="37">
        <f>IF('Enrollment Census'!H53="","",TRIM('Enrollment Census'!H53&amp;""))</f>
        <v/>
      </c>
      <c r="I53" s="36">
        <f>IF('Enrollment Census'!I53="","",TRIM('Enrollment Census'!I53&amp;""))</f>
        <v/>
      </c>
      <c r="J53" s="36">
        <f>IF('Enrollment Census'!J53="","",TRIM('Enrollment Census'!J53&amp;""))</f>
        <v/>
      </c>
      <c r="K53" s="36">
        <f>IF('Enrollment Census'!K53="","",TRIM('Enrollment Census'!K53&amp;""))</f>
        <v/>
      </c>
      <c r="L53" s="38">
        <f>IF('Enrollment Census'!L53="","",'Enrollment Census'!L53)</f>
        <v/>
      </c>
      <c r="M53" s="36">
        <f>IF('Enrollment Census'!M53="","",TRIM('Enrollment Census'!M53&amp;""))</f>
        <v/>
      </c>
      <c r="N53" s="36">
        <f>IF('Enrollment Census'!N53="","",LOWER(TRIM('Enrollment Census'!N53&amp;"")))</f>
        <v/>
      </c>
      <c r="O53" s="36">
        <f>IF('Enrollment Census'!O53="","",TRIM('Enrollment Census'!O53&amp;""))</f>
        <v/>
      </c>
      <c r="P53" s="38">
        <f>IF('Enrollment Census'!P53="","",'Enrollment Census'!P53)</f>
        <v/>
      </c>
      <c r="Q53" s="38">
        <f>IF('Enrollment Census'!Q53="","",'Enrollment Census'!Q53)</f>
        <v/>
      </c>
      <c r="R53" s="36">
        <f>IF('Enrollment Census'!R53="","",TRIM('Enrollment Census'!R53&amp;""))</f>
        <v/>
      </c>
      <c r="S53" s="36">
        <f>IF('Enrollment Census'!S53="","",TRIM('Enrollment Census'!S53&amp;""))</f>
        <v/>
      </c>
      <c r="T53" s="36">
        <f>IF('Enrollment Census'!T53="","",TRIM('Enrollment Census'!T53&amp;""))</f>
        <v/>
      </c>
      <c r="U53" s="39">
        <f>IF('Enrollment Census'!U53="","",'Enrollment Census'!U53)</f>
        <v/>
      </c>
    </row>
    <row r="54">
      <c r="A54" s="36">
        <f>IF('Enrollment Census'!A54="","",TRIM('Enrollment Census'!A54&amp;""))</f>
        <v/>
      </c>
      <c r="B54" s="36">
        <f>IF('Enrollment Census'!B54="","",TRIM('Enrollment Census'!B54&amp;""))</f>
        <v/>
      </c>
      <c r="C54" s="37">
        <f>IF('Enrollment Census'!C54="","",TRIM('Enrollment Census'!C54&amp;""))</f>
        <v/>
      </c>
      <c r="D54" s="37">
        <f>IF('Enrollment Census'!D54="","",TRIM('Enrollment Census'!D54&amp;""))</f>
        <v/>
      </c>
      <c r="E54" s="36">
        <f>IF('Enrollment Census'!E54="","",TRIM('Enrollment Census'!E54&amp;""))</f>
        <v/>
      </c>
      <c r="F54" s="37">
        <f>IF('Enrollment Census'!F54="","",TRIM('Enrollment Census'!F54&amp;""))</f>
        <v/>
      </c>
      <c r="G54" s="37">
        <f>IF('Enrollment Census'!G54="","",TRIM('Enrollment Census'!G54&amp;""))</f>
        <v/>
      </c>
      <c r="H54" s="37">
        <f>IF('Enrollment Census'!H54="","",TRIM('Enrollment Census'!H54&amp;""))</f>
        <v/>
      </c>
      <c r="I54" s="36">
        <f>IF('Enrollment Census'!I54="","",TRIM('Enrollment Census'!I54&amp;""))</f>
        <v/>
      </c>
      <c r="J54" s="36">
        <f>IF('Enrollment Census'!J54="","",TRIM('Enrollment Census'!J54&amp;""))</f>
        <v/>
      </c>
      <c r="K54" s="36">
        <f>IF('Enrollment Census'!K54="","",TRIM('Enrollment Census'!K54&amp;""))</f>
        <v/>
      </c>
      <c r="L54" s="38">
        <f>IF('Enrollment Census'!L54="","",'Enrollment Census'!L54)</f>
        <v/>
      </c>
      <c r="M54" s="36">
        <f>IF('Enrollment Census'!M54="","",TRIM('Enrollment Census'!M54&amp;""))</f>
        <v/>
      </c>
      <c r="N54" s="36">
        <f>IF('Enrollment Census'!N54="","",LOWER(TRIM('Enrollment Census'!N54&amp;"")))</f>
        <v/>
      </c>
      <c r="O54" s="36">
        <f>IF('Enrollment Census'!O54="","",TRIM('Enrollment Census'!O54&amp;""))</f>
        <v/>
      </c>
      <c r="P54" s="38">
        <f>IF('Enrollment Census'!P54="","",'Enrollment Census'!P54)</f>
        <v/>
      </c>
      <c r="Q54" s="38">
        <f>IF('Enrollment Census'!Q54="","",'Enrollment Census'!Q54)</f>
        <v/>
      </c>
      <c r="R54" s="36">
        <f>IF('Enrollment Census'!R54="","",TRIM('Enrollment Census'!R54&amp;""))</f>
        <v/>
      </c>
      <c r="S54" s="36">
        <f>IF('Enrollment Census'!S54="","",TRIM('Enrollment Census'!S54&amp;""))</f>
        <v/>
      </c>
      <c r="T54" s="36">
        <f>IF('Enrollment Census'!T54="","",TRIM('Enrollment Census'!T54&amp;""))</f>
        <v/>
      </c>
      <c r="U54" s="39">
        <f>IF('Enrollment Census'!U54="","",'Enrollment Census'!U54)</f>
        <v/>
      </c>
    </row>
    <row r="55">
      <c r="A55" s="36">
        <f>IF('Enrollment Census'!A55="","",TRIM('Enrollment Census'!A55&amp;""))</f>
        <v/>
      </c>
      <c r="B55" s="36">
        <f>IF('Enrollment Census'!B55="","",TRIM('Enrollment Census'!B55&amp;""))</f>
        <v/>
      </c>
      <c r="C55" s="37">
        <f>IF('Enrollment Census'!C55="","",TRIM('Enrollment Census'!C55&amp;""))</f>
        <v/>
      </c>
      <c r="D55" s="37">
        <f>IF('Enrollment Census'!D55="","",TRIM('Enrollment Census'!D55&amp;""))</f>
        <v/>
      </c>
      <c r="E55" s="36">
        <f>IF('Enrollment Census'!E55="","",TRIM('Enrollment Census'!E55&amp;""))</f>
        <v/>
      </c>
      <c r="F55" s="37">
        <f>IF('Enrollment Census'!F55="","",TRIM('Enrollment Census'!F55&amp;""))</f>
        <v/>
      </c>
      <c r="G55" s="37">
        <f>IF('Enrollment Census'!G55="","",TRIM('Enrollment Census'!G55&amp;""))</f>
        <v/>
      </c>
      <c r="H55" s="37">
        <f>IF('Enrollment Census'!H55="","",TRIM('Enrollment Census'!H55&amp;""))</f>
        <v/>
      </c>
      <c r="I55" s="36">
        <f>IF('Enrollment Census'!I55="","",TRIM('Enrollment Census'!I55&amp;""))</f>
        <v/>
      </c>
      <c r="J55" s="36">
        <f>IF('Enrollment Census'!J55="","",TRIM('Enrollment Census'!J55&amp;""))</f>
        <v/>
      </c>
      <c r="K55" s="36">
        <f>IF('Enrollment Census'!K55="","",TRIM('Enrollment Census'!K55&amp;""))</f>
        <v/>
      </c>
      <c r="L55" s="38">
        <f>IF('Enrollment Census'!L55="","",'Enrollment Census'!L55)</f>
        <v/>
      </c>
      <c r="M55" s="36">
        <f>IF('Enrollment Census'!M55="","",TRIM('Enrollment Census'!M55&amp;""))</f>
        <v/>
      </c>
      <c r="N55" s="36">
        <f>IF('Enrollment Census'!N55="","",LOWER(TRIM('Enrollment Census'!N55&amp;"")))</f>
        <v/>
      </c>
      <c r="O55" s="36">
        <f>IF('Enrollment Census'!O55="","",TRIM('Enrollment Census'!O55&amp;""))</f>
        <v/>
      </c>
      <c r="P55" s="38">
        <f>IF('Enrollment Census'!P55="","",'Enrollment Census'!P55)</f>
        <v/>
      </c>
      <c r="Q55" s="38">
        <f>IF('Enrollment Census'!Q55="","",'Enrollment Census'!Q55)</f>
        <v/>
      </c>
      <c r="R55" s="36">
        <f>IF('Enrollment Census'!R55="","",TRIM('Enrollment Census'!R55&amp;""))</f>
        <v/>
      </c>
      <c r="S55" s="36">
        <f>IF('Enrollment Census'!S55="","",TRIM('Enrollment Census'!S55&amp;""))</f>
        <v/>
      </c>
      <c r="T55" s="36">
        <f>IF('Enrollment Census'!T55="","",TRIM('Enrollment Census'!T55&amp;""))</f>
        <v/>
      </c>
      <c r="U55" s="39">
        <f>IF('Enrollment Census'!U55="","",'Enrollment Census'!U55)</f>
        <v/>
      </c>
    </row>
    <row r="56">
      <c r="A56" s="36">
        <f>IF('Enrollment Census'!A56="","",TRIM('Enrollment Census'!A56&amp;""))</f>
        <v/>
      </c>
      <c r="B56" s="36">
        <f>IF('Enrollment Census'!B56="","",TRIM('Enrollment Census'!B56&amp;""))</f>
        <v/>
      </c>
      <c r="C56" s="37">
        <f>IF('Enrollment Census'!C56="","",TRIM('Enrollment Census'!C56&amp;""))</f>
        <v/>
      </c>
      <c r="D56" s="37">
        <f>IF('Enrollment Census'!D56="","",TRIM('Enrollment Census'!D56&amp;""))</f>
        <v/>
      </c>
      <c r="E56" s="36">
        <f>IF('Enrollment Census'!E56="","",TRIM('Enrollment Census'!E56&amp;""))</f>
        <v/>
      </c>
      <c r="F56" s="37">
        <f>IF('Enrollment Census'!F56="","",TRIM('Enrollment Census'!F56&amp;""))</f>
        <v/>
      </c>
      <c r="G56" s="37">
        <f>IF('Enrollment Census'!G56="","",TRIM('Enrollment Census'!G56&amp;""))</f>
        <v/>
      </c>
      <c r="H56" s="37">
        <f>IF('Enrollment Census'!H56="","",TRIM('Enrollment Census'!H56&amp;""))</f>
        <v/>
      </c>
      <c r="I56" s="36">
        <f>IF('Enrollment Census'!I56="","",TRIM('Enrollment Census'!I56&amp;""))</f>
        <v/>
      </c>
      <c r="J56" s="36">
        <f>IF('Enrollment Census'!J56="","",TRIM('Enrollment Census'!J56&amp;""))</f>
        <v/>
      </c>
      <c r="K56" s="36">
        <f>IF('Enrollment Census'!K56="","",TRIM('Enrollment Census'!K56&amp;""))</f>
        <v/>
      </c>
      <c r="L56" s="38">
        <f>IF('Enrollment Census'!L56="","",'Enrollment Census'!L56)</f>
        <v/>
      </c>
      <c r="M56" s="36">
        <f>IF('Enrollment Census'!M56="","",TRIM('Enrollment Census'!M56&amp;""))</f>
        <v/>
      </c>
      <c r="N56" s="36">
        <f>IF('Enrollment Census'!N56="","",LOWER(TRIM('Enrollment Census'!N56&amp;"")))</f>
        <v/>
      </c>
      <c r="O56" s="36">
        <f>IF('Enrollment Census'!O56="","",TRIM('Enrollment Census'!O56&amp;""))</f>
        <v/>
      </c>
      <c r="P56" s="38">
        <f>IF('Enrollment Census'!P56="","",'Enrollment Census'!P56)</f>
        <v/>
      </c>
      <c r="Q56" s="38">
        <f>IF('Enrollment Census'!Q56="","",'Enrollment Census'!Q56)</f>
        <v/>
      </c>
      <c r="R56" s="36">
        <f>IF('Enrollment Census'!R56="","",TRIM('Enrollment Census'!R56&amp;""))</f>
        <v/>
      </c>
      <c r="S56" s="36">
        <f>IF('Enrollment Census'!S56="","",TRIM('Enrollment Census'!S56&amp;""))</f>
        <v/>
      </c>
      <c r="T56" s="36">
        <f>IF('Enrollment Census'!T56="","",TRIM('Enrollment Census'!T56&amp;""))</f>
        <v/>
      </c>
      <c r="U56" s="39">
        <f>IF('Enrollment Census'!U56="","",'Enrollment Census'!U56)</f>
        <v/>
      </c>
    </row>
    <row r="57">
      <c r="A57" s="36">
        <f>IF('Enrollment Census'!A57="","",TRIM('Enrollment Census'!A57&amp;""))</f>
        <v/>
      </c>
      <c r="B57" s="36">
        <f>IF('Enrollment Census'!B57="","",TRIM('Enrollment Census'!B57&amp;""))</f>
        <v/>
      </c>
      <c r="C57" s="37">
        <f>IF('Enrollment Census'!C57="","",TRIM('Enrollment Census'!C57&amp;""))</f>
        <v/>
      </c>
      <c r="D57" s="37">
        <f>IF('Enrollment Census'!D57="","",TRIM('Enrollment Census'!D57&amp;""))</f>
        <v/>
      </c>
      <c r="E57" s="36">
        <f>IF('Enrollment Census'!E57="","",TRIM('Enrollment Census'!E57&amp;""))</f>
        <v/>
      </c>
      <c r="F57" s="37">
        <f>IF('Enrollment Census'!F57="","",TRIM('Enrollment Census'!F57&amp;""))</f>
        <v/>
      </c>
      <c r="G57" s="37">
        <f>IF('Enrollment Census'!G57="","",TRIM('Enrollment Census'!G57&amp;""))</f>
        <v/>
      </c>
      <c r="H57" s="37">
        <f>IF('Enrollment Census'!H57="","",TRIM('Enrollment Census'!H57&amp;""))</f>
        <v/>
      </c>
      <c r="I57" s="36">
        <f>IF('Enrollment Census'!I57="","",TRIM('Enrollment Census'!I57&amp;""))</f>
        <v/>
      </c>
      <c r="J57" s="36">
        <f>IF('Enrollment Census'!J57="","",TRIM('Enrollment Census'!J57&amp;""))</f>
        <v/>
      </c>
      <c r="K57" s="36">
        <f>IF('Enrollment Census'!K57="","",TRIM('Enrollment Census'!K57&amp;""))</f>
        <v/>
      </c>
      <c r="L57" s="38">
        <f>IF('Enrollment Census'!L57="","",'Enrollment Census'!L57)</f>
        <v/>
      </c>
      <c r="M57" s="36">
        <f>IF('Enrollment Census'!M57="","",TRIM('Enrollment Census'!M57&amp;""))</f>
        <v/>
      </c>
      <c r="N57" s="36">
        <f>IF('Enrollment Census'!N57="","",LOWER(TRIM('Enrollment Census'!N57&amp;"")))</f>
        <v/>
      </c>
      <c r="O57" s="36">
        <f>IF('Enrollment Census'!O57="","",TRIM('Enrollment Census'!O57&amp;""))</f>
        <v/>
      </c>
      <c r="P57" s="38">
        <f>IF('Enrollment Census'!P57="","",'Enrollment Census'!P57)</f>
        <v/>
      </c>
      <c r="Q57" s="38">
        <f>IF('Enrollment Census'!Q57="","",'Enrollment Census'!Q57)</f>
        <v/>
      </c>
      <c r="R57" s="36">
        <f>IF('Enrollment Census'!R57="","",TRIM('Enrollment Census'!R57&amp;""))</f>
        <v/>
      </c>
      <c r="S57" s="36">
        <f>IF('Enrollment Census'!S57="","",TRIM('Enrollment Census'!S57&amp;""))</f>
        <v/>
      </c>
      <c r="T57" s="36">
        <f>IF('Enrollment Census'!T57="","",TRIM('Enrollment Census'!T57&amp;""))</f>
        <v/>
      </c>
      <c r="U57" s="39">
        <f>IF('Enrollment Census'!U57="","",'Enrollment Census'!U57)</f>
        <v/>
      </c>
    </row>
    <row r="58">
      <c r="A58" s="36">
        <f>IF('Enrollment Census'!A58="","",TRIM('Enrollment Census'!A58&amp;""))</f>
        <v/>
      </c>
      <c r="B58" s="36">
        <f>IF('Enrollment Census'!B58="","",TRIM('Enrollment Census'!B58&amp;""))</f>
        <v/>
      </c>
      <c r="C58" s="37">
        <f>IF('Enrollment Census'!C58="","",TRIM('Enrollment Census'!C58&amp;""))</f>
        <v/>
      </c>
      <c r="D58" s="37">
        <f>IF('Enrollment Census'!D58="","",TRIM('Enrollment Census'!D58&amp;""))</f>
        <v/>
      </c>
      <c r="E58" s="36">
        <f>IF('Enrollment Census'!E58="","",TRIM('Enrollment Census'!E58&amp;""))</f>
        <v/>
      </c>
      <c r="F58" s="37">
        <f>IF('Enrollment Census'!F58="","",TRIM('Enrollment Census'!F58&amp;""))</f>
        <v/>
      </c>
      <c r="G58" s="37">
        <f>IF('Enrollment Census'!G58="","",TRIM('Enrollment Census'!G58&amp;""))</f>
        <v/>
      </c>
      <c r="H58" s="37">
        <f>IF('Enrollment Census'!H58="","",TRIM('Enrollment Census'!H58&amp;""))</f>
        <v/>
      </c>
      <c r="I58" s="36">
        <f>IF('Enrollment Census'!I58="","",TRIM('Enrollment Census'!I58&amp;""))</f>
        <v/>
      </c>
      <c r="J58" s="36">
        <f>IF('Enrollment Census'!J58="","",TRIM('Enrollment Census'!J58&amp;""))</f>
        <v/>
      </c>
      <c r="K58" s="36">
        <f>IF('Enrollment Census'!K58="","",TRIM('Enrollment Census'!K58&amp;""))</f>
        <v/>
      </c>
      <c r="L58" s="38">
        <f>IF('Enrollment Census'!L58="","",'Enrollment Census'!L58)</f>
        <v/>
      </c>
      <c r="M58" s="36">
        <f>IF('Enrollment Census'!M58="","",TRIM('Enrollment Census'!M58&amp;""))</f>
        <v/>
      </c>
      <c r="N58" s="36">
        <f>IF('Enrollment Census'!N58="","",LOWER(TRIM('Enrollment Census'!N58&amp;"")))</f>
        <v/>
      </c>
      <c r="O58" s="36">
        <f>IF('Enrollment Census'!O58="","",TRIM('Enrollment Census'!O58&amp;""))</f>
        <v/>
      </c>
      <c r="P58" s="38">
        <f>IF('Enrollment Census'!P58="","",'Enrollment Census'!P58)</f>
        <v/>
      </c>
      <c r="Q58" s="38">
        <f>IF('Enrollment Census'!Q58="","",'Enrollment Census'!Q58)</f>
        <v/>
      </c>
      <c r="R58" s="36">
        <f>IF('Enrollment Census'!R58="","",TRIM('Enrollment Census'!R58&amp;""))</f>
        <v/>
      </c>
      <c r="S58" s="36">
        <f>IF('Enrollment Census'!S58="","",TRIM('Enrollment Census'!S58&amp;""))</f>
        <v/>
      </c>
      <c r="T58" s="36">
        <f>IF('Enrollment Census'!T58="","",TRIM('Enrollment Census'!T58&amp;""))</f>
        <v/>
      </c>
      <c r="U58" s="39">
        <f>IF('Enrollment Census'!U58="","",'Enrollment Census'!U58)</f>
        <v/>
      </c>
    </row>
    <row r="59">
      <c r="A59" s="36">
        <f>IF('Enrollment Census'!A59="","",TRIM('Enrollment Census'!A59&amp;""))</f>
        <v/>
      </c>
      <c r="B59" s="36">
        <f>IF('Enrollment Census'!B59="","",TRIM('Enrollment Census'!B59&amp;""))</f>
        <v/>
      </c>
      <c r="C59" s="37">
        <f>IF('Enrollment Census'!C59="","",TRIM('Enrollment Census'!C59&amp;""))</f>
        <v/>
      </c>
      <c r="D59" s="37">
        <f>IF('Enrollment Census'!D59="","",TRIM('Enrollment Census'!D59&amp;""))</f>
        <v/>
      </c>
      <c r="E59" s="36">
        <f>IF('Enrollment Census'!E59="","",TRIM('Enrollment Census'!E59&amp;""))</f>
        <v/>
      </c>
      <c r="F59" s="37">
        <f>IF('Enrollment Census'!F59="","",TRIM('Enrollment Census'!F59&amp;""))</f>
        <v/>
      </c>
      <c r="G59" s="37">
        <f>IF('Enrollment Census'!G59="","",TRIM('Enrollment Census'!G59&amp;""))</f>
        <v/>
      </c>
      <c r="H59" s="37">
        <f>IF('Enrollment Census'!H59="","",TRIM('Enrollment Census'!H59&amp;""))</f>
        <v/>
      </c>
      <c r="I59" s="36">
        <f>IF('Enrollment Census'!I59="","",TRIM('Enrollment Census'!I59&amp;""))</f>
        <v/>
      </c>
      <c r="J59" s="36">
        <f>IF('Enrollment Census'!J59="","",TRIM('Enrollment Census'!J59&amp;""))</f>
        <v/>
      </c>
      <c r="K59" s="36">
        <f>IF('Enrollment Census'!K59="","",TRIM('Enrollment Census'!K59&amp;""))</f>
        <v/>
      </c>
      <c r="L59" s="38">
        <f>IF('Enrollment Census'!L59="","",'Enrollment Census'!L59)</f>
        <v/>
      </c>
      <c r="M59" s="36">
        <f>IF('Enrollment Census'!M59="","",TRIM('Enrollment Census'!M59&amp;""))</f>
        <v/>
      </c>
      <c r="N59" s="36">
        <f>IF('Enrollment Census'!N59="","",LOWER(TRIM('Enrollment Census'!N59&amp;"")))</f>
        <v/>
      </c>
      <c r="O59" s="36">
        <f>IF('Enrollment Census'!O59="","",TRIM('Enrollment Census'!O59&amp;""))</f>
        <v/>
      </c>
      <c r="P59" s="38">
        <f>IF('Enrollment Census'!P59="","",'Enrollment Census'!P59)</f>
        <v/>
      </c>
      <c r="Q59" s="38">
        <f>IF('Enrollment Census'!Q59="","",'Enrollment Census'!Q59)</f>
        <v/>
      </c>
      <c r="R59" s="36">
        <f>IF('Enrollment Census'!R59="","",TRIM('Enrollment Census'!R59&amp;""))</f>
        <v/>
      </c>
      <c r="S59" s="36">
        <f>IF('Enrollment Census'!S59="","",TRIM('Enrollment Census'!S59&amp;""))</f>
        <v/>
      </c>
      <c r="T59" s="36">
        <f>IF('Enrollment Census'!T59="","",TRIM('Enrollment Census'!T59&amp;""))</f>
        <v/>
      </c>
      <c r="U59" s="39">
        <f>IF('Enrollment Census'!U59="","",'Enrollment Census'!U59)</f>
        <v/>
      </c>
    </row>
    <row r="60">
      <c r="A60" s="36">
        <f>IF('Enrollment Census'!A60="","",TRIM('Enrollment Census'!A60&amp;""))</f>
        <v/>
      </c>
      <c r="B60" s="36">
        <f>IF('Enrollment Census'!B60="","",TRIM('Enrollment Census'!B60&amp;""))</f>
        <v/>
      </c>
      <c r="C60" s="37">
        <f>IF('Enrollment Census'!C60="","",TRIM('Enrollment Census'!C60&amp;""))</f>
        <v/>
      </c>
      <c r="D60" s="37">
        <f>IF('Enrollment Census'!D60="","",TRIM('Enrollment Census'!D60&amp;""))</f>
        <v/>
      </c>
      <c r="E60" s="36">
        <f>IF('Enrollment Census'!E60="","",TRIM('Enrollment Census'!E60&amp;""))</f>
        <v/>
      </c>
      <c r="F60" s="37">
        <f>IF('Enrollment Census'!F60="","",TRIM('Enrollment Census'!F60&amp;""))</f>
        <v/>
      </c>
      <c r="G60" s="37">
        <f>IF('Enrollment Census'!G60="","",TRIM('Enrollment Census'!G60&amp;""))</f>
        <v/>
      </c>
      <c r="H60" s="37">
        <f>IF('Enrollment Census'!H60="","",TRIM('Enrollment Census'!H60&amp;""))</f>
        <v/>
      </c>
      <c r="I60" s="36">
        <f>IF('Enrollment Census'!I60="","",TRIM('Enrollment Census'!I60&amp;""))</f>
        <v/>
      </c>
      <c r="J60" s="36">
        <f>IF('Enrollment Census'!J60="","",TRIM('Enrollment Census'!J60&amp;""))</f>
        <v/>
      </c>
      <c r="K60" s="36">
        <f>IF('Enrollment Census'!K60="","",TRIM('Enrollment Census'!K60&amp;""))</f>
        <v/>
      </c>
      <c r="L60" s="38">
        <f>IF('Enrollment Census'!L60="","",'Enrollment Census'!L60)</f>
        <v/>
      </c>
      <c r="M60" s="36">
        <f>IF('Enrollment Census'!M60="","",TRIM('Enrollment Census'!M60&amp;""))</f>
        <v/>
      </c>
      <c r="N60" s="36">
        <f>IF('Enrollment Census'!N60="","",LOWER(TRIM('Enrollment Census'!N60&amp;"")))</f>
        <v/>
      </c>
      <c r="O60" s="36">
        <f>IF('Enrollment Census'!O60="","",TRIM('Enrollment Census'!O60&amp;""))</f>
        <v/>
      </c>
      <c r="P60" s="38">
        <f>IF('Enrollment Census'!P60="","",'Enrollment Census'!P60)</f>
        <v/>
      </c>
      <c r="Q60" s="38">
        <f>IF('Enrollment Census'!Q60="","",'Enrollment Census'!Q60)</f>
        <v/>
      </c>
      <c r="R60" s="36">
        <f>IF('Enrollment Census'!R60="","",TRIM('Enrollment Census'!R60&amp;""))</f>
        <v/>
      </c>
      <c r="S60" s="36">
        <f>IF('Enrollment Census'!S60="","",TRIM('Enrollment Census'!S60&amp;""))</f>
        <v/>
      </c>
      <c r="T60" s="36">
        <f>IF('Enrollment Census'!T60="","",TRIM('Enrollment Census'!T60&amp;""))</f>
        <v/>
      </c>
      <c r="U60" s="39">
        <f>IF('Enrollment Census'!U60="","",'Enrollment Census'!U60)</f>
        <v/>
      </c>
    </row>
    <row r="61">
      <c r="A61" s="36">
        <f>IF('Enrollment Census'!A61="","",TRIM('Enrollment Census'!A61&amp;""))</f>
        <v/>
      </c>
      <c r="B61" s="36">
        <f>IF('Enrollment Census'!B61="","",TRIM('Enrollment Census'!B61&amp;""))</f>
        <v/>
      </c>
      <c r="C61" s="37">
        <f>IF('Enrollment Census'!C61="","",TRIM('Enrollment Census'!C61&amp;""))</f>
        <v/>
      </c>
      <c r="D61" s="37">
        <f>IF('Enrollment Census'!D61="","",TRIM('Enrollment Census'!D61&amp;""))</f>
        <v/>
      </c>
      <c r="E61" s="36">
        <f>IF('Enrollment Census'!E61="","",TRIM('Enrollment Census'!E61&amp;""))</f>
        <v/>
      </c>
      <c r="F61" s="37">
        <f>IF('Enrollment Census'!F61="","",TRIM('Enrollment Census'!F61&amp;""))</f>
        <v/>
      </c>
      <c r="G61" s="37">
        <f>IF('Enrollment Census'!G61="","",TRIM('Enrollment Census'!G61&amp;""))</f>
        <v/>
      </c>
      <c r="H61" s="37">
        <f>IF('Enrollment Census'!H61="","",TRIM('Enrollment Census'!H61&amp;""))</f>
        <v/>
      </c>
      <c r="I61" s="36">
        <f>IF('Enrollment Census'!I61="","",TRIM('Enrollment Census'!I61&amp;""))</f>
        <v/>
      </c>
      <c r="J61" s="36">
        <f>IF('Enrollment Census'!J61="","",TRIM('Enrollment Census'!J61&amp;""))</f>
        <v/>
      </c>
      <c r="K61" s="36">
        <f>IF('Enrollment Census'!K61="","",TRIM('Enrollment Census'!K61&amp;""))</f>
        <v/>
      </c>
      <c r="L61" s="38">
        <f>IF('Enrollment Census'!L61="","",'Enrollment Census'!L61)</f>
        <v/>
      </c>
      <c r="M61" s="36">
        <f>IF('Enrollment Census'!M61="","",TRIM('Enrollment Census'!M61&amp;""))</f>
        <v/>
      </c>
      <c r="N61" s="36">
        <f>IF('Enrollment Census'!N61="","",LOWER(TRIM('Enrollment Census'!N61&amp;"")))</f>
        <v/>
      </c>
      <c r="O61" s="36">
        <f>IF('Enrollment Census'!O61="","",TRIM('Enrollment Census'!O61&amp;""))</f>
        <v/>
      </c>
      <c r="P61" s="38">
        <f>IF('Enrollment Census'!P61="","",'Enrollment Census'!P61)</f>
        <v/>
      </c>
      <c r="Q61" s="38">
        <f>IF('Enrollment Census'!Q61="","",'Enrollment Census'!Q61)</f>
        <v/>
      </c>
      <c r="R61" s="36">
        <f>IF('Enrollment Census'!R61="","",TRIM('Enrollment Census'!R61&amp;""))</f>
        <v/>
      </c>
      <c r="S61" s="36">
        <f>IF('Enrollment Census'!S61="","",TRIM('Enrollment Census'!S61&amp;""))</f>
        <v/>
      </c>
      <c r="T61" s="36">
        <f>IF('Enrollment Census'!T61="","",TRIM('Enrollment Census'!T61&amp;""))</f>
        <v/>
      </c>
      <c r="U61" s="39">
        <f>IF('Enrollment Census'!U61="","",'Enrollment Census'!U61)</f>
        <v/>
      </c>
    </row>
    <row r="62">
      <c r="A62" s="36">
        <f>IF('Enrollment Census'!A62="","",TRIM('Enrollment Census'!A62&amp;""))</f>
        <v/>
      </c>
      <c r="B62" s="36">
        <f>IF('Enrollment Census'!B62="","",TRIM('Enrollment Census'!B62&amp;""))</f>
        <v/>
      </c>
      <c r="C62" s="37">
        <f>IF('Enrollment Census'!C62="","",TRIM('Enrollment Census'!C62&amp;""))</f>
        <v/>
      </c>
      <c r="D62" s="37">
        <f>IF('Enrollment Census'!D62="","",TRIM('Enrollment Census'!D62&amp;""))</f>
        <v/>
      </c>
      <c r="E62" s="36">
        <f>IF('Enrollment Census'!E62="","",TRIM('Enrollment Census'!E62&amp;""))</f>
        <v/>
      </c>
      <c r="F62" s="37">
        <f>IF('Enrollment Census'!F62="","",TRIM('Enrollment Census'!F62&amp;""))</f>
        <v/>
      </c>
      <c r="G62" s="37">
        <f>IF('Enrollment Census'!G62="","",TRIM('Enrollment Census'!G62&amp;""))</f>
        <v/>
      </c>
      <c r="H62" s="37">
        <f>IF('Enrollment Census'!H62="","",TRIM('Enrollment Census'!H62&amp;""))</f>
        <v/>
      </c>
      <c r="I62" s="36">
        <f>IF('Enrollment Census'!I62="","",TRIM('Enrollment Census'!I62&amp;""))</f>
        <v/>
      </c>
      <c r="J62" s="36">
        <f>IF('Enrollment Census'!J62="","",TRIM('Enrollment Census'!J62&amp;""))</f>
        <v/>
      </c>
      <c r="K62" s="36">
        <f>IF('Enrollment Census'!K62="","",TRIM('Enrollment Census'!K62&amp;""))</f>
        <v/>
      </c>
      <c r="L62" s="38">
        <f>IF('Enrollment Census'!L62="","",'Enrollment Census'!L62)</f>
        <v/>
      </c>
      <c r="M62" s="36">
        <f>IF('Enrollment Census'!M62="","",TRIM('Enrollment Census'!M62&amp;""))</f>
        <v/>
      </c>
      <c r="N62" s="36">
        <f>IF('Enrollment Census'!N62="","",LOWER(TRIM('Enrollment Census'!N62&amp;"")))</f>
        <v/>
      </c>
      <c r="O62" s="36">
        <f>IF('Enrollment Census'!O62="","",TRIM('Enrollment Census'!O62&amp;""))</f>
        <v/>
      </c>
      <c r="P62" s="38">
        <f>IF('Enrollment Census'!P62="","",'Enrollment Census'!P62)</f>
        <v/>
      </c>
      <c r="Q62" s="38">
        <f>IF('Enrollment Census'!Q62="","",'Enrollment Census'!Q62)</f>
        <v/>
      </c>
      <c r="R62" s="36">
        <f>IF('Enrollment Census'!R62="","",TRIM('Enrollment Census'!R62&amp;""))</f>
        <v/>
      </c>
      <c r="S62" s="36">
        <f>IF('Enrollment Census'!S62="","",TRIM('Enrollment Census'!S62&amp;""))</f>
        <v/>
      </c>
      <c r="T62" s="36">
        <f>IF('Enrollment Census'!T62="","",TRIM('Enrollment Census'!T62&amp;""))</f>
        <v/>
      </c>
      <c r="U62" s="39">
        <f>IF('Enrollment Census'!U62="","",'Enrollment Census'!U62)</f>
        <v/>
      </c>
    </row>
    <row r="63">
      <c r="A63" s="36">
        <f>IF('Enrollment Census'!A63="","",TRIM('Enrollment Census'!A63&amp;""))</f>
        <v/>
      </c>
      <c r="B63" s="36">
        <f>IF('Enrollment Census'!B63="","",TRIM('Enrollment Census'!B63&amp;""))</f>
        <v/>
      </c>
      <c r="C63" s="37">
        <f>IF('Enrollment Census'!C63="","",TRIM('Enrollment Census'!C63&amp;""))</f>
        <v/>
      </c>
      <c r="D63" s="37">
        <f>IF('Enrollment Census'!D63="","",TRIM('Enrollment Census'!D63&amp;""))</f>
        <v/>
      </c>
      <c r="E63" s="36">
        <f>IF('Enrollment Census'!E63="","",TRIM('Enrollment Census'!E63&amp;""))</f>
        <v/>
      </c>
      <c r="F63" s="37">
        <f>IF('Enrollment Census'!F63="","",TRIM('Enrollment Census'!F63&amp;""))</f>
        <v/>
      </c>
      <c r="G63" s="37">
        <f>IF('Enrollment Census'!G63="","",TRIM('Enrollment Census'!G63&amp;""))</f>
        <v/>
      </c>
      <c r="H63" s="37">
        <f>IF('Enrollment Census'!H63="","",TRIM('Enrollment Census'!H63&amp;""))</f>
        <v/>
      </c>
      <c r="I63" s="36">
        <f>IF('Enrollment Census'!I63="","",TRIM('Enrollment Census'!I63&amp;""))</f>
        <v/>
      </c>
      <c r="J63" s="36">
        <f>IF('Enrollment Census'!J63="","",TRIM('Enrollment Census'!J63&amp;""))</f>
        <v/>
      </c>
      <c r="K63" s="36">
        <f>IF('Enrollment Census'!K63="","",TRIM('Enrollment Census'!K63&amp;""))</f>
        <v/>
      </c>
      <c r="L63" s="38">
        <f>IF('Enrollment Census'!L63="","",'Enrollment Census'!L63)</f>
        <v/>
      </c>
      <c r="M63" s="36">
        <f>IF('Enrollment Census'!M63="","",TRIM('Enrollment Census'!M63&amp;""))</f>
        <v/>
      </c>
      <c r="N63" s="36">
        <f>IF('Enrollment Census'!N63="","",LOWER(TRIM('Enrollment Census'!N63&amp;"")))</f>
        <v/>
      </c>
      <c r="O63" s="36">
        <f>IF('Enrollment Census'!O63="","",TRIM('Enrollment Census'!O63&amp;""))</f>
        <v/>
      </c>
      <c r="P63" s="38">
        <f>IF('Enrollment Census'!P63="","",'Enrollment Census'!P63)</f>
        <v/>
      </c>
      <c r="Q63" s="38">
        <f>IF('Enrollment Census'!Q63="","",'Enrollment Census'!Q63)</f>
        <v/>
      </c>
      <c r="R63" s="36">
        <f>IF('Enrollment Census'!R63="","",TRIM('Enrollment Census'!R63&amp;""))</f>
        <v/>
      </c>
      <c r="S63" s="36">
        <f>IF('Enrollment Census'!S63="","",TRIM('Enrollment Census'!S63&amp;""))</f>
        <v/>
      </c>
      <c r="T63" s="36">
        <f>IF('Enrollment Census'!T63="","",TRIM('Enrollment Census'!T63&amp;""))</f>
        <v/>
      </c>
      <c r="U63" s="39">
        <f>IF('Enrollment Census'!U63="","",'Enrollment Census'!U63)</f>
        <v/>
      </c>
    </row>
    <row r="64">
      <c r="A64" s="36">
        <f>IF('Enrollment Census'!A64="","",TRIM('Enrollment Census'!A64&amp;""))</f>
        <v/>
      </c>
      <c r="B64" s="36">
        <f>IF('Enrollment Census'!B64="","",TRIM('Enrollment Census'!B64&amp;""))</f>
        <v/>
      </c>
      <c r="C64" s="37">
        <f>IF('Enrollment Census'!C64="","",TRIM('Enrollment Census'!C64&amp;""))</f>
        <v/>
      </c>
      <c r="D64" s="37">
        <f>IF('Enrollment Census'!D64="","",TRIM('Enrollment Census'!D64&amp;""))</f>
        <v/>
      </c>
      <c r="E64" s="36">
        <f>IF('Enrollment Census'!E64="","",TRIM('Enrollment Census'!E64&amp;""))</f>
        <v/>
      </c>
      <c r="F64" s="37">
        <f>IF('Enrollment Census'!F64="","",TRIM('Enrollment Census'!F64&amp;""))</f>
        <v/>
      </c>
      <c r="G64" s="37">
        <f>IF('Enrollment Census'!G64="","",TRIM('Enrollment Census'!G64&amp;""))</f>
        <v/>
      </c>
      <c r="H64" s="37">
        <f>IF('Enrollment Census'!H64="","",TRIM('Enrollment Census'!H64&amp;""))</f>
        <v/>
      </c>
      <c r="I64" s="36">
        <f>IF('Enrollment Census'!I64="","",TRIM('Enrollment Census'!I64&amp;""))</f>
        <v/>
      </c>
      <c r="J64" s="36">
        <f>IF('Enrollment Census'!J64="","",TRIM('Enrollment Census'!J64&amp;""))</f>
        <v/>
      </c>
      <c r="K64" s="36">
        <f>IF('Enrollment Census'!K64="","",TRIM('Enrollment Census'!K64&amp;""))</f>
        <v/>
      </c>
      <c r="L64" s="38">
        <f>IF('Enrollment Census'!L64="","",'Enrollment Census'!L64)</f>
        <v/>
      </c>
      <c r="M64" s="36">
        <f>IF('Enrollment Census'!M64="","",TRIM('Enrollment Census'!M64&amp;""))</f>
        <v/>
      </c>
      <c r="N64" s="36">
        <f>IF('Enrollment Census'!N64="","",LOWER(TRIM('Enrollment Census'!N64&amp;"")))</f>
        <v/>
      </c>
      <c r="O64" s="36">
        <f>IF('Enrollment Census'!O64="","",TRIM('Enrollment Census'!O64&amp;""))</f>
        <v/>
      </c>
      <c r="P64" s="38">
        <f>IF('Enrollment Census'!P64="","",'Enrollment Census'!P64)</f>
        <v/>
      </c>
      <c r="Q64" s="38">
        <f>IF('Enrollment Census'!Q64="","",'Enrollment Census'!Q64)</f>
        <v/>
      </c>
      <c r="R64" s="36">
        <f>IF('Enrollment Census'!R64="","",TRIM('Enrollment Census'!R64&amp;""))</f>
        <v/>
      </c>
      <c r="S64" s="36">
        <f>IF('Enrollment Census'!S64="","",TRIM('Enrollment Census'!S64&amp;""))</f>
        <v/>
      </c>
      <c r="T64" s="36">
        <f>IF('Enrollment Census'!T64="","",TRIM('Enrollment Census'!T64&amp;""))</f>
        <v/>
      </c>
      <c r="U64" s="39">
        <f>IF('Enrollment Census'!U64="","",'Enrollment Census'!U64)</f>
        <v/>
      </c>
    </row>
    <row r="65">
      <c r="A65" s="36">
        <f>IF('Enrollment Census'!A65="","",TRIM('Enrollment Census'!A65&amp;""))</f>
        <v/>
      </c>
      <c r="B65" s="36">
        <f>IF('Enrollment Census'!B65="","",TRIM('Enrollment Census'!B65&amp;""))</f>
        <v/>
      </c>
      <c r="C65" s="37">
        <f>IF('Enrollment Census'!C65="","",TRIM('Enrollment Census'!C65&amp;""))</f>
        <v/>
      </c>
      <c r="D65" s="37">
        <f>IF('Enrollment Census'!D65="","",TRIM('Enrollment Census'!D65&amp;""))</f>
        <v/>
      </c>
      <c r="E65" s="36">
        <f>IF('Enrollment Census'!E65="","",TRIM('Enrollment Census'!E65&amp;""))</f>
        <v/>
      </c>
      <c r="F65" s="37">
        <f>IF('Enrollment Census'!F65="","",TRIM('Enrollment Census'!F65&amp;""))</f>
        <v/>
      </c>
      <c r="G65" s="37">
        <f>IF('Enrollment Census'!G65="","",TRIM('Enrollment Census'!G65&amp;""))</f>
        <v/>
      </c>
      <c r="H65" s="37">
        <f>IF('Enrollment Census'!H65="","",TRIM('Enrollment Census'!H65&amp;""))</f>
        <v/>
      </c>
      <c r="I65" s="36">
        <f>IF('Enrollment Census'!I65="","",TRIM('Enrollment Census'!I65&amp;""))</f>
        <v/>
      </c>
      <c r="J65" s="36">
        <f>IF('Enrollment Census'!J65="","",TRIM('Enrollment Census'!J65&amp;""))</f>
        <v/>
      </c>
      <c r="K65" s="36">
        <f>IF('Enrollment Census'!K65="","",TRIM('Enrollment Census'!K65&amp;""))</f>
        <v/>
      </c>
      <c r="L65" s="38">
        <f>IF('Enrollment Census'!L65="","",'Enrollment Census'!L65)</f>
        <v/>
      </c>
      <c r="M65" s="36">
        <f>IF('Enrollment Census'!M65="","",TRIM('Enrollment Census'!M65&amp;""))</f>
        <v/>
      </c>
      <c r="N65" s="36">
        <f>IF('Enrollment Census'!N65="","",LOWER(TRIM('Enrollment Census'!N65&amp;"")))</f>
        <v/>
      </c>
      <c r="O65" s="36">
        <f>IF('Enrollment Census'!O65="","",TRIM('Enrollment Census'!O65&amp;""))</f>
        <v/>
      </c>
      <c r="P65" s="38">
        <f>IF('Enrollment Census'!P65="","",'Enrollment Census'!P65)</f>
        <v/>
      </c>
      <c r="Q65" s="38">
        <f>IF('Enrollment Census'!Q65="","",'Enrollment Census'!Q65)</f>
        <v/>
      </c>
      <c r="R65" s="36">
        <f>IF('Enrollment Census'!R65="","",TRIM('Enrollment Census'!R65&amp;""))</f>
        <v/>
      </c>
      <c r="S65" s="36">
        <f>IF('Enrollment Census'!S65="","",TRIM('Enrollment Census'!S65&amp;""))</f>
        <v/>
      </c>
      <c r="T65" s="36">
        <f>IF('Enrollment Census'!T65="","",TRIM('Enrollment Census'!T65&amp;""))</f>
        <v/>
      </c>
      <c r="U65" s="39">
        <f>IF('Enrollment Census'!U65="","",'Enrollment Census'!U65)</f>
        <v/>
      </c>
    </row>
    <row r="66">
      <c r="A66" s="36">
        <f>IF('Enrollment Census'!A66="","",TRIM('Enrollment Census'!A66&amp;""))</f>
        <v/>
      </c>
      <c r="B66" s="36">
        <f>IF('Enrollment Census'!B66="","",TRIM('Enrollment Census'!B66&amp;""))</f>
        <v/>
      </c>
      <c r="C66" s="37">
        <f>IF('Enrollment Census'!C66="","",TRIM('Enrollment Census'!C66&amp;""))</f>
        <v/>
      </c>
      <c r="D66" s="37">
        <f>IF('Enrollment Census'!D66="","",TRIM('Enrollment Census'!D66&amp;""))</f>
        <v/>
      </c>
      <c r="E66" s="36">
        <f>IF('Enrollment Census'!E66="","",TRIM('Enrollment Census'!E66&amp;""))</f>
        <v/>
      </c>
      <c r="F66" s="37">
        <f>IF('Enrollment Census'!F66="","",TRIM('Enrollment Census'!F66&amp;""))</f>
        <v/>
      </c>
      <c r="G66" s="37">
        <f>IF('Enrollment Census'!G66="","",TRIM('Enrollment Census'!G66&amp;""))</f>
        <v/>
      </c>
      <c r="H66" s="37">
        <f>IF('Enrollment Census'!H66="","",TRIM('Enrollment Census'!H66&amp;""))</f>
        <v/>
      </c>
      <c r="I66" s="36">
        <f>IF('Enrollment Census'!I66="","",TRIM('Enrollment Census'!I66&amp;""))</f>
        <v/>
      </c>
      <c r="J66" s="36">
        <f>IF('Enrollment Census'!J66="","",TRIM('Enrollment Census'!J66&amp;""))</f>
        <v/>
      </c>
      <c r="K66" s="36">
        <f>IF('Enrollment Census'!K66="","",TRIM('Enrollment Census'!K66&amp;""))</f>
        <v/>
      </c>
      <c r="L66" s="38">
        <f>IF('Enrollment Census'!L66="","",'Enrollment Census'!L66)</f>
        <v/>
      </c>
      <c r="M66" s="36">
        <f>IF('Enrollment Census'!M66="","",TRIM('Enrollment Census'!M66&amp;""))</f>
        <v/>
      </c>
      <c r="N66" s="36">
        <f>IF('Enrollment Census'!N66="","",LOWER(TRIM('Enrollment Census'!N66&amp;"")))</f>
        <v/>
      </c>
      <c r="O66" s="36">
        <f>IF('Enrollment Census'!O66="","",TRIM('Enrollment Census'!O66&amp;""))</f>
        <v/>
      </c>
      <c r="P66" s="38">
        <f>IF('Enrollment Census'!P66="","",'Enrollment Census'!P66)</f>
        <v/>
      </c>
      <c r="Q66" s="38">
        <f>IF('Enrollment Census'!Q66="","",'Enrollment Census'!Q66)</f>
        <v/>
      </c>
      <c r="R66" s="36">
        <f>IF('Enrollment Census'!R66="","",TRIM('Enrollment Census'!R66&amp;""))</f>
        <v/>
      </c>
      <c r="S66" s="36">
        <f>IF('Enrollment Census'!S66="","",TRIM('Enrollment Census'!S66&amp;""))</f>
        <v/>
      </c>
      <c r="T66" s="36">
        <f>IF('Enrollment Census'!T66="","",TRIM('Enrollment Census'!T66&amp;""))</f>
        <v/>
      </c>
      <c r="U66" s="39">
        <f>IF('Enrollment Census'!U66="","",'Enrollment Census'!U66)</f>
        <v/>
      </c>
    </row>
    <row r="67">
      <c r="A67" s="36">
        <f>IF('Enrollment Census'!A67="","",TRIM('Enrollment Census'!A67&amp;""))</f>
        <v/>
      </c>
      <c r="B67" s="36">
        <f>IF('Enrollment Census'!B67="","",TRIM('Enrollment Census'!B67&amp;""))</f>
        <v/>
      </c>
      <c r="C67" s="37">
        <f>IF('Enrollment Census'!C67="","",TRIM('Enrollment Census'!C67&amp;""))</f>
        <v/>
      </c>
      <c r="D67" s="37">
        <f>IF('Enrollment Census'!D67="","",TRIM('Enrollment Census'!D67&amp;""))</f>
        <v/>
      </c>
      <c r="E67" s="36">
        <f>IF('Enrollment Census'!E67="","",TRIM('Enrollment Census'!E67&amp;""))</f>
        <v/>
      </c>
      <c r="F67" s="37">
        <f>IF('Enrollment Census'!F67="","",TRIM('Enrollment Census'!F67&amp;""))</f>
        <v/>
      </c>
      <c r="G67" s="37">
        <f>IF('Enrollment Census'!G67="","",TRIM('Enrollment Census'!G67&amp;""))</f>
        <v/>
      </c>
      <c r="H67" s="37">
        <f>IF('Enrollment Census'!H67="","",TRIM('Enrollment Census'!H67&amp;""))</f>
        <v/>
      </c>
      <c r="I67" s="36">
        <f>IF('Enrollment Census'!I67="","",TRIM('Enrollment Census'!I67&amp;""))</f>
        <v/>
      </c>
      <c r="J67" s="36">
        <f>IF('Enrollment Census'!J67="","",TRIM('Enrollment Census'!J67&amp;""))</f>
        <v/>
      </c>
      <c r="K67" s="36">
        <f>IF('Enrollment Census'!K67="","",TRIM('Enrollment Census'!K67&amp;""))</f>
        <v/>
      </c>
      <c r="L67" s="38">
        <f>IF('Enrollment Census'!L67="","",'Enrollment Census'!L67)</f>
        <v/>
      </c>
      <c r="M67" s="36">
        <f>IF('Enrollment Census'!M67="","",TRIM('Enrollment Census'!M67&amp;""))</f>
        <v/>
      </c>
      <c r="N67" s="36">
        <f>IF('Enrollment Census'!N67="","",LOWER(TRIM('Enrollment Census'!N67&amp;"")))</f>
        <v/>
      </c>
      <c r="O67" s="36">
        <f>IF('Enrollment Census'!O67="","",TRIM('Enrollment Census'!O67&amp;""))</f>
        <v/>
      </c>
      <c r="P67" s="38">
        <f>IF('Enrollment Census'!P67="","",'Enrollment Census'!P67)</f>
        <v/>
      </c>
      <c r="Q67" s="38">
        <f>IF('Enrollment Census'!Q67="","",'Enrollment Census'!Q67)</f>
        <v/>
      </c>
      <c r="R67" s="36">
        <f>IF('Enrollment Census'!R67="","",TRIM('Enrollment Census'!R67&amp;""))</f>
        <v/>
      </c>
      <c r="S67" s="36">
        <f>IF('Enrollment Census'!S67="","",TRIM('Enrollment Census'!S67&amp;""))</f>
        <v/>
      </c>
      <c r="T67" s="36">
        <f>IF('Enrollment Census'!T67="","",TRIM('Enrollment Census'!T67&amp;""))</f>
        <v/>
      </c>
      <c r="U67" s="39">
        <f>IF('Enrollment Census'!U67="","",'Enrollment Census'!U67)</f>
        <v/>
      </c>
    </row>
    <row r="68">
      <c r="A68" s="36">
        <f>IF('Enrollment Census'!A68="","",TRIM('Enrollment Census'!A68&amp;""))</f>
        <v/>
      </c>
      <c r="B68" s="36">
        <f>IF('Enrollment Census'!B68="","",TRIM('Enrollment Census'!B68&amp;""))</f>
        <v/>
      </c>
      <c r="C68" s="37">
        <f>IF('Enrollment Census'!C68="","",TRIM('Enrollment Census'!C68&amp;""))</f>
        <v/>
      </c>
      <c r="D68" s="37">
        <f>IF('Enrollment Census'!D68="","",TRIM('Enrollment Census'!D68&amp;""))</f>
        <v/>
      </c>
      <c r="E68" s="36">
        <f>IF('Enrollment Census'!E68="","",TRIM('Enrollment Census'!E68&amp;""))</f>
        <v/>
      </c>
      <c r="F68" s="37">
        <f>IF('Enrollment Census'!F68="","",TRIM('Enrollment Census'!F68&amp;""))</f>
        <v/>
      </c>
      <c r="G68" s="37">
        <f>IF('Enrollment Census'!G68="","",TRIM('Enrollment Census'!G68&amp;""))</f>
        <v/>
      </c>
      <c r="H68" s="37">
        <f>IF('Enrollment Census'!H68="","",TRIM('Enrollment Census'!H68&amp;""))</f>
        <v/>
      </c>
      <c r="I68" s="36">
        <f>IF('Enrollment Census'!I68="","",TRIM('Enrollment Census'!I68&amp;""))</f>
        <v/>
      </c>
      <c r="J68" s="36">
        <f>IF('Enrollment Census'!J68="","",TRIM('Enrollment Census'!J68&amp;""))</f>
        <v/>
      </c>
      <c r="K68" s="36">
        <f>IF('Enrollment Census'!K68="","",TRIM('Enrollment Census'!K68&amp;""))</f>
        <v/>
      </c>
      <c r="L68" s="38">
        <f>IF('Enrollment Census'!L68="","",'Enrollment Census'!L68)</f>
        <v/>
      </c>
      <c r="M68" s="36">
        <f>IF('Enrollment Census'!M68="","",TRIM('Enrollment Census'!M68&amp;""))</f>
        <v/>
      </c>
      <c r="N68" s="36">
        <f>IF('Enrollment Census'!N68="","",LOWER(TRIM('Enrollment Census'!N68&amp;"")))</f>
        <v/>
      </c>
      <c r="O68" s="36">
        <f>IF('Enrollment Census'!O68="","",TRIM('Enrollment Census'!O68&amp;""))</f>
        <v/>
      </c>
      <c r="P68" s="38">
        <f>IF('Enrollment Census'!P68="","",'Enrollment Census'!P68)</f>
        <v/>
      </c>
      <c r="Q68" s="38">
        <f>IF('Enrollment Census'!Q68="","",'Enrollment Census'!Q68)</f>
        <v/>
      </c>
      <c r="R68" s="36">
        <f>IF('Enrollment Census'!R68="","",TRIM('Enrollment Census'!R68&amp;""))</f>
        <v/>
      </c>
      <c r="S68" s="36">
        <f>IF('Enrollment Census'!S68="","",TRIM('Enrollment Census'!S68&amp;""))</f>
        <v/>
      </c>
      <c r="T68" s="36">
        <f>IF('Enrollment Census'!T68="","",TRIM('Enrollment Census'!T68&amp;""))</f>
        <v/>
      </c>
      <c r="U68" s="39">
        <f>IF('Enrollment Census'!U68="","",'Enrollment Census'!U68)</f>
        <v/>
      </c>
    </row>
    <row r="69">
      <c r="A69" s="36">
        <f>IF('Enrollment Census'!A69="","",TRIM('Enrollment Census'!A69&amp;""))</f>
        <v/>
      </c>
      <c r="B69" s="36">
        <f>IF('Enrollment Census'!B69="","",TRIM('Enrollment Census'!B69&amp;""))</f>
        <v/>
      </c>
      <c r="C69" s="37">
        <f>IF('Enrollment Census'!C69="","",TRIM('Enrollment Census'!C69&amp;""))</f>
        <v/>
      </c>
      <c r="D69" s="37">
        <f>IF('Enrollment Census'!D69="","",TRIM('Enrollment Census'!D69&amp;""))</f>
        <v/>
      </c>
      <c r="E69" s="36">
        <f>IF('Enrollment Census'!E69="","",TRIM('Enrollment Census'!E69&amp;""))</f>
        <v/>
      </c>
      <c r="F69" s="37">
        <f>IF('Enrollment Census'!F69="","",TRIM('Enrollment Census'!F69&amp;""))</f>
        <v/>
      </c>
      <c r="G69" s="37">
        <f>IF('Enrollment Census'!G69="","",TRIM('Enrollment Census'!G69&amp;""))</f>
        <v/>
      </c>
      <c r="H69" s="37">
        <f>IF('Enrollment Census'!H69="","",TRIM('Enrollment Census'!H69&amp;""))</f>
        <v/>
      </c>
      <c r="I69" s="36">
        <f>IF('Enrollment Census'!I69="","",TRIM('Enrollment Census'!I69&amp;""))</f>
        <v/>
      </c>
      <c r="J69" s="36">
        <f>IF('Enrollment Census'!J69="","",TRIM('Enrollment Census'!J69&amp;""))</f>
        <v/>
      </c>
      <c r="K69" s="36">
        <f>IF('Enrollment Census'!K69="","",TRIM('Enrollment Census'!K69&amp;""))</f>
        <v/>
      </c>
      <c r="L69" s="38">
        <f>IF('Enrollment Census'!L69="","",'Enrollment Census'!L69)</f>
        <v/>
      </c>
      <c r="M69" s="36">
        <f>IF('Enrollment Census'!M69="","",TRIM('Enrollment Census'!M69&amp;""))</f>
        <v/>
      </c>
      <c r="N69" s="36">
        <f>IF('Enrollment Census'!N69="","",LOWER(TRIM('Enrollment Census'!N69&amp;"")))</f>
        <v/>
      </c>
      <c r="O69" s="36">
        <f>IF('Enrollment Census'!O69="","",TRIM('Enrollment Census'!O69&amp;""))</f>
        <v/>
      </c>
      <c r="P69" s="38">
        <f>IF('Enrollment Census'!P69="","",'Enrollment Census'!P69)</f>
        <v/>
      </c>
      <c r="Q69" s="38">
        <f>IF('Enrollment Census'!Q69="","",'Enrollment Census'!Q69)</f>
        <v/>
      </c>
      <c r="R69" s="36">
        <f>IF('Enrollment Census'!R69="","",TRIM('Enrollment Census'!R69&amp;""))</f>
        <v/>
      </c>
      <c r="S69" s="36">
        <f>IF('Enrollment Census'!S69="","",TRIM('Enrollment Census'!S69&amp;""))</f>
        <v/>
      </c>
      <c r="T69" s="36">
        <f>IF('Enrollment Census'!T69="","",TRIM('Enrollment Census'!T69&amp;""))</f>
        <v/>
      </c>
      <c r="U69" s="39">
        <f>IF('Enrollment Census'!U69="","",'Enrollment Census'!U69)</f>
        <v/>
      </c>
    </row>
    <row r="70">
      <c r="A70" s="36">
        <f>IF('Enrollment Census'!A70="","",TRIM('Enrollment Census'!A70&amp;""))</f>
        <v/>
      </c>
      <c r="B70" s="36">
        <f>IF('Enrollment Census'!B70="","",TRIM('Enrollment Census'!B70&amp;""))</f>
        <v/>
      </c>
      <c r="C70" s="37">
        <f>IF('Enrollment Census'!C70="","",TRIM('Enrollment Census'!C70&amp;""))</f>
        <v/>
      </c>
      <c r="D70" s="37">
        <f>IF('Enrollment Census'!D70="","",TRIM('Enrollment Census'!D70&amp;""))</f>
        <v/>
      </c>
      <c r="E70" s="36">
        <f>IF('Enrollment Census'!E70="","",TRIM('Enrollment Census'!E70&amp;""))</f>
        <v/>
      </c>
      <c r="F70" s="37">
        <f>IF('Enrollment Census'!F70="","",TRIM('Enrollment Census'!F70&amp;""))</f>
        <v/>
      </c>
      <c r="G70" s="37">
        <f>IF('Enrollment Census'!G70="","",TRIM('Enrollment Census'!G70&amp;""))</f>
        <v/>
      </c>
      <c r="H70" s="37">
        <f>IF('Enrollment Census'!H70="","",TRIM('Enrollment Census'!H70&amp;""))</f>
        <v/>
      </c>
      <c r="I70" s="36">
        <f>IF('Enrollment Census'!I70="","",TRIM('Enrollment Census'!I70&amp;""))</f>
        <v/>
      </c>
      <c r="J70" s="36">
        <f>IF('Enrollment Census'!J70="","",TRIM('Enrollment Census'!J70&amp;""))</f>
        <v/>
      </c>
      <c r="K70" s="36">
        <f>IF('Enrollment Census'!K70="","",TRIM('Enrollment Census'!K70&amp;""))</f>
        <v/>
      </c>
      <c r="L70" s="38">
        <f>IF('Enrollment Census'!L70="","",'Enrollment Census'!L70)</f>
        <v/>
      </c>
      <c r="M70" s="36">
        <f>IF('Enrollment Census'!M70="","",TRIM('Enrollment Census'!M70&amp;""))</f>
        <v/>
      </c>
      <c r="N70" s="36">
        <f>IF('Enrollment Census'!N70="","",LOWER(TRIM('Enrollment Census'!N70&amp;"")))</f>
        <v/>
      </c>
      <c r="O70" s="36">
        <f>IF('Enrollment Census'!O70="","",TRIM('Enrollment Census'!O70&amp;""))</f>
        <v/>
      </c>
      <c r="P70" s="38">
        <f>IF('Enrollment Census'!P70="","",'Enrollment Census'!P70)</f>
        <v/>
      </c>
      <c r="Q70" s="38">
        <f>IF('Enrollment Census'!Q70="","",'Enrollment Census'!Q70)</f>
        <v/>
      </c>
      <c r="R70" s="36">
        <f>IF('Enrollment Census'!R70="","",TRIM('Enrollment Census'!R70&amp;""))</f>
        <v/>
      </c>
      <c r="S70" s="36">
        <f>IF('Enrollment Census'!S70="","",TRIM('Enrollment Census'!S70&amp;""))</f>
        <v/>
      </c>
      <c r="T70" s="36">
        <f>IF('Enrollment Census'!T70="","",TRIM('Enrollment Census'!T70&amp;""))</f>
        <v/>
      </c>
      <c r="U70" s="39">
        <f>IF('Enrollment Census'!U70="","",'Enrollment Census'!U70)</f>
        <v/>
      </c>
    </row>
    <row r="71">
      <c r="A71" s="36">
        <f>IF('Enrollment Census'!A71="","",TRIM('Enrollment Census'!A71&amp;""))</f>
        <v/>
      </c>
      <c r="B71" s="36">
        <f>IF('Enrollment Census'!B71="","",TRIM('Enrollment Census'!B71&amp;""))</f>
        <v/>
      </c>
      <c r="C71" s="37">
        <f>IF('Enrollment Census'!C71="","",TRIM('Enrollment Census'!C71&amp;""))</f>
        <v/>
      </c>
      <c r="D71" s="37">
        <f>IF('Enrollment Census'!D71="","",TRIM('Enrollment Census'!D71&amp;""))</f>
        <v/>
      </c>
      <c r="E71" s="36">
        <f>IF('Enrollment Census'!E71="","",TRIM('Enrollment Census'!E71&amp;""))</f>
        <v/>
      </c>
      <c r="F71" s="37">
        <f>IF('Enrollment Census'!F71="","",TRIM('Enrollment Census'!F71&amp;""))</f>
        <v/>
      </c>
      <c r="G71" s="37">
        <f>IF('Enrollment Census'!G71="","",TRIM('Enrollment Census'!G71&amp;""))</f>
        <v/>
      </c>
      <c r="H71" s="37">
        <f>IF('Enrollment Census'!H71="","",TRIM('Enrollment Census'!H71&amp;""))</f>
        <v/>
      </c>
      <c r="I71" s="36">
        <f>IF('Enrollment Census'!I71="","",TRIM('Enrollment Census'!I71&amp;""))</f>
        <v/>
      </c>
      <c r="J71" s="36">
        <f>IF('Enrollment Census'!J71="","",TRIM('Enrollment Census'!J71&amp;""))</f>
        <v/>
      </c>
      <c r="K71" s="36">
        <f>IF('Enrollment Census'!K71="","",TRIM('Enrollment Census'!K71&amp;""))</f>
        <v/>
      </c>
      <c r="L71" s="38">
        <f>IF('Enrollment Census'!L71="","",'Enrollment Census'!L71)</f>
        <v/>
      </c>
      <c r="M71" s="36">
        <f>IF('Enrollment Census'!M71="","",TRIM('Enrollment Census'!M71&amp;""))</f>
        <v/>
      </c>
      <c r="N71" s="36">
        <f>IF('Enrollment Census'!N71="","",LOWER(TRIM('Enrollment Census'!N71&amp;"")))</f>
        <v/>
      </c>
      <c r="O71" s="36">
        <f>IF('Enrollment Census'!O71="","",TRIM('Enrollment Census'!O71&amp;""))</f>
        <v/>
      </c>
      <c r="P71" s="38">
        <f>IF('Enrollment Census'!P71="","",'Enrollment Census'!P71)</f>
        <v/>
      </c>
      <c r="Q71" s="38">
        <f>IF('Enrollment Census'!Q71="","",'Enrollment Census'!Q71)</f>
        <v/>
      </c>
      <c r="R71" s="36">
        <f>IF('Enrollment Census'!R71="","",TRIM('Enrollment Census'!R71&amp;""))</f>
        <v/>
      </c>
      <c r="S71" s="36">
        <f>IF('Enrollment Census'!S71="","",TRIM('Enrollment Census'!S71&amp;""))</f>
        <v/>
      </c>
      <c r="T71" s="36">
        <f>IF('Enrollment Census'!T71="","",TRIM('Enrollment Census'!T71&amp;""))</f>
        <v/>
      </c>
      <c r="U71" s="39">
        <f>IF('Enrollment Census'!U71="","",'Enrollment Census'!U71)</f>
        <v/>
      </c>
    </row>
    <row r="72">
      <c r="A72" s="36">
        <f>IF('Enrollment Census'!A72="","",TRIM('Enrollment Census'!A72&amp;""))</f>
        <v/>
      </c>
      <c r="B72" s="36">
        <f>IF('Enrollment Census'!B72="","",TRIM('Enrollment Census'!B72&amp;""))</f>
        <v/>
      </c>
      <c r="C72" s="37">
        <f>IF('Enrollment Census'!C72="","",TRIM('Enrollment Census'!C72&amp;""))</f>
        <v/>
      </c>
      <c r="D72" s="37">
        <f>IF('Enrollment Census'!D72="","",TRIM('Enrollment Census'!D72&amp;""))</f>
        <v/>
      </c>
      <c r="E72" s="36">
        <f>IF('Enrollment Census'!E72="","",TRIM('Enrollment Census'!E72&amp;""))</f>
        <v/>
      </c>
      <c r="F72" s="37">
        <f>IF('Enrollment Census'!F72="","",TRIM('Enrollment Census'!F72&amp;""))</f>
        <v/>
      </c>
      <c r="G72" s="37">
        <f>IF('Enrollment Census'!G72="","",TRIM('Enrollment Census'!G72&amp;""))</f>
        <v/>
      </c>
      <c r="H72" s="37">
        <f>IF('Enrollment Census'!H72="","",TRIM('Enrollment Census'!H72&amp;""))</f>
        <v/>
      </c>
      <c r="I72" s="36">
        <f>IF('Enrollment Census'!I72="","",TRIM('Enrollment Census'!I72&amp;""))</f>
        <v/>
      </c>
      <c r="J72" s="36">
        <f>IF('Enrollment Census'!J72="","",TRIM('Enrollment Census'!J72&amp;""))</f>
        <v/>
      </c>
      <c r="K72" s="36">
        <f>IF('Enrollment Census'!K72="","",TRIM('Enrollment Census'!K72&amp;""))</f>
        <v/>
      </c>
      <c r="L72" s="38">
        <f>IF('Enrollment Census'!L72="","",'Enrollment Census'!L72)</f>
        <v/>
      </c>
      <c r="M72" s="36">
        <f>IF('Enrollment Census'!M72="","",TRIM('Enrollment Census'!M72&amp;""))</f>
        <v/>
      </c>
      <c r="N72" s="36">
        <f>IF('Enrollment Census'!N72="","",LOWER(TRIM('Enrollment Census'!N72&amp;"")))</f>
        <v/>
      </c>
      <c r="O72" s="36">
        <f>IF('Enrollment Census'!O72="","",TRIM('Enrollment Census'!O72&amp;""))</f>
        <v/>
      </c>
      <c r="P72" s="38">
        <f>IF('Enrollment Census'!P72="","",'Enrollment Census'!P72)</f>
        <v/>
      </c>
      <c r="Q72" s="38">
        <f>IF('Enrollment Census'!Q72="","",'Enrollment Census'!Q72)</f>
        <v/>
      </c>
      <c r="R72" s="36">
        <f>IF('Enrollment Census'!R72="","",TRIM('Enrollment Census'!R72&amp;""))</f>
        <v/>
      </c>
      <c r="S72" s="36">
        <f>IF('Enrollment Census'!S72="","",TRIM('Enrollment Census'!S72&amp;""))</f>
        <v/>
      </c>
      <c r="T72" s="36">
        <f>IF('Enrollment Census'!T72="","",TRIM('Enrollment Census'!T72&amp;""))</f>
        <v/>
      </c>
      <c r="U72" s="39">
        <f>IF('Enrollment Census'!U72="","",'Enrollment Census'!U72)</f>
        <v/>
      </c>
    </row>
    <row r="73">
      <c r="A73" s="36">
        <f>IF('Enrollment Census'!A73="","",TRIM('Enrollment Census'!A73&amp;""))</f>
        <v/>
      </c>
      <c r="B73" s="36">
        <f>IF('Enrollment Census'!B73="","",TRIM('Enrollment Census'!B73&amp;""))</f>
        <v/>
      </c>
      <c r="C73" s="37">
        <f>IF('Enrollment Census'!C73="","",TRIM('Enrollment Census'!C73&amp;""))</f>
        <v/>
      </c>
      <c r="D73" s="37">
        <f>IF('Enrollment Census'!D73="","",TRIM('Enrollment Census'!D73&amp;""))</f>
        <v/>
      </c>
      <c r="E73" s="36">
        <f>IF('Enrollment Census'!E73="","",TRIM('Enrollment Census'!E73&amp;""))</f>
        <v/>
      </c>
      <c r="F73" s="37">
        <f>IF('Enrollment Census'!F73="","",TRIM('Enrollment Census'!F73&amp;""))</f>
        <v/>
      </c>
      <c r="G73" s="37">
        <f>IF('Enrollment Census'!G73="","",TRIM('Enrollment Census'!G73&amp;""))</f>
        <v/>
      </c>
      <c r="H73" s="37">
        <f>IF('Enrollment Census'!H73="","",TRIM('Enrollment Census'!H73&amp;""))</f>
        <v/>
      </c>
      <c r="I73" s="36">
        <f>IF('Enrollment Census'!I73="","",TRIM('Enrollment Census'!I73&amp;""))</f>
        <v/>
      </c>
      <c r="J73" s="36">
        <f>IF('Enrollment Census'!J73="","",TRIM('Enrollment Census'!J73&amp;""))</f>
        <v/>
      </c>
      <c r="K73" s="36">
        <f>IF('Enrollment Census'!K73="","",TRIM('Enrollment Census'!K73&amp;""))</f>
        <v/>
      </c>
      <c r="L73" s="38">
        <f>IF('Enrollment Census'!L73="","",'Enrollment Census'!L73)</f>
        <v/>
      </c>
      <c r="M73" s="36">
        <f>IF('Enrollment Census'!M73="","",TRIM('Enrollment Census'!M73&amp;""))</f>
        <v/>
      </c>
      <c r="N73" s="36">
        <f>IF('Enrollment Census'!N73="","",LOWER(TRIM('Enrollment Census'!N73&amp;"")))</f>
        <v/>
      </c>
      <c r="O73" s="36">
        <f>IF('Enrollment Census'!O73="","",TRIM('Enrollment Census'!O73&amp;""))</f>
        <v/>
      </c>
      <c r="P73" s="38">
        <f>IF('Enrollment Census'!P73="","",'Enrollment Census'!P73)</f>
        <v/>
      </c>
      <c r="Q73" s="38">
        <f>IF('Enrollment Census'!Q73="","",'Enrollment Census'!Q73)</f>
        <v/>
      </c>
      <c r="R73" s="36">
        <f>IF('Enrollment Census'!R73="","",TRIM('Enrollment Census'!R73&amp;""))</f>
        <v/>
      </c>
      <c r="S73" s="36">
        <f>IF('Enrollment Census'!S73="","",TRIM('Enrollment Census'!S73&amp;""))</f>
        <v/>
      </c>
      <c r="T73" s="36">
        <f>IF('Enrollment Census'!T73="","",TRIM('Enrollment Census'!T73&amp;""))</f>
        <v/>
      </c>
      <c r="U73" s="39">
        <f>IF('Enrollment Census'!U73="","",'Enrollment Census'!U73)</f>
        <v/>
      </c>
    </row>
    <row r="74">
      <c r="A74" s="36">
        <f>IF('Enrollment Census'!A74="","",TRIM('Enrollment Census'!A74&amp;""))</f>
        <v/>
      </c>
      <c r="B74" s="36">
        <f>IF('Enrollment Census'!B74="","",TRIM('Enrollment Census'!B74&amp;""))</f>
        <v/>
      </c>
      <c r="C74" s="37">
        <f>IF('Enrollment Census'!C74="","",TRIM('Enrollment Census'!C74&amp;""))</f>
        <v/>
      </c>
      <c r="D74" s="37">
        <f>IF('Enrollment Census'!D74="","",TRIM('Enrollment Census'!D74&amp;""))</f>
        <v/>
      </c>
      <c r="E74" s="36">
        <f>IF('Enrollment Census'!E74="","",TRIM('Enrollment Census'!E74&amp;""))</f>
        <v/>
      </c>
      <c r="F74" s="37">
        <f>IF('Enrollment Census'!F74="","",TRIM('Enrollment Census'!F74&amp;""))</f>
        <v/>
      </c>
      <c r="G74" s="37">
        <f>IF('Enrollment Census'!G74="","",TRIM('Enrollment Census'!G74&amp;""))</f>
        <v/>
      </c>
      <c r="H74" s="37">
        <f>IF('Enrollment Census'!H74="","",TRIM('Enrollment Census'!H74&amp;""))</f>
        <v/>
      </c>
      <c r="I74" s="36">
        <f>IF('Enrollment Census'!I74="","",TRIM('Enrollment Census'!I74&amp;""))</f>
        <v/>
      </c>
      <c r="J74" s="36">
        <f>IF('Enrollment Census'!J74="","",TRIM('Enrollment Census'!J74&amp;""))</f>
        <v/>
      </c>
      <c r="K74" s="36">
        <f>IF('Enrollment Census'!K74="","",TRIM('Enrollment Census'!K74&amp;""))</f>
        <v/>
      </c>
      <c r="L74" s="38">
        <f>IF('Enrollment Census'!L74="","",'Enrollment Census'!L74)</f>
        <v/>
      </c>
      <c r="M74" s="36">
        <f>IF('Enrollment Census'!M74="","",TRIM('Enrollment Census'!M74&amp;""))</f>
        <v/>
      </c>
      <c r="N74" s="36">
        <f>IF('Enrollment Census'!N74="","",LOWER(TRIM('Enrollment Census'!N74&amp;"")))</f>
        <v/>
      </c>
      <c r="O74" s="36">
        <f>IF('Enrollment Census'!O74="","",TRIM('Enrollment Census'!O74&amp;""))</f>
        <v/>
      </c>
      <c r="P74" s="38">
        <f>IF('Enrollment Census'!P74="","",'Enrollment Census'!P74)</f>
        <v/>
      </c>
      <c r="Q74" s="38">
        <f>IF('Enrollment Census'!Q74="","",'Enrollment Census'!Q74)</f>
        <v/>
      </c>
      <c r="R74" s="36">
        <f>IF('Enrollment Census'!R74="","",TRIM('Enrollment Census'!R74&amp;""))</f>
        <v/>
      </c>
      <c r="S74" s="36">
        <f>IF('Enrollment Census'!S74="","",TRIM('Enrollment Census'!S74&amp;""))</f>
        <v/>
      </c>
      <c r="T74" s="36">
        <f>IF('Enrollment Census'!T74="","",TRIM('Enrollment Census'!T74&amp;""))</f>
        <v/>
      </c>
      <c r="U74" s="39">
        <f>IF('Enrollment Census'!U74="","",'Enrollment Census'!U74)</f>
        <v/>
      </c>
    </row>
    <row r="75">
      <c r="A75" s="36">
        <f>IF('Enrollment Census'!A75="","",TRIM('Enrollment Census'!A75&amp;""))</f>
        <v/>
      </c>
      <c r="B75" s="36">
        <f>IF('Enrollment Census'!B75="","",TRIM('Enrollment Census'!B75&amp;""))</f>
        <v/>
      </c>
      <c r="C75" s="37">
        <f>IF('Enrollment Census'!C75="","",TRIM('Enrollment Census'!C75&amp;""))</f>
        <v/>
      </c>
      <c r="D75" s="37">
        <f>IF('Enrollment Census'!D75="","",TRIM('Enrollment Census'!D75&amp;""))</f>
        <v/>
      </c>
      <c r="E75" s="36">
        <f>IF('Enrollment Census'!E75="","",TRIM('Enrollment Census'!E75&amp;""))</f>
        <v/>
      </c>
      <c r="F75" s="37">
        <f>IF('Enrollment Census'!F75="","",TRIM('Enrollment Census'!F75&amp;""))</f>
        <v/>
      </c>
      <c r="G75" s="37">
        <f>IF('Enrollment Census'!G75="","",TRIM('Enrollment Census'!G75&amp;""))</f>
        <v/>
      </c>
      <c r="H75" s="37">
        <f>IF('Enrollment Census'!H75="","",TRIM('Enrollment Census'!H75&amp;""))</f>
        <v/>
      </c>
      <c r="I75" s="36">
        <f>IF('Enrollment Census'!I75="","",TRIM('Enrollment Census'!I75&amp;""))</f>
        <v/>
      </c>
      <c r="J75" s="36">
        <f>IF('Enrollment Census'!J75="","",TRIM('Enrollment Census'!J75&amp;""))</f>
        <v/>
      </c>
      <c r="K75" s="36">
        <f>IF('Enrollment Census'!K75="","",TRIM('Enrollment Census'!K75&amp;""))</f>
        <v/>
      </c>
      <c r="L75" s="38">
        <f>IF('Enrollment Census'!L75="","",'Enrollment Census'!L75)</f>
        <v/>
      </c>
      <c r="M75" s="36">
        <f>IF('Enrollment Census'!M75="","",TRIM('Enrollment Census'!M75&amp;""))</f>
        <v/>
      </c>
      <c r="N75" s="36">
        <f>IF('Enrollment Census'!N75="","",LOWER(TRIM('Enrollment Census'!N75&amp;"")))</f>
        <v/>
      </c>
      <c r="O75" s="36">
        <f>IF('Enrollment Census'!O75="","",TRIM('Enrollment Census'!O75&amp;""))</f>
        <v/>
      </c>
      <c r="P75" s="38">
        <f>IF('Enrollment Census'!P75="","",'Enrollment Census'!P75)</f>
        <v/>
      </c>
      <c r="Q75" s="38">
        <f>IF('Enrollment Census'!Q75="","",'Enrollment Census'!Q75)</f>
        <v/>
      </c>
      <c r="R75" s="36">
        <f>IF('Enrollment Census'!R75="","",TRIM('Enrollment Census'!R75&amp;""))</f>
        <v/>
      </c>
      <c r="S75" s="36">
        <f>IF('Enrollment Census'!S75="","",TRIM('Enrollment Census'!S75&amp;""))</f>
        <v/>
      </c>
      <c r="T75" s="36">
        <f>IF('Enrollment Census'!T75="","",TRIM('Enrollment Census'!T75&amp;""))</f>
        <v/>
      </c>
      <c r="U75" s="39">
        <f>IF('Enrollment Census'!U75="","",'Enrollment Census'!U75)</f>
        <v/>
      </c>
    </row>
    <row r="76">
      <c r="A76" s="36">
        <f>IF('Enrollment Census'!A76="","",TRIM('Enrollment Census'!A76&amp;""))</f>
        <v/>
      </c>
      <c r="B76" s="36">
        <f>IF('Enrollment Census'!B76="","",TRIM('Enrollment Census'!B76&amp;""))</f>
        <v/>
      </c>
      <c r="C76" s="37">
        <f>IF('Enrollment Census'!C76="","",TRIM('Enrollment Census'!C76&amp;""))</f>
        <v/>
      </c>
      <c r="D76" s="37">
        <f>IF('Enrollment Census'!D76="","",TRIM('Enrollment Census'!D76&amp;""))</f>
        <v/>
      </c>
      <c r="E76" s="36">
        <f>IF('Enrollment Census'!E76="","",TRIM('Enrollment Census'!E76&amp;""))</f>
        <v/>
      </c>
      <c r="F76" s="37">
        <f>IF('Enrollment Census'!F76="","",TRIM('Enrollment Census'!F76&amp;""))</f>
        <v/>
      </c>
      <c r="G76" s="37">
        <f>IF('Enrollment Census'!G76="","",TRIM('Enrollment Census'!G76&amp;""))</f>
        <v/>
      </c>
      <c r="H76" s="37">
        <f>IF('Enrollment Census'!H76="","",TRIM('Enrollment Census'!H76&amp;""))</f>
        <v/>
      </c>
      <c r="I76" s="36">
        <f>IF('Enrollment Census'!I76="","",TRIM('Enrollment Census'!I76&amp;""))</f>
        <v/>
      </c>
      <c r="J76" s="36">
        <f>IF('Enrollment Census'!J76="","",TRIM('Enrollment Census'!J76&amp;""))</f>
        <v/>
      </c>
      <c r="K76" s="36">
        <f>IF('Enrollment Census'!K76="","",TRIM('Enrollment Census'!K76&amp;""))</f>
        <v/>
      </c>
      <c r="L76" s="38">
        <f>IF('Enrollment Census'!L76="","",'Enrollment Census'!L76)</f>
        <v/>
      </c>
      <c r="M76" s="36">
        <f>IF('Enrollment Census'!M76="","",TRIM('Enrollment Census'!M76&amp;""))</f>
        <v/>
      </c>
      <c r="N76" s="36">
        <f>IF('Enrollment Census'!N76="","",LOWER(TRIM('Enrollment Census'!N76&amp;"")))</f>
        <v/>
      </c>
      <c r="O76" s="36">
        <f>IF('Enrollment Census'!O76="","",TRIM('Enrollment Census'!O76&amp;""))</f>
        <v/>
      </c>
      <c r="P76" s="38">
        <f>IF('Enrollment Census'!P76="","",'Enrollment Census'!P76)</f>
        <v/>
      </c>
      <c r="Q76" s="38">
        <f>IF('Enrollment Census'!Q76="","",'Enrollment Census'!Q76)</f>
        <v/>
      </c>
      <c r="R76" s="36">
        <f>IF('Enrollment Census'!R76="","",TRIM('Enrollment Census'!R76&amp;""))</f>
        <v/>
      </c>
      <c r="S76" s="36">
        <f>IF('Enrollment Census'!S76="","",TRIM('Enrollment Census'!S76&amp;""))</f>
        <v/>
      </c>
      <c r="T76" s="36">
        <f>IF('Enrollment Census'!T76="","",TRIM('Enrollment Census'!T76&amp;""))</f>
        <v/>
      </c>
      <c r="U76" s="39">
        <f>IF('Enrollment Census'!U76="","",'Enrollment Census'!U76)</f>
        <v/>
      </c>
    </row>
    <row r="77">
      <c r="A77" s="36">
        <f>IF('Enrollment Census'!A77="","",TRIM('Enrollment Census'!A77&amp;""))</f>
        <v/>
      </c>
      <c r="B77" s="36">
        <f>IF('Enrollment Census'!B77="","",TRIM('Enrollment Census'!B77&amp;""))</f>
        <v/>
      </c>
      <c r="C77" s="37">
        <f>IF('Enrollment Census'!C77="","",TRIM('Enrollment Census'!C77&amp;""))</f>
        <v/>
      </c>
      <c r="D77" s="37">
        <f>IF('Enrollment Census'!D77="","",TRIM('Enrollment Census'!D77&amp;""))</f>
        <v/>
      </c>
      <c r="E77" s="36">
        <f>IF('Enrollment Census'!E77="","",TRIM('Enrollment Census'!E77&amp;""))</f>
        <v/>
      </c>
      <c r="F77" s="37">
        <f>IF('Enrollment Census'!F77="","",TRIM('Enrollment Census'!F77&amp;""))</f>
        <v/>
      </c>
      <c r="G77" s="37">
        <f>IF('Enrollment Census'!G77="","",TRIM('Enrollment Census'!G77&amp;""))</f>
        <v/>
      </c>
      <c r="H77" s="37">
        <f>IF('Enrollment Census'!H77="","",TRIM('Enrollment Census'!H77&amp;""))</f>
        <v/>
      </c>
      <c r="I77" s="36">
        <f>IF('Enrollment Census'!I77="","",TRIM('Enrollment Census'!I77&amp;""))</f>
        <v/>
      </c>
      <c r="J77" s="36">
        <f>IF('Enrollment Census'!J77="","",TRIM('Enrollment Census'!J77&amp;""))</f>
        <v/>
      </c>
      <c r="K77" s="36">
        <f>IF('Enrollment Census'!K77="","",TRIM('Enrollment Census'!K77&amp;""))</f>
        <v/>
      </c>
      <c r="L77" s="38">
        <f>IF('Enrollment Census'!L77="","",'Enrollment Census'!L77)</f>
        <v/>
      </c>
      <c r="M77" s="36">
        <f>IF('Enrollment Census'!M77="","",TRIM('Enrollment Census'!M77&amp;""))</f>
        <v/>
      </c>
      <c r="N77" s="36">
        <f>IF('Enrollment Census'!N77="","",LOWER(TRIM('Enrollment Census'!N77&amp;"")))</f>
        <v/>
      </c>
      <c r="O77" s="36">
        <f>IF('Enrollment Census'!O77="","",TRIM('Enrollment Census'!O77&amp;""))</f>
        <v/>
      </c>
      <c r="P77" s="38">
        <f>IF('Enrollment Census'!P77="","",'Enrollment Census'!P77)</f>
        <v/>
      </c>
      <c r="Q77" s="38">
        <f>IF('Enrollment Census'!Q77="","",'Enrollment Census'!Q77)</f>
        <v/>
      </c>
      <c r="R77" s="36">
        <f>IF('Enrollment Census'!R77="","",TRIM('Enrollment Census'!R77&amp;""))</f>
        <v/>
      </c>
      <c r="S77" s="36">
        <f>IF('Enrollment Census'!S77="","",TRIM('Enrollment Census'!S77&amp;""))</f>
        <v/>
      </c>
      <c r="T77" s="36">
        <f>IF('Enrollment Census'!T77="","",TRIM('Enrollment Census'!T77&amp;""))</f>
        <v/>
      </c>
      <c r="U77" s="39">
        <f>IF('Enrollment Census'!U77="","",'Enrollment Census'!U77)</f>
        <v/>
      </c>
    </row>
    <row r="78">
      <c r="A78" s="36">
        <f>IF('Enrollment Census'!A78="","",TRIM('Enrollment Census'!A78&amp;""))</f>
        <v/>
      </c>
      <c r="B78" s="36">
        <f>IF('Enrollment Census'!B78="","",TRIM('Enrollment Census'!B78&amp;""))</f>
        <v/>
      </c>
      <c r="C78" s="37">
        <f>IF('Enrollment Census'!C78="","",TRIM('Enrollment Census'!C78&amp;""))</f>
        <v/>
      </c>
      <c r="D78" s="37">
        <f>IF('Enrollment Census'!D78="","",TRIM('Enrollment Census'!D78&amp;""))</f>
        <v/>
      </c>
      <c r="E78" s="36">
        <f>IF('Enrollment Census'!E78="","",TRIM('Enrollment Census'!E78&amp;""))</f>
        <v/>
      </c>
      <c r="F78" s="37">
        <f>IF('Enrollment Census'!F78="","",TRIM('Enrollment Census'!F78&amp;""))</f>
        <v/>
      </c>
      <c r="G78" s="37">
        <f>IF('Enrollment Census'!G78="","",TRIM('Enrollment Census'!G78&amp;""))</f>
        <v/>
      </c>
      <c r="H78" s="37">
        <f>IF('Enrollment Census'!H78="","",TRIM('Enrollment Census'!H78&amp;""))</f>
        <v/>
      </c>
      <c r="I78" s="36">
        <f>IF('Enrollment Census'!I78="","",TRIM('Enrollment Census'!I78&amp;""))</f>
        <v/>
      </c>
      <c r="J78" s="36">
        <f>IF('Enrollment Census'!J78="","",TRIM('Enrollment Census'!J78&amp;""))</f>
        <v/>
      </c>
      <c r="K78" s="36">
        <f>IF('Enrollment Census'!K78="","",TRIM('Enrollment Census'!K78&amp;""))</f>
        <v/>
      </c>
      <c r="L78" s="38">
        <f>IF('Enrollment Census'!L78="","",'Enrollment Census'!L78)</f>
        <v/>
      </c>
      <c r="M78" s="36">
        <f>IF('Enrollment Census'!M78="","",TRIM('Enrollment Census'!M78&amp;""))</f>
        <v/>
      </c>
      <c r="N78" s="36">
        <f>IF('Enrollment Census'!N78="","",LOWER(TRIM('Enrollment Census'!N78&amp;"")))</f>
        <v/>
      </c>
      <c r="O78" s="36">
        <f>IF('Enrollment Census'!O78="","",TRIM('Enrollment Census'!O78&amp;""))</f>
        <v/>
      </c>
      <c r="P78" s="38">
        <f>IF('Enrollment Census'!P78="","",'Enrollment Census'!P78)</f>
        <v/>
      </c>
      <c r="Q78" s="38">
        <f>IF('Enrollment Census'!Q78="","",'Enrollment Census'!Q78)</f>
        <v/>
      </c>
      <c r="R78" s="36">
        <f>IF('Enrollment Census'!R78="","",TRIM('Enrollment Census'!R78&amp;""))</f>
        <v/>
      </c>
      <c r="S78" s="36">
        <f>IF('Enrollment Census'!S78="","",TRIM('Enrollment Census'!S78&amp;""))</f>
        <v/>
      </c>
      <c r="T78" s="36">
        <f>IF('Enrollment Census'!T78="","",TRIM('Enrollment Census'!T78&amp;""))</f>
        <v/>
      </c>
      <c r="U78" s="39">
        <f>IF('Enrollment Census'!U78="","",'Enrollment Census'!U78)</f>
        <v/>
      </c>
    </row>
    <row r="79">
      <c r="A79" s="36">
        <f>IF('Enrollment Census'!A79="","",TRIM('Enrollment Census'!A79&amp;""))</f>
        <v/>
      </c>
      <c r="B79" s="36">
        <f>IF('Enrollment Census'!B79="","",TRIM('Enrollment Census'!B79&amp;""))</f>
        <v/>
      </c>
      <c r="C79" s="37">
        <f>IF('Enrollment Census'!C79="","",TRIM('Enrollment Census'!C79&amp;""))</f>
        <v/>
      </c>
      <c r="D79" s="37">
        <f>IF('Enrollment Census'!D79="","",TRIM('Enrollment Census'!D79&amp;""))</f>
        <v/>
      </c>
      <c r="E79" s="36">
        <f>IF('Enrollment Census'!E79="","",TRIM('Enrollment Census'!E79&amp;""))</f>
        <v/>
      </c>
      <c r="F79" s="37">
        <f>IF('Enrollment Census'!F79="","",TRIM('Enrollment Census'!F79&amp;""))</f>
        <v/>
      </c>
      <c r="G79" s="37">
        <f>IF('Enrollment Census'!G79="","",TRIM('Enrollment Census'!G79&amp;""))</f>
        <v/>
      </c>
      <c r="H79" s="37">
        <f>IF('Enrollment Census'!H79="","",TRIM('Enrollment Census'!H79&amp;""))</f>
        <v/>
      </c>
      <c r="I79" s="36">
        <f>IF('Enrollment Census'!I79="","",TRIM('Enrollment Census'!I79&amp;""))</f>
        <v/>
      </c>
      <c r="J79" s="36">
        <f>IF('Enrollment Census'!J79="","",TRIM('Enrollment Census'!J79&amp;""))</f>
        <v/>
      </c>
      <c r="K79" s="36">
        <f>IF('Enrollment Census'!K79="","",TRIM('Enrollment Census'!K79&amp;""))</f>
        <v/>
      </c>
      <c r="L79" s="38">
        <f>IF('Enrollment Census'!L79="","",'Enrollment Census'!L79)</f>
        <v/>
      </c>
      <c r="M79" s="36">
        <f>IF('Enrollment Census'!M79="","",TRIM('Enrollment Census'!M79&amp;""))</f>
        <v/>
      </c>
      <c r="N79" s="36">
        <f>IF('Enrollment Census'!N79="","",LOWER(TRIM('Enrollment Census'!N79&amp;"")))</f>
        <v/>
      </c>
      <c r="O79" s="36">
        <f>IF('Enrollment Census'!O79="","",TRIM('Enrollment Census'!O79&amp;""))</f>
        <v/>
      </c>
      <c r="P79" s="38">
        <f>IF('Enrollment Census'!P79="","",'Enrollment Census'!P79)</f>
        <v/>
      </c>
      <c r="Q79" s="38">
        <f>IF('Enrollment Census'!Q79="","",'Enrollment Census'!Q79)</f>
        <v/>
      </c>
      <c r="R79" s="36">
        <f>IF('Enrollment Census'!R79="","",TRIM('Enrollment Census'!R79&amp;""))</f>
        <v/>
      </c>
      <c r="S79" s="36">
        <f>IF('Enrollment Census'!S79="","",TRIM('Enrollment Census'!S79&amp;""))</f>
        <v/>
      </c>
      <c r="T79" s="36">
        <f>IF('Enrollment Census'!T79="","",TRIM('Enrollment Census'!T79&amp;""))</f>
        <v/>
      </c>
      <c r="U79" s="39">
        <f>IF('Enrollment Census'!U79="","",'Enrollment Census'!U79)</f>
        <v/>
      </c>
    </row>
    <row r="80">
      <c r="A80" s="36">
        <f>IF('Enrollment Census'!A80="","",TRIM('Enrollment Census'!A80&amp;""))</f>
        <v/>
      </c>
      <c r="B80" s="36">
        <f>IF('Enrollment Census'!B80="","",TRIM('Enrollment Census'!B80&amp;""))</f>
        <v/>
      </c>
      <c r="C80" s="37">
        <f>IF('Enrollment Census'!C80="","",TRIM('Enrollment Census'!C80&amp;""))</f>
        <v/>
      </c>
      <c r="D80" s="37">
        <f>IF('Enrollment Census'!D80="","",TRIM('Enrollment Census'!D80&amp;""))</f>
        <v/>
      </c>
      <c r="E80" s="36">
        <f>IF('Enrollment Census'!E80="","",TRIM('Enrollment Census'!E80&amp;""))</f>
        <v/>
      </c>
      <c r="F80" s="37">
        <f>IF('Enrollment Census'!F80="","",TRIM('Enrollment Census'!F80&amp;""))</f>
        <v/>
      </c>
      <c r="G80" s="37">
        <f>IF('Enrollment Census'!G80="","",TRIM('Enrollment Census'!G80&amp;""))</f>
        <v/>
      </c>
      <c r="H80" s="37">
        <f>IF('Enrollment Census'!H80="","",TRIM('Enrollment Census'!H80&amp;""))</f>
        <v/>
      </c>
      <c r="I80" s="36">
        <f>IF('Enrollment Census'!I80="","",TRIM('Enrollment Census'!I80&amp;""))</f>
        <v/>
      </c>
      <c r="J80" s="36">
        <f>IF('Enrollment Census'!J80="","",TRIM('Enrollment Census'!J80&amp;""))</f>
        <v/>
      </c>
      <c r="K80" s="36">
        <f>IF('Enrollment Census'!K80="","",TRIM('Enrollment Census'!K80&amp;""))</f>
        <v/>
      </c>
      <c r="L80" s="38">
        <f>IF('Enrollment Census'!L80="","",'Enrollment Census'!L80)</f>
        <v/>
      </c>
      <c r="M80" s="36">
        <f>IF('Enrollment Census'!M80="","",TRIM('Enrollment Census'!M80&amp;""))</f>
        <v/>
      </c>
      <c r="N80" s="36">
        <f>IF('Enrollment Census'!N80="","",LOWER(TRIM('Enrollment Census'!N80&amp;"")))</f>
        <v/>
      </c>
      <c r="O80" s="36">
        <f>IF('Enrollment Census'!O80="","",TRIM('Enrollment Census'!O80&amp;""))</f>
        <v/>
      </c>
      <c r="P80" s="38">
        <f>IF('Enrollment Census'!P80="","",'Enrollment Census'!P80)</f>
        <v/>
      </c>
      <c r="Q80" s="38">
        <f>IF('Enrollment Census'!Q80="","",'Enrollment Census'!Q80)</f>
        <v/>
      </c>
      <c r="R80" s="36">
        <f>IF('Enrollment Census'!R80="","",TRIM('Enrollment Census'!R80&amp;""))</f>
        <v/>
      </c>
      <c r="S80" s="36">
        <f>IF('Enrollment Census'!S80="","",TRIM('Enrollment Census'!S80&amp;""))</f>
        <v/>
      </c>
      <c r="T80" s="36">
        <f>IF('Enrollment Census'!T80="","",TRIM('Enrollment Census'!T80&amp;""))</f>
        <v/>
      </c>
      <c r="U80" s="39">
        <f>IF('Enrollment Census'!U80="","",'Enrollment Census'!U80)</f>
        <v/>
      </c>
    </row>
    <row r="81">
      <c r="A81" s="36">
        <f>IF('Enrollment Census'!A81="","",TRIM('Enrollment Census'!A81&amp;""))</f>
        <v/>
      </c>
      <c r="B81" s="36">
        <f>IF('Enrollment Census'!B81="","",TRIM('Enrollment Census'!B81&amp;""))</f>
        <v/>
      </c>
      <c r="C81" s="37">
        <f>IF('Enrollment Census'!C81="","",TRIM('Enrollment Census'!C81&amp;""))</f>
        <v/>
      </c>
      <c r="D81" s="37">
        <f>IF('Enrollment Census'!D81="","",TRIM('Enrollment Census'!D81&amp;""))</f>
        <v/>
      </c>
      <c r="E81" s="36">
        <f>IF('Enrollment Census'!E81="","",TRIM('Enrollment Census'!E81&amp;""))</f>
        <v/>
      </c>
      <c r="F81" s="37">
        <f>IF('Enrollment Census'!F81="","",TRIM('Enrollment Census'!F81&amp;""))</f>
        <v/>
      </c>
      <c r="G81" s="37">
        <f>IF('Enrollment Census'!G81="","",TRIM('Enrollment Census'!G81&amp;""))</f>
        <v/>
      </c>
      <c r="H81" s="37">
        <f>IF('Enrollment Census'!H81="","",TRIM('Enrollment Census'!H81&amp;""))</f>
        <v/>
      </c>
      <c r="I81" s="36">
        <f>IF('Enrollment Census'!I81="","",TRIM('Enrollment Census'!I81&amp;""))</f>
        <v/>
      </c>
      <c r="J81" s="36">
        <f>IF('Enrollment Census'!J81="","",TRIM('Enrollment Census'!J81&amp;""))</f>
        <v/>
      </c>
      <c r="K81" s="36">
        <f>IF('Enrollment Census'!K81="","",TRIM('Enrollment Census'!K81&amp;""))</f>
        <v/>
      </c>
      <c r="L81" s="38">
        <f>IF('Enrollment Census'!L81="","",'Enrollment Census'!L81)</f>
        <v/>
      </c>
      <c r="M81" s="36">
        <f>IF('Enrollment Census'!M81="","",TRIM('Enrollment Census'!M81&amp;""))</f>
        <v/>
      </c>
      <c r="N81" s="36">
        <f>IF('Enrollment Census'!N81="","",LOWER(TRIM('Enrollment Census'!N81&amp;"")))</f>
        <v/>
      </c>
      <c r="O81" s="36">
        <f>IF('Enrollment Census'!O81="","",TRIM('Enrollment Census'!O81&amp;""))</f>
        <v/>
      </c>
      <c r="P81" s="38">
        <f>IF('Enrollment Census'!P81="","",'Enrollment Census'!P81)</f>
        <v/>
      </c>
      <c r="Q81" s="38">
        <f>IF('Enrollment Census'!Q81="","",'Enrollment Census'!Q81)</f>
        <v/>
      </c>
      <c r="R81" s="36">
        <f>IF('Enrollment Census'!R81="","",TRIM('Enrollment Census'!R81&amp;""))</f>
        <v/>
      </c>
      <c r="S81" s="36">
        <f>IF('Enrollment Census'!S81="","",TRIM('Enrollment Census'!S81&amp;""))</f>
        <v/>
      </c>
      <c r="T81" s="36">
        <f>IF('Enrollment Census'!T81="","",TRIM('Enrollment Census'!T81&amp;""))</f>
        <v/>
      </c>
      <c r="U81" s="39">
        <f>IF('Enrollment Census'!U81="","",'Enrollment Census'!U81)</f>
        <v/>
      </c>
    </row>
    <row r="82">
      <c r="A82" s="36">
        <f>IF('Enrollment Census'!A82="","",TRIM('Enrollment Census'!A82&amp;""))</f>
        <v/>
      </c>
      <c r="B82" s="36">
        <f>IF('Enrollment Census'!B82="","",TRIM('Enrollment Census'!B82&amp;""))</f>
        <v/>
      </c>
      <c r="C82" s="37">
        <f>IF('Enrollment Census'!C82="","",TRIM('Enrollment Census'!C82&amp;""))</f>
        <v/>
      </c>
      <c r="D82" s="37">
        <f>IF('Enrollment Census'!D82="","",TRIM('Enrollment Census'!D82&amp;""))</f>
        <v/>
      </c>
      <c r="E82" s="36">
        <f>IF('Enrollment Census'!E82="","",TRIM('Enrollment Census'!E82&amp;""))</f>
        <v/>
      </c>
      <c r="F82" s="37">
        <f>IF('Enrollment Census'!F82="","",TRIM('Enrollment Census'!F82&amp;""))</f>
        <v/>
      </c>
      <c r="G82" s="37">
        <f>IF('Enrollment Census'!G82="","",TRIM('Enrollment Census'!G82&amp;""))</f>
        <v/>
      </c>
      <c r="H82" s="37">
        <f>IF('Enrollment Census'!H82="","",TRIM('Enrollment Census'!H82&amp;""))</f>
        <v/>
      </c>
      <c r="I82" s="36">
        <f>IF('Enrollment Census'!I82="","",TRIM('Enrollment Census'!I82&amp;""))</f>
        <v/>
      </c>
      <c r="J82" s="36">
        <f>IF('Enrollment Census'!J82="","",TRIM('Enrollment Census'!J82&amp;""))</f>
        <v/>
      </c>
      <c r="K82" s="36">
        <f>IF('Enrollment Census'!K82="","",TRIM('Enrollment Census'!K82&amp;""))</f>
        <v/>
      </c>
      <c r="L82" s="38">
        <f>IF('Enrollment Census'!L82="","",'Enrollment Census'!L82)</f>
        <v/>
      </c>
      <c r="M82" s="36">
        <f>IF('Enrollment Census'!M82="","",TRIM('Enrollment Census'!M82&amp;""))</f>
        <v/>
      </c>
      <c r="N82" s="36">
        <f>IF('Enrollment Census'!N82="","",LOWER(TRIM('Enrollment Census'!N82&amp;"")))</f>
        <v/>
      </c>
      <c r="O82" s="36">
        <f>IF('Enrollment Census'!O82="","",TRIM('Enrollment Census'!O82&amp;""))</f>
        <v/>
      </c>
      <c r="P82" s="38">
        <f>IF('Enrollment Census'!P82="","",'Enrollment Census'!P82)</f>
        <v/>
      </c>
      <c r="Q82" s="38">
        <f>IF('Enrollment Census'!Q82="","",'Enrollment Census'!Q82)</f>
        <v/>
      </c>
      <c r="R82" s="36">
        <f>IF('Enrollment Census'!R82="","",TRIM('Enrollment Census'!R82&amp;""))</f>
        <v/>
      </c>
      <c r="S82" s="36">
        <f>IF('Enrollment Census'!S82="","",TRIM('Enrollment Census'!S82&amp;""))</f>
        <v/>
      </c>
      <c r="T82" s="36">
        <f>IF('Enrollment Census'!T82="","",TRIM('Enrollment Census'!T82&amp;""))</f>
        <v/>
      </c>
      <c r="U82" s="39">
        <f>IF('Enrollment Census'!U82="","",'Enrollment Census'!U82)</f>
        <v/>
      </c>
    </row>
    <row r="83">
      <c r="A83" s="36">
        <f>IF('Enrollment Census'!A83="","",TRIM('Enrollment Census'!A83&amp;""))</f>
        <v/>
      </c>
      <c r="B83" s="36">
        <f>IF('Enrollment Census'!B83="","",TRIM('Enrollment Census'!B83&amp;""))</f>
        <v/>
      </c>
      <c r="C83" s="37">
        <f>IF('Enrollment Census'!C83="","",TRIM('Enrollment Census'!C83&amp;""))</f>
        <v/>
      </c>
      <c r="D83" s="37">
        <f>IF('Enrollment Census'!D83="","",TRIM('Enrollment Census'!D83&amp;""))</f>
        <v/>
      </c>
      <c r="E83" s="36">
        <f>IF('Enrollment Census'!E83="","",TRIM('Enrollment Census'!E83&amp;""))</f>
        <v/>
      </c>
      <c r="F83" s="37">
        <f>IF('Enrollment Census'!F83="","",TRIM('Enrollment Census'!F83&amp;""))</f>
        <v/>
      </c>
      <c r="G83" s="37">
        <f>IF('Enrollment Census'!G83="","",TRIM('Enrollment Census'!G83&amp;""))</f>
        <v/>
      </c>
      <c r="H83" s="37">
        <f>IF('Enrollment Census'!H83="","",TRIM('Enrollment Census'!H83&amp;""))</f>
        <v/>
      </c>
      <c r="I83" s="36">
        <f>IF('Enrollment Census'!I83="","",TRIM('Enrollment Census'!I83&amp;""))</f>
        <v/>
      </c>
      <c r="J83" s="36">
        <f>IF('Enrollment Census'!J83="","",TRIM('Enrollment Census'!J83&amp;""))</f>
        <v/>
      </c>
      <c r="K83" s="36">
        <f>IF('Enrollment Census'!K83="","",TRIM('Enrollment Census'!K83&amp;""))</f>
        <v/>
      </c>
      <c r="L83" s="38">
        <f>IF('Enrollment Census'!L83="","",'Enrollment Census'!L83)</f>
        <v/>
      </c>
      <c r="M83" s="36">
        <f>IF('Enrollment Census'!M83="","",TRIM('Enrollment Census'!M83&amp;""))</f>
        <v/>
      </c>
      <c r="N83" s="36">
        <f>IF('Enrollment Census'!N83="","",LOWER(TRIM('Enrollment Census'!N83&amp;"")))</f>
        <v/>
      </c>
      <c r="O83" s="36">
        <f>IF('Enrollment Census'!O83="","",TRIM('Enrollment Census'!O83&amp;""))</f>
        <v/>
      </c>
      <c r="P83" s="38">
        <f>IF('Enrollment Census'!P83="","",'Enrollment Census'!P83)</f>
        <v/>
      </c>
      <c r="Q83" s="38">
        <f>IF('Enrollment Census'!Q83="","",'Enrollment Census'!Q83)</f>
        <v/>
      </c>
      <c r="R83" s="36">
        <f>IF('Enrollment Census'!R83="","",TRIM('Enrollment Census'!R83&amp;""))</f>
        <v/>
      </c>
      <c r="S83" s="36">
        <f>IF('Enrollment Census'!S83="","",TRIM('Enrollment Census'!S83&amp;""))</f>
        <v/>
      </c>
      <c r="T83" s="36">
        <f>IF('Enrollment Census'!T83="","",TRIM('Enrollment Census'!T83&amp;""))</f>
        <v/>
      </c>
      <c r="U83" s="39">
        <f>IF('Enrollment Census'!U83="","",'Enrollment Census'!U83)</f>
        <v/>
      </c>
    </row>
    <row r="84">
      <c r="A84" s="36">
        <f>IF('Enrollment Census'!A84="","",TRIM('Enrollment Census'!A84&amp;""))</f>
        <v/>
      </c>
      <c r="B84" s="36">
        <f>IF('Enrollment Census'!B84="","",TRIM('Enrollment Census'!B84&amp;""))</f>
        <v/>
      </c>
      <c r="C84" s="37">
        <f>IF('Enrollment Census'!C84="","",TRIM('Enrollment Census'!C84&amp;""))</f>
        <v/>
      </c>
      <c r="D84" s="37">
        <f>IF('Enrollment Census'!D84="","",TRIM('Enrollment Census'!D84&amp;""))</f>
        <v/>
      </c>
      <c r="E84" s="36">
        <f>IF('Enrollment Census'!E84="","",TRIM('Enrollment Census'!E84&amp;""))</f>
        <v/>
      </c>
      <c r="F84" s="37">
        <f>IF('Enrollment Census'!F84="","",TRIM('Enrollment Census'!F84&amp;""))</f>
        <v/>
      </c>
      <c r="G84" s="37">
        <f>IF('Enrollment Census'!G84="","",TRIM('Enrollment Census'!G84&amp;""))</f>
        <v/>
      </c>
      <c r="H84" s="37">
        <f>IF('Enrollment Census'!H84="","",TRIM('Enrollment Census'!H84&amp;""))</f>
        <v/>
      </c>
      <c r="I84" s="36">
        <f>IF('Enrollment Census'!I84="","",TRIM('Enrollment Census'!I84&amp;""))</f>
        <v/>
      </c>
      <c r="J84" s="36">
        <f>IF('Enrollment Census'!J84="","",TRIM('Enrollment Census'!J84&amp;""))</f>
        <v/>
      </c>
      <c r="K84" s="36">
        <f>IF('Enrollment Census'!K84="","",TRIM('Enrollment Census'!K84&amp;""))</f>
        <v/>
      </c>
      <c r="L84" s="38">
        <f>IF('Enrollment Census'!L84="","",'Enrollment Census'!L84)</f>
        <v/>
      </c>
      <c r="M84" s="36">
        <f>IF('Enrollment Census'!M84="","",TRIM('Enrollment Census'!M84&amp;""))</f>
        <v/>
      </c>
      <c r="N84" s="36">
        <f>IF('Enrollment Census'!N84="","",LOWER(TRIM('Enrollment Census'!N84&amp;"")))</f>
        <v/>
      </c>
      <c r="O84" s="36">
        <f>IF('Enrollment Census'!O84="","",TRIM('Enrollment Census'!O84&amp;""))</f>
        <v/>
      </c>
      <c r="P84" s="38">
        <f>IF('Enrollment Census'!P84="","",'Enrollment Census'!P84)</f>
        <v/>
      </c>
      <c r="Q84" s="38">
        <f>IF('Enrollment Census'!Q84="","",'Enrollment Census'!Q84)</f>
        <v/>
      </c>
      <c r="R84" s="36">
        <f>IF('Enrollment Census'!R84="","",TRIM('Enrollment Census'!R84&amp;""))</f>
        <v/>
      </c>
      <c r="S84" s="36">
        <f>IF('Enrollment Census'!S84="","",TRIM('Enrollment Census'!S84&amp;""))</f>
        <v/>
      </c>
      <c r="T84" s="36">
        <f>IF('Enrollment Census'!T84="","",TRIM('Enrollment Census'!T84&amp;""))</f>
        <v/>
      </c>
      <c r="U84" s="39">
        <f>IF('Enrollment Census'!U84="","",'Enrollment Census'!U84)</f>
        <v/>
      </c>
    </row>
    <row r="85">
      <c r="A85" s="36">
        <f>IF('Enrollment Census'!A85="","",TRIM('Enrollment Census'!A85&amp;""))</f>
        <v/>
      </c>
      <c r="B85" s="36">
        <f>IF('Enrollment Census'!B85="","",TRIM('Enrollment Census'!B85&amp;""))</f>
        <v/>
      </c>
      <c r="C85" s="37">
        <f>IF('Enrollment Census'!C85="","",TRIM('Enrollment Census'!C85&amp;""))</f>
        <v/>
      </c>
      <c r="D85" s="37">
        <f>IF('Enrollment Census'!D85="","",TRIM('Enrollment Census'!D85&amp;""))</f>
        <v/>
      </c>
      <c r="E85" s="36">
        <f>IF('Enrollment Census'!E85="","",TRIM('Enrollment Census'!E85&amp;""))</f>
        <v/>
      </c>
      <c r="F85" s="37">
        <f>IF('Enrollment Census'!F85="","",TRIM('Enrollment Census'!F85&amp;""))</f>
        <v/>
      </c>
      <c r="G85" s="37">
        <f>IF('Enrollment Census'!G85="","",TRIM('Enrollment Census'!G85&amp;""))</f>
        <v/>
      </c>
      <c r="H85" s="37">
        <f>IF('Enrollment Census'!H85="","",TRIM('Enrollment Census'!H85&amp;""))</f>
        <v/>
      </c>
      <c r="I85" s="36">
        <f>IF('Enrollment Census'!I85="","",TRIM('Enrollment Census'!I85&amp;""))</f>
        <v/>
      </c>
      <c r="J85" s="36">
        <f>IF('Enrollment Census'!J85="","",TRIM('Enrollment Census'!J85&amp;""))</f>
        <v/>
      </c>
      <c r="K85" s="36">
        <f>IF('Enrollment Census'!K85="","",TRIM('Enrollment Census'!K85&amp;""))</f>
        <v/>
      </c>
      <c r="L85" s="38">
        <f>IF('Enrollment Census'!L85="","",'Enrollment Census'!L85)</f>
        <v/>
      </c>
      <c r="M85" s="36">
        <f>IF('Enrollment Census'!M85="","",TRIM('Enrollment Census'!M85&amp;""))</f>
        <v/>
      </c>
      <c r="N85" s="36">
        <f>IF('Enrollment Census'!N85="","",LOWER(TRIM('Enrollment Census'!N85&amp;"")))</f>
        <v/>
      </c>
      <c r="O85" s="36">
        <f>IF('Enrollment Census'!O85="","",TRIM('Enrollment Census'!O85&amp;""))</f>
        <v/>
      </c>
      <c r="P85" s="38">
        <f>IF('Enrollment Census'!P85="","",'Enrollment Census'!P85)</f>
        <v/>
      </c>
      <c r="Q85" s="38">
        <f>IF('Enrollment Census'!Q85="","",'Enrollment Census'!Q85)</f>
        <v/>
      </c>
      <c r="R85" s="36">
        <f>IF('Enrollment Census'!R85="","",TRIM('Enrollment Census'!R85&amp;""))</f>
        <v/>
      </c>
      <c r="S85" s="36">
        <f>IF('Enrollment Census'!S85="","",TRIM('Enrollment Census'!S85&amp;""))</f>
        <v/>
      </c>
      <c r="T85" s="36">
        <f>IF('Enrollment Census'!T85="","",TRIM('Enrollment Census'!T85&amp;""))</f>
        <v/>
      </c>
      <c r="U85" s="39">
        <f>IF('Enrollment Census'!U85="","",'Enrollment Census'!U85)</f>
        <v/>
      </c>
    </row>
    <row r="86">
      <c r="A86" s="36">
        <f>IF('Enrollment Census'!A86="","",TRIM('Enrollment Census'!A86&amp;""))</f>
        <v/>
      </c>
      <c r="B86" s="36">
        <f>IF('Enrollment Census'!B86="","",TRIM('Enrollment Census'!B86&amp;""))</f>
        <v/>
      </c>
      <c r="C86" s="37">
        <f>IF('Enrollment Census'!C86="","",TRIM('Enrollment Census'!C86&amp;""))</f>
        <v/>
      </c>
      <c r="D86" s="37">
        <f>IF('Enrollment Census'!D86="","",TRIM('Enrollment Census'!D86&amp;""))</f>
        <v/>
      </c>
      <c r="E86" s="36">
        <f>IF('Enrollment Census'!E86="","",TRIM('Enrollment Census'!E86&amp;""))</f>
        <v/>
      </c>
      <c r="F86" s="37">
        <f>IF('Enrollment Census'!F86="","",TRIM('Enrollment Census'!F86&amp;""))</f>
        <v/>
      </c>
      <c r="G86" s="37">
        <f>IF('Enrollment Census'!G86="","",TRIM('Enrollment Census'!G86&amp;""))</f>
        <v/>
      </c>
      <c r="H86" s="37">
        <f>IF('Enrollment Census'!H86="","",TRIM('Enrollment Census'!H86&amp;""))</f>
        <v/>
      </c>
      <c r="I86" s="36">
        <f>IF('Enrollment Census'!I86="","",TRIM('Enrollment Census'!I86&amp;""))</f>
        <v/>
      </c>
      <c r="J86" s="36">
        <f>IF('Enrollment Census'!J86="","",TRIM('Enrollment Census'!J86&amp;""))</f>
        <v/>
      </c>
      <c r="K86" s="36">
        <f>IF('Enrollment Census'!K86="","",TRIM('Enrollment Census'!K86&amp;""))</f>
        <v/>
      </c>
      <c r="L86" s="38">
        <f>IF('Enrollment Census'!L86="","",'Enrollment Census'!L86)</f>
        <v/>
      </c>
      <c r="M86" s="36">
        <f>IF('Enrollment Census'!M86="","",TRIM('Enrollment Census'!M86&amp;""))</f>
        <v/>
      </c>
      <c r="N86" s="36">
        <f>IF('Enrollment Census'!N86="","",LOWER(TRIM('Enrollment Census'!N86&amp;"")))</f>
        <v/>
      </c>
      <c r="O86" s="36">
        <f>IF('Enrollment Census'!O86="","",TRIM('Enrollment Census'!O86&amp;""))</f>
        <v/>
      </c>
      <c r="P86" s="38">
        <f>IF('Enrollment Census'!P86="","",'Enrollment Census'!P86)</f>
        <v/>
      </c>
      <c r="Q86" s="38">
        <f>IF('Enrollment Census'!Q86="","",'Enrollment Census'!Q86)</f>
        <v/>
      </c>
      <c r="R86" s="36">
        <f>IF('Enrollment Census'!R86="","",TRIM('Enrollment Census'!R86&amp;""))</f>
        <v/>
      </c>
      <c r="S86" s="36">
        <f>IF('Enrollment Census'!S86="","",TRIM('Enrollment Census'!S86&amp;""))</f>
        <v/>
      </c>
      <c r="T86" s="36">
        <f>IF('Enrollment Census'!T86="","",TRIM('Enrollment Census'!T86&amp;""))</f>
        <v/>
      </c>
      <c r="U86" s="39">
        <f>IF('Enrollment Census'!U86="","",'Enrollment Census'!U86)</f>
        <v/>
      </c>
    </row>
    <row r="87">
      <c r="A87" s="36">
        <f>IF('Enrollment Census'!A87="","",TRIM('Enrollment Census'!A87&amp;""))</f>
        <v/>
      </c>
      <c r="B87" s="36">
        <f>IF('Enrollment Census'!B87="","",TRIM('Enrollment Census'!B87&amp;""))</f>
        <v/>
      </c>
      <c r="C87" s="37">
        <f>IF('Enrollment Census'!C87="","",TRIM('Enrollment Census'!C87&amp;""))</f>
        <v/>
      </c>
      <c r="D87" s="37">
        <f>IF('Enrollment Census'!D87="","",TRIM('Enrollment Census'!D87&amp;""))</f>
        <v/>
      </c>
      <c r="E87" s="36">
        <f>IF('Enrollment Census'!E87="","",TRIM('Enrollment Census'!E87&amp;""))</f>
        <v/>
      </c>
      <c r="F87" s="37">
        <f>IF('Enrollment Census'!F87="","",TRIM('Enrollment Census'!F87&amp;""))</f>
        <v/>
      </c>
      <c r="G87" s="37">
        <f>IF('Enrollment Census'!G87="","",TRIM('Enrollment Census'!G87&amp;""))</f>
        <v/>
      </c>
      <c r="H87" s="37">
        <f>IF('Enrollment Census'!H87="","",TRIM('Enrollment Census'!H87&amp;""))</f>
        <v/>
      </c>
      <c r="I87" s="36">
        <f>IF('Enrollment Census'!I87="","",TRIM('Enrollment Census'!I87&amp;""))</f>
        <v/>
      </c>
      <c r="J87" s="36">
        <f>IF('Enrollment Census'!J87="","",TRIM('Enrollment Census'!J87&amp;""))</f>
        <v/>
      </c>
      <c r="K87" s="36">
        <f>IF('Enrollment Census'!K87="","",TRIM('Enrollment Census'!K87&amp;""))</f>
        <v/>
      </c>
      <c r="L87" s="38">
        <f>IF('Enrollment Census'!L87="","",'Enrollment Census'!L87)</f>
        <v/>
      </c>
      <c r="M87" s="36">
        <f>IF('Enrollment Census'!M87="","",TRIM('Enrollment Census'!M87&amp;""))</f>
        <v/>
      </c>
      <c r="N87" s="36">
        <f>IF('Enrollment Census'!N87="","",LOWER(TRIM('Enrollment Census'!N87&amp;"")))</f>
        <v/>
      </c>
      <c r="O87" s="36">
        <f>IF('Enrollment Census'!O87="","",TRIM('Enrollment Census'!O87&amp;""))</f>
        <v/>
      </c>
      <c r="P87" s="38">
        <f>IF('Enrollment Census'!P87="","",'Enrollment Census'!P87)</f>
        <v/>
      </c>
      <c r="Q87" s="38">
        <f>IF('Enrollment Census'!Q87="","",'Enrollment Census'!Q87)</f>
        <v/>
      </c>
      <c r="R87" s="36">
        <f>IF('Enrollment Census'!R87="","",TRIM('Enrollment Census'!R87&amp;""))</f>
        <v/>
      </c>
      <c r="S87" s="36">
        <f>IF('Enrollment Census'!S87="","",TRIM('Enrollment Census'!S87&amp;""))</f>
        <v/>
      </c>
      <c r="T87" s="36">
        <f>IF('Enrollment Census'!T87="","",TRIM('Enrollment Census'!T87&amp;""))</f>
        <v/>
      </c>
      <c r="U87" s="39">
        <f>IF('Enrollment Census'!U87="","",'Enrollment Census'!U87)</f>
        <v/>
      </c>
    </row>
    <row r="88">
      <c r="A88" s="36">
        <f>IF('Enrollment Census'!A88="","",TRIM('Enrollment Census'!A88&amp;""))</f>
        <v/>
      </c>
      <c r="B88" s="36">
        <f>IF('Enrollment Census'!B88="","",TRIM('Enrollment Census'!B88&amp;""))</f>
        <v/>
      </c>
      <c r="C88" s="37">
        <f>IF('Enrollment Census'!C88="","",TRIM('Enrollment Census'!C88&amp;""))</f>
        <v/>
      </c>
      <c r="D88" s="37">
        <f>IF('Enrollment Census'!D88="","",TRIM('Enrollment Census'!D88&amp;""))</f>
        <v/>
      </c>
      <c r="E88" s="36">
        <f>IF('Enrollment Census'!E88="","",TRIM('Enrollment Census'!E88&amp;""))</f>
        <v/>
      </c>
      <c r="F88" s="37">
        <f>IF('Enrollment Census'!F88="","",TRIM('Enrollment Census'!F88&amp;""))</f>
        <v/>
      </c>
      <c r="G88" s="37">
        <f>IF('Enrollment Census'!G88="","",TRIM('Enrollment Census'!G88&amp;""))</f>
        <v/>
      </c>
      <c r="H88" s="37">
        <f>IF('Enrollment Census'!H88="","",TRIM('Enrollment Census'!H88&amp;""))</f>
        <v/>
      </c>
      <c r="I88" s="36">
        <f>IF('Enrollment Census'!I88="","",TRIM('Enrollment Census'!I88&amp;""))</f>
        <v/>
      </c>
      <c r="J88" s="36">
        <f>IF('Enrollment Census'!J88="","",TRIM('Enrollment Census'!J88&amp;""))</f>
        <v/>
      </c>
      <c r="K88" s="36">
        <f>IF('Enrollment Census'!K88="","",TRIM('Enrollment Census'!K88&amp;""))</f>
        <v/>
      </c>
      <c r="L88" s="38">
        <f>IF('Enrollment Census'!L88="","",'Enrollment Census'!L88)</f>
        <v/>
      </c>
      <c r="M88" s="36">
        <f>IF('Enrollment Census'!M88="","",TRIM('Enrollment Census'!M88&amp;""))</f>
        <v/>
      </c>
      <c r="N88" s="36">
        <f>IF('Enrollment Census'!N88="","",LOWER(TRIM('Enrollment Census'!N88&amp;"")))</f>
        <v/>
      </c>
      <c r="O88" s="36">
        <f>IF('Enrollment Census'!O88="","",TRIM('Enrollment Census'!O88&amp;""))</f>
        <v/>
      </c>
      <c r="P88" s="38">
        <f>IF('Enrollment Census'!P88="","",'Enrollment Census'!P88)</f>
        <v/>
      </c>
      <c r="Q88" s="38">
        <f>IF('Enrollment Census'!Q88="","",'Enrollment Census'!Q88)</f>
        <v/>
      </c>
      <c r="R88" s="36">
        <f>IF('Enrollment Census'!R88="","",TRIM('Enrollment Census'!R88&amp;""))</f>
        <v/>
      </c>
      <c r="S88" s="36">
        <f>IF('Enrollment Census'!S88="","",TRIM('Enrollment Census'!S88&amp;""))</f>
        <v/>
      </c>
      <c r="T88" s="36">
        <f>IF('Enrollment Census'!T88="","",TRIM('Enrollment Census'!T88&amp;""))</f>
        <v/>
      </c>
      <c r="U88" s="39">
        <f>IF('Enrollment Census'!U88="","",'Enrollment Census'!U88)</f>
        <v/>
      </c>
    </row>
    <row r="89">
      <c r="A89" s="36">
        <f>IF('Enrollment Census'!A89="","",TRIM('Enrollment Census'!A89&amp;""))</f>
        <v/>
      </c>
      <c r="B89" s="36">
        <f>IF('Enrollment Census'!B89="","",TRIM('Enrollment Census'!B89&amp;""))</f>
        <v/>
      </c>
      <c r="C89" s="37">
        <f>IF('Enrollment Census'!C89="","",TRIM('Enrollment Census'!C89&amp;""))</f>
        <v/>
      </c>
      <c r="D89" s="37">
        <f>IF('Enrollment Census'!D89="","",TRIM('Enrollment Census'!D89&amp;""))</f>
        <v/>
      </c>
      <c r="E89" s="36">
        <f>IF('Enrollment Census'!E89="","",TRIM('Enrollment Census'!E89&amp;""))</f>
        <v/>
      </c>
      <c r="F89" s="37">
        <f>IF('Enrollment Census'!F89="","",TRIM('Enrollment Census'!F89&amp;""))</f>
        <v/>
      </c>
      <c r="G89" s="37">
        <f>IF('Enrollment Census'!G89="","",TRIM('Enrollment Census'!G89&amp;""))</f>
        <v/>
      </c>
      <c r="H89" s="37">
        <f>IF('Enrollment Census'!H89="","",TRIM('Enrollment Census'!H89&amp;""))</f>
        <v/>
      </c>
      <c r="I89" s="36">
        <f>IF('Enrollment Census'!I89="","",TRIM('Enrollment Census'!I89&amp;""))</f>
        <v/>
      </c>
      <c r="J89" s="36">
        <f>IF('Enrollment Census'!J89="","",TRIM('Enrollment Census'!J89&amp;""))</f>
        <v/>
      </c>
      <c r="K89" s="36">
        <f>IF('Enrollment Census'!K89="","",TRIM('Enrollment Census'!K89&amp;""))</f>
        <v/>
      </c>
      <c r="L89" s="38">
        <f>IF('Enrollment Census'!L89="","",'Enrollment Census'!L89)</f>
        <v/>
      </c>
      <c r="M89" s="36">
        <f>IF('Enrollment Census'!M89="","",TRIM('Enrollment Census'!M89&amp;""))</f>
        <v/>
      </c>
      <c r="N89" s="36">
        <f>IF('Enrollment Census'!N89="","",LOWER(TRIM('Enrollment Census'!N89&amp;"")))</f>
        <v/>
      </c>
      <c r="O89" s="36">
        <f>IF('Enrollment Census'!O89="","",TRIM('Enrollment Census'!O89&amp;""))</f>
        <v/>
      </c>
      <c r="P89" s="38">
        <f>IF('Enrollment Census'!P89="","",'Enrollment Census'!P89)</f>
        <v/>
      </c>
      <c r="Q89" s="38">
        <f>IF('Enrollment Census'!Q89="","",'Enrollment Census'!Q89)</f>
        <v/>
      </c>
      <c r="R89" s="36">
        <f>IF('Enrollment Census'!R89="","",TRIM('Enrollment Census'!R89&amp;""))</f>
        <v/>
      </c>
      <c r="S89" s="36">
        <f>IF('Enrollment Census'!S89="","",TRIM('Enrollment Census'!S89&amp;""))</f>
        <v/>
      </c>
      <c r="T89" s="36">
        <f>IF('Enrollment Census'!T89="","",TRIM('Enrollment Census'!T89&amp;""))</f>
        <v/>
      </c>
      <c r="U89" s="39">
        <f>IF('Enrollment Census'!U89="","",'Enrollment Census'!U89)</f>
        <v/>
      </c>
    </row>
    <row r="90">
      <c r="A90" s="36">
        <f>IF('Enrollment Census'!A90="","",TRIM('Enrollment Census'!A90&amp;""))</f>
        <v/>
      </c>
      <c r="B90" s="36">
        <f>IF('Enrollment Census'!B90="","",TRIM('Enrollment Census'!B90&amp;""))</f>
        <v/>
      </c>
      <c r="C90" s="37">
        <f>IF('Enrollment Census'!C90="","",TRIM('Enrollment Census'!C90&amp;""))</f>
        <v/>
      </c>
      <c r="D90" s="37">
        <f>IF('Enrollment Census'!D90="","",TRIM('Enrollment Census'!D90&amp;""))</f>
        <v/>
      </c>
      <c r="E90" s="36">
        <f>IF('Enrollment Census'!E90="","",TRIM('Enrollment Census'!E90&amp;""))</f>
        <v/>
      </c>
      <c r="F90" s="37">
        <f>IF('Enrollment Census'!F90="","",TRIM('Enrollment Census'!F90&amp;""))</f>
        <v/>
      </c>
      <c r="G90" s="37">
        <f>IF('Enrollment Census'!G90="","",TRIM('Enrollment Census'!G90&amp;""))</f>
        <v/>
      </c>
      <c r="H90" s="37">
        <f>IF('Enrollment Census'!H90="","",TRIM('Enrollment Census'!H90&amp;""))</f>
        <v/>
      </c>
      <c r="I90" s="36">
        <f>IF('Enrollment Census'!I90="","",TRIM('Enrollment Census'!I90&amp;""))</f>
        <v/>
      </c>
      <c r="J90" s="36">
        <f>IF('Enrollment Census'!J90="","",TRIM('Enrollment Census'!J90&amp;""))</f>
        <v/>
      </c>
      <c r="K90" s="36">
        <f>IF('Enrollment Census'!K90="","",TRIM('Enrollment Census'!K90&amp;""))</f>
        <v/>
      </c>
      <c r="L90" s="38">
        <f>IF('Enrollment Census'!L90="","",'Enrollment Census'!L90)</f>
        <v/>
      </c>
      <c r="M90" s="36">
        <f>IF('Enrollment Census'!M90="","",TRIM('Enrollment Census'!M90&amp;""))</f>
        <v/>
      </c>
      <c r="N90" s="36">
        <f>IF('Enrollment Census'!N90="","",LOWER(TRIM('Enrollment Census'!N90&amp;"")))</f>
        <v/>
      </c>
      <c r="O90" s="36">
        <f>IF('Enrollment Census'!O90="","",TRIM('Enrollment Census'!O90&amp;""))</f>
        <v/>
      </c>
      <c r="P90" s="38">
        <f>IF('Enrollment Census'!P90="","",'Enrollment Census'!P90)</f>
        <v/>
      </c>
      <c r="Q90" s="38">
        <f>IF('Enrollment Census'!Q90="","",'Enrollment Census'!Q90)</f>
        <v/>
      </c>
      <c r="R90" s="36">
        <f>IF('Enrollment Census'!R90="","",TRIM('Enrollment Census'!R90&amp;""))</f>
        <v/>
      </c>
      <c r="S90" s="36">
        <f>IF('Enrollment Census'!S90="","",TRIM('Enrollment Census'!S90&amp;""))</f>
        <v/>
      </c>
      <c r="T90" s="36">
        <f>IF('Enrollment Census'!T90="","",TRIM('Enrollment Census'!T90&amp;""))</f>
        <v/>
      </c>
      <c r="U90" s="39">
        <f>IF('Enrollment Census'!U90="","",'Enrollment Census'!U90)</f>
        <v/>
      </c>
    </row>
    <row r="91">
      <c r="A91" s="36">
        <f>IF('Enrollment Census'!A91="","",TRIM('Enrollment Census'!A91&amp;""))</f>
        <v/>
      </c>
      <c r="B91" s="36">
        <f>IF('Enrollment Census'!B91="","",TRIM('Enrollment Census'!B91&amp;""))</f>
        <v/>
      </c>
      <c r="C91" s="37">
        <f>IF('Enrollment Census'!C91="","",TRIM('Enrollment Census'!C91&amp;""))</f>
        <v/>
      </c>
      <c r="D91" s="37">
        <f>IF('Enrollment Census'!D91="","",TRIM('Enrollment Census'!D91&amp;""))</f>
        <v/>
      </c>
      <c r="E91" s="36">
        <f>IF('Enrollment Census'!E91="","",TRIM('Enrollment Census'!E91&amp;""))</f>
        <v/>
      </c>
      <c r="F91" s="37">
        <f>IF('Enrollment Census'!F91="","",TRIM('Enrollment Census'!F91&amp;""))</f>
        <v/>
      </c>
      <c r="G91" s="37">
        <f>IF('Enrollment Census'!G91="","",TRIM('Enrollment Census'!G91&amp;""))</f>
        <v/>
      </c>
      <c r="H91" s="37">
        <f>IF('Enrollment Census'!H91="","",TRIM('Enrollment Census'!H91&amp;""))</f>
        <v/>
      </c>
      <c r="I91" s="36">
        <f>IF('Enrollment Census'!I91="","",TRIM('Enrollment Census'!I91&amp;""))</f>
        <v/>
      </c>
      <c r="J91" s="36">
        <f>IF('Enrollment Census'!J91="","",TRIM('Enrollment Census'!J91&amp;""))</f>
        <v/>
      </c>
      <c r="K91" s="36">
        <f>IF('Enrollment Census'!K91="","",TRIM('Enrollment Census'!K91&amp;""))</f>
        <v/>
      </c>
      <c r="L91" s="38">
        <f>IF('Enrollment Census'!L91="","",'Enrollment Census'!L91)</f>
        <v/>
      </c>
      <c r="M91" s="36">
        <f>IF('Enrollment Census'!M91="","",TRIM('Enrollment Census'!M91&amp;""))</f>
        <v/>
      </c>
      <c r="N91" s="36">
        <f>IF('Enrollment Census'!N91="","",LOWER(TRIM('Enrollment Census'!N91&amp;"")))</f>
        <v/>
      </c>
      <c r="O91" s="36">
        <f>IF('Enrollment Census'!O91="","",TRIM('Enrollment Census'!O91&amp;""))</f>
        <v/>
      </c>
      <c r="P91" s="38">
        <f>IF('Enrollment Census'!P91="","",'Enrollment Census'!P91)</f>
        <v/>
      </c>
      <c r="Q91" s="38">
        <f>IF('Enrollment Census'!Q91="","",'Enrollment Census'!Q91)</f>
        <v/>
      </c>
      <c r="R91" s="36">
        <f>IF('Enrollment Census'!R91="","",TRIM('Enrollment Census'!R91&amp;""))</f>
        <v/>
      </c>
      <c r="S91" s="36">
        <f>IF('Enrollment Census'!S91="","",TRIM('Enrollment Census'!S91&amp;""))</f>
        <v/>
      </c>
      <c r="T91" s="36">
        <f>IF('Enrollment Census'!T91="","",TRIM('Enrollment Census'!T91&amp;""))</f>
        <v/>
      </c>
      <c r="U91" s="39">
        <f>IF('Enrollment Census'!U91="","",'Enrollment Census'!U91)</f>
        <v/>
      </c>
    </row>
    <row r="92">
      <c r="A92" s="36">
        <f>IF('Enrollment Census'!A92="","",TRIM('Enrollment Census'!A92&amp;""))</f>
        <v/>
      </c>
      <c r="B92" s="36">
        <f>IF('Enrollment Census'!B92="","",TRIM('Enrollment Census'!B92&amp;""))</f>
        <v/>
      </c>
      <c r="C92" s="37">
        <f>IF('Enrollment Census'!C92="","",TRIM('Enrollment Census'!C92&amp;""))</f>
        <v/>
      </c>
      <c r="D92" s="37">
        <f>IF('Enrollment Census'!D92="","",TRIM('Enrollment Census'!D92&amp;""))</f>
        <v/>
      </c>
      <c r="E92" s="36">
        <f>IF('Enrollment Census'!E92="","",TRIM('Enrollment Census'!E92&amp;""))</f>
        <v/>
      </c>
      <c r="F92" s="37">
        <f>IF('Enrollment Census'!F92="","",TRIM('Enrollment Census'!F92&amp;""))</f>
        <v/>
      </c>
      <c r="G92" s="37">
        <f>IF('Enrollment Census'!G92="","",TRIM('Enrollment Census'!G92&amp;""))</f>
        <v/>
      </c>
      <c r="H92" s="37">
        <f>IF('Enrollment Census'!H92="","",TRIM('Enrollment Census'!H92&amp;""))</f>
        <v/>
      </c>
      <c r="I92" s="36">
        <f>IF('Enrollment Census'!I92="","",TRIM('Enrollment Census'!I92&amp;""))</f>
        <v/>
      </c>
      <c r="J92" s="36">
        <f>IF('Enrollment Census'!J92="","",TRIM('Enrollment Census'!J92&amp;""))</f>
        <v/>
      </c>
      <c r="K92" s="36">
        <f>IF('Enrollment Census'!K92="","",TRIM('Enrollment Census'!K92&amp;""))</f>
        <v/>
      </c>
      <c r="L92" s="38">
        <f>IF('Enrollment Census'!L92="","",'Enrollment Census'!L92)</f>
        <v/>
      </c>
      <c r="M92" s="36">
        <f>IF('Enrollment Census'!M92="","",TRIM('Enrollment Census'!M92&amp;""))</f>
        <v/>
      </c>
      <c r="N92" s="36">
        <f>IF('Enrollment Census'!N92="","",LOWER(TRIM('Enrollment Census'!N92&amp;"")))</f>
        <v/>
      </c>
      <c r="O92" s="36">
        <f>IF('Enrollment Census'!O92="","",TRIM('Enrollment Census'!O92&amp;""))</f>
        <v/>
      </c>
      <c r="P92" s="38">
        <f>IF('Enrollment Census'!P92="","",'Enrollment Census'!P92)</f>
        <v/>
      </c>
      <c r="Q92" s="38">
        <f>IF('Enrollment Census'!Q92="","",'Enrollment Census'!Q92)</f>
        <v/>
      </c>
      <c r="R92" s="36">
        <f>IF('Enrollment Census'!R92="","",TRIM('Enrollment Census'!R92&amp;""))</f>
        <v/>
      </c>
      <c r="S92" s="36">
        <f>IF('Enrollment Census'!S92="","",TRIM('Enrollment Census'!S92&amp;""))</f>
        <v/>
      </c>
      <c r="T92" s="36">
        <f>IF('Enrollment Census'!T92="","",TRIM('Enrollment Census'!T92&amp;""))</f>
        <v/>
      </c>
      <c r="U92" s="39">
        <f>IF('Enrollment Census'!U92="","",'Enrollment Census'!U92)</f>
        <v/>
      </c>
    </row>
    <row r="93">
      <c r="A93" s="36">
        <f>IF('Enrollment Census'!A93="","",TRIM('Enrollment Census'!A93&amp;""))</f>
        <v/>
      </c>
      <c r="B93" s="36">
        <f>IF('Enrollment Census'!B93="","",TRIM('Enrollment Census'!B93&amp;""))</f>
        <v/>
      </c>
      <c r="C93" s="37">
        <f>IF('Enrollment Census'!C93="","",TRIM('Enrollment Census'!C93&amp;""))</f>
        <v/>
      </c>
      <c r="D93" s="37">
        <f>IF('Enrollment Census'!D93="","",TRIM('Enrollment Census'!D93&amp;""))</f>
        <v/>
      </c>
      <c r="E93" s="36">
        <f>IF('Enrollment Census'!E93="","",TRIM('Enrollment Census'!E93&amp;""))</f>
        <v/>
      </c>
      <c r="F93" s="37">
        <f>IF('Enrollment Census'!F93="","",TRIM('Enrollment Census'!F93&amp;""))</f>
        <v/>
      </c>
      <c r="G93" s="37">
        <f>IF('Enrollment Census'!G93="","",TRIM('Enrollment Census'!G93&amp;""))</f>
        <v/>
      </c>
      <c r="H93" s="37">
        <f>IF('Enrollment Census'!H93="","",TRIM('Enrollment Census'!H93&amp;""))</f>
        <v/>
      </c>
      <c r="I93" s="36">
        <f>IF('Enrollment Census'!I93="","",TRIM('Enrollment Census'!I93&amp;""))</f>
        <v/>
      </c>
      <c r="J93" s="36">
        <f>IF('Enrollment Census'!J93="","",TRIM('Enrollment Census'!J93&amp;""))</f>
        <v/>
      </c>
      <c r="K93" s="36">
        <f>IF('Enrollment Census'!K93="","",TRIM('Enrollment Census'!K93&amp;""))</f>
        <v/>
      </c>
      <c r="L93" s="38">
        <f>IF('Enrollment Census'!L93="","",'Enrollment Census'!L93)</f>
        <v/>
      </c>
      <c r="M93" s="36">
        <f>IF('Enrollment Census'!M93="","",TRIM('Enrollment Census'!M93&amp;""))</f>
        <v/>
      </c>
      <c r="N93" s="36">
        <f>IF('Enrollment Census'!N93="","",LOWER(TRIM('Enrollment Census'!N93&amp;"")))</f>
        <v/>
      </c>
      <c r="O93" s="36">
        <f>IF('Enrollment Census'!O93="","",TRIM('Enrollment Census'!O93&amp;""))</f>
        <v/>
      </c>
      <c r="P93" s="38">
        <f>IF('Enrollment Census'!P93="","",'Enrollment Census'!P93)</f>
        <v/>
      </c>
      <c r="Q93" s="38">
        <f>IF('Enrollment Census'!Q93="","",'Enrollment Census'!Q93)</f>
        <v/>
      </c>
      <c r="R93" s="36">
        <f>IF('Enrollment Census'!R93="","",TRIM('Enrollment Census'!R93&amp;""))</f>
        <v/>
      </c>
      <c r="S93" s="36">
        <f>IF('Enrollment Census'!S93="","",TRIM('Enrollment Census'!S93&amp;""))</f>
        <v/>
      </c>
      <c r="T93" s="36">
        <f>IF('Enrollment Census'!T93="","",TRIM('Enrollment Census'!T93&amp;""))</f>
        <v/>
      </c>
      <c r="U93" s="39">
        <f>IF('Enrollment Census'!U93="","",'Enrollment Census'!U93)</f>
        <v/>
      </c>
    </row>
    <row r="94">
      <c r="A94" s="36">
        <f>IF('Enrollment Census'!A94="","",TRIM('Enrollment Census'!A94&amp;""))</f>
        <v/>
      </c>
      <c r="B94" s="36">
        <f>IF('Enrollment Census'!B94="","",TRIM('Enrollment Census'!B94&amp;""))</f>
        <v/>
      </c>
      <c r="C94" s="37">
        <f>IF('Enrollment Census'!C94="","",TRIM('Enrollment Census'!C94&amp;""))</f>
        <v/>
      </c>
      <c r="D94" s="37">
        <f>IF('Enrollment Census'!D94="","",TRIM('Enrollment Census'!D94&amp;""))</f>
        <v/>
      </c>
      <c r="E94" s="36">
        <f>IF('Enrollment Census'!E94="","",TRIM('Enrollment Census'!E94&amp;""))</f>
        <v/>
      </c>
      <c r="F94" s="37">
        <f>IF('Enrollment Census'!F94="","",TRIM('Enrollment Census'!F94&amp;""))</f>
        <v/>
      </c>
      <c r="G94" s="37">
        <f>IF('Enrollment Census'!G94="","",TRIM('Enrollment Census'!G94&amp;""))</f>
        <v/>
      </c>
      <c r="H94" s="37">
        <f>IF('Enrollment Census'!H94="","",TRIM('Enrollment Census'!H94&amp;""))</f>
        <v/>
      </c>
      <c r="I94" s="36">
        <f>IF('Enrollment Census'!I94="","",TRIM('Enrollment Census'!I94&amp;""))</f>
        <v/>
      </c>
      <c r="J94" s="36">
        <f>IF('Enrollment Census'!J94="","",TRIM('Enrollment Census'!J94&amp;""))</f>
        <v/>
      </c>
      <c r="K94" s="36">
        <f>IF('Enrollment Census'!K94="","",TRIM('Enrollment Census'!K94&amp;""))</f>
        <v/>
      </c>
      <c r="L94" s="38">
        <f>IF('Enrollment Census'!L94="","",'Enrollment Census'!L94)</f>
        <v/>
      </c>
      <c r="M94" s="36">
        <f>IF('Enrollment Census'!M94="","",TRIM('Enrollment Census'!M94&amp;""))</f>
        <v/>
      </c>
      <c r="N94" s="36">
        <f>IF('Enrollment Census'!N94="","",LOWER(TRIM('Enrollment Census'!N94&amp;"")))</f>
        <v/>
      </c>
      <c r="O94" s="36">
        <f>IF('Enrollment Census'!O94="","",TRIM('Enrollment Census'!O94&amp;""))</f>
        <v/>
      </c>
      <c r="P94" s="38">
        <f>IF('Enrollment Census'!P94="","",'Enrollment Census'!P94)</f>
        <v/>
      </c>
      <c r="Q94" s="38">
        <f>IF('Enrollment Census'!Q94="","",'Enrollment Census'!Q94)</f>
        <v/>
      </c>
      <c r="R94" s="36">
        <f>IF('Enrollment Census'!R94="","",TRIM('Enrollment Census'!R94&amp;""))</f>
        <v/>
      </c>
      <c r="S94" s="36">
        <f>IF('Enrollment Census'!S94="","",TRIM('Enrollment Census'!S94&amp;""))</f>
        <v/>
      </c>
      <c r="T94" s="36">
        <f>IF('Enrollment Census'!T94="","",TRIM('Enrollment Census'!T94&amp;""))</f>
        <v/>
      </c>
      <c r="U94" s="39">
        <f>IF('Enrollment Census'!U94="","",'Enrollment Census'!U94)</f>
        <v/>
      </c>
    </row>
    <row r="95">
      <c r="A95" s="36">
        <f>IF('Enrollment Census'!A95="","",TRIM('Enrollment Census'!A95&amp;""))</f>
        <v/>
      </c>
      <c r="B95" s="36">
        <f>IF('Enrollment Census'!B95="","",TRIM('Enrollment Census'!B95&amp;""))</f>
        <v/>
      </c>
      <c r="C95" s="37">
        <f>IF('Enrollment Census'!C95="","",TRIM('Enrollment Census'!C95&amp;""))</f>
        <v/>
      </c>
      <c r="D95" s="37">
        <f>IF('Enrollment Census'!D95="","",TRIM('Enrollment Census'!D95&amp;""))</f>
        <v/>
      </c>
      <c r="E95" s="36">
        <f>IF('Enrollment Census'!E95="","",TRIM('Enrollment Census'!E95&amp;""))</f>
        <v/>
      </c>
      <c r="F95" s="37">
        <f>IF('Enrollment Census'!F95="","",TRIM('Enrollment Census'!F95&amp;""))</f>
        <v/>
      </c>
      <c r="G95" s="37">
        <f>IF('Enrollment Census'!G95="","",TRIM('Enrollment Census'!G95&amp;""))</f>
        <v/>
      </c>
      <c r="H95" s="37">
        <f>IF('Enrollment Census'!H95="","",TRIM('Enrollment Census'!H95&amp;""))</f>
        <v/>
      </c>
      <c r="I95" s="36">
        <f>IF('Enrollment Census'!I95="","",TRIM('Enrollment Census'!I95&amp;""))</f>
        <v/>
      </c>
      <c r="J95" s="36">
        <f>IF('Enrollment Census'!J95="","",TRIM('Enrollment Census'!J95&amp;""))</f>
        <v/>
      </c>
      <c r="K95" s="36">
        <f>IF('Enrollment Census'!K95="","",TRIM('Enrollment Census'!K95&amp;""))</f>
        <v/>
      </c>
      <c r="L95" s="38">
        <f>IF('Enrollment Census'!L95="","",'Enrollment Census'!L95)</f>
        <v/>
      </c>
      <c r="M95" s="36">
        <f>IF('Enrollment Census'!M95="","",TRIM('Enrollment Census'!M95&amp;""))</f>
        <v/>
      </c>
      <c r="N95" s="36">
        <f>IF('Enrollment Census'!N95="","",LOWER(TRIM('Enrollment Census'!N95&amp;"")))</f>
        <v/>
      </c>
      <c r="O95" s="36">
        <f>IF('Enrollment Census'!O95="","",TRIM('Enrollment Census'!O95&amp;""))</f>
        <v/>
      </c>
      <c r="P95" s="38">
        <f>IF('Enrollment Census'!P95="","",'Enrollment Census'!P95)</f>
        <v/>
      </c>
      <c r="Q95" s="38">
        <f>IF('Enrollment Census'!Q95="","",'Enrollment Census'!Q95)</f>
        <v/>
      </c>
      <c r="R95" s="36">
        <f>IF('Enrollment Census'!R95="","",TRIM('Enrollment Census'!R95&amp;""))</f>
        <v/>
      </c>
      <c r="S95" s="36">
        <f>IF('Enrollment Census'!S95="","",TRIM('Enrollment Census'!S95&amp;""))</f>
        <v/>
      </c>
      <c r="T95" s="36">
        <f>IF('Enrollment Census'!T95="","",TRIM('Enrollment Census'!T95&amp;""))</f>
        <v/>
      </c>
      <c r="U95" s="39">
        <f>IF('Enrollment Census'!U95="","",'Enrollment Census'!U95)</f>
        <v/>
      </c>
    </row>
    <row r="96">
      <c r="A96" s="36">
        <f>IF('Enrollment Census'!A96="","",TRIM('Enrollment Census'!A96&amp;""))</f>
        <v/>
      </c>
      <c r="B96" s="36">
        <f>IF('Enrollment Census'!B96="","",TRIM('Enrollment Census'!B96&amp;""))</f>
        <v/>
      </c>
      <c r="C96" s="37">
        <f>IF('Enrollment Census'!C96="","",TRIM('Enrollment Census'!C96&amp;""))</f>
        <v/>
      </c>
      <c r="D96" s="37">
        <f>IF('Enrollment Census'!D96="","",TRIM('Enrollment Census'!D96&amp;""))</f>
        <v/>
      </c>
      <c r="E96" s="36">
        <f>IF('Enrollment Census'!E96="","",TRIM('Enrollment Census'!E96&amp;""))</f>
        <v/>
      </c>
      <c r="F96" s="37">
        <f>IF('Enrollment Census'!F96="","",TRIM('Enrollment Census'!F96&amp;""))</f>
        <v/>
      </c>
      <c r="G96" s="37">
        <f>IF('Enrollment Census'!G96="","",TRIM('Enrollment Census'!G96&amp;""))</f>
        <v/>
      </c>
      <c r="H96" s="37">
        <f>IF('Enrollment Census'!H96="","",TRIM('Enrollment Census'!H96&amp;""))</f>
        <v/>
      </c>
      <c r="I96" s="36">
        <f>IF('Enrollment Census'!I96="","",TRIM('Enrollment Census'!I96&amp;""))</f>
        <v/>
      </c>
      <c r="J96" s="36">
        <f>IF('Enrollment Census'!J96="","",TRIM('Enrollment Census'!J96&amp;""))</f>
        <v/>
      </c>
      <c r="K96" s="36">
        <f>IF('Enrollment Census'!K96="","",TRIM('Enrollment Census'!K96&amp;""))</f>
        <v/>
      </c>
      <c r="L96" s="38">
        <f>IF('Enrollment Census'!L96="","",'Enrollment Census'!L96)</f>
        <v/>
      </c>
      <c r="M96" s="36">
        <f>IF('Enrollment Census'!M96="","",TRIM('Enrollment Census'!M96&amp;""))</f>
        <v/>
      </c>
      <c r="N96" s="36">
        <f>IF('Enrollment Census'!N96="","",LOWER(TRIM('Enrollment Census'!N96&amp;"")))</f>
        <v/>
      </c>
      <c r="O96" s="36">
        <f>IF('Enrollment Census'!O96="","",TRIM('Enrollment Census'!O96&amp;""))</f>
        <v/>
      </c>
      <c r="P96" s="38">
        <f>IF('Enrollment Census'!P96="","",'Enrollment Census'!P96)</f>
        <v/>
      </c>
      <c r="Q96" s="38">
        <f>IF('Enrollment Census'!Q96="","",'Enrollment Census'!Q96)</f>
        <v/>
      </c>
      <c r="R96" s="36">
        <f>IF('Enrollment Census'!R96="","",TRIM('Enrollment Census'!R96&amp;""))</f>
        <v/>
      </c>
      <c r="S96" s="36">
        <f>IF('Enrollment Census'!S96="","",TRIM('Enrollment Census'!S96&amp;""))</f>
        <v/>
      </c>
      <c r="T96" s="36">
        <f>IF('Enrollment Census'!T96="","",TRIM('Enrollment Census'!T96&amp;""))</f>
        <v/>
      </c>
      <c r="U96" s="39">
        <f>IF('Enrollment Census'!U96="","",'Enrollment Census'!U96)</f>
        <v/>
      </c>
    </row>
    <row r="97">
      <c r="A97" s="36">
        <f>IF('Enrollment Census'!A97="","",TRIM('Enrollment Census'!A97&amp;""))</f>
        <v/>
      </c>
      <c r="B97" s="36">
        <f>IF('Enrollment Census'!B97="","",TRIM('Enrollment Census'!B97&amp;""))</f>
        <v/>
      </c>
      <c r="C97" s="37">
        <f>IF('Enrollment Census'!C97="","",TRIM('Enrollment Census'!C97&amp;""))</f>
        <v/>
      </c>
      <c r="D97" s="37">
        <f>IF('Enrollment Census'!D97="","",TRIM('Enrollment Census'!D97&amp;""))</f>
        <v/>
      </c>
      <c r="E97" s="36">
        <f>IF('Enrollment Census'!E97="","",TRIM('Enrollment Census'!E97&amp;""))</f>
        <v/>
      </c>
      <c r="F97" s="37">
        <f>IF('Enrollment Census'!F97="","",TRIM('Enrollment Census'!F97&amp;""))</f>
        <v/>
      </c>
      <c r="G97" s="37">
        <f>IF('Enrollment Census'!G97="","",TRIM('Enrollment Census'!G97&amp;""))</f>
        <v/>
      </c>
      <c r="H97" s="37">
        <f>IF('Enrollment Census'!H97="","",TRIM('Enrollment Census'!H97&amp;""))</f>
        <v/>
      </c>
      <c r="I97" s="36">
        <f>IF('Enrollment Census'!I97="","",TRIM('Enrollment Census'!I97&amp;""))</f>
        <v/>
      </c>
      <c r="J97" s="36">
        <f>IF('Enrollment Census'!J97="","",TRIM('Enrollment Census'!J97&amp;""))</f>
        <v/>
      </c>
      <c r="K97" s="36">
        <f>IF('Enrollment Census'!K97="","",TRIM('Enrollment Census'!K97&amp;""))</f>
        <v/>
      </c>
      <c r="L97" s="38">
        <f>IF('Enrollment Census'!L97="","",'Enrollment Census'!L97)</f>
        <v/>
      </c>
      <c r="M97" s="36">
        <f>IF('Enrollment Census'!M97="","",TRIM('Enrollment Census'!M97&amp;""))</f>
        <v/>
      </c>
      <c r="N97" s="36">
        <f>IF('Enrollment Census'!N97="","",LOWER(TRIM('Enrollment Census'!N97&amp;"")))</f>
        <v/>
      </c>
      <c r="O97" s="36">
        <f>IF('Enrollment Census'!O97="","",TRIM('Enrollment Census'!O97&amp;""))</f>
        <v/>
      </c>
      <c r="P97" s="38">
        <f>IF('Enrollment Census'!P97="","",'Enrollment Census'!P97)</f>
        <v/>
      </c>
      <c r="Q97" s="38">
        <f>IF('Enrollment Census'!Q97="","",'Enrollment Census'!Q97)</f>
        <v/>
      </c>
      <c r="R97" s="36">
        <f>IF('Enrollment Census'!R97="","",TRIM('Enrollment Census'!R97&amp;""))</f>
        <v/>
      </c>
      <c r="S97" s="36">
        <f>IF('Enrollment Census'!S97="","",TRIM('Enrollment Census'!S97&amp;""))</f>
        <v/>
      </c>
      <c r="T97" s="36">
        <f>IF('Enrollment Census'!T97="","",TRIM('Enrollment Census'!T97&amp;""))</f>
        <v/>
      </c>
      <c r="U97" s="39">
        <f>IF('Enrollment Census'!U97="","",'Enrollment Census'!U97)</f>
        <v/>
      </c>
    </row>
    <row r="98">
      <c r="A98" s="36">
        <f>IF('Enrollment Census'!A98="","",TRIM('Enrollment Census'!A98&amp;""))</f>
        <v/>
      </c>
      <c r="B98" s="36">
        <f>IF('Enrollment Census'!B98="","",TRIM('Enrollment Census'!B98&amp;""))</f>
        <v/>
      </c>
      <c r="C98" s="37">
        <f>IF('Enrollment Census'!C98="","",TRIM('Enrollment Census'!C98&amp;""))</f>
        <v/>
      </c>
      <c r="D98" s="37">
        <f>IF('Enrollment Census'!D98="","",TRIM('Enrollment Census'!D98&amp;""))</f>
        <v/>
      </c>
      <c r="E98" s="36">
        <f>IF('Enrollment Census'!E98="","",TRIM('Enrollment Census'!E98&amp;""))</f>
        <v/>
      </c>
      <c r="F98" s="37">
        <f>IF('Enrollment Census'!F98="","",TRIM('Enrollment Census'!F98&amp;""))</f>
        <v/>
      </c>
      <c r="G98" s="37">
        <f>IF('Enrollment Census'!G98="","",TRIM('Enrollment Census'!G98&amp;""))</f>
        <v/>
      </c>
      <c r="H98" s="37">
        <f>IF('Enrollment Census'!H98="","",TRIM('Enrollment Census'!H98&amp;""))</f>
        <v/>
      </c>
      <c r="I98" s="36">
        <f>IF('Enrollment Census'!I98="","",TRIM('Enrollment Census'!I98&amp;""))</f>
        <v/>
      </c>
      <c r="J98" s="36">
        <f>IF('Enrollment Census'!J98="","",TRIM('Enrollment Census'!J98&amp;""))</f>
        <v/>
      </c>
      <c r="K98" s="36">
        <f>IF('Enrollment Census'!K98="","",TRIM('Enrollment Census'!K98&amp;""))</f>
        <v/>
      </c>
      <c r="L98" s="38">
        <f>IF('Enrollment Census'!L98="","",'Enrollment Census'!L98)</f>
        <v/>
      </c>
      <c r="M98" s="36">
        <f>IF('Enrollment Census'!M98="","",TRIM('Enrollment Census'!M98&amp;""))</f>
        <v/>
      </c>
      <c r="N98" s="36">
        <f>IF('Enrollment Census'!N98="","",LOWER(TRIM('Enrollment Census'!N98&amp;"")))</f>
        <v/>
      </c>
      <c r="O98" s="36">
        <f>IF('Enrollment Census'!O98="","",TRIM('Enrollment Census'!O98&amp;""))</f>
        <v/>
      </c>
      <c r="P98" s="38">
        <f>IF('Enrollment Census'!P98="","",'Enrollment Census'!P98)</f>
        <v/>
      </c>
      <c r="Q98" s="38">
        <f>IF('Enrollment Census'!Q98="","",'Enrollment Census'!Q98)</f>
        <v/>
      </c>
      <c r="R98" s="36">
        <f>IF('Enrollment Census'!R98="","",TRIM('Enrollment Census'!R98&amp;""))</f>
        <v/>
      </c>
      <c r="S98" s="36">
        <f>IF('Enrollment Census'!S98="","",TRIM('Enrollment Census'!S98&amp;""))</f>
        <v/>
      </c>
      <c r="T98" s="36">
        <f>IF('Enrollment Census'!T98="","",TRIM('Enrollment Census'!T98&amp;""))</f>
        <v/>
      </c>
      <c r="U98" s="39">
        <f>IF('Enrollment Census'!U98="","",'Enrollment Census'!U98)</f>
        <v/>
      </c>
    </row>
    <row r="99">
      <c r="A99" s="36">
        <f>IF('Enrollment Census'!A99="","",TRIM('Enrollment Census'!A99&amp;""))</f>
        <v/>
      </c>
      <c r="B99" s="36">
        <f>IF('Enrollment Census'!B99="","",TRIM('Enrollment Census'!B99&amp;""))</f>
        <v/>
      </c>
      <c r="C99" s="37">
        <f>IF('Enrollment Census'!C99="","",TRIM('Enrollment Census'!C99&amp;""))</f>
        <v/>
      </c>
      <c r="D99" s="37">
        <f>IF('Enrollment Census'!D99="","",TRIM('Enrollment Census'!D99&amp;""))</f>
        <v/>
      </c>
      <c r="E99" s="36">
        <f>IF('Enrollment Census'!E99="","",TRIM('Enrollment Census'!E99&amp;""))</f>
        <v/>
      </c>
      <c r="F99" s="37">
        <f>IF('Enrollment Census'!F99="","",TRIM('Enrollment Census'!F99&amp;""))</f>
        <v/>
      </c>
      <c r="G99" s="37">
        <f>IF('Enrollment Census'!G99="","",TRIM('Enrollment Census'!G99&amp;""))</f>
        <v/>
      </c>
      <c r="H99" s="37">
        <f>IF('Enrollment Census'!H99="","",TRIM('Enrollment Census'!H99&amp;""))</f>
        <v/>
      </c>
      <c r="I99" s="36">
        <f>IF('Enrollment Census'!I99="","",TRIM('Enrollment Census'!I99&amp;""))</f>
        <v/>
      </c>
      <c r="J99" s="36">
        <f>IF('Enrollment Census'!J99="","",TRIM('Enrollment Census'!J99&amp;""))</f>
        <v/>
      </c>
      <c r="K99" s="36">
        <f>IF('Enrollment Census'!K99="","",TRIM('Enrollment Census'!K99&amp;""))</f>
        <v/>
      </c>
      <c r="L99" s="38">
        <f>IF('Enrollment Census'!L99="","",'Enrollment Census'!L99)</f>
        <v/>
      </c>
      <c r="M99" s="36">
        <f>IF('Enrollment Census'!M99="","",TRIM('Enrollment Census'!M99&amp;""))</f>
        <v/>
      </c>
      <c r="N99" s="36">
        <f>IF('Enrollment Census'!N99="","",LOWER(TRIM('Enrollment Census'!N99&amp;"")))</f>
        <v/>
      </c>
      <c r="O99" s="36">
        <f>IF('Enrollment Census'!O99="","",TRIM('Enrollment Census'!O99&amp;""))</f>
        <v/>
      </c>
      <c r="P99" s="38">
        <f>IF('Enrollment Census'!P99="","",'Enrollment Census'!P99)</f>
        <v/>
      </c>
      <c r="Q99" s="38">
        <f>IF('Enrollment Census'!Q99="","",'Enrollment Census'!Q99)</f>
        <v/>
      </c>
      <c r="R99" s="36">
        <f>IF('Enrollment Census'!R99="","",TRIM('Enrollment Census'!R99&amp;""))</f>
        <v/>
      </c>
      <c r="S99" s="36">
        <f>IF('Enrollment Census'!S99="","",TRIM('Enrollment Census'!S99&amp;""))</f>
        <v/>
      </c>
      <c r="T99" s="36">
        <f>IF('Enrollment Census'!T99="","",TRIM('Enrollment Census'!T99&amp;""))</f>
        <v/>
      </c>
      <c r="U99" s="39">
        <f>IF('Enrollment Census'!U99="","",'Enrollment Census'!U99)</f>
        <v/>
      </c>
    </row>
    <row r="100">
      <c r="A100" s="36">
        <f>IF('Enrollment Census'!A100="","",TRIM('Enrollment Census'!A100&amp;""))</f>
        <v/>
      </c>
      <c r="B100" s="36">
        <f>IF('Enrollment Census'!B100="","",TRIM('Enrollment Census'!B100&amp;""))</f>
        <v/>
      </c>
      <c r="C100" s="37">
        <f>IF('Enrollment Census'!C100="","",TRIM('Enrollment Census'!C100&amp;""))</f>
        <v/>
      </c>
      <c r="D100" s="37">
        <f>IF('Enrollment Census'!D100="","",TRIM('Enrollment Census'!D100&amp;""))</f>
        <v/>
      </c>
      <c r="E100" s="36">
        <f>IF('Enrollment Census'!E100="","",TRIM('Enrollment Census'!E100&amp;""))</f>
        <v/>
      </c>
      <c r="F100" s="37">
        <f>IF('Enrollment Census'!F100="","",TRIM('Enrollment Census'!F100&amp;""))</f>
        <v/>
      </c>
      <c r="G100" s="37">
        <f>IF('Enrollment Census'!G100="","",TRIM('Enrollment Census'!G100&amp;""))</f>
        <v/>
      </c>
      <c r="H100" s="37">
        <f>IF('Enrollment Census'!H100="","",TRIM('Enrollment Census'!H100&amp;""))</f>
        <v/>
      </c>
      <c r="I100" s="36">
        <f>IF('Enrollment Census'!I100="","",TRIM('Enrollment Census'!I100&amp;""))</f>
        <v/>
      </c>
      <c r="J100" s="36">
        <f>IF('Enrollment Census'!J100="","",TRIM('Enrollment Census'!J100&amp;""))</f>
        <v/>
      </c>
      <c r="K100" s="36">
        <f>IF('Enrollment Census'!K100="","",TRIM('Enrollment Census'!K100&amp;""))</f>
        <v/>
      </c>
      <c r="L100" s="38">
        <f>IF('Enrollment Census'!L100="","",'Enrollment Census'!L100)</f>
        <v/>
      </c>
      <c r="M100" s="36">
        <f>IF('Enrollment Census'!M100="","",TRIM('Enrollment Census'!M100&amp;""))</f>
        <v/>
      </c>
      <c r="N100" s="36">
        <f>IF('Enrollment Census'!N100="","",LOWER(TRIM('Enrollment Census'!N100&amp;"")))</f>
        <v/>
      </c>
      <c r="O100" s="36">
        <f>IF('Enrollment Census'!O100="","",TRIM('Enrollment Census'!O100&amp;""))</f>
        <v/>
      </c>
      <c r="P100" s="38">
        <f>IF('Enrollment Census'!P100="","",'Enrollment Census'!P100)</f>
        <v/>
      </c>
      <c r="Q100" s="38">
        <f>IF('Enrollment Census'!Q100="","",'Enrollment Census'!Q100)</f>
        <v/>
      </c>
      <c r="R100" s="36">
        <f>IF('Enrollment Census'!R100="","",TRIM('Enrollment Census'!R100&amp;""))</f>
        <v/>
      </c>
      <c r="S100" s="36">
        <f>IF('Enrollment Census'!S100="","",TRIM('Enrollment Census'!S100&amp;""))</f>
        <v/>
      </c>
      <c r="T100" s="36">
        <f>IF('Enrollment Census'!T100="","",TRIM('Enrollment Census'!T100&amp;""))</f>
        <v/>
      </c>
      <c r="U100" s="39">
        <f>IF('Enrollment Census'!U100="","",'Enrollment Census'!U100)</f>
        <v/>
      </c>
    </row>
    <row r="101">
      <c r="A101" s="36">
        <f>IF('Enrollment Census'!A101="","",TRIM('Enrollment Census'!A101&amp;""))</f>
        <v/>
      </c>
      <c r="B101" s="36">
        <f>IF('Enrollment Census'!B101="","",TRIM('Enrollment Census'!B101&amp;""))</f>
        <v/>
      </c>
      <c r="C101" s="37">
        <f>IF('Enrollment Census'!C101="","",TRIM('Enrollment Census'!C101&amp;""))</f>
        <v/>
      </c>
      <c r="D101" s="37">
        <f>IF('Enrollment Census'!D101="","",TRIM('Enrollment Census'!D101&amp;""))</f>
        <v/>
      </c>
      <c r="E101" s="36">
        <f>IF('Enrollment Census'!E101="","",TRIM('Enrollment Census'!E101&amp;""))</f>
        <v/>
      </c>
      <c r="F101" s="37">
        <f>IF('Enrollment Census'!F101="","",TRIM('Enrollment Census'!F101&amp;""))</f>
        <v/>
      </c>
      <c r="G101" s="37">
        <f>IF('Enrollment Census'!G101="","",TRIM('Enrollment Census'!G101&amp;""))</f>
        <v/>
      </c>
      <c r="H101" s="37">
        <f>IF('Enrollment Census'!H101="","",TRIM('Enrollment Census'!H101&amp;""))</f>
        <v/>
      </c>
      <c r="I101" s="36">
        <f>IF('Enrollment Census'!I101="","",TRIM('Enrollment Census'!I101&amp;""))</f>
        <v/>
      </c>
      <c r="J101" s="36">
        <f>IF('Enrollment Census'!J101="","",TRIM('Enrollment Census'!J101&amp;""))</f>
        <v/>
      </c>
      <c r="K101" s="36">
        <f>IF('Enrollment Census'!K101="","",TRIM('Enrollment Census'!K101&amp;""))</f>
        <v/>
      </c>
      <c r="L101" s="38">
        <f>IF('Enrollment Census'!L101="","",'Enrollment Census'!L101)</f>
        <v/>
      </c>
      <c r="M101" s="36">
        <f>IF('Enrollment Census'!M101="","",TRIM('Enrollment Census'!M101&amp;""))</f>
        <v/>
      </c>
      <c r="N101" s="36">
        <f>IF('Enrollment Census'!N101="","",LOWER(TRIM('Enrollment Census'!N101&amp;"")))</f>
        <v/>
      </c>
      <c r="O101" s="36">
        <f>IF('Enrollment Census'!O101="","",TRIM('Enrollment Census'!O101&amp;""))</f>
        <v/>
      </c>
      <c r="P101" s="38">
        <f>IF('Enrollment Census'!P101="","",'Enrollment Census'!P101)</f>
        <v/>
      </c>
      <c r="Q101" s="38">
        <f>IF('Enrollment Census'!Q101="","",'Enrollment Census'!Q101)</f>
        <v/>
      </c>
      <c r="R101" s="36">
        <f>IF('Enrollment Census'!R101="","",TRIM('Enrollment Census'!R101&amp;""))</f>
        <v/>
      </c>
      <c r="S101" s="36">
        <f>IF('Enrollment Census'!S101="","",TRIM('Enrollment Census'!S101&amp;""))</f>
        <v/>
      </c>
      <c r="T101" s="36">
        <f>IF('Enrollment Census'!T101="","",TRIM('Enrollment Census'!T101&amp;""))</f>
        <v/>
      </c>
      <c r="U101" s="39">
        <f>IF('Enrollment Census'!U101="","",'Enrollment Census'!U101)</f>
        <v/>
      </c>
    </row>
    <row r="102">
      <c r="A102" s="36">
        <f>IF('Enrollment Census'!A102="","",TRIM('Enrollment Census'!A102&amp;""))</f>
        <v/>
      </c>
      <c r="B102" s="36">
        <f>IF('Enrollment Census'!B102="","",TRIM('Enrollment Census'!B102&amp;""))</f>
        <v/>
      </c>
      <c r="C102" s="37">
        <f>IF('Enrollment Census'!C102="","",TRIM('Enrollment Census'!C102&amp;""))</f>
        <v/>
      </c>
      <c r="D102" s="37">
        <f>IF('Enrollment Census'!D102="","",TRIM('Enrollment Census'!D102&amp;""))</f>
        <v/>
      </c>
      <c r="E102" s="36">
        <f>IF('Enrollment Census'!E102="","",TRIM('Enrollment Census'!E102&amp;""))</f>
        <v/>
      </c>
      <c r="F102" s="37">
        <f>IF('Enrollment Census'!F102="","",TRIM('Enrollment Census'!F102&amp;""))</f>
        <v/>
      </c>
      <c r="G102" s="37">
        <f>IF('Enrollment Census'!G102="","",TRIM('Enrollment Census'!G102&amp;""))</f>
        <v/>
      </c>
      <c r="H102" s="37">
        <f>IF('Enrollment Census'!H102="","",TRIM('Enrollment Census'!H102&amp;""))</f>
        <v/>
      </c>
      <c r="I102" s="36">
        <f>IF('Enrollment Census'!I102="","",TRIM('Enrollment Census'!I102&amp;""))</f>
        <v/>
      </c>
      <c r="J102" s="36">
        <f>IF('Enrollment Census'!J102="","",TRIM('Enrollment Census'!J102&amp;""))</f>
        <v/>
      </c>
      <c r="K102" s="36">
        <f>IF('Enrollment Census'!K102="","",TRIM('Enrollment Census'!K102&amp;""))</f>
        <v/>
      </c>
      <c r="L102" s="38">
        <f>IF('Enrollment Census'!L102="","",'Enrollment Census'!L102)</f>
        <v/>
      </c>
      <c r="M102" s="36">
        <f>IF('Enrollment Census'!M102="","",TRIM('Enrollment Census'!M102&amp;""))</f>
        <v/>
      </c>
      <c r="N102" s="36">
        <f>IF('Enrollment Census'!N102="","",LOWER(TRIM('Enrollment Census'!N102&amp;"")))</f>
        <v/>
      </c>
      <c r="O102" s="36">
        <f>IF('Enrollment Census'!O102="","",TRIM('Enrollment Census'!O102&amp;""))</f>
        <v/>
      </c>
      <c r="P102" s="38">
        <f>IF('Enrollment Census'!P102="","",'Enrollment Census'!P102)</f>
        <v/>
      </c>
      <c r="Q102" s="38">
        <f>IF('Enrollment Census'!Q102="","",'Enrollment Census'!Q102)</f>
        <v/>
      </c>
      <c r="R102" s="36">
        <f>IF('Enrollment Census'!R102="","",TRIM('Enrollment Census'!R102&amp;""))</f>
        <v/>
      </c>
      <c r="S102" s="36">
        <f>IF('Enrollment Census'!S102="","",TRIM('Enrollment Census'!S102&amp;""))</f>
        <v/>
      </c>
      <c r="T102" s="36">
        <f>IF('Enrollment Census'!T102="","",TRIM('Enrollment Census'!T102&amp;""))</f>
        <v/>
      </c>
      <c r="U102" s="39">
        <f>IF('Enrollment Census'!U102="","",'Enrollment Census'!U102)</f>
        <v/>
      </c>
    </row>
    <row r="103">
      <c r="A103" s="36">
        <f>IF('Enrollment Census'!A103="","",TRIM('Enrollment Census'!A103&amp;""))</f>
        <v/>
      </c>
      <c r="B103" s="36">
        <f>IF('Enrollment Census'!B103="","",TRIM('Enrollment Census'!B103&amp;""))</f>
        <v/>
      </c>
      <c r="C103" s="37">
        <f>IF('Enrollment Census'!C103="","",TRIM('Enrollment Census'!C103&amp;""))</f>
        <v/>
      </c>
      <c r="D103" s="37">
        <f>IF('Enrollment Census'!D103="","",TRIM('Enrollment Census'!D103&amp;""))</f>
        <v/>
      </c>
      <c r="E103" s="36">
        <f>IF('Enrollment Census'!E103="","",TRIM('Enrollment Census'!E103&amp;""))</f>
        <v/>
      </c>
      <c r="F103" s="37">
        <f>IF('Enrollment Census'!F103="","",TRIM('Enrollment Census'!F103&amp;""))</f>
        <v/>
      </c>
      <c r="G103" s="37">
        <f>IF('Enrollment Census'!G103="","",TRIM('Enrollment Census'!G103&amp;""))</f>
        <v/>
      </c>
      <c r="H103" s="37">
        <f>IF('Enrollment Census'!H103="","",TRIM('Enrollment Census'!H103&amp;""))</f>
        <v/>
      </c>
      <c r="I103" s="36">
        <f>IF('Enrollment Census'!I103="","",TRIM('Enrollment Census'!I103&amp;""))</f>
        <v/>
      </c>
      <c r="J103" s="36">
        <f>IF('Enrollment Census'!J103="","",TRIM('Enrollment Census'!J103&amp;""))</f>
        <v/>
      </c>
      <c r="K103" s="36">
        <f>IF('Enrollment Census'!K103="","",TRIM('Enrollment Census'!K103&amp;""))</f>
        <v/>
      </c>
      <c r="L103" s="38">
        <f>IF('Enrollment Census'!L103="","",'Enrollment Census'!L103)</f>
        <v/>
      </c>
      <c r="M103" s="36">
        <f>IF('Enrollment Census'!M103="","",TRIM('Enrollment Census'!M103&amp;""))</f>
        <v/>
      </c>
      <c r="N103" s="36">
        <f>IF('Enrollment Census'!N103="","",LOWER(TRIM('Enrollment Census'!N103&amp;"")))</f>
        <v/>
      </c>
      <c r="O103" s="36">
        <f>IF('Enrollment Census'!O103="","",TRIM('Enrollment Census'!O103&amp;""))</f>
        <v/>
      </c>
      <c r="P103" s="38">
        <f>IF('Enrollment Census'!P103="","",'Enrollment Census'!P103)</f>
        <v/>
      </c>
      <c r="Q103" s="38">
        <f>IF('Enrollment Census'!Q103="","",'Enrollment Census'!Q103)</f>
        <v/>
      </c>
      <c r="R103" s="36">
        <f>IF('Enrollment Census'!R103="","",TRIM('Enrollment Census'!R103&amp;""))</f>
        <v/>
      </c>
      <c r="S103" s="36">
        <f>IF('Enrollment Census'!S103="","",TRIM('Enrollment Census'!S103&amp;""))</f>
        <v/>
      </c>
      <c r="T103" s="36">
        <f>IF('Enrollment Census'!T103="","",TRIM('Enrollment Census'!T103&amp;""))</f>
        <v/>
      </c>
      <c r="U103" s="39">
        <f>IF('Enrollment Census'!U103="","",'Enrollment Census'!U103)</f>
        <v/>
      </c>
    </row>
    <row r="104">
      <c r="A104" s="36">
        <f>IF('Enrollment Census'!A104="","",TRIM('Enrollment Census'!A104&amp;""))</f>
        <v/>
      </c>
      <c r="B104" s="36">
        <f>IF('Enrollment Census'!B104="","",TRIM('Enrollment Census'!B104&amp;""))</f>
        <v/>
      </c>
      <c r="C104" s="37">
        <f>IF('Enrollment Census'!C104="","",TRIM('Enrollment Census'!C104&amp;""))</f>
        <v/>
      </c>
      <c r="D104" s="37">
        <f>IF('Enrollment Census'!D104="","",TRIM('Enrollment Census'!D104&amp;""))</f>
        <v/>
      </c>
      <c r="E104" s="36">
        <f>IF('Enrollment Census'!E104="","",TRIM('Enrollment Census'!E104&amp;""))</f>
        <v/>
      </c>
      <c r="F104" s="37">
        <f>IF('Enrollment Census'!F104="","",TRIM('Enrollment Census'!F104&amp;""))</f>
        <v/>
      </c>
      <c r="G104" s="37">
        <f>IF('Enrollment Census'!G104="","",TRIM('Enrollment Census'!G104&amp;""))</f>
        <v/>
      </c>
      <c r="H104" s="37">
        <f>IF('Enrollment Census'!H104="","",TRIM('Enrollment Census'!H104&amp;""))</f>
        <v/>
      </c>
      <c r="I104" s="36">
        <f>IF('Enrollment Census'!I104="","",TRIM('Enrollment Census'!I104&amp;""))</f>
        <v/>
      </c>
      <c r="J104" s="36">
        <f>IF('Enrollment Census'!J104="","",TRIM('Enrollment Census'!J104&amp;""))</f>
        <v/>
      </c>
      <c r="K104" s="36">
        <f>IF('Enrollment Census'!K104="","",TRIM('Enrollment Census'!K104&amp;""))</f>
        <v/>
      </c>
      <c r="L104" s="38">
        <f>IF('Enrollment Census'!L104="","",'Enrollment Census'!L104)</f>
        <v/>
      </c>
      <c r="M104" s="36">
        <f>IF('Enrollment Census'!M104="","",TRIM('Enrollment Census'!M104&amp;""))</f>
        <v/>
      </c>
      <c r="N104" s="36">
        <f>IF('Enrollment Census'!N104="","",LOWER(TRIM('Enrollment Census'!N104&amp;"")))</f>
        <v/>
      </c>
      <c r="O104" s="36">
        <f>IF('Enrollment Census'!O104="","",TRIM('Enrollment Census'!O104&amp;""))</f>
        <v/>
      </c>
      <c r="P104" s="38">
        <f>IF('Enrollment Census'!P104="","",'Enrollment Census'!P104)</f>
        <v/>
      </c>
      <c r="Q104" s="38">
        <f>IF('Enrollment Census'!Q104="","",'Enrollment Census'!Q104)</f>
        <v/>
      </c>
      <c r="R104" s="36">
        <f>IF('Enrollment Census'!R104="","",TRIM('Enrollment Census'!R104&amp;""))</f>
        <v/>
      </c>
      <c r="S104" s="36">
        <f>IF('Enrollment Census'!S104="","",TRIM('Enrollment Census'!S104&amp;""))</f>
        <v/>
      </c>
      <c r="T104" s="36">
        <f>IF('Enrollment Census'!T104="","",TRIM('Enrollment Census'!T104&amp;""))</f>
        <v/>
      </c>
      <c r="U104" s="39">
        <f>IF('Enrollment Census'!U104="","",'Enrollment Census'!U104)</f>
        <v/>
      </c>
    </row>
    <row r="105">
      <c r="A105" s="36">
        <f>IF('Enrollment Census'!A105="","",TRIM('Enrollment Census'!A105&amp;""))</f>
        <v/>
      </c>
      <c r="B105" s="36">
        <f>IF('Enrollment Census'!B105="","",TRIM('Enrollment Census'!B105&amp;""))</f>
        <v/>
      </c>
      <c r="C105" s="37">
        <f>IF('Enrollment Census'!C105="","",TRIM('Enrollment Census'!C105&amp;""))</f>
        <v/>
      </c>
      <c r="D105" s="37">
        <f>IF('Enrollment Census'!D105="","",TRIM('Enrollment Census'!D105&amp;""))</f>
        <v/>
      </c>
      <c r="E105" s="36">
        <f>IF('Enrollment Census'!E105="","",TRIM('Enrollment Census'!E105&amp;""))</f>
        <v/>
      </c>
      <c r="F105" s="37">
        <f>IF('Enrollment Census'!F105="","",TRIM('Enrollment Census'!F105&amp;""))</f>
        <v/>
      </c>
      <c r="G105" s="37">
        <f>IF('Enrollment Census'!G105="","",TRIM('Enrollment Census'!G105&amp;""))</f>
        <v/>
      </c>
      <c r="H105" s="37">
        <f>IF('Enrollment Census'!H105="","",TRIM('Enrollment Census'!H105&amp;""))</f>
        <v/>
      </c>
      <c r="I105" s="36">
        <f>IF('Enrollment Census'!I105="","",TRIM('Enrollment Census'!I105&amp;""))</f>
        <v/>
      </c>
      <c r="J105" s="36">
        <f>IF('Enrollment Census'!J105="","",TRIM('Enrollment Census'!J105&amp;""))</f>
        <v/>
      </c>
      <c r="K105" s="36">
        <f>IF('Enrollment Census'!K105="","",TRIM('Enrollment Census'!K105&amp;""))</f>
        <v/>
      </c>
      <c r="L105" s="38">
        <f>IF('Enrollment Census'!L105="","",'Enrollment Census'!L105)</f>
        <v/>
      </c>
      <c r="M105" s="36">
        <f>IF('Enrollment Census'!M105="","",TRIM('Enrollment Census'!M105&amp;""))</f>
        <v/>
      </c>
      <c r="N105" s="36">
        <f>IF('Enrollment Census'!N105="","",LOWER(TRIM('Enrollment Census'!N105&amp;"")))</f>
        <v/>
      </c>
      <c r="O105" s="36">
        <f>IF('Enrollment Census'!O105="","",TRIM('Enrollment Census'!O105&amp;""))</f>
        <v/>
      </c>
      <c r="P105" s="38">
        <f>IF('Enrollment Census'!P105="","",'Enrollment Census'!P105)</f>
        <v/>
      </c>
      <c r="Q105" s="38">
        <f>IF('Enrollment Census'!Q105="","",'Enrollment Census'!Q105)</f>
        <v/>
      </c>
      <c r="R105" s="36">
        <f>IF('Enrollment Census'!R105="","",TRIM('Enrollment Census'!R105&amp;""))</f>
        <v/>
      </c>
      <c r="S105" s="36">
        <f>IF('Enrollment Census'!S105="","",TRIM('Enrollment Census'!S105&amp;""))</f>
        <v/>
      </c>
      <c r="T105" s="36">
        <f>IF('Enrollment Census'!T105="","",TRIM('Enrollment Census'!T105&amp;""))</f>
        <v/>
      </c>
      <c r="U105" s="39">
        <f>IF('Enrollment Census'!U105="","",'Enrollment Census'!U105)</f>
        <v/>
      </c>
    </row>
    <row r="106">
      <c r="A106" s="36">
        <f>IF('Enrollment Census'!A106="","",TRIM('Enrollment Census'!A106&amp;""))</f>
        <v/>
      </c>
      <c r="B106" s="36">
        <f>IF('Enrollment Census'!B106="","",TRIM('Enrollment Census'!B106&amp;""))</f>
        <v/>
      </c>
      <c r="C106" s="37">
        <f>IF('Enrollment Census'!C106="","",TRIM('Enrollment Census'!C106&amp;""))</f>
        <v/>
      </c>
      <c r="D106" s="37">
        <f>IF('Enrollment Census'!D106="","",TRIM('Enrollment Census'!D106&amp;""))</f>
        <v/>
      </c>
      <c r="E106" s="36">
        <f>IF('Enrollment Census'!E106="","",TRIM('Enrollment Census'!E106&amp;""))</f>
        <v/>
      </c>
      <c r="F106" s="37">
        <f>IF('Enrollment Census'!F106="","",TRIM('Enrollment Census'!F106&amp;""))</f>
        <v/>
      </c>
      <c r="G106" s="37">
        <f>IF('Enrollment Census'!G106="","",TRIM('Enrollment Census'!G106&amp;""))</f>
        <v/>
      </c>
      <c r="H106" s="37">
        <f>IF('Enrollment Census'!H106="","",TRIM('Enrollment Census'!H106&amp;""))</f>
        <v/>
      </c>
      <c r="I106" s="36">
        <f>IF('Enrollment Census'!I106="","",TRIM('Enrollment Census'!I106&amp;""))</f>
        <v/>
      </c>
      <c r="J106" s="36">
        <f>IF('Enrollment Census'!J106="","",TRIM('Enrollment Census'!J106&amp;""))</f>
        <v/>
      </c>
      <c r="K106" s="36">
        <f>IF('Enrollment Census'!K106="","",TRIM('Enrollment Census'!K106&amp;""))</f>
        <v/>
      </c>
      <c r="L106" s="38">
        <f>IF('Enrollment Census'!L106="","",'Enrollment Census'!L106)</f>
        <v/>
      </c>
      <c r="M106" s="36">
        <f>IF('Enrollment Census'!M106="","",TRIM('Enrollment Census'!M106&amp;""))</f>
        <v/>
      </c>
      <c r="N106" s="36">
        <f>IF('Enrollment Census'!N106="","",LOWER(TRIM('Enrollment Census'!N106&amp;"")))</f>
        <v/>
      </c>
      <c r="O106" s="36">
        <f>IF('Enrollment Census'!O106="","",TRIM('Enrollment Census'!O106&amp;""))</f>
        <v/>
      </c>
      <c r="P106" s="38">
        <f>IF('Enrollment Census'!P106="","",'Enrollment Census'!P106)</f>
        <v/>
      </c>
      <c r="Q106" s="38">
        <f>IF('Enrollment Census'!Q106="","",'Enrollment Census'!Q106)</f>
        <v/>
      </c>
      <c r="R106" s="36">
        <f>IF('Enrollment Census'!R106="","",TRIM('Enrollment Census'!R106&amp;""))</f>
        <v/>
      </c>
      <c r="S106" s="36">
        <f>IF('Enrollment Census'!S106="","",TRIM('Enrollment Census'!S106&amp;""))</f>
        <v/>
      </c>
      <c r="T106" s="36">
        <f>IF('Enrollment Census'!T106="","",TRIM('Enrollment Census'!T106&amp;""))</f>
        <v/>
      </c>
      <c r="U106" s="39">
        <f>IF('Enrollment Census'!U106="","",'Enrollment Census'!U106)</f>
        <v/>
      </c>
    </row>
    <row r="107">
      <c r="A107" s="36">
        <f>IF('Enrollment Census'!A107="","",TRIM('Enrollment Census'!A107&amp;""))</f>
        <v/>
      </c>
      <c r="B107" s="36">
        <f>IF('Enrollment Census'!B107="","",TRIM('Enrollment Census'!B107&amp;""))</f>
        <v/>
      </c>
      <c r="C107" s="37">
        <f>IF('Enrollment Census'!C107="","",TRIM('Enrollment Census'!C107&amp;""))</f>
        <v/>
      </c>
      <c r="D107" s="37">
        <f>IF('Enrollment Census'!D107="","",TRIM('Enrollment Census'!D107&amp;""))</f>
        <v/>
      </c>
      <c r="E107" s="36">
        <f>IF('Enrollment Census'!E107="","",TRIM('Enrollment Census'!E107&amp;""))</f>
        <v/>
      </c>
      <c r="F107" s="37">
        <f>IF('Enrollment Census'!F107="","",TRIM('Enrollment Census'!F107&amp;""))</f>
        <v/>
      </c>
      <c r="G107" s="37">
        <f>IF('Enrollment Census'!G107="","",TRIM('Enrollment Census'!G107&amp;""))</f>
        <v/>
      </c>
      <c r="H107" s="37">
        <f>IF('Enrollment Census'!H107="","",TRIM('Enrollment Census'!H107&amp;""))</f>
        <v/>
      </c>
      <c r="I107" s="36">
        <f>IF('Enrollment Census'!I107="","",TRIM('Enrollment Census'!I107&amp;""))</f>
        <v/>
      </c>
      <c r="J107" s="36">
        <f>IF('Enrollment Census'!J107="","",TRIM('Enrollment Census'!J107&amp;""))</f>
        <v/>
      </c>
      <c r="K107" s="36">
        <f>IF('Enrollment Census'!K107="","",TRIM('Enrollment Census'!K107&amp;""))</f>
        <v/>
      </c>
      <c r="L107" s="38">
        <f>IF('Enrollment Census'!L107="","",'Enrollment Census'!L107)</f>
        <v/>
      </c>
      <c r="M107" s="36">
        <f>IF('Enrollment Census'!M107="","",TRIM('Enrollment Census'!M107&amp;""))</f>
        <v/>
      </c>
      <c r="N107" s="36">
        <f>IF('Enrollment Census'!N107="","",LOWER(TRIM('Enrollment Census'!N107&amp;"")))</f>
        <v/>
      </c>
      <c r="O107" s="36">
        <f>IF('Enrollment Census'!O107="","",TRIM('Enrollment Census'!O107&amp;""))</f>
        <v/>
      </c>
      <c r="P107" s="38">
        <f>IF('Enrollment Census'!P107="","",'Enrollment Census'!P107)</f>
        <v/>
      </c>
      <c r="Q107" s="38">
        <f>IF('Enrollment Census'!Q107="","",'Enrollment Census'!Q107)</f>
        <v/>
      </c>
      <c r="R107" s="36">
        <f>IF('Enrollment Census'!R107="","",TRIM('Enrollment Census'!R107&amp;""))</f>
        <v/>
      </c>
      <c r="S107" s="36">
        <f>IF('Enrollment Census'!S107="","",TRIM('Enrollment Census'!S107&amp;""))</f>
        <v/>
      </c>
      <c r="T107" s="36">
        <f>IF('Enrollment Census'!T107="","",TRIM('Enrollment Census'!T107&amp;""))</f>
        <v/>
      </c>
      <c r="U107" s="39">
        <f>IF('Enrollment Census'!U107="","",'Enrollment Census'!U107)</f>
        <v/>
      </c>
    </row>
    <row r="108">
      <c r="A108" s="36">
        <f>IF('Enrollment Census'!A108="","",TRIM('Enrollment Census'!A108&amp;""))</f>
        <v/>
      </c>
      <c r="B108" s="36">
        <f>IF('Enrollment Census'!B108="","",TRIM('Enrollment Census'!B108&amp;""))</f>
        <v/>
      </c>
      <c r="C108" s="37">
        <f>IF('Enrollment Census'!C108="","",TRIM('Enrollment Census'!C108&amp;""))</f>
        <v/>
      </c>
      <c r="D108" s="37">
        <f>IF('Enrollment Census'!D108="","",TRIM('Enrollment Census'!D108&amp;""))</f>
        <v/>
      </c>
      <c r="E108" s="36">
        <f>IF('Enrollment Census'!E108="","",TRIM('Enrollment Census'!E108&amp;""))</f>
        <v/>
      </c>
      <c r="F108" s="37">
        <f>IF('Enrollment Census'!F108="","",TRIM('Enrollment Census'!F108&amp;""))</f>
        <v/>
      </c>
      <c r="G108" s="37">
        <f>IF('Enrollment Census'!G108="","",TRIM('Enrollment Census'!G108&amp;""))</f>
        <v/>
      </c>
      <c r="H108" s="37">
        <f>IF('Enrollment Census'!H108="","",TRIM('Enrollment Census'!H108&amp;""))</f>
        <v/>
      </c>
      <c r="I108" s="36">
        <f>IF('Enrollment Census'!I108="","",TRIM('Enrollment Census'!I108&amp;""))</f>
        <v/>
      </c>
      <c r="J108" s="36">
        <f>IF('Enrollment Census'!J108="","",TRIM('Enrollment Census'!J108&amp;""))</f>
        <v/>
      </c>
      <c r="K108" s="36">
        <f>IF('Enrollment Census'!K108="","",TRIM('Enrollment Census'!K108&amp;""))</f>
        <v/>
      </c>
      <c r="L108" s="38">
        <f>IF('Enrollment Census'!L108="","",'Enrollment Census'!L108)</f>
        <v/>
      </c>
      <c r="M108" s="36">
        <f>IF('Enrollment Census'!M108="","",TRIM('Enrollment Census'!M108&amp;""))</f>
        <v/>
      </c>
      <c r="N108" s="36">
        <f>IF('Enrollment Census'!N108="","",LOWER(TRIM('Enrollment Census'!N108&amp;"")))</f>
        <v/>
      </c>
      <c r="O108" s="36">
        <f>IF('Enrollment Census'!O108="","",TRIM('Enrollment Census'!O108&amp;""))</f>
        <v/>
      </c>
      <c r="P108" s="38">
        <f>IF('Enrollment Census'!P108="","",'Enrollment Census'!P108)</f>
        <v/>
      </c>
      <c r="Q108" s="38">
        <f>IF('Enrollment Census'!Q108="","",'Enrollment Census'!Q108)</f>
        <v/>
      </c>
      <c r="R108" s="36">
        <f>IF('Enrollment Census'!R108="","",TRIM('Enrollment Census'!R108&amp;""))</f>
        <v/>
      </c>
      <c r="S108" s="36">
        <f>IF('Enrollment Census'!S108="","",TRIM('Enrollment Census'!S108&amp;""))</f>
        <v/>
      </c>
      <c r="T108" s="36">
        <f>IF('Enrollment Census'!T108="","",TRIM('Enrollment Census'!T108&amp;""))</f>
        <v/>
      </c>
      <c r="U108" s="39">
        <f>IF('Enrollment Census'!U108="","",'Enrollment Census'!U108)</f>
        <v/>
      </c>
    </row>
    <row r="109">
      <c r="A109" s="36">
        <f>IF('Enrollment Census'!A109="","",TRIM('Enrollment Census'!A109&amp;""))</f>
        <v/>
      </c>
      <c r="B109" s="36">
        <f>IF('Enrollment Census'!B109="","",TRIM('Enrollment Census'!B109&amp;""))</f>
        <v/>
      </c>
      <c r="C109" s="37">
        <f>IF('Enrollment Census'!C109="","",TRIM('Enrollment Census'!C109&amp;""))</f>
        <v/>
      </c>
      <c r="D109" s="37">
        <f>IF('Enrollment Census'!D109="","",TRIM('Enrollment Census'!D109&amp;""))</f>
        <v/>
      </c>
      <c r="E109" s="36">
        <f>IF('Enrollment Census'!E109="","",TRIM('Enrollment Census'!E109&amp;""))</f>
        <v/>
      </c>
      <c r="F109" s="37">
        <f>IF('Enrollment Census'!F109="","",TRIM('Enrollment Census'!F109&amp;""))</f>
        <v/>
      </c>
      <c r="G109" s="37">
        <f>IF('Enrollment Census'!G109="","",TRIM('Enrollment Census'!G109&amp;""))</f>
        <v/>
      </c>
      <c r="H109" s="37">
        <f>IF('Enrollment Census'!H109="","",TRIM('Enrollment Census'!H109&amp;""))</f>
        <v/>
      </c>
      <c r="I109" s="36">
        <f>IF('Enrollment Census'!I109="","",TRIM('Enrollment Census'!I109&amp;""))</f>
        <v/>
      </c>
      <c r="J109" s="36">
        <f>IF('Enrollment Census'!J109="","",TRIM('Enrollment Census'!J109&amp;""))</f>
        <v/>
      </c>
      <c r="K109" s="36">
        <f>IF('Enrollment Census'!K109="","",TRIM('Enrollment Census'!K109&amp;""))</f>
        <v/>
      </c>
      <c r="L109" s="38">
        <f>IF('Enrollment Census'!L109="","",'Enrollment Census'!L109)</f>
        <v/>
      </c>
      <c r="M109" s="36">
        <f>IF('Enrollment Census'!M109="","",TRIM('Enrollment Census'!M109&amp;""))</f>
        <v/>
      </c>
      <c r="N109" s="36">
        <f>IF('Enrollment Census'!N109="","",LOWER(TRIM('Enrollment Census'!N109&amp;"")))</f>
        <v/>
      </c>
      <c r="O109" s="36">
        <f>IF('Enrollment Census'!O109="","",TRIM('Enrollment Census'!O109&amp;""))</f>
        <v/>
      </c>
      <c r="P109" s="38">
        <f>IF('Enrollment Census'!P109="","",'Enrollment Census'!P109)</f>
        <v/>
      </c>
      <c r="Q109" s="38">
        <f>IF('Enrollment Census'!Q109="","",'Enrollment Census'!Q109)</f>
        <v/>
      </c>
      <c r="R109" s="36">
        <f>IF('Enrollment Census'!R109="","",TRIM('Enrollment Census'!R109&amp;""))</f>
        <v/>
      </c>
      <c r="S109" s="36">
        <f>IF('Enrollment Census'!S109="","",TRIM('Enrollment Census'!S109&amp;""))</f>
        <v/>
      </c>
      <c r="T109" s="36">
        <f>IF('Enrollment Census'!T109="","",TRIM('Enrollment Census'!T109&amp;""))</f>
        <v/>
      </c>
      <c r="U109" s="39">
        <f>IF('Enrollment Census'!U109="","",'Enrollment Census'!U109)</f>
        <v/>
      </c>
    </row>
    <row r="110">
      <c r="A110" s="36">
        <f>IF('Enrollment Census'!A110="","",TRIM('Enrollment Census'!A110&amp;""))</f>
        <v/>
      </c>
      <c r="B110" s="36">
        <f>IF('Enrollment Census'!B110="","",TRIM('Enrollment Census'!B110&amp;""))</f>
        <v/>
      </c>
      <c r="C110" s="37">
        <f>IF('Enrollment Census'!C110="","",TRIM('Enrollment Census'!C110&amp;""))</f>
        <v/>
      </c>
      <c r="D110" s="37">
        <f>IF('Enrollment Census'!D110="","",TRIM('Enrollment Census'!D110&amp;""))</f>
        <v/>
      </c>
      <c r="E110" s="36">
        <f>IF('Enrollment Census'!E110="","",TRIM('Enrollment Census'!E110&amp;""))</f>
        <v/>
      </c>
      <c r="F110" s="37">
        <f>IF('Enrollment Census'!F110="","",TRIM('Enrollment Census'!F110&amp;""))</f>
        <v/>
      </c>
      <c r="G110" s="37">
        <f>IF('Enrollment Census'!G110="","",TRIM('Enrollment Census'!G110&amp;""))</f>
        <v/>
      </c>
      <c r="H110" s="37">
        <f>IF('Enrollment Census'!H110="","",TRIM('Enrollment Census'!H110&amp;""))</f>
        <v/>
      </c>
      <c r="I110" s="36">
        <f>IF('Enrollment Census'!I110="","",TRIM('Enrollment Census'!I110&amp;""))</f>
        <v/>
      </c>
      <c r="J110" s="36">
        <f>IF('Enrollment Census'!J110="","",TRIM('Enrollment Census'!J110&amp;""))</f>
        <v/>
      </c>
      <c r="K110" s="36">
        <f>IF('Enrollment Census'!K110="","",TRIM('Enrollment Census'!K110&amp;""))</f>
        <v/>
      </c>
      <c r="L110" s="38">
        <f>IF('Enrollment Census'!L110="","",'Enrollment Census'!L110)</f>
        <v/>
      </c>
      <c r="M110" s="36">
        <f>IF('Enrollment Census'!M110="","",TRIM('Enrollment Census'!M110&amp;""))</f>
        <v/>
      </c>
      <c r="N110" s="36">
        <f>IF('Enrollment Census'!N110="","",LOWER(TRIM('Enrollment Census'!N110&amp;"")))</f>
        <v/>
      </c>
      <c r="O110" s="36">
        <f>IF('Enrollment Census'!O110="","",TRIM('Enrollment Census'!O110&amp;""))</f>
        <v/>
      </c>
      <c r="P110" s="38">
        <f>IF('Enrollment Census'!P110="","",'Enrollment Census'!P110)</f>
        <v/>
      </c>
      <c r="Q110" s="38">
        <f>IF('Enrollment Census'!Q110="","",'Enrollment Census'!Q110)</f>
        <v/>
      </c>
      <c r="R110" s="36">
        <f>IF('Enrollment Census'!R110="","",TRIM('Enrollment Census'!R110&amp;""))</f>
        <v/>
      </c>
      <c r="S110" s="36">
        <f>IF('Enrollment Census'!S110="","",TRIM('Enrollment Census'!S110&amp;""))</f>
        <v/>
      </c>
      <c r="T110" s="36">
        <f>IF('Enrollment Census'!T110="","",TRIM('Enrollment Census'!T110&amp;""))</f>
        <v/>
      </c>
      <c r="U110" s="39">
        <f>IF('Enrollment Census'!U110="","",'Enrollment Census'!U110)</f>
        <v/>
      </c>
    </row>
    <row r="111">
      <c r="A111" s="36">
        <f>IF('Enrollment Census'!A111="","",TRIM('Enrollment Census'!A111&amp;""))</f>
        <v/>
      </c>
      <c r="B111" s="36">
        <f>IF('Enrollment Census'!B111="","",TRIM('Enrollment Census'!B111&amp;""))</f>
        <v/>
      </c>
      <c r="C111" s="37">
        <f>IF('Enrollment Census'!C111="","",TRIM('Enrollment Census'!C111&amp;""))</f>
        <v/>
      </c>
      <c r="D111" s="37">
        <f>IF('Enrollment Census'!D111="","",TRIM('Enrollment Census'!D111&amp;""))</f>
        <v/>
      </c>
      <c r="E111" s="36">
        <f>IF('Enrollment Census'!E111="","",TRIM('Enrollment Census'!E111&amp;""))</f>
        <v/>
      </c>
      <c r="F111" s="37">
        <f>IF('Enrollment Census'!F111="","",TRIM('Enrollment Census'!F111&amp;""))</f>
        <v/>
      </c>
      <c r="G111" s="37">
        <f>IF('Enrollment Census'!G111="","",TRIM('Enrollment Census'!G111&amp;""))</f>
        <v/>
      </c>
      <c r="H111" s="37">
        <f>IF('Enrollment Census'!H111="","",TRIM('Enrollment Census'!H111&amp;""))</f>
        <v/>
      </c>
      <c r="I111" s="36">
        <f>IF('Enrollment Census'!I111="","",TRIM('Enrollment Census'!I111&amp;""))</f>
        <v/>
      </c>
      <c r="J111" s="36">
        <f>IF('Enrollment Census'!J111="","",TRIM('Enrollment Census'!J111&amp;""))</f>
        <v/>
      </c>
      <c r="K111" s="36">
        <f>IF('Enrollment Census'!K111="","",TRIM('Enrollment Census'!K111&amp;""))</f>
        <v/>
      </c>
      <c r="L111" s="38">
        <f>IF('Enrollment Census'!L111="","",'Enrollment Census'!L111)</f>
        <v/>
      </c>
      <c r="M111" s="36">
        <f>IF('Enrollment Census'!M111="","",TRIM('Enrollment Census'!M111&amp;""))</f>
        <v/>
      </c>
      <c r="N111" s="36">
        <f>IF('Enrollment Census'!N111="","",LOWER(TRIM('Enrollment Census'!N111&amp;"")))</f>
        <v/>
      </c>
      <c r="O111" s="36">
        <f>IF('Enrollment Census'!O111="","",TRIM('Enrollment Census'!O111&amp;""))</f>
        <v/>
      </c>
      <c r="P111" s="38">
        <f>IF('Enrollment Census'!P111="","",'Enrollment Census'!P111)</f>
        <v/>
      </c>
      <c r="Q111" s="38">
        <f>IF('Enrollment Census'!Q111="","",'Enrollment Census'!Q111)</f>
        <v/>
      </c>
      <c r="R111" s="36">
        <f>IF('Enrollment Census'!R111="","",TRIM('Enrollment Census'!R111&amp;""))</f>
        <v/>
      </c>
      <c r="S111" s="36">
        <f>IF('Enrollment Census'!S111="","",TRIM('Enrollment Census'!S111&amp;""))</f>
        <v/>
      </c>
      <c r="T111" s="36">
        <f>IF('Enrollment Census'!T111="","",TRIM('Enrollment Census'!T111&amp;""))</f>
        <v/>
      </c>
      <c r="U111" s="39">
        <f>IF('Enrollment Census'!U111="","",'Enrollment Census'!U111)</f>
        <v/>
      </c>
    </row>
    <row r="112">
      <c r="A112" s="36">
        <f>IF('Enrollment Census'!A112="","",TRIM('Enrollment Census'!A112&amp;""))</f>
        <v/>
      </c>
      <c r="B112" s="36">
        <f>IF('Enrollment Census'!B112="","",TRIM('Enrollment Census'!B112&amp;""))</f>
        <v/>
      </c>
      <c r="C112" s="37">
        <f>IF('Enrollment Census'!C112="","",TRIM('Enrollment Census'!C112&amp;""))</f>
        <v/>
      </c>
      <c r="D112" s="37">
        <f>IF('Enrollment Census'!D112="","",TRIM('Enrollment Census'!D112&amp;""))</f>
        <v/>
      </c>
      <c r="E112" s="36">
        <f>IF('Enrollment Census'!E112="","",TRIM('Enrollment Census'!E112&amp;""))</f>
        <v/>
      </c>
      <c r="F112" s="37">
        <f>IF('Enrollment Census'!F112="","",TRIM('Enrollment Census'!F112&amp;""))</f>
        <v/>
      </c>
      <c r="G112" s="37">
        <f>IF('Enrollment Census'!G112="","",TRIM('Enrollment Census'!G112&amp;""))</f>
        <v/>
      </c>
      <c r="H112" s="37">
        <f>IF('Enrollment Census'!H112="","",TRIM('Enrollment Census'!H112&amp;""))</f>
        <v/>
      </c>
      <c r="I112" s="36">
        <f>IF('Enrollment Census'!I112="","",TRIM('Enrollment Census'!I112&amp;""))</f>
        <v/>
      </c>
      <c r="J112" s="36">
        <f>IF('Enrollment Census'!J112="","",TRIM('Enrollment Census'!J112&amp;""))</f>
        <v/>
      </c>
      <c r="K112" s="36">
        <f>IF('Enrollment Census'!K112="","",TRIM('Enrollment Census'!K112&amp;""))</f>
        <v/>
      </c>
      <c r="L112" s="38">
        <f>IF('Enrollment Census'!L112="","",'Enrollment Census'!L112)</f>
        <v/>
      </c>
      <c r="M112" s="36">
        <f>IF('Enrollment Census'!M112="","",TRIM('Enrollment Census'!M112&amp;""))</f>
        <v/>
      </c>
      <c r="N112" s="36">
        <f>IF('Enrollment Census'!N112="","",LOWER(TRIM('Enrollment Census'!N112&amp;"")))</f>
        <v/>
      </c>
      <c r="O112" s="36">
        <f>IF('Enrollment Census'!O112="","",TRIM('Enrollment Census'!O112&amp;""))</f>
        <v/>
      </c>
      <c r="P112" s="38">
        <f>IF('Enrollment Census'!P112="","",'Enrollment Census'!P112)</f>
        <v/>
      </c>
      <c r="Q112" s="38">
        <f>IF('Enrollment Census'!Q112="","",'Enrollment Census'!Q112)</f>
        <v/>
      </c>
      <c r="R112" s="36">
        <f>IF('Enrollment Census'!R112="","",TRIM('Enrollment Census'!R112&amp;""))</f>
        <v/>
      </c>
      <c r="S112" s="36">
        <f>IF('Enrollment Census'!S112="","",TRIM('Enrollment Census'!S112&amp;""))</f>
        <v/>
      </c>
      <c r="T112" s="36">
        <f>IF('Enrollment Census'!T112="","",TRIM('Enrollment Census'!T112&amp;""))</f>
        <v/>
      </c>
      <c r="U112" s="39">
        <f>IF('Enrollment Census'!U112="","",'Enrollment Census'!U112)</f>
        <v/>
      </c>
    </row>
    <row r="113">
      <c r="A113" s="36">
        <f>IF('Enrollment Census'!A113="","",TRIM('Enrollment Census'!A113&amp;""))</f>
        <v/>
      </c>
      <c r="B113" s="36">
        <f>IF('Enrollment Census'!B113="","",TRIM('Enrollment Census'!B113&amp;""))</f>
        <v/>
      </c>
      <c r="C113" s="37">
        <f>IF('Enrollment Census'!C113="","",TRIM('Enrollment Census'!C113&amp;""))</f>
        <v/>
      </c>
      <c r="D113" s="37">
        <f>IF('Enrollment Census'!D113="","",TRIM('Enrollment Census'!D113&amp;""))</f>
        <v/>
      </c>
      <c r="E113" s="36">
        <f>IF('Enrollment Census'!E113="","",TRIM('Enrollment Census'!E113&amp;""))</f>
        <v/>
      </c>
      <c r="F113" s="37">
        <f>IF('Enrollment Census'!F113="","",TRIM('Enrollment Census'!F113&amp;""))</f>
        <v/>
      </c>
      <c r="G113" s="37">
        <f>IF('Enrollment Census'!G113="","",TRIM('Enrollment Census'!G113&amp;""))</f>
        <v/>
      </c>
      <c r="H113" s="37">
        <f>IF('Enrollment Census'!H113="","",TRIM('Enrollment Census'!H113&amp;""))</f>
        <v/>
      </c>
      <c r="I113" s="36">
        <f>IF('Enrollment Census'!I113="","",TRIM('Enrollment Census'!I113&amp;""))</f>
        <v/>
      </c>
      <c r="J113" s="36">
        <f>IF('Enrollment Census'!J113="","",TRIM('Enrollment Census'!J113&amp;""))</f>
        <v/>
      </c>
      <c r="K113" s="36">
        <f>IF('Enrollment Census'!K113="","",TRIM('Enrollment Census'!K113&amp;""))</f>
        <v/>
      </c>
      <c r="L113" s="38">
        <f>IF('Enrollment Census'!L113="","",'Enrollment Census'!L113)</f>
        <v/>
      </c>
      <c r="M113" s="36">
        <f>IF('Enrollment Census'!M113="","",TRIM('Enrollment Census'!M113&amp;""))</f>
        <v/>
      </c>
      <c r="N113" s="36">
        <f>IF('Enrollment Census'!N113="","",LOWER(TRIM('Enrollment Census'!N113&amp;"")))</f>
        <v/>
      </c>
      <c r="O113" s="36">
        <f>IF('Enrollment Census'!O113="","",TRIM('Enrollment Census'!O113&amp;""))</f>
        <v/>
      </c>
      <c r="P113" s="38">
        <f>IF('Enrollment Census'!P113="","",'Enrollment Census'!P113)</f>
        <v/>
      </c>
      <c r="Q113" s="38">
        <f>IF('Enrollment Census'!Q113="","",'Enrollment Census'!Q113)</f>
        <v/>
      </c>
      <c r="R113" s="36">
        <f>IF('Enrollment Census'!R113="","",TRIM('Enrollment Census'!R113&amp;""))</f>
        <v/>
      </c>
      <c r="S113" s="36">
        <f>IF('Enrollment Census'!S113="","",TRIM('Enrollment Census'!S113&amp;""))</f>
        <v/>
      </c>
      <c r="T113" s="36">
        <f>IF('Enrollment Census'!T113="","",TRIM('Enrollment Census'!T113&amp;""))</f>
        <v/>
      </c>
      <c r="U113" s="39">
        <f>IF('Enrollment Census'!U113="","",'Enrollment Census'!U113)</f>
        <v/>
      </c>
    </row>
    <row r="114">
      <c r="A114" s="36">
        <f>IF('Enrollment Census'!A114="","",TRIM('Enrollment Census'!A114&amp;""))</f>
        <v/>
      </c>
      <c r="B114" s="36">
        <f>IF('Enrollment Census'!B114="","",TRIM('Enrollment Census'!B114&amp;""))</f>
        <v/>
      </c>
      <c r="C114" s="37">
        <f>IF('Enrollment Census'!C114="","",TRIM('Enrollment Census'!C114&amp;""))</f>
        <v/>
      </c>
      <c r="D114" s="37">
        <f>IF('Enrollment Census'!D114="","",TRIM('Enrollment Census'!D114&amp;""))</f>
        <v/>
      </c>
      <c r="E114" s="36">
        <f>IF('Enrollment Census'!E114="","",TRIM('Enrollment Census'!E114&amp;""))</f>
        <v/>
      </c>
      <c r="F114" s="37">
        <f>IF('Enrollment Census'!F114="","",TRIM('Enrollment Census'!F114&amp;""))</f>
        <v/>
      </c>
      <c r="G114" s="37">
        <f>IF('Enrollment Census'!G114="","",TRIM('Enrollment Census'!G114&amp;""))</f>
        <v/>
      </c>
      <c r="H114" s="37">
        <f>IF('Enrollment Census'!H114="","",TRIM('Enrollment Census'!H114&amp;""))</f>
        <v/>
      </c>
      <c r="I114" s="36">
        <f>IF('Enrollment Census'!I114="","",TRIM('Enrollment Census'!I114&amp;""))</f>
        <v/>
      </c>
      <c r="J114" s="36">
        <f>IF('Enrollment Census'!J114="","",TRIM('Enrollment Census'!J114&amp;""))</f>
        <v/>
      </c>
      <c r="K114" s="36">
        <f>IF('Enrollment Census'!K114="","",TRIM('Enrollment Census'!K114&amp;""))</f>
        <v/>
      </c>
      <c r="L114" s="38">
        <f>IF('Enrollment Census'!L114="","",'Enrollment Census'!L114)</f>
        <v/>
      </c>
      <c r="M114" s="36">
        <f>IF('Enrollment Census'!M114="","",TRIM('Enrollment Census'!M114&amp;""))</f>
        <v/>
      </c>
      <c r="N114" s="36">
        <f>IF('Enrollment Census'!N114="","",LOWER(TRIM('Enrollment Census'!N114&amp;"")))</f>
        <v/>
      </c>
      <c r="O114" s="36">
        <f>IF('Enrollment Census'!O114="","",TRIM('Enrollment Census'!O114&amp;""))</f>
        <v/>
      </c>
      <c r="P114" s="38">
        <f>IF('Enrollment Census'!P114="","",'Enrollment Census'!P114)</f>
        <v/>
      </c>
      <c r="Q114" s="38">
        <f>IF('Enrollment Census'!Q114="","",'Enrollment Census'!Q114)</f>
        <v/>
      </c>
      <c r="R114" s="36">
        <f>IF('Enrollment Census'!R114="","",TRIM('Enrollment Census'!R114&amp;""))</f>
        <v/>
      </c>
      <c r="S114" s="36">
        <f>IF('Enrollment Census'!S114="","",TRIM('Enrollment Census'!S114&amp;""))</f>
        <v/>
      </c>
      <c r="T114" s="36">
        <f>IF('Enrollment Census'!T114="","",TRIM('Enrollment Census'!T114&amp;""))</f>
        <v/>
      </c>
      <c r="U114" s="39">
        <f>IF('Enrollment Census'!U114="","",'Enrollment Census'!U114)</f>
        <v/>
      </c>
    </row>
    <row r="115">
      <c r="A115" s="36">
        <f>IF('Enrollment Census'!A115="","",TRIM('Enrollment Census'!A115&amp;""))</f>
        <v/>
      </c>
      <c r="B115" s="36">
        <f>IF('Enrollment Census'!B115="","",TRIM('Enrollment Census'!B115&amp;""))</f>
        <v/>
      </c>
      <c r="C115" s="37">
        <f>IF('Enrollment Census'!C115="","",TRIM('Enrollment Census'!C115&amp;""))</f>
        <v/>
      </c>
      <c r="D115" s="37">
        <f>IF('Enrollment Census'!D115="","",TRIM('Enrollment Census'!D115&amp;""))</f>
        <v/>
      </c>
      <c r="E115" s="36">
        <f>IF('Enrollment Census'!E115="","",TRIM('Enrollment Census'!E115&amp;""))</f>
        <v/>
      </c>
      <c r="F115" s="37">
        <f>IF('Enrollment Census'!F115="","",TRIM('Enrollment Census'!F115&amp;""))</f>
        <v/>
      </c>
      <c r="G115" s="37">
        <f>IF('Enrollment Census'!G115="","",TRIM('Enrollment Census'!G115&amp;""))</f>
        <v/>
      </c>
      <c r="H115" s="37">
        <f>IF('Enrollment Census'!H115="","",TRIM('Enrollment Census'!H115&amp;""))</f>
        <v/>
      </c>
      <c r="I115" s="36">
        <f>IF('Enrollment Census'!I115="","",TRIM('Enrollment Census'!I115&amp;""))</f>
        <v/>
      </c>
      <c r="J115" s="36">
        <f>IF('Enrollment Census'!J115="","",TRIM('Enrollment Census'!J115&amp;""))</f>
        <v/>
      </c>
      <c r="K115" s="36">
        <f>IF('Enrollment Census'!K115="","",TRIM('Enrollment Census'!K115&amp;""))</f>
        <v/>
      </c>
      <c r="L115" s="38">
        <f>IF('Enrollment Census'!L115="","",'Enrollment Census'!L115)</f>
        <v/>
      </c>
      <c r="M115" s="36">
        <f>IF('Enrollment Census'!M115="","",TRIM('Enrollment Census'!M115&amp;""))</f>
        <v/>
      </c>
      <c r="N115" s="36">
        <f>IF('Enrollment Census'!N115="","",LOWER(TRIM('Enrollment Census'!N115&amp;"")))</f>
        <v/>
      </c>
      <c r="O115" s="36">
        <f>IF('Enrollment Census'!O115="","",TRIM('Enrollment Census'!O115&amp;""))</f>
        <v/>
      </c>
      <c r="P115" s="38">
        <f>IF('Enrollment Census'!P115="","",'Enrollment Census'!P115)</f>
        <v/>
      </c>
      <c r="Q115" s="38">
        <f>IF('Enrollment Census'!Q115="","",'Enrollment Census'!Q115)</f>
        <v/>
      </c>
      <c r="R115" s="36">
        <f>IF('Enrollment Census'!R115="","",TRIM('Enrollment Census'!R115&amp;""))</f>
        <v/>
      </c>
      <c r="S115" s="36">
        <f>IF('Enrollment Census'!S115="","",TRIM('Enrollment Census'!S115&amp;""))</f>
        <v/>
      </c>
      <c r="T115" s="36">
        <f>IF('Enrollment Census'!T115="","",TRIM('Enrollment Census'!T115&amp;""))</f>
        <v/>
      </c>
      <c r="U115" s="39">
        <f>IF('Enrollment Census'!U115="","",'Enrollment Census'!U115)</f>
        <v/>
      </c>
    </row>
    <row r="116">
      <c r="A116" s="36">
        <f>IF('Enrollment Census'!A116="","",TRIM('Enrollment Census'!A116&amp;""))</f>
        <v/>
      </c>
      <c r="B116" s="36">
        <f>IF('Enrollment Census'!B116="","",TRIM('Enrollment Census'!B116&amp;""))</f>
        <v/>
      </c>
      <c r="C116" s="37">
        <f>IF('Enrollment Census'!C116="","",TRIM('Enrollment Census'!C116&amp;""))</f>
        <v/>
      </c>
      <c r="D116" s="37">
        <f>IF('Enrollment Census'!D116="","",TRIM('Enrollment Census'!D116&amp;""))</f>
        <v/>
      </c>
      <c r="E116" s="36">
        <f>IF('Enrollment Census'!E116="","",TRIM('Enrollment Census'!E116&amp;""))</f>
        <v/>
      </c>
      <c r="F116" s="37">
        <f>IF('Enrollment Census'!F116="","",TRIM('Enrollment Census'!F116&amp;""))</f>
        <v/>
      </c>
      <c r="G116" s="37">
        <f>IF('Enrollment Census'!G116="","",TRIM('Enrollment Census'!G116&amp;""))</f>
        <v/>
      </c>
      <c r="H116" s="37">
        <f>IF('Enrollment Census'!H116="","",TRIM('Enrollment Census'!H116&amp;""))</f>
        <v/>
      </c>
      <c r="I116" s="36">
        <f>IF('Enrollment Census'!I116="","",TRIM('Enrollment Census'!I116&amp;""))</f>
        <v/>
      </c>
      <c r="J116" s="36">
        <f>IF('Enrollment Census'!J116="","",TRIM('Enrollment Census'!J116&amp;""))</f>
        <v/>
      </c>
      <c r="K116" s="36">
        <f>IF('Enrollment Census'!K116="","",TRIM('Enrollment Census'!K116&amp;""))</f>
        <v/>
      </c>
      <c r="L116" s="38">
        <f>IF('Enrollment Census'!L116="","",'Enrollment Census'!L116)</f>
        <v/>
      </c>
      <c r="M116" s="36">
        <f>IF('Enrollment Census'!M116="","",TRIM('Enrollment Census'!M116&amp;""))</f>
        <v/>
      </c>
      <c r="N116" s="36">
        <f>IF('Enrollment Census'!N116="","",LOWER(TRIM('Enrollment Census'!N116&amp;"")))</f>
        <v/>
      </c>
      <c r="O116" s="36">
        <f>IF('Enrollment Census'!O116="","",TRIM('Enrollment Census'!O116&amp;""))</f>
        <v/>
      </c>
      <c r="P116" s="38">
        <f>IF('Enrollment Census'!P116="","",'Enrollment Census'!P116)</f>
        <v/>
      </c>
      <c r="Q116" s="38">
        <f>IF('Enrollment Census'!Q116="","",'Enrollment Census'!Q116)</f>
        <v/>
      </c>
      <c r="R116" s="36">
        <f>IF('Enrollment Census'!R116="","",TRIM('Enrollment Census'!R116&amp;""))</f>
        <v/>
      </c>
      <c r="S116" s="36">
        <f>IF('Enrollment Census'!S116="","",TRIM('Enrollment Census'!S116&amp;""))</f>
        <v/>
      </c>
      <c r="T116" s="36">
        <f>IF('Enrollment Census'!T116="","",TRIM('Enrollment Census'!T116&amp;""))</f>
        <v/>
      </c>
      <c r="U116" s="39">
        <f>IF('Enrollment Census'!U116="","",'Enrollment Census'!U116)</f>
        <v/>
      </c>
    </row>
    <row r="117">
      <c r="A117" s="36">
        <f>IF('Enrollment Census'!A117="","",TRIM('Enrollment Census'!A117&amp;""))</f>
        <v/>
      </c>
      <c r="B117" s="36">
        <f>IF('Enrollment Census'!B117="","",TRIM('Enrollment Census'!B117&amp;""))</f>
        <v/>
      </c>
      <c r="C117" s="37">
        <f>IF('Enrollment Census'!C117="","",TRIM('Enrollment Census'!C117&amp;""))</f>
        <v/>
      </c>
      <c r="D117" s="37">
        <f>IF('Enrollment Census'!D117="","",TRIM('Enrollment Census'!D117&amp;""))</f>
        <v/>
      </c>
      <c r="E117" s="36">
        <f>IF('Enrollment Census'!E117="","",TRIM('Enrollment Census'!E117&amp;""))</f>
        <v/>
      </c>
      <c r="F117" s="37">
        <f>IF('Enrollment Census'!F117="","",TRIM('Enrollment Census'!F117&amp;""))</f>
        <v/>
      </c>
      <c r="G117" s="37">
        <f>IF('Enrollment Census'!G117="","",TRIM('Enrollment Census'!G117&amp;""))</f>
        <v/>
      </c>
      <c r="H117" s="37">
        <f>IF('Enrollment Census'!H117="","",TRIM('Enrollment Census'!H117&amp;""))</f>
        <v/>
      </c>
      <c r="I117" s="36">
        <f>IF('Enrollment Census'!I117="","",TRIM('Enrollment Census'!I117&amp;""))</f>
        <v/>
      </c>
      <c r="J117" s="36">
        <f>IF('Enrollment Census'!J117="","",TRIM('Enrollment Census'!J117&amp;""))</f>
        <v/>
      </c>
      <c r="K117" s="36">
        <f>IF('Enrollment Census'!K117="","",TRIM('Enrollment Census'!K117&amp;""))</f>
        <v/>
      </c>
      <c r="L117" s="38">
        <f>IF('Enrollment Census'!L117="","",'Enrollment Census'!L117)</f>
        <v/>
      </c>
      <c r="M117" s="36">
        <f>IF('Enrollment Census'!M117="","",TRIM('Enrollment Census'!M117&amp;""))</f>
        <v/>
      </c>
      <c r="N117" s="36">
        <f>IF('Enrollment Census'!N117="","",LOWER(TRIM('Enrollment Census'!N117&amp;"")))</f>
        <v/>
      </c>
      <c r="O117" s="36">
        <f>IF('Enrollment Census'!O117="","",TRIM('Enrollment Census'!O117&amp;""))</f>
        <v/>
      </c>
      <c r="P117" s="38">
        <f>IF('Enrollment Census'!P117="","",'Enrollment Census'!P117)</f>
        <v/>
      </c>
      <c r="Q117" s="38">
        <f>IF('Enrollment Census'!Q117="","",'Enrollment Census'!Q117)</f>
        <v/>
      </c>
      <c r="R117" s="36">
        <f>IF('Enrollment Census'!R117="","",TRIM('Enrollment Census'!R117&amp;""))</f>
        <v/>
      </c>
      <c r="S117" s="36">
        <f>IF('Enrollment Census'!S117="","",TRIM('Enrollment Census'!S117&amp;""))</f>
        <v/>
      </c>
      <c r="T117" s="36">
        <f>IF('Enrollment Census'!T117="","",TRIM('Enrollment Census'!T117&amp;""))</f>
        <v/>
      </c>
      <c r="U117" s="39">
        <f>IF('Enrollment Census'!U117="","",'Enrollment Census'!U117)</f>
        <v/>
      </c>
    </row>
    <row r="118">
      <c r="A118" s="36">
        <f>IF('Enrollment Census'!A118="","",TRIM('Enrollment Census'!A118&amp;""))</f>
        <v/>
      </c>
      <c r="B118" s="36">
        <f>IF('Enrollment Census'!B118="","",TRIM('Enrollment Census'!B118&amp;""))</f>
        <v/>
      </c>
      <c r="C118" s="37">
        <f>IF('Enrollment Census'!C118="","",TRIM('Enrollment Census'!C118&amp;""))</f>
        <v/>
      </c>
      <c r="D118" s="37">
        <f>IF('Enrollment Census'!D118="","",TRIM('Enrollment Census'!D118&amp;""))</f>
        <v/>
      </c>
      <c r="E118" s="36">
        <f>IF('Enrollment Census'!E118="","",TRIM('Enrollment Census'!E118&amp;""))</f>
        <v/>
      </c>
      <c r="F118" s="37">
        <f>IF('Enrollment Census'!F118="","",TRIM('Enrollment Census'!F118&amp;""))</f>
        <v/>
      </c>
      <c r="G118" s="37">
        <f>IF('Enrollment Census'!G118="","",TRIM('Enrollment Census'!G118&amp;""))</f>
        <v/>
      </c>
      <c r="H118" s="37">
        <f>IF('Enrollment Census'!H118="","",TRIM('Enrollment Census'!H118&amp;""))</f>
        <v/>
      </c>
      <c r="I118" s="36">
        <f>IF('Enrollment Census'!I118="","",TRIM('Enrollment Census'!I118&amp;""))</f>
        <v/>
      </c>
      <c r="J118" s="36">
        <f>IF('Enrollment Census'!J118="","",TRIM('Enrollment Census'!J118&amp;""))</f>
        <v/>
      </c>
      <c r="K118" s="36">
        <f>IF('Enrollment Census'!K118="","",TRIM('Enrollment Census'!K118&amp;""))</f>
        <v/>
      </c>
      <c r="L118" s="38">
        <f>IF('Enrollment Census'!L118="","",'Enrollment Census'!L118)</f>
        <v/>
      </c>
      <c r="M118" s="36">
        <f>IF('Enrollment Census'!M118="","",TRIM('Enrollment Census'!M118&amp;""))</f>
        <v/>
      </c>
      <c r="N118" s="36">
        <f>IF('Enrollment Census'!N118="","",LOWER(TRIM('Enrollment Census'!N118&amp;"")))</f>
        <v/>
      </c>
      <c r="O118" s="36">
        <f>IF('Enrollment Census'!O118="","",TRIM('Enrollment Census'!O118&amp;""))</f>
        <v/>
      </c>
      <c r="P118" s="38">
        <f>IF('Enrollment Census'!P118="","",'Enrollment Census'!P118)</f>
        <v/>
      </c>
      <c r="Q118" s="38">
        <f>IF('Enrollment Census'!Q118="","",'Enrollment Census'!Q118)</f>
        <v/>
      </c>
      <c r="R118" s="36">
        <f>IF('Enrollment Census'!R118="","",TRIM('Enrollment Census'!R118&amp;""))</f>
        <v/>
      </c>
      <c r="S118" s="36">
        <f>IF('Enrollment Census'!S118="","",TRIM('Enrollment Census'!S118&amp;""))</f>
        <v/>
      </c>
      <c r="T118" s="36">
        <f>IF('Enrollment Census'!T118="","",TRIM('Enrollment Census'!T118&amp;""))</f>
        <v/>
      </c>
      <c r="U118" s="39">
        <f>IF('Enrollment Census'!U118="","",'Enrollment Census'!U118)</f>
        <v/>
      </c>
    </row>
    <row r="119">
      <c r="A119" s="36">
        <f>IF('Enrollment Census'!A119="","",TRIM('Enrollment Census'!A119&amp;""))</f>
        <v/>
      </c>
      <c r="B119" s="36">
        <f>IF('Enrollment Census'!B119="","",TRIM('Enrollment Census'!B119&amp;""))</f>
        <v/>
      </c>
      <c r="C119" s="37">
        <f>IF('Enrollment Census'!C119="","",TRIM('Enrollment Census'!C119&amp;""))</f>
        <v/>
      </c>
      <c r="D119" s="37">
        <f>IF('Enrollment Census'!D119="","",TRIM('Enrollment Census'!D119&amp;""))</f>
        <v/>
      </c>
      <c r="E119" s="36">
        <f>IF('Enrollment Census'!E119="","",TRIM('Enrollment Census'!E119&amp;""))</f>
        <v/>
      </c>
      <c r="F119" s="37">
        <f>IF('Enrollment Census'!F119="","",TRIM('Enrollment Census'!F119&amp;""))</f>
        <v/>
      </c>
      <c r="G119" s="37">
        <f>IF('Enrollment Census'!G119="","",TRIM('Enrollment Census'!G119&amp;""))</f>
        <v/>
      </c>
      <c r="H119" s="37">
        <f>IF('Enrollment Census'!H119="","",TRIM('Enrollment Census'!H119&amp;""))</f>
        <v/>
      </c>
      <c r="I119" s="36">
        <f>IF('Enrollment Census'!I119="","",TRIM('Enrollment Census'!I119&amp;""))</f>
        <v/>
      </c>
      <c r="J119" s="36">
        <f>IF('Enrollment Census'!J119="","",TRIM('Enrollment Census'!J119&amp;""))</f>
        <v/>
      </c>
      <c r="K119" s="36">
        <f>IF('Enrollment Census'!K119="","",TRIM('Enrollment Census'!K119&amp;""))</f>
        <v/>
      </c>
      <c r="L119" s="38">
        <f>IF('Enrollment Census'!L119="","",'Enrollment Census'!L119)</f>
        <v/>
      </c>
      <c r="M119" s="36">
        <f>IF('Enrollment Census'!M119="","",TRIM('Enrollment Census'!M119&amp;""))</f>
        <v/>
      </c>
      <c r="N119" s="36">
        <f>IF('Enrollment Census'!N119="","",LOWER(TRIM('Enrollment Census'!N119&amp;"")))</f>
        <v/>
      </c>
      <c r="O119" s="36">
        <f>IF('Enrollment Census'!O119="","",TRIM('Enrollment Census'!O119&amp;""))</f>
        <v/>
      </c>
      <c r="P119" s="38">
        <f>IF('Enrollment Census'!P119="","",'Enrollment Census'!P119)</f>
        <v/>
      </c>
      <c r="Q119" s="38">
        <f>IF('Enrollment Census'!Q119="","",'Enrollment Census'!Q119)</f>
        <v/>
      </c>
      <c r="R119" s="36">
        <f>IF('Enrollment Census'!R119="","",TRIM('Enrollment Census'!R119&amp;""))</f>
        <v/>
      </c>
      <c r="S119" s="36">
        <f>IF('Enrollment Census'!S119="","",TRIM('Enrollment Census'!S119&amp;""))</f>
        <v/>
      </c>
      <c r="T119" s="36">
        <f>IF('Enrollment Census'!T119="","",TRIM('Enrollment Census'!T119&amp;""))</f>
        <v/>
      </c>
      <c r="U119" s="39">
        <f>IF('Enrollment Census'!U119="","",'Enrollment Census'!U119)</f>
        <v/>
      </c>
    </row>
    <row r="120">
      <c r="A120" s="36">
        <f>IF('Enrollment Census'!A120="","",TRIM('Enrollment Census'!A120&amp;""))</f>
        <v/>
      </c>
      <c r="B120" s="36">
        <f>IF('Enrollment Census'!B120="","",TRIM('Enrollment Census'!B120&amp;""))</f>
        <v/>
      </c>
      <c r="C120" s="37">
        <f>IF('Enrollment Census'!C120="","",TRIM('Enrollment Census'!C120&amp;""))</f>
        <v/>
      </c>
      <c r="D120" s="37">
        <f>IF('Enrollment Census'!D120="","",TRIM('Enrollment Census'!D120&amp;""))</f>
        <v/>
      </c>
      <c r="E120" s="36">
        <f>IF('Enrollment Census'!E120="","",TRIM('Enrollment Census'!E120&amp;""))</f>
        <v/>
      </c>
      <c r="F120" s="37">
        <f>IF('Enrollment Census'!F120="","",TRIM('Enrollment Census'!F120&amp;""))</f>
        <v/>
      </c>
      <c r="G120" s="37">
        <f>IF('Enrollment Census'!G120="","",TRIM('Enrollment Census'!G120&amp;""))</f>
        <v/>
      </c>
      <c r="H120" s="37">
        <f>IF('Enrollment Census'!H120="","",TRIM('Enrollment Census'!H120&amp;""))</f>
        <v/>
      </c>
      <c r="I120" s="36">
        <f>IF('Enrollment Census'!I120="","",TRIM('Enrollment Census'!I120&amp;""))</f>
        <v/>
      </c>
      <c r="J120" s="36">
        <f>IF('Enrollment Census'!J120="","",TRIM('Enrollment Census'!J120&amp;""))</f>
        <v/>
      </c>
      <c r="K120" s="36">
        <f>IF('Enrollment Census'!K120="","",TRIM('Enrollment Census'!K120&amp;""))</f>
        <v/>
      </c>
      <c r="L120" s="38">
        <f>IF('Enrollment Census'!L120="","",'Enrollment Census'!L120)</f>
        <v/>
      </c>
      <c r="M120" s="36">
        <f>IF('Enrollment Census'!M120="","",TRIM('Enrollment Census'!M120&amp;""))</f>
        <v/>
      </c>
      <c r="N120" s="36">
        <f>IF('Enrollment Census'!N120="","",LOWER(TRIM('Enrollment Census'!N120&amp;"")))</f>
        <v/>
      </c>
      <c r="O120" s="36">
        <f>IF('Enrollment Census'!O120="","",TRIM('Enrollment Census'!O120&amp;""))</f>
        <v/>
      </c>
      <c r="P120" s="38">
        <f>IF('Enrollment Census'!P120="","",'Enrollment Census'!P120)</f>
        <v/>
      </c>
      <c r="Q120" s="38">
        <f>IF('Enrollment Census'!Q120="","",'Enrollment Census'!Q120)</f>
        <v/>
      </c>
      <c r="R120" s="36">
        <f>IF('Enrollment Census'!R120="","",TRIM('Enrollment Census'!R120&amp;""))</f>
        <v/>
      </c>
      <c r="S120" s="36">
        <f>IF('Enrollment Census'!S120="","",TRIM('Enrollment Census'!S120&amp;""))</f>
        <v/>
      </c>
      <c r="T120" s="36">
        <f>IF('Enrollment Census'!T120="","",TRIM('Enrollment Census'!T120&amp;""))</f>
        <v/>
      </c>
      <c r="U120" s="39">
        <f>IF('Enrollment Census'!U120="","",'Enrollment Census'!U120)</f>
        <v/>
      </c>
    </row>
    <row r="121">
      <c r="A121" s="36">
        <f>IF('Enrollment Census'!A121="","",TRIM('Enrollment Census'!A121&amp;""))</f>
        <v/>
      </c>
      <c r="B121" s="36">
        <f>IF('Enrollment Census'!B121="","",TRIM('Enrollment Census'!B121&amp;""))</f>
        <v/>
      </c>
      <c r="C121" s="37">
        <f>IF('Enrollment Census'!C121="","",TRIM('Enrollment Census'!C121&amp;""))</f>
        <v/>
      </c>
      <c r="D121" s="37">
        <f>IF('Enrollment Census'!D121="","",TRIM('Enrollment Census'!D121&amp;""))</f>
        <v/>
      </c>
      <c r="E121" s="36">
        <f>IF('Enrollment Census'!E121="","",TRIM('Enrollment Census'!E121&amp;""))</f>
        <v/>
      </c>
      <c r="F121" s="37">
        <f>IF('Enrollment Census'!F121="","",TRIM('Enrollment Census'!F121&amp;""))</f>
        <v/>
      </c>
      <c r="G121" s="37">
        <f>IF('Enrollment Census'!G121="","",TRIM('Enrollment Census'!G121&amp;""))</f>
        <v/>
      </c>
      <c r="H121" s="37">
        <f>IF('Enrollment Census'!H121="","",TRIM('Enrollment Census'!H121&amp;""))</f>
        <v/>
      </c>
      <c r="I121" s="36">
        <f>IF('Enrollment Census'!I121="","",TRIM('Enrollment Census'!I121&amp;""))</f>
        <v/>
      </c>
      <c r="J121" s="36">
        <f>IF('Enrollment Census'!J121="","",TRIM('Enrollment Census'!J121&amp;""))</f>
        <v/>
      </c>
      <c r="K121" s="36">
        <f>IF('Enrollment Census'!K121="","",TRIM('Enrollment Census'!K121&amp;""))</f>
        <v/>
      </c>
      <c r="L121" s="38">
        <f>IF('Enrollment Census'!L121="","",'Enrollment Census'!L121)</f>
        <v/>
      </c>
      <c r="M121" s="36">
        <f>IF('Enrollment Census'!M121="","",TRIM('Enrollment Census'!M121&amp;""))</f>
        <v/>
      </c>
      <c r="N121" s="36">
        <f>IF('Enrollment Census'!N121="","",LOWER(TRIM('Enrollment Census'!N121&amp;"")))</f>
        <v/>
      </c>
      <c r="O121" s="36">
        <f>IF('Enrollment Census'!O121="","",TRIM('Enrollment Census'!O121&amp;""))</f>
        <v/>
      </c>
      <c r="P121" s="38">
        <f>IF('Enrollment Census'!P121="","",'Enrollment Census'!P121)</f>
        <v/>
      </c>
      <c r="Q121" s="38">
        <f>IF('Enrollment Census'!Q121="","",'Enrollment Census'!Q121)</f>
        <v/>
      </c>
      <c r="R121" s="36">
        <f>IF('Enrollment Census'!R121="","",TRIM('Enrollment Census'!R121&amp;""))</f>
        <v/>
      </c>
      <c r="S121" s="36">
        <f>IF('Enrollment Census'!S121="","",TRIM('Enrollment Census'!S121&amp;""))</f>
        <v/>
      </c>
      <c r="T121" s="36">
        <f>IF('Enrollment Census'!T121="","",TRIM('Enrollment Census'!T121&amp;""))</f>
        <v/>
      </c>
      <c r="U121" s="39">
        <f>IF('Enrollment Census'!U121="","",'Enrollment Census'!U121)</f>
        <v/>
      </c>
    </row>
    <row r="122">
      <c r="A122" s="36">
        <f>IF('Enrollment Census'!A122="","",TRIM('Enrollment Census'!A122&amp;""))</f>
        <v/>
      </c>
      <c r="B122" s="36">
        <f>IF('Enrollment Census'!B122="","",TRIM('Enrollment Census'!B122&amp;""))</f>
        <v/>
      </c>
      <c r="C122" s="37">
        <f>IF('Enrollment Census'!C122="","",TRIM('Enrollment Census'!C122&amp;""))</f>
        <v/>
      </c>
      <c r="D122" s="37">
        <f>IF('Enrollment Census'!D122="","",TRIM('Enrollment Census'!D122&amp;""))</f>
        <v/>
      </c>
      <c r="E122" s="36">
        <f>IF('Enrollment Census'!E122="","",TRIM('Enrollment Census'!E122&amp;""))</f>
        <v/>
      </c>
      <c r="F122" s="37">
        <f>IF('Enrollment Census'!F122="","",TRIM('Enrollment Census'!F122&amp;""))</f>
        <v/>
      </c>
      <c r="G122" s="37">
        <f>IF('Enrollment Census'!G122="","",TRIM('Enrollment Census'!G122&amp;""))</f>
        <v/>
      </c>
      <c r="H122" s="37">
        <f>IF('Enrollment Census'!H122="","",TRIM('Enrollment Census'!H122&amp;""))</f>
        <v/>
      </c>
      <c r="I122" s="36">
        <f>IF('Enrollment Census'!I122="","",TRIM('Enrollment Census'!I122&amp;""))</f>
        <v/>
      </c>
      <c r="J122" s="36">
        <f>IF('Enrollment Census'!J122="","",TRIM('Enrollment Census'!J122&amp;""))</f>
        <v/>
      </c>
      <c r="K122" s="36">
        <f>IF('Enrollment Census'!K122="","",TRIM('Enrollment Census'!K122&amp;""))</f>
        <v/>
      </c>
      <c r="L122" s="38">
        <f>IF('Enrollment Census'!L122="","",'Enrollment Census'!L122)</f>
        <v/>
      </c>
      <c r="M122" s="36">
        <f>IF('Enrollment Census'!M122="","",TRIM('Enrollment Census'!M122&amp;""))</f>
        <v/>
      </c>
      <c r="N122" s="36">
        <f>IF('Enrollment Census'!N122="","",LOWER(TRIM('Enrollment Census'!N122&amp;"")))</f>
        <v/>
      </c>
      <c r="O122" s="36">
        <f>IF('Enrollment Census'!O122="","",TRIM('Enrollment Census'!O122&amp;""))</f>
        <v/>
      </c>
      <c r="P122" s="38">
        <f>IF('Enrollment Census'!P122="","",'Enrollment Census'!P122)</f>
        <v/>
      </c>
      <c r="Q122" s="38">
        <f>IF('Enrollment Census'!Q122="","",'Enrollment Census'!Q122)</f>
        <v/>
      </c>
      <c r="R122" s="36">
        <f>IF('Enrollment Census'!R122="","",TRIM('Enrollment Census'!R122&amp;""))</f>
        <v/>
      </c>
      <c r="S122" s="36">
        <f>IF('Enrollment Census'!S122="","",TRIM('Enrollment Census'!S122&amp;""))</f>
        <v/>
      </c>
      <c r="T122" s="36">
        <f>IF('Enrollment Census'!T122="","",TRIM('Enrollment Census'!T122&amp;""))</f>
        <v/>
      </c>
      <c r="U122" s="39">
        <f>IF('Enrollment Census'!U122="","",'Enrollment Census'!U122)</f>
        <v/>
      </c>
    </row>
    <row r="123">
      <c r="A123" s="36">
        <f>IF('Enrollment Census'!A123="","",TRIM('Enrollment Census'!A123&amp;""))</f>
        <v/>
      </c>
      <c r="B123" s="36">
        <f>IF('Enrollment Census'!B123="","",TRIM('Enrollment Census'!B123&amp;""))</f>
        <v/>
      </c>
      <c r="C123" s="37">
        <f>IF('Enrollment Census'!C123="","",TRIM('Enrollment Census'!C123&amp;""))</f>
        <v/>
      </c>
      <c r="D123" s="37">
        <f>IF('Enrollment Census'!D123="","",TRIM('Enrollment Census'!D123&amp;""))</f>
        <v/>
      </c>
      <c r="E123" s="36">
        <f>IF('Enrollment Census'!E123="","",TRIM('Enrollment Census'!E123&amp;""))</f>
        <v/>
      </c>
      <c r="F123" s="37">
        <f>IF('Enrollment Census'!F123="","",TRIM('Enrollment Census'!F123&amp;""))</f>
        <v/>
      </c>
      <c r="G123" s="37">
        <f>IF('Enrollment Census'!G123="","",TRIM('Enrollment Census'!G123&amp;""))</f>
        <v/>
      </c>
      <c r="H123" s="37">
        <f>IF('Enrollment Census'!H123="","",TRIM('Enrollment Census'!H123&amp;""))</f>
        <v/>
      </c>
      <c r="I123" s="36">
        <f>IF('Enrollment Census'!I123="","",TRIM('Enrollment Census'!I123&amp;""))</f>
        <v/>
      </c>
      <c r="J123" s="36">
        <f>IF('Enrollment Census'!J123="","",TRIM('Enrollment Census'!J123&amp;""))</f>
        <v/>
      </c>
      <c r="K123" s="36">
        <f>IF('Enrollment Census'!K123="","",TRIM('Enrollment Census'!K123&amp;""))</f>
        <v/>
      </c>
      <c r="L123" s="38">
        <f>IF('Enrollment Census'!L123="","",'Enrollment Census'!L123)</f>
        <v/>
      </c>
      <c r="M123" s="36">
        <f>IF('Enrollment Census'!M123="","",TRIM('Enrollment Census'!M123&amp;""))</f>
        <v/>
      </c>
      <c r="N123" s="36">
        <f>IF('Enrollment Census'!N123="","",LOWER(TRIM('Enrollment Census'!N123&amp;"")))</f>
        <v/>
      </c>
      <c r="O123" s="36">
        <f>IF('Enrollment Census'!O123="","",TRIM('Enrollment Census'!O123&amp;""))</f>
        <v/>
      </c>
      <c r="P123" s="38">
        <f>IF('Enrollment Census'!P123="","",'Enrollment Census'!P123)</f>
        <v/>
      </c>
      <c r="Q123" s="38">
        <f>IF('Enrollment Census'!Q123="","",'Enrollment Census'!Q123)</f>
        <v/>
      </c>
      <c r="R123" s="36">
        <f>IF('Enrollment Census'!R123="","",TRIM('Enrollment Census'!R123&amp;""))</f>
        <v/>
      </c>
      <c r="S123" s="36">
        <f>IF('Enrollment Census'!S123="","",TRIM('Enrollment Census'!S123&amp;""))</f>
        <v/>
      </c>
      <c r="T123" s="36">
        <f>IF('Enrollment Census'!T123="","",TRIM('Enrollment Census'!T123&amp;""))</f>
        <v/>
      </c>
      <c r="U123" s="39">
        <f>IF('Enrollment Census'!U123="","",'Enrollment Census'!U123)</f>
        <v/>
      </c>
    </row>
    <row r="124">
      <c r="A124" s="36">
        <f>IF('Enrollment Census'!A124="","",TRIM('Enrollment Census'!A124&amp;""))</f>
        <v/>
      </c>
      <c r="B124" s="36">
        <f>IF('Enrollment Census'!B124="","",TRIM('Enrollment Census'!B124&amp;""))</f>
        <v/>
      </c>
      <c r="C124" s="37">
        <f>IF('Enrollment Census'!C124="","",TRIM('Enrollment Census'!C124&amp;""))</f>
        <v/>
      </c>
      <c r="D124" s="37">
        <f>IF('Enrollment Census'!D124="","",TRIM('Enrollment Census'!D124&amp;""))</f>
        <v/>
      </c>
      <c r="E124" s="36">
        <f>IF('Enrollment Census'!E124="","",TRIM('Enrollment Census'!E124&amp;""))</f>
        <v/>
      </c>
      <c r="F124" s="37">
        <f>IF('Enrollment Census'!F124="","",TRIM('Enrollment Census'!F124&amp;""))</f>
        <v/>
      </c>
      <c r="G124" s="37">
        <f>IF('Enrollment Census'!G124="","",TRIM('Enrollment Census'!G124&amp;""))</f>
        <v/>
      </c>
      <c r="H124" s="37">
        <f>IF('Enrollment Census'!H124="","",TRIM('Enrollment Census'!H124&amp;""))</f>
        <v/>
      </c>
      <c r="I124" s="36">
        <f>IF('Enrollment Census'!I124="","",TRIM('Enrollment Census'!I124&amp;""))</f>
        <v/>
      </c>
      <c r="J124" s="36">
        <f>IF('Enrollment Census'!J124="","",TRIM('Enrollment Census'!J124&amp;""))</f>
        <v/>
      </c>
      <c r="K124" s="36">
        <f>IF('Enrollment Census'!K124="","",TRIM('Enrollment Census'!K124&amp;""))</f>
        <v/>
      </c>
      <c r="L124" s="38">
        <f>IF('Enrollment Census'!L124="","",'Enrollment Census'!L124)</f>
        <v/>
      </c>
      <c r="M124" s="36">
        <f>IF('Enrollment Census'!M124="","",TRIM('Enrollment Census'!M124&amp;""))</f>
        <v/>
      </c>
      <c r="N124" s="36">
        <f>IF('Enrollment Census'!N124="","",LOWER(TRIM('Enrollment Census'!N124&amp;"")))</f>
        <v/>
      </c>
      <c r="O124" s="36">
        <f>IF('Enrollment Census'!O124="","",TRIM('Enrollment Census'!O124&amp;""))</f>
        <v/>
      </c>
      <c r="P124" s="38">
        <f>IF('Enrollment Census'!P124="","",'Enrollment Census'!P124)</f>
        <v/>
      </c>
      <c r="Q124" s="38">
        <f>IF('Enrollment Census'!Q124="","",'Enrollment Census'!Q124)</f>
        <v/>
      </c>
      <c r="R124" s="36">
        <f>IF('Enrollment Census'!R124="","",TRIM('Enrollment Census'!R124&amp;""))</f>
        <v/>
      </c>
      <c r="S124" s="36">
        <f>IF('Enrollment Census'!S124="","",TRIM('Enrollment Census'!S124&amp;""))</f>
        <v/>
      </c>
      <c r="T124" s="36">
        <f>IF('Enrollment Census'!T124="","",TRIM('Enrollment Census'!T124&amp;""))</f>
        <v/>
      </c>
      <c r="U124" s="39">
        <f>IF('Enrollment Census'!U124="","",'Enrollment Census'!U124)</f>
        <v/>
      </c>
    </row>
    <row r="125">
      <c r="A125" s="36">
        <f>IF('Enrollment Census'!A125="","",TRIM('Enrollment Census'!A125&amp;""))</f>
        <v/>
      </c>
      <c r="B125" s="36">
        <f>IF('Enrollment Census'!B125="","",TRIM('Enrollment Census'!B125&amp;""))</f>
        <v/>
      </c>
      <c r="C125" s="37">
        <f>IF('Enrollment Census'!C125="","",TRIM('Enrollment Census'!C125&amp;""))</f>
        <v/>
      </c>
      <c r="D125" s="37">
        <f>IF('Enrollment Census'!D125="","",TRIM('Enrollment Census'!D125&amp;""))</f>
        <v/>
      </c>
      <c r="E125" s="36">
        <f>IF('Enrollment Census'!E125="","",TRIM('Enrollment Census'!E125&amp;""))</f>
        <v/>
      </c>
      <c r="F125" s="37">
        <f>IF('Enrollment Census'!F125="","",TRIM('Enrollment Census'!F125&amp;""))</f>
        <v/>
      </c>
      <c r="G125" s="37">
        <f>IF('Enrollment Census'!G125="","",TRIM('Enrollment Census'!G125&amp;""))</f>
        <v/>
      </c>
      <c r="H125" s="37">
        <f>IF('Enrollment Census'!H125="","",TRIM('Enrollment Census'!H125&amp;""))</f>
        <v/>
      </c>
      <c r="I125" s="36">
        <f>IF('Enrollment Census'!I125="","",TRIM('Enrollment Census'!I125&amp;""))</f>
        <v/>
      </c>
      <c r="J125" s="36">
        <f>IF('Enrollment Census'!J125="","",TRIM('Enrollment Census'!J125&amp;""))</f>
        <v/>
      </c>
      <c r="K125" s="36">
        <f>IF('Enrollment Census'!K125="","",TRIM('Enrollment Census'!K125&amp;""))</f>
        <v/>
      </c>
      <c r="L125" s="38">
        <f>IF('Enrollment Census'!L125="","",'Enrollment Census'!L125)</f>
        <v/>
      </c>
      <c r="M125" s="36">
        <f>IF('Enrollment Census'!M125="","",TRIM('Enrollment Census'!M125&amp;""))</f>
        <v/>
      </c>
      <c r="N125" s="36">
        <f>IF('Enrollment Census'!N125="","",LOWER(TRIM('Enrollment Census'!N125&amp;"")))</f>
        <v/>
      </c>
      <c r="O125" s="36">
        <f>IF('Enrollment Census'!O125="","",TRIM('Enrollment Census'!O125&amp;""))</f>
        <v/>
      </c>
      <c r="P125" s="38">
        <f>IF('Enrollment Census'!P125="","",'Enrollment Census'!P125)</f>
        <v/>
      </c>
      <c r="Q125" s="38">
        <f>IF('Enrollment Census'!Q125="","",'Enrollment Census'!Q125)</f>
        <v/>
      </c>
      <c r="R125" s="36">
        <f>IF('Enrollment Census'!R125="","",TRIM('Enrollment Census'!R125&amp;""))</f>
        <v/>
      </c>
      <c r="S125" s="36">
        <f>IF('Enrollment Census'!S125="","",TRIM('Enrollment Census'!S125&amp;""))</f>
        <v/>
      </c>
      <c r="T125" s="36">
        <f>IF('Enrollment Census'!T125="","",TRIM('Enrollment Census'!T125&amp;""))</f>
        <v/>
      </c>
      <c r="U125" s="39">
        <f>IF('Enrollment Census'!U125="","",'Enrollment Census'!U125)</f>
        <v/>
      </c>
    </row>
    <row r="126">
      <c r="A126" s="36">
        <f>IF('Enrollment Census'!A126="","",TRIM('Enrollment Census'!A126&amp;""))</f>
        <v/>
      </c>
      <c r="B126" s="36">
        <f>IF('Enrollment Census'!B126="","",TRIM('Enrollment Census'!B126&amp;""))</f>
        <v/>
      </c>
      <c r="C126" s="37">
        <f>IF('Enrollment Census'!C126="","",TRIM('Enrollment Census'!C126&amp;""))</f>
        <v/>
      </c>
      <c r="D126" s="37">
        <f>IF('Enrollment Census'!D126="","",TRIM('Enrollment Census'!D126&amp;""))</f>
        <v/>
      </c>
      <c r="E126" s="36">
        <f>IF('Enrollment Census'!E126="","",TRIM('Enrollment Census'!E126&amp;""))</f>
        <v/>
      </c>
      <c r="F126" s="37">
        <f>IF('Enrollment Census'!F126="","",TRIM('Enrollment Census'!F126&amp;""))</f>
        <v/>
      </c>
      <c r="G126" s="37">
        <f>IF('Enrollment Census'!G126="","",TRIM('Enrollment Census'!G126&amp;""))</f>
        <v/>
      </c>
      <c r="H126" s="37">
        <f>IF('Enrollment Census'!H126="","",TRIM('Enrollment Census'!H126&amp;""))</f>
        <v/>
      </c>
      <c r="I126" s="36">
        <f>IF('Enrollment Census'!I126="","",TRIM('Enrollment Census'!I126&amp;""))</f>
        <v/>
      </c>
      <c r="J126" s="36">
        <f>IF('Enrollment Census'!J126="","",TRIM('Enrollment Census'!J126&amp;""))</f>
        <v/>
      </c>
      <c r="K126" s="36">
        <f>IF('Enrollment Census'!K126="","",TRIM('Enrollment Census'!K126&amp;""))</f>
        <v/>
      </c>
      <c r="L126" s="38">
        <f>IF('Enrollment Census'!L126="","",'Enrollment Census'!L126)</f>
        <v/>
      </c>
      <c r="M126" s="36">
        <f>IF('Enrollment Census'!M126="","",TRIM('Enrollment Census'!M126&amp;""))</f>
        <v/>
      </c>
      <c r="N126" s="36">
        <f>IF('Enrollment Census'!N126="","",LOWER(TRIM('Enrollment Census'!N126&amp;"")))</f>
        <v/>
      </c>
      <c r="O126" s="36">
        <f>IF('Enrollment Census'!O126="","",TRIM('Enrollment Census'!O126&amp;""))</f>
        <v/>
      </c>
      <c r="P126" s="38">
        <f>IF('Enrollment Census'!P126="","",'Enrollment Census'!P126)</f>
        <v/>
      </c>
      <c r="Q126" s="38">
        <f>IF('Enrollment Census'!Q126="","",'Enrollment Census'!Q126)</f>
        <v/>
      </c>
      <c r="R126" s="36">
        <f>IF('Enrollment Census'!R126="","",TRIM('Enrollment Census'!R126&amp;""))</f>
        <v/>
      </c>
      <c r="S126" s="36">
        <f>IF('Enrollment Census'!S126="","",TRIM('Enrollment Census'!S126&amp;""))</f>
        <v/>
      </c>
      <c r="T126" s="36">
        <f>IF('Enrollment Census'!T126="","",TRIM('Enrollment Census'!T126&amp;""))</f>
        <v/>
      </c>
      <c r="U126" s="39">
        <f>IF('Enrollment Census'!U126="","",'Enrollment Census'!U126)</f>
        <v/>
      </c>
    </row>
    <row r="127">
      <c r="A127" s="36">
        <f>IF('Enrollment Census'!A127="","",TRIM('Enrollment Census'!A127&amp;""))</f>
        <v/>
      </c>
      <c r="B127" s="36">
        <f>IF('Enrollment Census'!B127="","",TRIM('Enrollment Census'!B127&amp;""))</f>
        <v/>
      </c>
      <c r="C127" s="37">
        <f>IF('Enrollment Census'!C127="","",TRIM('Enrollment Census'!C127&amp;""))</f>
        <v/>
      </c>
      <c r="D127" s="37">
        <f>IF('Enrollment Census'!D127="","",TRIM('Enrollment Census'!D127&amp;""))</f>
        <v/>
      </c>
      <c r="E127" s="36">
        <f>IF('Enrollment Census'!E127="","",TRIM('Enrollment Census'!E127&amp;""))</f>
        <v/>
      </c>
      <c r="F127" s="37">
        <f>IF('Enrollment Census'!F127="","",TRIM('Enrollment Census'!F127&amp;""))</f>
        <v/>
      </c>
      <c r="G127" s="37">
        <f>IF('Enrollment Census'!G127="","",TRIM('Enrollment Census'!G127&amp;""))</f>
        <v/>
      </c>
      <c r="H127" s="37">
        <f>IF('Enrollment Census'!H127="","",TRIM('Enrollment Census'!H127&amp;""))</f>
        <v/>
      </c>
      <c r="I127" s="36">
        <f>IF('Enrollment Census'!I127="","",TRIM('Enrollment Census'!I127&amp;""))</f>
        <v/>
      </c>
      <c r="J127" s="36">
        <f>IF('Enrollment Census'!J127="","",TRIM('Enrollment Census'!J127&amp;""))</f>
        <v/>
      </c>
      <c r="K127" s="36">
        <f>IF('Enrollment Census'!K127="","",TRIM('Enrollment Census'!K127&amp;""))</f>
        <v/>
      </c>
      <c r="L127" s="38">
        <f>IF('Enrollment Census'!L127="","",'Enrollment Census'!L127)</f>
        <v/>
      </c>
      <c r="M127" s="36">
        <f>IF('Enrollment Census'!M127="","",TRIM('Enrollment Census'!M127&amp;""))</f>
        <v/>
      </c>
      <c r="N127" s="36">
        <f>IF('Enrollment Census'!N127="","",LOWER(TRIM('Enrollment Census'!N127&amp;"")))</f>
        <v/>
      </c>
      <c r="O127" s="36">
        <f>IF('Enrollment Census'!O127="","",TRIM('Enrollment Census'!O127&amp;""))</f>
        <v/>
      </c>
      <c r="P127" s="38">
        <f>IF('Enrollment Census'!P127="","",'Enrollment Census'!P127)</f>
        <v/>
      </c>
      <c r="Q127" s="38">
        <f>IF('Enrollment Census'!Q127="","",'Enrollment Census'!Q127)</f>
        <v/>
      </c>
      <c r="R127" s="36">
        <f>IF('Enrollment Census'!R127="","",TRIM('Enrollment Census'!R127&amp;""))</f>
        <v/>
      </c>
      <c r="S127" s="36">
        <f>IF('Enrollment Census'!S127="","",TRIM('Enrollment Census'!S127&amp;""))</f>
        <v/>
      </c>
      <c r="T127" s="36">
        <f>IF('Enrollment Census'!T127="","",TRIM('Enrollment Census'!T127&amp;""))</f>
        <v/>
      </c>
      <c r="U127" s="39">
        <f>IF('Enrollment Census'!U127="","",'Enrollment Census'!U127)</f>
        <v/>
      </c>
    </row>
    <row r="128">
      <c r="A128" s="36">
        <f>IF('Enrollment Census'!A128="","",TRIM('Enrollment Census'!A128&amp;""))</f>
        <v/>
      </c>
      <c r="B128" s="36">
        <f>IF('Enrollment Census'!B128="","",TRIM('Enrollment Census'!B128&amp;""))</f>
        <v/>
      </c>
      <c r="C128" s="37">
        <f>IF('Enrollment Census'!C128="","",TRIM('Enrollment Census'!C128&amp;""))</f>
        <v/>
      </c>
      <c r="D128" s="37">
        <f>IF('Enrollment Census'!D128="","",TRIM('Enrollment Census'!D128&amp;""))</f>
        <v/>
      </c>
      <c r="E128" s="36">
        <f>IF('Enrollment Census'!E128="","",TRIM('Enrollment Census'!E128&amp;""))</f>
        <v/>
      </c>
      <c r="F128" s="37">
        <f>IF('Enrollment Census'!F128="","",TRIM('Enrollment Census'!F128&amp;""))</f>
        <v/>
      </c>
      <c r="G128" s="37">
        <f>IF('Enrollment Census'!G128="","",TRIM('Enrollment Census'!G128&amp;""))</f>
        <v/>
      </c>
      <c r="H128" s="37">
        <f>IF('Enrollment Census'!H128="","",TRIM('Enrollment Census'!H128&amp;""))</f>
        <v/>
      </c>
      <c r="I128" s="36">
        <f>IF('Enrollment Census'!I128="","",TRIM('Enrollment Census'!I128&amp;""))</f>
        <v/>
      </c>
      <c r="J128" s="36">
        <f>IF('Enrollment Census'!J128="","",TRIM('Enrollment Census'!J128&amp;""))</f>
        <v/>
      </c>
      <c r="K128" s="36">
        <f>IF('Enrollment Census'!K128="","",TRIM('Enrollment Census'!K128&amp;""))</f>
        <v/>
      </c>
      <c r="L128" s="38">
        <f>IF('Enrollment Census'!L128="","",'Enrollment Census'!L128)</f>
        <v/>
      </c>
      <c r="M128" s="36">
        <f>IF('Enrollment Census'!M128="","",TRIM('Enrollment Census'!M128&amp;""))</f>
        <v/>
      </c>
      <c r="N128" s="36">
        <f>IF('Enrollment Census'!N128="","",LOWER(TRIM('Enrollment Census'!N128&amp;"")))</f>
        <v/>
      </c>
      <c r="O128" s="36">
        <f>IF('Enrollment Census'!O128="","",TRIM('Enrollment Census'!O128&amp;""))</f>
        <v/>
      </c>
      <c r="P128" s="38">
        <f>IF('Enrollment Census'!P128="","",'Enrollment Census'!P128)</f>
        <v/>
      </c>
      <c r="Q128" s="38">
        <f>IF('Enrollment Census'!Q128="","",'Enrollment Census'!Q128)</f>
        <v/>
      </c>
      <c r="R128" s="36">
        <f>IF('Enrollment Census'!R128="","",TRIM('Enrollment Census'!R128&amp;""))</f>
        <v/>
      </c>
      <c r="S128" s="36">
        <f>IF('Enrollment Census'!S128="","",TRIM('Enrollment Census'!S128&amp;""))</f>
        <v/>
      </c>
      <c r="T128" s="36">
        <f>IF('Enrollment Census'!T128="","",TRIM('Enrollment Census'!T128&amp;""))</f>
        <v/>
      </c>
      <c r="U128" s="39">
        <f>IF('Enrollment Census'!U128="","",'Enrollment Census'!U128)</f>
        <v/>
      </c>
    </row>
    <row r="129">
      <c r="A129" s="36">
        <f>IF('Enrollment Census'!A129="","",TRIM('Enrollment Census'!A129&amp;""))</f>
        <v/>
      </c>
      <c r="B129" s="36">
        <f>IF('Enrollment Census'!B129="","",TRIM('Enrollment Census'!B129&amp;""))</f>
        <v/>
      </c>
      <c r="C129" s="37">
        <f>IF('Enrollment Census'!C129="","",TRIM('Enrollment Census'!C129&amp;""))</f>
        <v/>
      </c>
      <c r="D129" s="37">
        <f>IF('Enrollment Census'!D129="","",TRIM('Enrollment Census'!D129&amp;""))</f>
        <v/>
      </c>
      <c r="E129" s="36">
        <f>IF('Enrollment Census'!E129="","",TRIM('Enrollment Census'!E129&amp;""))</f>
        <v/>
      </c>
      <c r="F129" s="37">
        <f>IF('Enrollment Census'!F129="","",TRIM('Enrollment Census'!F129&amp;""))</f>
        <v/>
      </c>
      <c r="G129" s="37">
        <f>IF('Enrollment Census'!G129="","",TRIM('Enrollment Census'!G129&amp;""))</f>
        <v/>
      </c>
      <c r="H129" s="37">
        <f>IF('Enrollment Census'!H129="","",TRIM('Enrollment Census'!H129&amp;""))</f>
        <v/>
      </c>
      <c r="I129" s="36">
        <f>IF('Enrollment Census'!I129="","",TRIM('Enrollment Census'!I129&amp;""))</f>
        <v/>
      </c>
      <c r="J129" s="36">
        <f>IF('Enrollment Census'!J129="","",TRIM('Enrollment Census'!J129&amp;""))</f>
        <v/>
      </c>
      <c r="K129" s="36">
        <f>IF('Enrollment Census'!K129="","",TRIM('Enrollment Census'!K129&amp;""))</f>
        <v/>
      </c>
      <c r="L129" s="38">
        <f>IF('Enrollment Census'!L129="","",'Enrollment Census'!L129)</f>
        <v/>
      </c>
      <c r="M129" s="36">
        <f>IF('Enrollment Census'!M129="","",TRIM('Enrollment Census'!M129&amp;""))</f>
        <v/>
      </c>
      <c r="N129" s="36">
        <f>IF('Enrollment Census'!N129="","",LOWER(TRIM('Enrollment Census'!N129&amp;"")))</f>
        <v/>
      </c>
      <c r="O129" s="36">
        <f>IF('Enrollment Census'!O129="","",TRIM('Enrollment Census'!O129&amp;""))</f>
        <v/>
      </c>
      <c r="P129" s="38">
        <f>IF('Enrollment Census'!P129="","",'Enrollment Census'!P129)</f>
        <v/>
      </c>
      <c r="Q129" s="38">
        <f>IF('Enrollment Census'!Q129="","",'Enrollment Census'!Q129)</f>
        <v/>
      </c>
      <c r="R129" s="36">
        <f>IF('Enrollment Census'!R129="","",TRIM('Enrollment Census'!R129&amp;""))</f>
        <v/>
      </c>
      <c r="S129" s="36">
        <f>IF('Enrollment Census'!S129="","",TRIM('Enrollment Census'!S129&amp;""))</f>
        <v/>
      </c>
      <c r="T129" s="36">
        <f>IF('Enrollment Census'!T129="","",TRIM('Enrollment Census'!T129&amp;""))</f>
        <v/>
      </c>
      <c r="U129" s="39">
        <f>IF('Enrollment Census'!U129="","",'Enrollment Census'!U129)</f>
        <v/>
      </c>
    </row>
    <row r="130">
      <c r="A130" s="36">
        <f>IF('Enrollment Census'!A130="","",TRIM('Enrollment Census'!A130&amp;""))</f>
        <v/>
      </c>
      <c r="B130" s="36">
        <f>IF('Enrollment Census'!B130="","",TRIM('Enrollment Census'!B130&amp;""))</f>
        <v/>
      </c>
      <c r="C130" s="37">
        <f>IF('Enrollment Census'!C130="","",TRIM('Enrollment Census'!C130&amp;""))</f>
        <v/>
      </c>
      <c r="D130" s="37">
        <f>IF('Enrollment Census'!D130="","",TRIM('Enrollment Census'!D130&amp;""))</f>
        <v/>
      </c>
      <c r="E130" s="36">
        <f>IF('Enrollment Census'!E130="","",TRIM('Enrollment Census'!E130&amp;""))</f>
        <v/>
      </c>
      <c r="F130" s="37">
        <f>IF('Enrollment Census'!F130="","",TRIM('Enrollment Census'!F130&amp;""))</f>
        <v/>
      </c>
      <c r="G130" s="37">
        <f>IF('Enrollment Census'!G130="","",TRIM('Enrollment Census'!G130&amp;""))</f>
        <v/>
      </c>
      <c r="H130" s="37">
        <f>IF('Enrollment Census'!H130="","",TRIM('Enrollment Census'!H130&amp;""))</f>
        <v/>
      </c>
      <c r="I130" s="36">
        <f>IF('Enrollment Census'!I130="","",TRIM('Enrollment Census'!I130&amp;""))</f>
        <v/>
      </c>
      <c r="J130" s="36">
        <f>IF('Enrollment Census'!J130="","",TRIM('Enrollment Census'!J130&amp;""))</f>
        <v/>
      </c>
      <c r="K130" s="36">
        <f>IF('Enrollment Census'!K130="","",TRIM('Enrollment Census'!K130&amp;""))</f>
        <v/>
      </c>
      <c r="L130" s="38">
        <f>IF('Enrollment Census'!L130="","",'Enrollment Census'!L130)</f>
        <v/>
      </c>
      <c r="M130" s="36">
        <f>IF('Enrollment Census'!M130="","",TRIM('Enrollment Census'!M130&amp;""))</f>
        <v/>
      </c>
      <c r="N130" s="36">
        <f>IF('Enrollment Census'!N130="","",LOWER(TRIM('Enrollment Census'!N130&amp;"")))</f>
        <v/>
      </c>
      <c r="O130" s="36">
        <f>IF('Enrollment Census'!O130="","",TRIM('Enrollment Census'!O130&amp;""))</f>
        <v/>
      </c>
      <c r="P130" s="38">
        <f>IF('Enrollment Census'!P130="","",'Enrollment Census'!P130)</f>
        <v/>
      </c>
      <c r="Q130" s="38">
        <f>IF('Enrollment Census'!Q130="","",'Enrollment Census'!Q130)</f>
        <v/>
      </c>
      <c r="R130" s="36">
        <f>IF('Enrollment Census'!R130="","",TRIM('Enrollment Census'!R130&amp;""))</f>
        <v/>
      </c>
      <c r="S130" s="36">
        <f>IF('Enrollment Census'!S130="","",TRIM('Enrollment Census'!S130&amp;""))</f>
        <v/>
      </c>
      <c r="T130" s="36">
        <f>IF('Enrollment Census'!T130="","",TRIM('Enrollment Census'!T130&amp;""))</f>
        <v/>
      </c>
      <c r="U130" s="39">
        <f>IF('Enrollment Census'!U130="","",'Enrollment Census'!U130)</f>
        <v/>
      </c>
    </row>
    <row r="131">
      <c r="A131" s="36">
        <f>IF('Enrollment Census'!A131="","",TRIM('Enrollment Census'!A131&amp;""))</f>
        <v/>
      </c>
      <c r="B131" s="36">
        <f>IF('Enrollment Census'!B131="","",TRIM('Enrollment Census'!B131&amp;""))</f>
        <v/>
      </c>
      <c r="C131" s="37">
        <f>IF('Enrollment Census'!C131="","",TRIM('Enrollment Census'!C131&amp;""))</f>
        <v/>
      </c>
      <c r="D131" s="37">
        <f>IF('Enrollment Census'!D131="","",TRIM('Enrollment Census'!D131&amp;""))</f>
        <v/>
      </c>
      <c r="E131" s="36">
        <f>IF('Enrollment Census'!E131="","",TRIM('Enrollment Census'!E131&amp;""))</f>
        <v/>
      </c>
      <c r="F131" s="37">
        <f>IF('Enrollment Census'!F131="","",TRIM('Enrollment Census'!F131&amp;""))</f>
        <v/>
      </c>
      <c r="G131" s="37">
        <f>IF('Enrollment Census'!G131="","",TRIM('Enrollment Census'!G131&amp;""))</f>
        <v/>
      </c>
      <c r="H131" s="37">
        <f>IF('Enrollment Census'!H131="","",TRIM('Enrollment Census'!H131&amp;""))</f>
        <v/>
      </c>
      <c r="I131" s="36">
        <f>IF('Enrollment Census'!I131="","",TRIM('Enrollment Census'!I131&amp;""))</f>
        <v/>
      </c>
      <c r="J131" s="36">
        <f>IF('Enrollment Census'!J131="","",TRIM('Enrollment Census'!J131&amp;""))</f>
        <v/>
      </c>
      <c r="K131" s="36">
        <f>IF('Enrollment Census'!K131="","",TRIM('Enrollment Census'!K131&amp;""))</f>
        <v/>
      </c>
      <c r="L131" s="38">
        <f>IF('Enrollment Census'!L131="","",'Enrollment Census'!L131)</f>
        <v/>
      </c>
      <c r="M131" s="36">
        <f>IF('Enrollment Census'!M131="","",TRIM('Enrollment Census'!M131&amp;""))</f>
        <v/>
      </c>
      <c r="N131" s="36">
        <f>IF('Enrollment Census'!N131="","",LOWER(TRIM('Enrollment Census'!N131&amp;"")))</f>
        <v/>
      </c>
      <c r="O131" s="36">
        <f>IF('Enrollment Census'!O131="","",TRIM('Enrollment Census'!O131&amp;""))</f>
        <v/>
      </c>
      <c r="P131" s="38">
        <f>IF('Enrollment Census'!P131="","",'Enrollment Census'!P131)</f>
        <v/>
      </c>
      <c r="Q131" s="38">
        <f>IF('Enrollment Census'!Q131="","",'Enrollment Census'!Q131)</f>
        <v/>
      </c>
      <c r="R131" s="36">
        <f>IF('Enrollment Census'!R131="","",TRIM('Enrollment Census'!R131&amp;""))</f>
        <v/>
      </c>
      <c r="S131" s="36">
        <f>IF('Enrollment Census'!S131="","",TRIM('Enrollment Census'!S131&amp;""))</f>
        <v/>
      </c>
      <c r="T131" s="36">
        <f>IF('Enrollment Census'!T131="","",TRIM('Enrollment Census'!T131&amp;""))</f>
        <v/>
      </c>
      <c r="U131" s="39">
        <f>IF('Enrollment Census'!U131="","",'Enrollment Census'!U131)</f>
        <v/>
      </c>
    </row>
    <row r="132">
      <c r="A132" s="36">
        <f>IF('Enrollment Census'!A132="","",TRIM('Enrollment Census'!A132&amp;""))</f>
        <v/>
      </c>
      <c r="B132" s="36">
        <f>IF('Enrollment Census'!B132="","",TRIM('Enrollment Census'!B132&amp;""))</f>
        <v/>
      </c>
      <c r="C132" s="37">
        <f>IF('Enrollment Census'!C132="","",TRIM('Enrollment Census'!C132&amp;""))</f>
        <v/>
      </c>
      <c r="D132" s="37">
        <f>IF('Enrollment Census'!D132="","",TRIM('Enrollment Census'!D132&amp;""))</f>
        <v/>
      </c>
      <c r="E132" s="36">
        <f>IF('Enrollment Census'!E132="","",TRIM('Enrollment Census'!E132&amp;""))</f>
        <v/>
      </c>
      <c r="F132" s="37">
        <f>IF('Enrollment Census'!F132="","",TRIM('Enrollment Census'!F132&amp;""))</f>
        <v/>
      </c>
      <c r="G132" s="37">
        <f>IF('Enrollment Census'!G132="","",TRIM('Enrollment Census'!G132&amp;""))</f>
        <v/>
      </c>
      <c r="H132" s="37">
        <f>IF('Enrollment Census'!H132="","",TRIM('Enrollment Census'!H132&amp;""))</f>
        <v/>
      </c>
      <c r="I132" s="36">
        <f>IF('Enrollment Census'!I132="","",TRIM('Enrollment Census'!I132&amp;""))</f>
        <v/>
      </c>
      <c r="J132" s="36">
        <f>IF('Enrollment Census'!J132="","",TRIM('Enrollment Census'!J132&amp;""))</f>
        <v/>
      </c>
      <c r="K132" s="36">
        <f>IF('Enrollment Census'!K132="","",TRIM('Enrollment Census'!K132&amp;""))</f>
        <v/>
      </c>
      <c r="L132" s="38">
        <f>IF('Enrollment Census'!L132="","",'Enrollment Census'!L132)</f>
        <v/>
      </c>
      <c r="M132" s="36">
        <f>IF('Enrollment Census'!M132="","",TRIM('Enrollment Census'!M132&amp;""))</f>
        <v/>
      </c>
      <c r="N132" s="36">
        <f>IF('Enrollment Census'!N132="","",LOWER(TRIM('Enrollment Census'!N132&amp;"")))</f>
        <v/>
      </c>
      <c r="O132" s="36">
        <f>IF('Enrollment Census'!O132="","",TRIM('Enrollment Census'!O132&amp;""))</f>
        <v/>
      </c>
      <c r="P132" s="38">
        <f>IF('Enrollment Census'!P132="","",'Enrollment Census'!P132)</f>
        <v/>
      </c>
      <c r="Q132" s="38">
        <f>IF('Enrollment Census'!Q132="","",'Enrollment Census'!Q132)</f>
        <v/>
      </c>
      <c r="R132" s="36">
        <f>IF('Enrollment Census'!R132="","",TRIM('Enrollment Census'!R132&amp;""))</f>
        <v/>
      </c>
      <c r="S132" s="36">
        <f>IF('Enrollment Census'!S132="","",TRIM('Enrollment Census'!S132&amp;""))</f>
        <v/>
      </c>
      <c r="T132" s="36">
        <f>IF('Enrollment Census'!T132="","",TRIM('Enrollment Census'!T132&amp;""))</f>
        <v/>
      </c>
      <c r="U132" s="39">
        <f>IF('Enrollment Census'!U132="","",'Enrollment Census'!U132)</f>
        <v/>
      </c>
    </row>
    <row r="133">
      <c r="A133" s="36">
        <f>IF('Enrollment Census'!A133="","",TRIM('Enrollment Census'!A133&amp;""))</f>
        <v/>
      </c>
      <c r="B133" s="36">
        <f>IF('Enrollment Census'!B133="","",TRIM('Enrollment Census'!B133&amp;""))</f>
        <v/>
      </c>
      <c r="C133" s="37">
        <f>IF('Enrollment Census'!C133="","",TRIM('Enrollment Census'!C133&amp;""))</f>
        <v/>
      </c>
      <c r="D133" s="37">
        <f>IF('Enrollment Census'!D133="","",TRIM('Enrollment Census'!D133&amp;""))</f>
        <v/>
      </c>
      <c r="E133" s="36">
        <f>IF('Enrollment Census'!E133="","",TRIM('Enrollment Census'!E133&amp;""))</f>
        <v/>
      </c>
      <c r="F133" s="37">
        <f>IF('Enrollment Census'!F133="","",TRIM('Enrollment Census'!F133&amp;""))</f>
        <v/>
      </c>
      <c r="G133" s="37">
        <f>IF('Enrollment Census'!G133="","",TRIM('Enrollment Census'!G133&amp;""))</f>
        <v/>
      </c>
      <c r="H133" s="37">
        <f>IF('Enrollment Census'!H133="","",TRIM('Enrollment Census'!H133&amp;""))</f>
        <v/>
      </c>
      <c r="I133" s="36">
        <f>IF('Enrollment Census'!I133="","",TRIM('Enrollment Census'!I133&amp;""))</f>
        <v/>
      </c>
      <c r="J133" s="36">
        <f>IF('Enrollment Census'!J133="","",TRIM('Enrollment Census'!J133&amp;""))</f>
        <v/>
      </c>
      <c r="K133" s="36">
        <f>IF('Enrollment Census'!K133="","",TRIM('Enrollment Census'!K133&amp;""))</f>
        <v/>
      </c>
      <c r="L133" s="38">
        <f>IF('Enrollment Census'!L133="","",'Enrollment Census'!L133)</f>
        <v/>
      </c>
      <c r="M133" s="36">
        <f>IF('Enrollment Census'!M133="","",TRIM('Enrollment Census'!M133&amp;""))</f>
        <v/>
      </c>
      <c r="N133" s="36">
        <f>IF('Enrollment Census'!N133="","",LOWER(TRIM('Enrollment Census'!N133&amp;"")))</f>
        <v/>
      </c>
      <c r="O133" s="36">
        <f>IF('Enrollment Census'!O133="","",TRIM('Enrollment Census'!O133&amp;""))</f>
        <v/>
      </c>
      <c r="P133" s="38">
        <f>IF('Enrollment Census'!P133="","",'Enrollment Census'!P133)</f>
        <v/>
      </c>
      <c r="Q133" s="38">
        <f>IF('Enrollment Census'!Q133="","",'Enrollment Census'!Q133)</f>
        <v/>
      </c>
      <c r="R133" s="36">
        <f>IF('Enrollment Census'!R133="","",TRIM('Enrollment Census'!R133&amp;""))</f>
        <v/>
      </c>
      <c r="S133" s="36">
        <f>IF('Enrollment Census'!S133="","",TRIM('Enrollment Census'!S133&amp;""))</f>
        <v/>
      </c>
      <c r="T133" s="36">
        <f>IF('Enrollment Census'!T133="","",TRIM('Enrollment Census'!T133&amp;""))</f>
        <v/>
      </c>
      <c r="U133" s="39">
        <f>IF('Enrollment Census'!U133="","",'Enrollment Census'!U133)</f>
        <v/>
      </c>
    </row>
    <row r="134">
      <c r="A134" s="36">
        <f>IF('Enrollment Census'!A134="","",TRIM('Enrollment Census'!A134&amp;""))</f>
        <v/>
      </c>
      <c r="B134" s="36">
        <f>IF('Enrollment Census'!B134="","",TRIM('Enrollment Census'!B134&amp;""))</f>
        <v/>
      </c>
      <c r="C134" s="37">
        <f>IF('Enrollment Census'!C134="","",TRIM('Enrollment Census'!C134&amp;""))</f>
        <v/>
      </c>
      <c r="D134" s="37">
        <f>IF('Enrollment Census'!D134="","",TRIM('Enrollment Census'!D134&amp;""))</f>
        <v/>
      </c>
      <c r="E134" s="36">
        <f>IF('Enrollment Census'!E134="","",TRIM('Enrollment Census'!E134&amp;""))</f>
        <v/>
      </c>
      <c r="F134" s="37">
        <f>IF('Enrollment Census'!F134="","",TRIM('Enrollment Census'!F134&amp;""))</f>
        <v/>
      </c>
      <c r="G134" s="37">
        <f>IF('Enrollment Census'!G134="","",TRIM('Enrollment Census'!G134&amp;""))</f>
        <v/>
      </c>
      <c r="H134" s="37">
        <f>IF('Enrollment Census'!H134="","",TRIM('Enrollment Census'!H134&amp;""))</f>
        <v/>
      </c>
      <c r="I134" s="36">
        <f>IF('Enrollment Census'!I134="","",TRIM('Enrollment Census'!I134&amp;""))</f>
        <v/>
      </c>
      <c r="J134" s="36">
        <f>IF('Enrollment Census'!J134="","",TRIM('Enrollment Census'!J134&amp;""))</f>
        <v/>
      </c>
      <c r="K134" s="36">
        <f>IF('Enrollment Census'!K134="","",TRIM('Enrollment Census'!K134&amp;""))</f>
        <v/>
      </c>
      <c r="L134" s="38">
        <f>IF('Enrollment Census'!L134="","",'Enrollment Census'!L134)</f>
        <v/>
      </c>
      <c r="M134" s="36">
        <f>IF('Enrollment Census'!M134="","",TRIM('Enrollment Census'!M134&amp;""))</f>
        <v/>
      </c>
      <c r="N134" s="36">
        <f>IF('Enrollment Census'!N134="","",LOWER(TRIM('Enrollment Census'!N134&amp;"")))</f>
        <v/>
      </c>
      <c r="O134" s="36">
        <f>IF('Enrollment Census'!O134="","",TRIM('Enrollment Census'!O134&amp;""))</f>
        <v/>
      </c>
      <c r="P134" s="38">
        <f>IF('Enrollment Census'!P134="","",'Enrollment Census'!P134)</f>
        <v/>
      </c>
      <c r="Q134" s="38">
        <f>IF('Enrollment Census'!Q134="","",'Enrollment Census'!Q134)</f>
        <v/>
      </c>
      <c r="R134" s="36">
        <f>IF('Enrollment Census'!R134="","",TRIM('Enrollment Census'!R134&amp;""))</f>
        <v/>
      </c>
      <c r="S134" s="36">
        <f>IF('Enrollment Census'!S134="","",TRIM('Enrollment Census'!S134&amp;""))</f>
        <v/>
      </c>
      <c r="T134" s="36">
        <f>IF('Enrollment Census'!T134="","",TRIM('Enrollment Census'!T134&amp;""))</f>
        <v/>
      </c>
      <c r="U134" s="39">
        <f>IF('Enrollment Census'!U134="","",'Enrollment Census'!U134)</f>
        <v/>
      </c>
    </row>
    <row r="135">
      <c r="A135" s="36">
        <f>IF('Enrollment Census'!A135="","",TRIM('Enrollment Census'!A135&amp;""))</f>
        <v/>
      </c>
      <c r="B135" s="36">
        <f>IF('Enrollment Census'!B135="","",TRIM('Enrollment Census'!B135&amp;""))</f>
        <v/>
      </c>
      <c r="C135" s="37">
        <f>IF('Enrollment Census'!C135="","",TRIM('Enrollment Census'!C135&amp;""))</f>
        <v/>
      </c>
      <c r="D135" s="37">
        <f>IF('Enrollment Census'!D135="","",TRIM('Enrollment Census'!D135&amp;""))</f>
        <v/>
      </c>
      <c r="E135" s="36">
        <f>IF('Enrollment Census'!E135="","",TRIM('Enrollment Census'!E135&amp;""))</f>
        <v/>
      </c>
      <c r="F135" s="37">
        <f>IF('Enrollment Census'!F135="","",TRIM('Enrollment Census'!F135&amp;""))</f>
        <v/>
      </c>
      <c r="G135" s="37">
        <f>IF('Enrollment Census'!G135="","",TRIM('Enrollment Census'!G135&amp;""))</f>
        <v/>
      </c>
      <c r="H135" s="37">
        <f>IF('Enrollment Census'!H135="","",TRIM('Enrollment Census'!H135&amp;""))</f>
        <v/>
      </c>
      <c r="I135" s="36">
        <f>IF('Enrollment Census'!I135="","",TRIM('Enrollment Census'!I135&amp;""))</f>
        <v/>
      </c>
      <c r="J135" s="36">
        <f>IF('Enrollment Census'!J135="","",TRIM('Enrollment Census'!J135&amp;""))</f>
        <v/>
      </c>
      <c r="K135" s="36">
        <f>IF('Enrollment Census'!K135="","",TRIM('Enrollment Census'!K135&amp;""))</f>
        <v/>
      </c>
      <c r="L135" s="38">
        <f>IF('Enrollment Census'!L135="","",'Enrollment Census'!L135)</f>
        <v/>
      </c>
      <c r="M135" s="36">
        <f>IF('Enrollment Census'!M135="","",TRIM('Enrollment Census'!M135&amp;""))</f>
        <v/>
      </c>
      <c r="N135" s="36">
        <f>IF('Enrollment Census'!N135="","",LOWER(TRIM('Enrollment Census'!N135&amp;"")))</f>
        <v/>
      </c>
      <c r="O135" s="36">
        <f>IF('Enrollment Census'!O135="","",TRIM('Enrollment Census'!O135&amp;""))</f>
        <v/>
      </c>
      <c r="P135" s="38">
        <f>IF('Enrollment Census'!P135="","",'Enrollment Census'!P135)</f>
        <v/>
      </c>
      <c r="Q135" s="38">
        <f>IF('Enrollment Census'!Q135="","",'Enrollment Census'!Q135)</f>
        <v/>
      </c>
      <c r="R135" s="36">
        <f>IF('Enrollment Census'!R135="","",TRIM('Enrollment Census'!R135&amp;""))</f>
        <v/>
      </c>
      <c r="S135" s="36">
        <f>IF('Enrollment Census'!S135="","",TRIM('Enrollment Census'!S135&amp;""))</f>
        <v/>
      </c>
      <c r="T135" s="36">
        <f>IF('Enrollment Census'!T135="","",TRIM('Enrollment Census'!T135&amp;""))</f>
        <v/>
      </c>
      <c r="U135" s="39">
        <f>IF('Enrollment Census'!U135="","",'Enrollment Census'!U135)</f>
        <v/>
      </c>
    </row>
    <row r="136">
      <c r="A136" s="36">
        <f>IF('Enrollment Census'!A136="","",TRIM('Enrollment Census'!A136&amp;""))</f>
        <v/>
      </c>
      <c r="B136" s="36">
        <f>IF('Enrollment Census'!B136="","",TRIM('Enrollment Census'!B136&amp;""))</f>
        <v/>
      </c>
      <c r="C136" s="37">
        <f>IF('Enrollment Census'!C136="","",TRIM('Enrollment Census'!C136&amp;""))</f>
        <v/>
      </c>
      <c r="D136" s="37">
        <f>IF('Enrollment Census'!D136="","",TRIM('Enrollment Census'!D136&amp;""))</f>
        <v/>
      </c>
      <c r="E136" s="36">
        <f>IF('Enrollment Census'!E136="","",TRIM('Enrollment Census'!E136&amp;""))</f>
        <v/>
      </c>
      <c r="F136" s="37">
        <f>IF('Enrollment Census'!F136="","",TRIM('Enrollment Census'!F136&amp;""))</f>
        <v/>
      </c>
      <c r="G136" s="37">
        <f>IF('Enrollment Census'!G136="","",TRIM('Enrollment Census'!G136&amp;""))</f>
        <v/>
      </c>
      <c r="H136" s="37">
        <f>IF('Enrollment Census'!H136="","",TRIM('Enrollment Census'!H136&amp;""))</f>
        <v/>
      </c>
      <c r="I136" s="36">
        <f>IF('Enrollment Census'!I136="","",TRIM('Enrollment Census'!I136&amp;""))</f>
        <v/>
      </c>
      <c r="J136" s="36">
        <f>IF('Enrollment Census'!J136="","",TRIM('Enrollment Census'!J136&amp;""))</f>
        <v/>
      </c>
      <c r="K136" s="36">
        <f>IF('Enrollment Census'!K136="","",TRIM('Enrollment Census'!K136&amp;""))</f>
        <v/>
      </c>
      <c r="L136" s="38">
        <f>IF('Enrollment Census'!L136="","",'Enrollment Census'!L136)</f>
        <v/>
      </c>
      <c r="M136" s="36">
        <f>IF('Enrollment Census'!M136="","",TRIM('Enrollment Census'!M136&amp;""))</f>
        <v/>
      </c>
      <c r="N136" s="36">
        <f>IF('Enrollment Census'!N136="","",LOWER(TRIM('Enrollment Census'!N136&amp;"")))</f>
        <v/>
      </c>
      <c r="O136" s="36">
        <f>IF('Enrollment Census'!O136="","",TRIM('Enrollment Census'!O136&amp;""))</f>
        <v/>
      </c>
      <c r="P136" s="38">
        <f>IF('Enrollment Census'!P136="","",'Enrollment Census'!P136)</f>
        <v/>
      </c>
      <c r="Q136" s="38">
        <f>IF('Enrollment Census'!Q136="","",'Enrollment Census'!Q136)</f>
        <v/>
      </c>
      <c r="R136" s="36">
        <f>IF('Enrollment Census'!R136="","",TRIM('Enrollment Census'!R136&amp;""))</f>
        <v/>
      </c>
      <c r="S136" s="36">
        <f>IF('Enrollment Census'!S136="","",TRIM('Enrollment Census'!S136&amp;""))</f>
        <v/>
      </c>
      <c r="T136" s="36">
        <f>IF('Enrollment Census'!T136="","",TRIM('Enrollment Census'!T136&amp;""))</f>
        <v/>
      </c>
      <c r="U136" s="39">
        <f>IF('Enrollment Census'!U136="","",'Enrollment Census'!U136)</f>
        <v/>
      </c>
    </row>
    <row r="137">
      <c r="A137" s="36">
        <f>IF('Enrollment Census'!A137="","",TRIM('Enrollment Census'!A137&amp;""))</f>
        <v/>
      </c>
      <c r="B137" s="36">
        <f>IF('Enrollment Census'!B137="","",TRIM('Enrollment Census'!B137&amp;""))</f>
        <v/>
      </c>
      <c r="C137" s="37">
        <f>IF('Enrollment Census'!C137="","",TRIM('Enrollment Census'!C137&amp;""))</f>
        <v/>
      </c>
      <c r="D137" s="37">
        <f>IF('Enrollment Census'!D137="","",TRIM('Enrollment Census'!D137&amp;""))</f>
        <v/>
      </c>
      <c r="E137" s="36">
        <f>IF('Enrollment Census'!E137="","",TRIM('Enrollment Census'!E137&amp;""))</f>
        <v/>
      </c>
      <c r="F137" s="37">
        <f>IF('Enrollment Census'!F137="","",TRIM('Enrollment Census'!F137&amp;""))</f>
        <v/>
      </c>
      <c r="G137" s="37">
        <f>IF('Enrollment Census'!G137="","",TRIM('Enrollment Census'!G137&amp;""))</f>
        <v/>
      </c>
      <c r="H137" s="37">
        <f>IF('Enrollment Census'!H137="","",TRIM('Enrollment Census'!H137&amp;""))</f>
        <v/>
      </c>
      <c r="I137" s="36">
        <f>IF('Enrollment Census'!I137="","",TRIM('Enrollment Census'!I137&amp;""))</f>
        <v/>
      </c>
      <c r="J137" s="36">
        <f>IF('Enrollment Census'!J137="","",TRIM('Enrollment Census'!J137&amp;""))</f>
        <v/>
      </c>
      <c r="K137" s="36">
        <f>IF('Enrollment Census'!K137="","",TRIM('Enrollment Census'!K137&amp;""))</f>
        <v/>
      </c>
      <c r="L137" s="38">
        <f>IF('Enrollment Census'!L137="","",'Enrollment Census'!L137)</f>
        <v/>
      </c>
      <c r="M137" s="36">
        <f>IF('Enrollment Census'!M137="","",TRIM('Enrollment Census'!M137&amp;""))</f>
        <v/>
      </c>
      <c r="N137" s="36">
        <f>IF('Enrollment Census'!N137="","",LOWER(TRIM('Enrollment Census'!N137&amp;"")))</f>
        <v/>
      </c>
      <c r="O137" s="36">
        <f>IF('Enrollment Census'!O137="","",TRIM('Enrollment Census'!O137&amp;""))</f>
        <v/>
      </c>
      <c r="P137" s="38">
        <f>IF('Enrollment Census'!P137="","",'Enrollment Census'!P137)</f>
        <v/>
      </c>
      <c r="Q137" s="38">
        <f>IF('Enrollment Census'!Q137="","",'Enrollment Census'!Q137)</f>
        <v/>
      </c>
      <c r="R137" s="36">
        <f>IF('Enrollment Census'!R137="","",TRIM('Enrollment Census'!R137&amp;""))</f>
        <v/>
      </c>
      <c r="S137" s="36">
        <f>IF('Enrollment Census'!S137="","",TRIM('Enrollment Census'!S137&amp;""))</f>
        <v/>
      </c>
      <c r="T137" s="36">
        <f>IF('Enrollment Census'!T137="","",TRIM('Enrollment Census'!T137&amp;""))</f>
        <v/>
      </c>
      <c r="U137" s="39">
        <f>IF('Enrollment Census'!U137="","",'Enrollment Census'!U137)</f>
        <v/>
      </c>
    </row>
    <row r="138">
      <c r="A138" s="36">
        <f>IF('Enrollment Census'!A138="","",TRIM('Enrollment Census'!A138&amp;""))</f>
        <v/>
      </c>
      <c r="B138" s="36">
        <f>IF('Enrollment Census'!B138="","",TRIM('Enrollment Census'!B138&amp;""))</f>
        <v/>
      </c>
      <c r="C138" s="37">
        <f>IF('Enrollment Census'!C138="","",TRIM('Enrollment Census'!C138&amp;""))</f>
        <v/>
      </c>
      <c r="D138" s="37">
        <f>IF('Enrollment Census'!D138="","",TRIM('Enrollment Census'!D138&amp;""))</f>
        <v/>
      </c>
      <c r="E138" s="36">
        <f>IF('Enrollment Census'!E138="","",TRIM('Enrollment Census'!E138&amp;""))</f>
        <v/>
      </c>
      <c r="F138" s="37">
        <f>IF('Enrollment Census'!F138="","",TRIM('Enrollment Census'!F138&amp;""))</f>
        <v/>
      </c>
      <c r="G138" s="37">
        <f>IF('Enrollment Census'!G138="","",TRIM('Enrollment Census'!G138&amp;""))</f>
        <v/>
      </c>
      <c r="H138" s="37">
        <f>IF('Enrollment Census'!H138="","",TRIM('Enrollment Census'!H138&amp;""))</f>
        <v/>
      </c>
      <c r="I138" s="36">
        <f>IF('Enrollment Census'!I138="","",TRIM('Enrollment Census'!I138&amp;""))</f>
        <v/>
      </c>
      <c r="J138" s="36">
        <f>IF('Enrollment Census'!J138="","",TRIM('Enrollment Census'!J138&amp;""))</f>
        <v/>
      </c>
      <c r="K138" s="36">
        <f>IF('Enrollment Census'!K138="","",TRIM('Enrollment Census'!K138&amp;""))</f>
        <v/>
      </c>
      <c r="L138" s="38">
        <f>IF('Enrollment Census'!L138="","",'Enrollment Census'!L138)</f>
        <v/>
      </c>
      <c r="M138" s="36">
        <f>IF('Enrollment Census'!M138="","",TRIM('Enrollment Census'!M138&amp;""))</f>
        <v/>
      </c>
      <c r="N138" s="36">
        <f>IF('Enrollment Census'!N138="","",LOWER(TRIM('Enrollment Census'!N138&amp;"")))</f>
        <v/>
      </c>
      <c r="O138" s="36">
        <f>IF('Enrollment Census'!O138="","",TRIM('Enrollment Census'!O138&amp;""))</f>
        <v/>
      </c>
      <c r="P138" s="38">
        <f>IF('Enrollment Census'!P138="","",'Enrollment Census'!P138)</f>
        <v/>
      </c>
      <c r="Q138" s="38">
        <f>IF('Enrollment Census'!Q138="","",'Enrollment Census'!Q138)</f>
        <v/>
      </c>
      <c r="R138" s="36">
        <f>IF('Enrollment Census'!R138="","",TRIM('Enrollment Census'!R138&amp;""))</f>
        <v/>
      </c>
      <c r="S138" s="36">
        <f>IF('Enrollment Census'!S138="","",TRIM('Enrollment Census'!S138&amp;""))</f>
        <v/>
      </c>
      <c r="T138" s="36">
        <f>IF('Enrollment Census'!T138="","",TRIM('Enrollment Census'!T138&amp;""))</f>
        <v/>
      </c>
      <c r="U138" s="39">
        <f>IF('Enrollment Census'!U138="","",'Enrollment Census'!U138)</f>
        <v/>
      </c>
    </row>
    <row r="139">
      <c r="A139" s="36">
        <f>IF('Enrollment Census'!A139="","",TRIM('Enrollment Census'!A139&amp;""))</f>
        <v/>
      </c>
      <c r="B139" s="36">
        <f>IF('Enrollment Census'!B139="","",TRIM('Enrollment Census'!B139&amp;""))</f>
        <v/>
      </c>
      <c r="C139" s="37">
        <f>IF('Enrollment Census'!C139="","",TRIM('Enrollment Census'!C139&amp;""))</f>
        <v/>
      </c>
      <c r="D139" s="37">
        <f>IF('Enrollment Census'!D139="","",TRIM('Enrollment Census'!D139&amp;""))</f>
        <v/>
      </c>
      <c r="E139" s="36">
        <f>IF('Enrollment Census'!E139="","",TRIM('Enrollment Census'!E139&amp;""))</f>
        <v/>
      </c>
      <c r="F139" s="37">
        <f>IF('Enrollment Census'!F139="","",TRIM('Enrollment Census'!F139&amp;""))</f>
        <v/>
      </c>
      <c r="G139" s="37">
        <f>IF('Enrollment Census'!G139="","",TRIM('Enrollment Census'!G139&amp;""))</f>
        <v/>
      </c>
      <c r="H139" s="37">
        <f>IF('Enrollment Census'!H139="","",TRIM('Enrollment Census'!H139&amp;""))</f>
        <v/>
      </c>
      <c r="I139" s="36">
        <f>IF('Enrollment Census'!I139="","",TRIM('Enrollment Census'!I139&amp;""))</f>
        <v/>
      </c>
      <c r="J139" s="36">
        <f>IF('Enrollment Census'!J139="","",TRIM('Enrollment Census'!J139&amp;""))</f>
        <v/>
      </c>
      <c r="K139" s="36">
        <f>IF('Enrollment Census'!K139="","",TRIM('Enrollment Census'!K139&amp;""))</f>
        <v/>
      </c>
      <c r="L139" s="38">
        <f>IF('Enrollment Census'!L139="","",'Enrollment Census'!L139)</f>
        <v/>
      </c>
      <c r="M139" s="36">
        <f>IF('Enrollment Census'!M139="","",TRIM('Enrollment Census'!M139&amp;""))</f>
        <v/>
      </c>
      <c r="N139" s="36">
        <f>IF('Enrollment Census'!N139="","",LOWER(TRIM('Enrollment Census'!N139&amp;"")))</f>
        <v/>
      </c>
      <c r="O139" s="36">
        <f>IF('Enrollment Census'!O139="","",TRIM('Enrollment Census'!O139&amp;""))</f>
        <v/>
      </c>
      <c r="P139" s="38">
        <f>IF('Enrollment Census'!P139="","",'Enrollment Census'!P139)</f>
        <v/>
      </c>
      <c r="Q139" s="38">
        <f>IF('Enrollment Census'!Q139="","",'Enrollment Census'!Q139)</f>
        <v/>
      </c>
      <c r="R139" s="36">
        <f>IF('Enrollment Census'!R139="","",TRIM('Enrollment Census'!R139&amp;""))</f>
        <v/>
      </c>
      <c r="S139" s="36">
        <f>IF('Enrollment Census'!S139="","",TRIM('Enrollment Census'!S139&amp;""))</f>
        <v/>
      </c>
      <c r="T139" s="36">
        <f>IF('Enrollment Census'!T139="","",TRIM('Enrollment Census'!T139&amp;""))</f>
        <v/>
      </c>
      <c r="U139" s="39">
        <f>IF('Enrollment Census'!U139="","",'Enrollment Census'!U139)</f>
        <v/>
      </c>
    </row>
    <row r="140">
      <c r="A140" s="36">
        <f>IF('Enrollment Census'!A140="","",TRIM('Enrollment Census'!A140&amp;""))</f>
        <v/>
      </c>
      <c r="B140" s="36">
        <f>IF('Enrollment Census'!B140="","",TRIM('Enrollment Census'!B140&amp;""))</f>
        <v/>
      </c>
      <c r="C140" s="37">
        <f>IF('Enrollment Census'!C140="","",TRIM('Enrollment Census'!C140&amp;""))</f>
        <v/>
      </c>
      <c r="D140" s="37">
        <f>IF('Enrollment Census'!D140="","",TRIM('Enrollment Census'!D140&amp;""))</f>
        <v/>
      </c>
      <c r="E140" s="36">
        <f>IF('Enrollment Census'!E140="","",TRIM('Enrollment Census'!E140&amp;""))</f>
        <v/>
      </c>
      <c r="F140" s="37">
        <f>IF('Enrollment Census'!F140="","",TRIM('Enrollment Census'!F140&amp;""))</f>
        <v/>
      </c>
      <c r="G140" s="37">
        <f>IF('Enrollment Census'!G140="","",TRIM('Enrollment Census'!G140&amp;""))</f>
        <v/>
      </c>
      <c r="H140" s="37">
        <f>IF('Enrollment Census'!H140="","",TRIM('Enrollment Census'!H140&amp;""))</f>
        <v/>
      </c>
      <c r="I140" s="36">
        <f>IF('Enrollment Census'!I140="","",TRIM('Enrollment Census'!I140&amp;""))</f>
        <v/>
      </c>
      <c r="J140" s="36">
        <f>IF('Enrollment Census'!J140="","",TRIM('Enrollment Census'!J140&amp;""))</f>
        <v/>
      </c>
      <c r="K140" s="36">
        <f>IF('Enrollment Census'!K140="","",TRIM('Enrollment Census'!K140&amp;""))</f>
        <v/>
      </c>
      <c r="L140" s="38">
        <f>IF('Enrollment Census'!L140="","",'Enrollment Census'!L140)</f>
        <v/>
      </c>
      <c r="M140" s="36">
        <f>IF('Enrollment Census'!M140="","",TRIM('Enrollment Census'!M140&amp;""))</f>
        <v/>
      </c>
      <c r="N140" s="36">
        <f>IF('Enrollment Census'!N140="","",LOWER(TRIM('Enrollment Census'!N140&amp;"")))</f>
        <v/>
      </c>
      <c r="O140" s="36">
        <f>IF('Enrollment Census'!O140="","",TRIM('Enrollment Census'!O140&amp;""))</f>
        <v/>
      </c>
      <c r="P140" s="38">
        <f>IF('Enrollment Census'!P140="","",'Enrollment Census'!P140)</f>
        <v/>
      </c>
      <c r="Q140" s="38">
        <f>IF('Enrollment Census'!Q140="","",'Enrollment Census'!Q140)</f>
        <v/>
      </c>
      <c r="R140" s="36">
        <f>IF('Enrollment Census'!R140="","",TRIM('Enrollment Census'!R140&amp;""))</f>
        <v/>
      </c>
      <c r="S140" s="36">
        <f>IF('Enrollment Census'!S140="","",TRIM('Enrollment Census'!S140&amp;""))</f>
        <v/>
      </c>
      <c r="T140" s="36">
        <f>IF('Enrollment Census'!T140="","",TRIM('Enrollment Census'!T140&amp;""))</f>
        <v/>
      </c>
      <c r="U140" s="39">
        <f>IF('Enrollment Census'!U140="","",'Enrollment Census'!U140)</f>
        <v/>
      </c>
    </row>
    <row r="141">
      <c r="A141" s="36">
        <f>IF('Enrollment Census'!A141="","",TRIM('Enrollment Census'!A141&amp;""))</f>
        <v/>
      </c>
      <c r="B141" s="36">
        <f>IF('Enrollment Census'!B141="","",TRIM('Enrollment Census'!B141&amp;""))</f>
        <v/>
      </c>
      <c r="C141" s="37">
        <f>IF('Enrollment Census'!C141="","",TRIM('Enrollment Census'!C141&amp;""))</f>
        <v/>
      </c>
      <c r="D141" s="37">
        <f>IF('Enrollment Census'!D141="","",TRIM('Enrollment Census'!D141&amp;""))</f>
        <v/>
      </c>
      <c r="E141" s="36">
        <f>IF('Enrollment Census'!E141="","",TRIM('Enrollment Census'!E141&amp;""))</f>
        <v/>
      </c>
      <c r="F141" s="37">
        <f>IF('Enrollment Census'!F141="","",TRIM('Enrollment Census'!F141&amp;""))</f>
        <v/>
      </c>
      <c r="G141" s="37">
        <f>IF('Enrollment Census'!G141="","",TRIM('Enrollment Census'!G141&amp;""))</f>
        <v/>
      </c>
      <c r="H141" s="37">
        <f>IF('Enrollment Census'!H141="","",TRIM('Enrollment Census'!H141&amp;""))</f>
        <v/>
      </c>
      <c r="I141" s="36">
        <f>IF('Enrollment Census'!I141="","",TRIM('Enrollment Census'!I141&amp;""))</f>
        <v/>
      </c>
      <c r="J141" s="36">
        <f>IF('Enrollment Census'!J141="","",TRIM('Enrollment Census'!J141&amp;""))</f>
        <v/>
      </c>
      <c r="K141" s="36">
        <f>IF('Enrollment Census'!K141="","",TRIM('Enrollment Census'!K141&amp;""))</f>
        <v/>
      </c>
      <c r="L141" s="38">
        <f>IF('Enrollment Census'!L141="","",'Enrollment Census'!L141)</f>
        <v/>
      </c>
      <c r="M141" s="36">
        <f>IF('Enrollment Census'!M141="","",TRIM('Enrollment Census'!M141&amp;""))</f>
        <v/>
      </c>
      <c r="N141" s="36">
        <f>IF('Enrollment Census'!N141="","",LOWER(TRIM('Enrollment Census'!N141&amp;"")))</f>
        <v/>
      </c>
      <c r="O141" s="36">
        <f>IF('Enrollment Census'!O141="","",TRIM('Enrollment Census'!O141&amp;""))</f>
        <v/>
      </c>
      <c r="P141" s="38">
        <f>IF('Enrollment Census'!P141="","",'Enrollment Census'!P141)</f>
        <v/>
      </c>
      <c r="Q141" s="38">
        <f>IF('Enrollment Census'!Q141="","",'Enrollment Census'!Q141)</f>
        <v/>
      </c>
      <c r="R141" s="36">
        <f>IF('Enrollment Census'!R141="","",TRIM('Enrollment Census'!R141&amp;""))</f>
        <v/>
      </c>
      <c r="S141" s="36">
        <f>IF('Enrollment Census'!S141="","",TRIM('Enrollment Census'!S141&amp;""))</f>
        <v/>
      </c>
      <c r="T141" s="36">
        <f>IF('Enrollment Census'!T141="","",TRIM('Enrollment Census'!T141&amp;""))</f>
        <v/>
      </c>
      <c r="U141" s="39">
        <f>IF('Enrollment Census'!U141="","",'Enrollment Census'!U141)</f>
        <v/>
      </c>
    </row>
    <row r="142">
      <c r="A142" s="36">
        <f>IF('Enrollment Census'!A142="","",TRIM('Enrollment Census'!A142&amp;""))</f>
        <v/>
      </c>
      <c r="B142" s="36">
        <f>IF('Enrollment Census'!B142="","",TRIM('Enrollment Census'!B142&amp;""))</f>
        <v/>
      </c>
      <c r="C142" s="37">
        <f>IF('Enrollment Census'!C142="","",TRIM('Enrollment Census'!C142&amp;""))</f>
        <v/>
      </c>
      <c r="D142" s="37">
        <f>IF('Enrollment Census'!D142="","",TRIM('Enrollment Census'!D142&amp;""))</f>
        <v/>
      </c>
      <c r="E142" s="36">
        <f>IF('Enrollment Census'!E142="","",TRIM('Enrollment Census'!E142&amp;""))</f>
        <v/>
      </c>
      <c r="F142" s="37">
        <f>IF('Enrollment Census'!F142="","",TRIM('Enrollment Census'!F142&amp;""))</f>
        <v/>
      </c>
      <c r="G142" s="37">
        <f>IF('Enrollment Census'!G142="","",TRIM('Enrollment Census'!G142&amp;""))</f>
        <v/>
      </c>
      <c r="H142" s="37">
        <f>IF('Enrollment Census'!H142="","",TRIM('Enrollment Census'!H142&amp;""))</f>
        <v/>
      </c>
      <c r="I142" s="36">
        <f>IF('Enrollment Census'!I142="","",TRIM('Enrollment Census'!I142&amp;""))</f>
        <v/>
      </c>
      <c r="J142" s="36">
        <f>IF('Enrollment Census'!J142="","",TRIM('Enrollment Census'!J142&amp;""))</f>
        <v/>
      </c>
      <c r="K142" s="36">
        <f>IF('Enrollment Census'!K142="","",TRIM('Enrollment Census'!K142&amp;""))</f>
        <v/>
      </c>
      <c r="L142" s="38">
        <f>IF('Enrollment Census'!L142="","",'Enrollment Census'!L142)</f>
        <v/>
      </c>
      <c r="M142" s="36">
        <f>IF('Enrollment Census'!M142="","",TRIM('Enrollment Census'!M142&amp;""))</f>
        <v/>
      </c>
      <c r="N142" s="36">
        <f>IF('Enrollment Census'!N142="","",LOWER(TRIM('Enrollment Census'!N142&amp;"")))</f>
        <v/>
      </c>
      <c r="O142" s="36">
        <f>IF('Enrollment Census'!O142="","",TRIM('Enrollment Census'!O142&amp;""))</f>
        <v/>
      </c>
      <c r="P142" s="38">
        <f>IF('Enrollment Census'!P142="","",'Enrollment Census'!P142)</f>
        <v/>
      </c>
      <c r="Q142" s="38">
        <f>IF('Enrollment Census'!Q142="","",'Enrollment Census'!Q142)</f>
        <v/>
      </c>
      <c r="R142" s="36">
        <f>IF('Enrollment Census'!R142="","",TRIM('Enrollment Census'!R142&amp;""))</f>
        <v/>
      </c>
      <c r="S142" s="36">
        <f>IF('Enrollment Census'!S142="","",TRIM('Enrollment Census'!S142&amp;""))</f>
        <v/>
      </c>
      <c r="T142" s="36">
        <f>IF('Enrollment Census'!T142="","",TRIM('Enrollment Census'!T142&amp;""))</f>
        <v/>
      </c>
      <c r="U142" s="39">
        <f>IF('Enrollment Census'!U142="","",'Enrollment Census'!U142)</f>
        <v/>
      </c>
    </row>
    <row r="143">
      <c r="A143" s="36">
        <f>IF('Enrollment Census'!A143="","",TRIM('Enrollment Census'!A143&amp;""))</f>
        <v/>
      </c>
      <c r="B143" s="36">
        <f>IF('Enrollment Census'!B143="","",TRIM('Enrollment Census'!B143&amp;""))</f>
        <v/>
      </c>
      <c r="C143" s="37">
        <f>IF('Enrollment Census'!C143="","",TRIM('Enrollment Census'!C143&amp;""))</f>
        <v/>
      </c>
      <c r="D143" s="37">
        <f>IF('Enrollment Census'!D143="","",TRIM('Enrollment Census'!D143&amp;""))</f>
        <v/>
      </c>
      <c r="E143" s="36">
        <f>IF('Enrollment Census'!E143="","",TRIM('Enrollment Census'!E143&amp;""))</f>
        <v/>
      </c>
      <c r="F143" s="37">
        <f>IF('Enrollment Census'!F143="","",TRIM('Enrollment Census'!F143&amp;""))</f>
        <v/>
      </c>
      <c r="G143" s="37">
        <f>IF('Enrollment Census'!G143="","",TRIM('Enrollment Census'!G143&amp;""))</f>
        <v/>
      </c>
      <c r="H143" s="37">
        <f>IF('Enrollment Census'!H143="","",TRIM('Enrollment Census'!H143&amp;""))</f>
        <v/>
      </c>
      <c r="I143" s="36">
        <f>IF('Enrollment Census'!I143="","",TRIM('Enrollment Census'!I143&amp;""))</f>
        <v/>
      </c>
      <c r="J143" s="36">
        <f>IF('Enrollment Census'!J143="","",TRIM('Enrollment Census'!J143&amp;""))</f>
        <v/>
      </c>
      <c r="K143" s="36">
        <f>IF('Enrollment Census'!K143="","",TRIM('Enrollment Census'!K143&amp;""))</f>
        <v/>
      </c>
      <c r="L143" s="38">
        <f>IF('Enrollment Census'!L143="","",'Enrollment Census'!L143)</f>
        <v/>
      </c>
      <c r="M143" s="36">
        <f>IF('Enrollment Census'!M143="","",TRIM('Enrollment Census'!M143&amp;""))</f>
        <v/>
      </c>
      <c r="N143" s="36">
        <f>IF('Enrollment Census'!N143="","",LOWER(TRIM('Enrollment Census'!N143&amp;"")))</f>
        <v/>
      </c>
      <c r="O143" s="36">
        <f>IF('Enrollment Census'!O143="","",TRIM('Enrollment Census'!O143&amp;""))</f>
        <v/>
      </c>
      <c r="P143" s="38">
        <f>IF('Enrollment Census'!P143="","",'Enrollment Census'!P143)</f>
        <v/>
      </c>
      <c r="Q143" s="38">
        <f>IF('Enrollment Census'!Q143="","",'Enrollment Census'!Q143)</f>
        <v/>
      </c>
      <c r="R143" s="36">
        <f>IF('Enrollment Census'!R143="","",TRIM('Enrollment Census'!R143&amp;""))</f>
        <v/>
      </c>
      <c r="S143" s="36">
        <f>IF('Enrollment Census'!S143="","",TRIM('Enrollment Census'!S143&amp;""))</f>
        <v/>
      </c>
      <c r="T143" s="36">
        <f>IF('Enrollment Census'!T143="","",TRIM('Enrollment Census'!T143&amp;""))</f>
        <v/>
      </c>
      <c r="U143" s="39">
        <f>IF('Enrollment Census'!U143="","",'Enrollment Census'!U143)</f>
        <v/>
      </c>
    </row>
    <row r="144">
      <c r="A144" s="36">
        <f>IF('Enrollment Census'!A144="","",TRIM('Enrollment Census'!A144&amp;""))</f>
        <v/>
      </c>
      <c r="B144" s="36">
        <f>IF('Enrollment Census'!B144="","",TRIM('Enrollment Census'!B144&amp;""))</f>
        <v/>
      </c>
      <c r="C144" s="37">
        <f>IF('Enrollment Census'!C144="","",TRIM('Enrollment Census'!C144&amp;""))</f>
        <v/>
      </c>
      <c r="D144" s="37">
        <f>IF('Enrollment Census'!D144="","",TRIM('Enrollment Census'!D144&amp;""))</f>
        <v/>
      </c>
      <c r="E144" s="36">
        <f>IF('Enrollment Census'!E144="","",TRIM('Enrollment Census'!E144&amp;""))</f>
        <v/>
      </c>
      <c r="F144" s="37">
        <f>IF('Enrollment Census'!F144="","",TRIM('Enrollment Census'!F144&amp;""))</f>
        <v/>
      </c>
      <c r="G144" s="37">
        <f>IF('Enrollment Census'!G144="","",TRIM('Enrollment Census'!G144&amp;""))</f>
        <v/>
      </c>
      <c r="H144" s="37">
        <f>IF('Enrollment Census'!H144="","",TRIM('Enrollment Census'!H144&amp;""))</f>
        <v/>
      </c>
      <c r="I144" s="36">
        <f>IF('Enrollment Census'!I144="","",TRIM('Enrollment Census'!I144&amp;""))</f>
        <v/>
      </c>
      <c r="J144" s="36">
        <f>IF('Enrollment Census'!J144="","",TRIM('Enrollment Census'!J144&amp;""))</f>
        <v/>
      </c>
      <c r="K144" s="36">
        <f>IF('Enrollment Census'!K144="","",TRIM('Enrollment Census'!K144&amp;""))</f>
        <v/>
      </c>
      <c r="L144" s="38">
        <f>IF('Enrollment Census'!L144="","",'Enrollment Census'!L144)</f>
        <v/>
      </c>
      <c r="M144" s="36">
        <f>IF('Enrollment Census'!M144="","",TRIM('Enrollment Census'!M144&amp;""))</f>
        <v/>
      </c>
      <c r="N144" s="36">
        <f>IF('Enrollment Census'!N144="","",LOWER(TRIM('Enrollment Census'!N144&amp;"")))</f>
        <v/>
      </c>
      <c r="O144" s="36">
        <f>IF('Enrollment Census'!O144="","",TRIM('Enrollment Census'!O144&amp;""))</f>
        <v/>
      </c>
      <c r="P144" s="38">
        <f>IF('Enrollment Census'!P144="","",'Enrollment Census'!P144)</f>
        <v/>
      </c>
      <c r="Q144" s="38">
        <f>IF('Enrollment Census'!Q144="","",'Enrollment Census'!Q144)</f>
        <v/>
      </c>
      <c r="R144" s="36">
        <f>IF('Enrollment Census'!R144="","",TRIM('Enrollment Census'!R144&amp;""))</f>
        <v/>
      </c>
      <c r="S144" s="36">
        <f>IF('Enrollment Census'!S144="","",TRIM('Enrollment Census'!S144&amp;""))</f>
        <v/>
      </c>
      <c r="T144" s="36">
        <f>IF('Enrollment Census'!T144="","",TRIM('Enrollment Census'!T144&amp;""))</f>
        <v/>
      </c>
      <c r="U144" s="39">
        <f>IF('Enrollment Census'!U144="","",'Enrollment Census'!U144)</f>
        <v/>
      </c>
    </row>
    <row r="145">
      <c r="A145" s="36">
        <f>IF('Enrollment Census'!A145="","",TRIM('Enrollment Census'!A145&amp;""))</f>
        <v/>
      </c>
      <c r="B145" s="36">
        <f>IF('Enrollment Census'!B145="","",TRIM('Enrollment Census'!B145&amp;""))</f>
        <v/>
      </c>
      <c r="C145" s="37">
        <f>IF('Enrollment Census'!C145="","",TRIM('Enrollment Census'!C145&amp;""))</f>
        <v/>
      </c>
      <c r="D145" s="37">
        <f>IF('Enrollment Census'!D145="","",TRIM('Enrollment Census'!D145&amp;""))</f>
        <v/>
      </c>
      <c r="E145" s="36">
        <f>IF('Enrollment Census'!E145="","",TRIM('Enrollment Census'!E145&amp;""))</f>
        <v/>
      </c>
      <c r="F145" s="37">
        <f>IF('Enrollment Census'!F145="","",TRIM('Enrollment Census'!F145&amp;""))</f>
        <v/>
      </c>
      <c r="G145" s="37">
        <f>IF('Enrollment Census'!G145="","",TRIM('Enrollment Census'!G145&amp;""))</f>
        <v/>
      </c>
      <c r="H145" s="37">
        <f>IF('Enrollment Census'!H145="","",TRIM('Enrollment Census'!H145&amp;""))</f>
        <v/>
      </c>
      <c r="I145" s="36">
        <f>IF('Enrollment Census'!I145="","",TRIM('Enrollment Census'!I145&amp;""))</f>
        <v/>
      </c>
      <c r="J145" s="36">
        <f>IF('Enrollment Census'!J145="","",TRIM('Enrollment Census'!J145&amp;""))</f>
        <v/>
      </c>
      <c r="K145" s="36">
        <f>IF('Enrollment Census'!K145="","",TRIM('Enrollment Census'!K145&amp;""))</f>
        <v/>
      </c>
      <c r="L145" s="38">
        <f>IF('Enrollment Census'!L145="","",'Enrollment Census'!L145)</f>
        <v/>
      </c>
      <c r="M145" s="36">
        <f>IF('Enrollment Census'!M145="","",TRIM('Enrollment Census'!M145&amp;""))</f>
        <v/>
      </c>
      <c r="N145" s="36">
        <f>IF('Enrollment Census'!N145="","",LOWER(TRIM('Enrollment Census'!N145&amp;"")))</f>
        <v/>
      </c>
      <c r="O145" s="36">
        <f>IF('Enrollment Census'!O145="","",TRIM('Enrollment Census'!O145&amp;""))</f>
        <v/>
      </c>
      <c r="P145" s="38">
        <f>IF('Enrollment Census'!P145="","",'Enrollment Census'!P145)</f>
        <v/>
      </c>
      <c r="Q145" s="38">
        <f>IF('Enrollment Census'!Q145="","",'Enrollment Census'!Q145)</f>
        <v/>
      </c>
      <c r="R145" s="36">
        <f>IF('Enrollment Census'!R145="","",TRIM('Enrollment Census'!R145&amp;""))</f>
        <v/>
      </c>
      <c r="S145" s="36">
        <f>IF('Enrollment Census'!S145="","",TRIM('Enrollment Census'!S145&amp;""))</f>
        <v/>
      </c>
      <c r="T145" s="36">
        <f>IF('Enrollment Census'!T145="","",TRIM('Enrollment Census'!T145&amp;""))</f>
        <v/>
      </c>
      <c r="U145" s="39">
        <f>IF('Enrollment Census'!U145="","",'Enrollment Census'!U145)</f>
        <v/>
      </c>
    </row>
    <row r="146">
      <c r="A146" s="36">
        <f>IF('Enrollment Census'!A146="","",TRIM('Enrollment Census'!A146&amp;""))</f>
        <v/>
      </c>
      <c r="B146" s="36">
        <f>IF('Enrollment Census'!B146="","",TRIM('Enrollment Census'!B146&amp;""))</f>
        <v/>
      </c>
      <c r="C146" s="37">
        <f>IF('Enrollment Census'!C146="","",TRIM('Enrollment Census'!C146&amp;""))</f>
        <v/>
      </c>
      <c r="D146" s="37">
        <f>IF('Enrollment Census'!D146="","",TRIM('Enrollment Census'!D146&amp;""))</f>
        <v/>
      </c>
      <c r="E146" s="36">
        <f>IF('Enrollment Census'!E146="","",TRIM('Enrollment Census'!E146&amp;""))</f>
        <v/>
      </c>
      <c r="F146" s="37">
        <f>IF('Enrollment Census'!F146="","",TRIM('Enrollment Census'!F146&amp;""))</f>
        <v/>
      </c>
      <c r="G146" s="37">
        <f>IF('Enrollment Census'!G146="","",TRIM('Enrollment Census'!G146&amp;""))</f>
        <v/>
      </c>
      <c r="H146" s="37">
        <f>IF('Enrollment Census'!H146="","",TRIM('Enrollment Census'!H146&amp;""))</f>
        <v/>
      </c>
      <c r="I146" s="36">
        <f>IF('Enrollment Census'!I146="","",TRIM('Enrollment Census'!I146&amp;""))</f>
        <v/>
      </c>
      <c r="J146" s="36">
        <f>IF('Enrollment Census'!J146="","",TRIM('Enrollment Census'!J146&amp;""))</f>
        <v/>
      </c>
      <c r="K146" s="36">
        <f>IF('Enrollment Census'!K146="","",TRIM('Enrollment Census'!K146&amp;""))</f>
        <v/>
      </c>
      <c r="L146" s="38">
        <f>IF('Enrollment Census'!L146="","",'Enrollment Census'!L146)</f>
        <v/>
      </c>
      <c r="M146" s="36">
        <f>IF('Enrollment Census'!M146="","",TRIM('Enrollment Census'!M146&amp;""))</f>
        <v/>
      </c>
      <c r="N146" s="36">
        <f>IF('Enrollment Census'!N146="","",LOWER(TRIM('Enrollment Census'!N146&amp;"")))</f>
        <v/>
      </c>
      <c r="O146" s="36">
        <f>IF('Enrollment Census'!O146="","",TRIM('Enrollment Census'!O146&amp;""))</f>
        <v/>
      </c>
      <c r="P146" s="38">
        <f>IF('Enrollment Census'!P146="","",'Enrollment Census'!P146)</f>
        <v/>
      </c>
      <c r="Q146" s="38">
        <f>IF('Enrollment Census'!Q146="","",'Enrollment Census'!Q146)</f>
        <v/>
      </c>
      <c r="R146" s="36">
        <f>IF('Enrollment Census'!R146="","",TRIM('Enrollment Census'!R146&amp;""))</f>
        <v/>
      </c>
      <c r="S146" s="36">
        <f>IF('Enrollment Census'!S146="","",TRIM('Enrollment Census'!S146&amp;""))</f>
        <v/>
      </c>
      <c r="T146" s="36">
        <f>IF('Enrollment Census'!T146="","",TRIM('Enrollment Census'!T146&amp;""))</f>
        <v/>
      </c>
      <c r="U146" s="39">
        <f>IF('Enrollment Census'!U146="","",'Enrollment Census'!U146)</f>
        <v/>
      </c>
    </row>
    <row r="147">
      <c r="A147" s="36">
        <f>IF('Enrollment Census'!A147="","",TRIM('Enrollment Census'!A147&amp;""))</f>
        <v/>
      </c>
      <c r="B147" s="36">
        <f>IF('Enrollment Census'!B147="","",TRIM('Enrollment Census'!B147&amp;""))</f>
        <v/>
      </c>
      <c r="C147" s="37">
        <f>IF('Enrollment Census'!C147="","",TRIM('Enrollment Census'!C147&amp;""))</f>
        <v/>
      </c>
      <c r="D147" s="37">
        <f>IF('Enrollment Census'!D147="","",TRIM('Enrollment Census'!D147&amp;""))</f>
        <v/>
      </c>
      <c r="E147" s="36">
        <f>IF('Enrollment Census'!E147="","",TRIM('Enrollment Census'!E147&amp;""))</f>
        <v/>
      </c>
      <c r="F147" s="37">
        <f>IF('Enrollment Census'!F147="","",TRIM('Enrollment Census'!F147&amp;""))</f>
        <v/>
      </c>
      <c r="G147" s="37">
        <f>IF('Enrollment Census'!G147="","",TRIM('Enrollment Census'!G147&amp;""))</f>
        <v/>
      </c>
      <c r="H147" s="37">
        <f>IF('Enrollment Census'!H147="","",TRIM('Enrollment Census'!H147&amp;""))</f>
        <v/>
      </c>
      <c r="I147" s="36">
        <f>IF('Enrollment Census'!I147="","",TRIM('Enrollment Census'!I147&amp;""))</f>
        <v/>
      </c>
      <c r="J147" s="36">
        <f>IF('Enrollment Census'!J147="","",TRIM('Enrollment Census'!J147&amp;""))</f>
        <v/>
      </c>
      <c r="K147" s="36">
        <f>IF('Enrollment Census'!K147="","",TRIM('Enrollment Census'!K147&amp;""))</f>
        <v/>
      </c>
      <c r="L147" s="38">
        <f>IF('Enrollment Census'!L147="","",'Enrollment Census'!L147)</f>
        <v/>
      </c>
      <c r="M147" s="36">
        <f>IF('Enrollment Census'!M147="","",TRIM('Enrollment Census'!M147&amp;""))</f>
        <v/>
      </c>
      <c r="N147" s="36">
        <f>IF('Enrollment Census'!N147="","",LOWER(TRIM('Enrollment Census'!N147&amp;"")))</f>
        <v/>
      </c>
      <c r="O147" s="36">
        <f>IF('Enrollment Census'!O147="","",TRIM('Enrollment Census'!O147&amp;""))</f>
        <v/>
      </c>
      <c r="P147" s="38">
        <f>IF('Enrollment Census'!P147="","",'Enrollment Census'!P147)</f>
        <v/>
      </c>
      <c r="Q147" s="38">
        <f>IF('Enrollment Census'!Q147="","",'Enrollment Census'!Q147)</f>
        <v/>
      </c>
      <c r="R147" s="36">
        <f>IF('Enrollment Census'!R147="","",TRIM('Enrollment Census'!R147&amp;""))</f>
        <v/>
      </c>
      <c r="S147" s="36">
        <f>IF('Enrollment Census'!S147="","",TRIM('Enrollment Census'!S147&amp;""))</f>
        <v/>
      </c>
      <c r="T147" s="36">
        <f>IF('Enrollment Census'!T147="","",TRIM('Enrollment Census'!T147&amp;""))</f>
        <v/>
      </c>
      <c r="U147" s="39">
        <f>IF('Enrollment Census'!U147="","",'Enrollment Census'!U147)</f>
        <v/>
      </c>
    </row>
    <row r="148">
      <c r="A148" s="36">
        <f>IF('Enrollment Census'!A148="","",TRIM('Enrollment Census'!A148&amp;""))</f>
        <v/>
      </c>
      <c r="B148" s="36">
        <f>IF('Enrollment Census'!B148="","",TRIM('Enrollment Census'!B148&amp;""))</f>
        <v/>
      </c>
      <c r="C148" s="37">
        <f>IF('Enrollment Census'!C148="","",TRIM('Enrollment Census'!C148&amp;""))</f>
        <v/>
      </c>
      <c r="D148" s="37">
        <f>IF('Enrollment Census'!D148="","",TRIM('Enrollment Census'!D148&amp;""))</f>
        <v/>
      </c>
      <c r="E148" s="36">
        <f>IF('Enrollment Census'!E148="","",TRIM('Enrollment Census'!E148&amp;""))</f>
        <v/>
      </c>
      <c r="F148" s="37">
        <f>IF('Enrollment Census'!F148="","",TRIM('Enrollment Census'!F148&amp;""))</f>
        <v/>
      </c>
      <c r="G148" s="37">
        <f>IF('Enrollment Census'!G148="","",TRIM('Enrollment Census'!G148&amp;""))</f>
        <v/>
      </c>
      <c r="H148" s="37">
        <f>IF('Enrollment Census'!H148="","",TRIM('Enrollment Census'!H148&amp;""))</f>
        <v/>
      </c>
      <c r="I148" s="36">
        <f>IF('Enrollment Census'!I148="","",TRIM('Enrollment Census'!I148&amp;""))</f>
        <v/>
      </c>
      <c r="J148" s="36">
        <f>IF('Enrollment Census'!J148="","",TRIM('Enrollment Census'!J148&amp;""))</f>
        <v/>
      </c>
      <c r="K148" s="36">
        <f>IF('Enrollment Census'!K148="","",TRIM('Enrollment Census'!K148&amp;""))</f>
        <v/>
      </c>
      <c r="L148" s="38">
        <f>IF('Enrollment Census'!L148="","",'Enrollment Census'!L148)</f>
        <v/>
      </c>
      <c r="M148" s="36">
        <f>IF('Enrollment Census'!M148="","",TRIM('Enrollment Census'!M148&amp;""))</f>
        <v/>
      </c>
      <c r="N148" s="36">
        <f>IF('Enrollment Census'!N148="","",LOWER(TRIM('Enrollment Census'!N148&amp;"")))</f>
        <v/>
      </c>
      <c r="O148" s="36">
        <f>IF('Enrollment Census'!O148="","",TRIM('Enrollment Census'!O148&amp;""))</f>
        <v/>
      </c>
      <c r="P148" s="38">
        <f>IF('Enrollment Census'!P148="","",'Enrollment Census'!P148)</f>
        <v/>
      </c>
      <c r="Q148" s="38">
        <f>IF('Enrollment Census'!Q148="","",'Enrollment Census'!Q148)</f>
        <v/>
      </c>
      <c r="R148" s="36">
        <f>IF('Enrollment Census'!R148="","",TRIM('Enrollment Census'!R148&amp;""))</f>
        <v/>
      </c>
      <c r="S148" s="36">
        <f>IF('Enrollment Census'!S148="","",TRIM('Enrollment Census'!S148&amp;""))</f>
        <v/>
      </c>
      <c r="T148" s="36">
        <f>IF('Enrollment Census'!T148="","",TRIM('Enrollment Census'!T148&amp;""))</f>
        <v/>
      </c>
      <c r="U148" s="39">
        <f>IF('Enrollment Census'!U148="","",'Enrollment Census'!U148)</f>
        <v/>
      </c>
    </row>
    <row r="149">
      <c r="A149" s="36">
        <f>IF('Enrollment Census'!A149="","",TRIM('Enrollment Census'!A149&amp;""))</f>
        <v/>
      </c>
      <c r="B149" s="36">
        <f>IF('Enrollment Census'!B149="","",TRIM('Enrollment Census'!B149&amp;""))</f>
        <v/>
      </c>
      <c r="C149" s="37">
        <f>IF('Enrollment Census'!C149="","",TRIM('Enrollment Census'!C149&amp;""))</f>
        <v/>
      </c>
      <c r="D149" s="37">
        <f>IF('Enrollment Census'!D149="","",TRIM('Enrollment Census'!D149&amp;""))</f>
        <v/>
      </c>
      <c r="E149" s="36">
        <f>IF('Enrollment Census'!E149="","",TRIM('Enrollment Census'!E149&amp;""))</f>
        <v/>
      </c>
      <c r="F149" s="37">
        <f>IF('Enrollment Census'!F149="","",TRIM('Enrollment Census'!F149&amp;""))</f>
        <v/>
      </c>
      <c r="G149" s="37">
        <f>IF('Enrollment Census'!G149="","",TRIM('Enrollment Census'!G149&amp;""))</f>
        <v/>
      </c>
      <c r="H149" s="37">
        <f>IF('Enrollment Census'!H149="","",TRIM('Enrollment Census'!H149&amp;""))</f>
        <v/>
      </c>
      <c r="I149" s="36">
        <f>IF('Enrollment Census'!I149="","",TRIM('Enrollment Census'!I149&amp;""))</f>
        <v/>
      </c>
      <c r="J149" s="36">
        <f>IF('Enrollment Census'!J149="","",TRIM('Enrollment Census'!J149&amp;""))</f>
        <v/>
      </c>
      <c r="K149" s="36">
        <f>IF('Enrollment Census'!K149="","",TRIM('Enrollment Census'!K149&amp;""))</f>
        <v/>
      </c>
      <c r="L149" s="38">
        <f>IF('Enrollment Census'!L149="","",'Enrollment Census'!L149)</f>
        <v/>
      </c>
      <c r="M149" s="36">
        <f>IF('Enrollment Census'!M149="","",TRIM('Enrollment Census'!M149&amp;""))</f>
        <v/>
      </c>
      <c r="N149" s="36">
        <f>IF('Enrollment Census'!N149="","",LOWER(TRIM('Enrollment Census'!N149&amp;"")))</f>
        <v/>
      </c>
      <c r="O149" s="36">
        <f>IF('Enrollment Census'!O149="","",TRIM('Enrollment Census'!O149&amp;""))</f>
        <v/>
      </c>
      <c r="P149" s="38">
        <f>IF('Enrollment Census'!P149="","",'Enrollment Census'!P149)</f>
        <v/>
      </c>
      <c r="Q149" s="38">
        <f>IF('Enrollment Census'!Q149="","",'Enrollment Census'!Q149)</f>
        <v/>
      </c>
      <c r="R149" s="36">
        <f>IF('Enrollment Census'!R149="","",TRIM('Enrollment Census'!R149&amp;""))</f>
        <v/>
      </c>
      <c r="S149" s="36">
        <f>IF('Enrollment Census'!S149="","",TRIM('Enrollment Census'!S149&amp;""))</f>
        <v/>
      </c>
      <c r="T149" s="36">
        <f>IF('Enrollment Census'!T149="","",TRIM('Enrollment Census'!T149&amp;""))</f>
        <v/>
      </c>
      <c r="U149" s="39">
        <f>IF('Enrollment Census'!U149="","",'Enrollment Census'!U149)</f>
        <v/>
      </c>
    </row>
    <row r="150">
      <c r="A150" s="36">
        <f>IF('Enrollment Census'!A150="","",TRIM('Enrollment Census'!A150&amp;""))</f>
        <v/>
      </c>
      <c r="B150" s="36">
        <f>IF('Enrollment Census'!B150="","",TRIM('Enrollment Census'!B150&amp;""))</f>
        <v/>
      </c>
      <c r="C150" s="37">
        <f>IF('Enrollment Census'!C150="","",TRIM('Enrollment Census'!C150&amp;""))</f>
        <v/>
      </c>
      <c r="D150" s="37">
        <f>IF('Enrollment Census'!D150="","",TRIM('Enrollment Census'!D150&amp;""))</f>
        <v/>
      </c>
      <c r="E150" s="36">
        <f>IF('Enrollment Census'!E150="","",TRIM('Enrollment Census'!E150&amp;""))</f>
        <v/>
      </c>
      <c r="F150" s="37">
        <f>IF('Enrollment Census'!F150="","",TRIM('Enrollment Census'!F150&amp;""))</f>
        <v/>
      </c>
      <c r="G150" s="37">
        <f>IF('Enrollment Census'!G150="","",TRIM('Enrollment Census'!G150&amp;""))</f>
        <v/>
      </c>
      <c r="H150" s="37">
        <f>IF('Enrollment Census'!H150="","",TRIM('Enrollment Census'!H150&amp;""))</f>
        <v/>
      </c>
      <c r="I150" s="36">
        <f>IF('Enrollment Census'!I150="","",TRIM('Enrollment Census'!I150&amp;""))</f>
        <v/>
      </c>
      <c r="J150" s="36">
        <f>IF('Enrollment Census'!J150="","",TRIM('Enrollment Census'!J150&amp;""))</f>
        <v/>
      </c>
      <c r="K150" s="36">
        <f>IF('Enrollment Census'!K150="","",TRIM('Enrollment Census'!K150&amp;""))</f>
        <v/>
      </c>
      <c r="L150" s="38">
        <f>IF('Enrollment Census'!L150="","",'Enrollment Census'!L150)</f>
        <v/>
      </c>
      <c r="M150" s="36">
        <f>IF('Enrollment Census'!M150="","",TRIM('Enrollment Census'!M150&amp;""))</f>
        <v/>
      </c>
      <c r="N150" s="36">
        <f>IF('Enrollment Census'!N150="","",LOWER(TRIM('Enrollment Census'!N150&amp;"")))</f>
        <v/>
      </c>
      <c r="O150" s="36">
        <f>IF('Enrollment Census'!O150="","",TRIM('Enrollment Census'!O150&amp;""))</f>
        <v/>
      </c>
      <c r="P150" s="38">
        <f>IF('Enrollment Census'!P150="","",'Enrollment Census'!P150)</f>
        <v/>
      </c>
      <c r="Q150" s="38">
        <f>IF('Enrollment Census'!Q150="","",'Enrollment Census'!Q150)</f>
        <v/>
      </c>
      <c r="R150" s="36">
        <f>IF('Enrollment Census'!R150="","",TRIM('Enrollment Census'!R150&amp;""))</f>
        <v/>
      </c>
      <c r="S150" s="36">
        <f>IF('Enrollment Census'!S150="","",TRIM('Enrollment Census'!S150&amp;""))</f>
        <v/>
      </c>
      <c r="T150" s="36">
        <f>IF('Enrollment Census'!T150="","",TRIM('Enrollment Census'!T150&amp;""))</f>
        <v/>
      </c>
      <c r="U150" s="39">
        <f>IF('Enrollment Census'!U150="","",'Enrollment Census'!U150)</f>
        <v/>
      </c>
    </row>
    <row r="151">
      <c r="A151" s="36">
        <f>IF('Enrollment Census'!A151="","",TRIM('Enrollment Census'!A151&amp;""))</f>
        <v/>
      </c>
      <c r="B151" s="36">
        <f>IF('Enrollment Census'!B151="","",TRIM('Enrollment Census'!B151&amp;""))</f>
        <v/>
      </c>
      <c r="C151" s="37">
        <f>IF('Enrollment Census'!C151="","",TRIM('Enrollment Census'!C151&amp;""))</f>
        <v/>
      </c>
      <c r="D151" s="37">
        <f>IF('Enrollment Census'!D151="","",TRIM('Enrollment Census'!D151&amp;""))</f>
        <v/>
      </c>
      <c r="E151" s="36">
        <f>IF('Enrollment Census'!E151="","",TRIM('Enrollment Census'!E151&amp;""))</f>
        <v/>
      </c>
      <c r="F151" s="37">
        <f>IF('Enrollment Census'!F151="","",TRIM('Enrollment Census'!F151&amp;""))</f>
        <v/>
      </c>
      <c r="G151" s="37">
        <f>IF('Enrollment Census'!G151="","",TRIM('Enrollment Census'!G151&amp;""))</f>
        <v/>
      </c>
      <c r="H151" s="37">
        <f>IF('Enrollment Census'!H151="","",TRIM('Enrollment Census'!H151&amp;""))</f>
        <v/>
      </c>
      <c r="I151" s="36">
        <f>IF('Enrollment Census'!I151="","",TRIM('Enrollment Census'!I151&amp;""))</f>
        <v/>
      </c>
      <c r="J151" s="36">
        <f>IF('Enrollment Census'!J151="","",TRIM('Enrollment Census'!J151&amp;""))</f>
        <v/>
      </c>
      <c r="K151" s="36">
        <f>IF('Enrollment Census'!K151="","",TRIM('Enrollment Census'!K151&amp;""))</f>
        <v/>
      </c>
      <c r="L151" s="38">
        <f>IF('Enrollment Census'!L151="","",'Enrollment Census'!L151)</f>
        <v/>
      </c>
      <c r="M151" s="36">
        <f>IF('Enrollment Census'!M151="","",TRIM('Enrollment Census'!M151&amp;""))</f>
        <v/>
      </c>
      <c r="N151" s="36">
        <f>IF('Enrollment Census'!N151="","",LOWER(TRIM('Enrollment Census'!N151&amp;"")))</f>
        <v/>
      </c>
      <c r="O151" s="36">
        <f>IF('Enrollment Census'!O151="","",TRIM('Enrollment Census'!O151&amp;""))</f>
        <v/>
      </c>
      <c r="P151" s="38">
        <f>IF('Enrollment Census'!P151="","",'Enrollment Census'!P151)</f>
        <v/>
      </c>
      <c r="Q151" s="38">
        <f>IF('Enrollment Census'!Q151="","",'Enrollment Census'!Q151)</f>
        <v/>
      </c>
      <c r="R151" s="36">
        <f>IF('Enrollment Census'!R151="","",TRIM('Enrollment Census'!R151&amp;""))</f>
        <v/>
      </c>
      <c r="S151" s="36">
        <f>IF('Enrollment Census'!S151="","",TRIM('Enrollment Census'!S151&amp;""))</f>
        <v/>
      </c>
      <c r="T151" s="36">
        <f>IF('Enrollment Census'!T151="","",TRIM('Enrollment Census'!T151&amp;""))</f>
        <v/>
      </c>
      <c r="U151" s="39">
        <f>IF('Enrollment Census'!U151="","",'Enrollment Census'!U151)</f>
        <v/>
      </c>
    </row>
    <row r="152">
      <c r="A152" s="36">
        <f>IF('Enrollment Census'!A152="","",TRIM('Enrollment Census'!A152&amp;""))</f>
        <v/>
      </c>
      <c r="B152" s="36">
        <f>IF('Enrollment Census'!B152="","",TRIM('Enrollment Census'!B152&amp;""))</f>
        <v/>
      </c>
      <c r="C152" s="37">
        <f>IF('Enrollment Census'!C152="","",TRIM('Enrollment Census'!C152&amp;""))</f>
        <v/>
      </c>
      <c r="D152" s="37">
        <f>IF('Enrollment Census'!D152="","",TRIM('Enrollment Census'!D152&amp;""))</f>
        <v/>
      </c>
      <c r="E152" s="36">
        <f>IF('Enrollment Census'!E152="","",TRIM('Enrollment Census'!E152&amp;""))</f>
        <v/>
      </c>
      <c r="F152" s="37">
        <f>IF('Enrollment Census'!F152="","",TRIM('Enrollment Census'!F152&amp;""))</f>
        <v/>
      </c>
      <c r="G152" s="37">
        <f>IF('Enrollment Census'!G152="","",TRIM('Enrollment Census'!G152&amp;""))</f>
        <v/>
      </c>
      <c r="H152" s="37">
        <f>IF('Enrollment Census'!H152="","",TRIM('Enrollment Census'!H152&amp;""))</f>
        <v/>
      </c>
      <c r="I152" s="36">
        <f>IF('Enrollment Census'!I152="","",TRIM('Enrollment Census'!I152&amp;""))</f>
        <v/>
      </c>
      <c r="J152" s="36">
        <f>IF('Enrollment Census'!J152="","",TRIM('Enrollment Census'!J152&amp;""))</f>
        <v/>
      </c>
      <c r="K152" s="36">
        <f>IF('Enrollment Census'!K152="","",TRIM('Enrollment Census'!K152&amp;""))</f>
        <v/>
      </c>
      <c r="L152" s="38">
        <f>IF('Enrollment Census'!L152="","",'Enrollment Census'!L152)</f>
        <v/>
      </c>
      <c r="M152" s="36">
        <f>IF('Enrollment Census'!M152="","",TRIM('Enrollment Census'!M152&amp;""))</f>
        <v/>
      </c>
      <c r="N152" s="36">
        <f>IF('Enrollment Census'!N152="","",LOWER(TRIM('Enrollment Census'!N152&amp;"")))</f>
        <v/>
      </c>
      <c r="O152" s="36">
        <f>IF('Enrollment Census'!O152="","",TRIM('Enrollment Census'!O152&amp;""))</f>
        <v/>
      </c>
      <c r="P152" s="38">
        <f>IF('Enrollment Census'!P152="","",'Enrollment Census'!P152)</f>
        <v/>
      </c>
      <c r="Q152" s="38">
        <f>IF('Enrollment Census'!Q152="","",'Enrollment Census'!Q152)</f>
        <v/>
      </c>
      <c r="R152" s="36">
        <f>IF('Enrollment Census'!R152="","",TRIM('Enrollment Census'!R152&amp;""))</f>
        <v/>
      </c>
      <c r="S152" s="36">
        <f>IF('Enrollment Census'!S152="","",TRIM('Enrollment Census'!S152&amp;""))</f>
        <v/>
      </c>
      <c r="T152" s="36">
        <f>IF('Enrollment Census'!T152="","",TRIM('Enrollment Census'!T152&amp;""))</f>
        <v/>
      </c>
      <c r="U152" s="39">
        <f>IF('Enrollment Census'!U152="","",'Enrollment Census'!U152)</f>
        <v/>
      </c>
    </row>
    <row r="153">
      <c r="A153" s="36">
        <f>IF('Enrollment Census'!A153="","",TRIM('Enrollment Census'!A153&amp;""))</f>
        <v/>
      </c>
      <c r="B153" s="36">
        <f>IF('Enrollment Census'!B153="","",TRIM('Enrollment Census'!B153&amp;""))</f>
        <v/>
      </c>
      <c r="C153" s="37">
        <f>IF('Enrollment Census'!C153="","",TRIM('Enrollment Census'!C153&amp;""))</f>
        <v/>
      </c>
      <c r="D153" s="37">
        <f>IF('Enrollment Census'!D153="","",TRIM('Enrollment Census'!D153&amp;""))</f>
        <v/>
      </c>
      <c r="E153" s="36">
        <f>IF('Enrollment Census'!E153="","",TRIM('Enrollment Census'!E153&amp;""))</f>
        <v/>
      </c>
      <c r="F153" s="37">
        <f>IF('Enrollment Census'!F153="","",TRIM('Enrollment Census'!F153&amp;""))</f>
        <v/>
      </c>
      <c r="G153" s="37">
        <f>IF('Enrollment Census'!G153="","",TRIM('Enrollment Census'!G153&amp;""))</f>
        <v/>
      </c>
      <c r="H153" s="37">
        <f>IF('Enrollment Census'!H153="","",TRIM('Enrollment Census'!H153&amp;""))</f>
        <v/>
      </c>
      <c r="I153" s="36">
        <f>IF('Enrollment Census'!I153="","",TRIM('Enrollment Census'!I153&amp;""))</f>
        <v/>
      </c>
      <c r="J153" s="36">
        <f>IF('Enrollment Census'!J153="","",TRIM('Enrollment Census'!J153&amp;""))</f>
        <v/>
      </c>
      <c r="K153" s="36">
        <f>IF('Enrollment Census'!K153="","",TRIM('Enrollment Census'!K153&amp;""))</f>
        <v/>
      </c>
      <c r="L153" s="38">
        <f>IF('Enrollment Census'!L153="","",'Enrollment Census'!L153)</f>
        <v/>
      </c>
      <c r="M153" s="36">
        <f>IF('Enrollment Census'!M153="","",TRIM('Enrollment Census'!M153&amp;""))</f>
        <v/>
      </c>
      <c r="N153" s="36">
        <f>IF('Enrollment Census'!N153="","",LOWER(TRIM('Enrollment Census'!N153&amp;"")))</f>
        <v/>
      </c>
      <c r="O153" s="36">
        <f>IF('Enrollment Census'!O153="","",TRIM('Enrollment Census'!O153&amp;""))</f>
        <v/>
      </c>
      <c r="P153" s="38">
        <f>IF('Enrollment Census'!P153="","",'Enrollment Census'!P153)</f>
        <v/>
      </c>
      <c r="Q153" s="38">
        <f>IF('Enrollment Census'!Q153="","",'Enrollment Census'!Q153)</f>
        <v/>
      </c>
      <c r="R153" s="36">
        <f>IF('Enrollment Census'!R153="","",TRIM('Enrollment Census'!R153&amp;""))</f>
        <v/>
      </c>
      <c r="S153" s="36">
        <f>IF('Enrollment Census'!S153="","",TRIM('Enrollment Census'!S153&amp;""))</f>
        <v/>
      </c>
      <c r="T153" s="36">
        <f>IF('Enrollment Census'!T153="","",TRIM('Enrollment Census'!T153&amp;""))</f>
        <v/>
      </c>
      <c r="U153" s="39">
        <f>IF('Enrollment Census'!U153="","",'Enrollment Census'!U153)</f>
        <v/>
      </c>
    </row>
    <row r="154">
      <c r="A154" s="36">
        <f>IF('Enrollment Census'!A154="","",TRIM('Enrollment Census'!A154&amp;""))</f>
        <v/>
      </c>
      <c r="B154" s="36">
        <f>IF('Enrollment Census'!B154="","",TRIM('Enrollment Census'!B154&amp;""))</f>
        <v/>
      </c>
      <c r="C154" s="37">
        <f>IF('Enrollment Census'!C154="","",TRIM('Enrollment Census'!C154&amp;""))</f>
        <v/>
      </c>
      <c r="D154" s="37">
        <f>IF('Enrollment Census'!D154="","",TRIM('Enrollment Census'!D154&amp;""))</f>
        <v/>
      </c>
      <c r="E154" s="36">
        <f>IF('Enrollment Census'!E154="","",TRIM('Enrollment Census'!E154&amp;""))</f>
        <v/>
      </c>
      <c r="F154" s="37">
        <f>IF('Enrollment Census'!F154="","",TRIM('Enrollment Census'!F154&amp;""))</f>
        <v/>
      </c>
      <c r="G154" s="37">
        <f>IF('Enrollment Census'!G154="","",TRIM('Enrollment Census'!G154&amp;""))</f>
        <v/>
      </c>
      <c r="H154" s="37">
        <f>IF('Enrollment Census'!H154="","",TRIM('Enrollment Census'!H154&amp;""))</f>
        <v/>
      </c>
      <c r="I154" s="36">
        <f>IF('Enrollment Census'!I154="","",TRIM('Enrollment Census'!I154&amp;""))</f>
        <v/>
      </c>
      <c r="J154" s="36">
        <f>IF('Enrollment Census'!J154="","",TRIM('Enrollment Census'!J154&amp;""))</f>
        <v/>
      </c>
      <c r="K154" s="36">
        <f>IF('Enrollment Census'!K154="","",TRIM('Enrollment Census'!K154&amp;""))</f>
        <v/>
      </c>
      <c r="L154" s="38">
        <f>IF('Enrollment Census'!L154="","",'Enrollment Census'!L154)</f>
        <v/>
      </c>
      <c r="M154" s="36">
        <f>IF('Enrollment Census'!M154="","",TRIM('Enrollment Census'!M154&amp;""))</f>
        <v/>
      </c>
      <c r="N154" s="36">
        <f>IF('Enrollment Census'!N154="","",LOWER(TRIM('Enrollment Census'!N154&amp;"")))</f>
        <v/>
      </c>
      <c r="O154" s="36">
        <f>IF('Enrollment Census'!O154="","",TRIM('Enrollment Census'!O154&amp;""))</f>
        <v/>
      </c>
      <c r="P154" s="38">
        <f>IF('Enrollment Census'!P154="","",'Enrollment Census'!P154)</f>
        <v/>
      </c>
      <c r="Q154" s="38">
        <f>IF('Enrollment Census'!Q154="","",'Enrollment Census'!Q154)</f>
        <v/>
      </c>
      <c r="R154" s="36">
        <f>IF('Enrollment Census'!R154="","",TRIM('Enrollment Census'!R154&amp;""))</f>
        <v/>
      </c>
      <c r="S154" s="36">
        <f>IF('Enrollment Census'!S154="","",TRIM('Enrollment Census'!S154&amp;""))</f>
        <v/>
      </c>
      <c r="T154" s="36">
        <f>IF('Enrollment Census'!T154="","",TRIM('Enrollment Census'!T154&amp;""))</f>
        <v/>
      </c>
      <c r="U154" s="39">
        <f>IF('Enrollment Census'!U154="","",'Enrollment Census'!U154)</f>
        <v/>
      </c>
    </row>
    <row r="155">
      <c r="A155" s="36">
        <f>IF('Enrollment Census'!A155="","",TRIM('Enrollment Census'!A155&amp;""))</f>
        <v/>
      </c>
      <c r="B155" s="36">
        <f>IF('Enrollment Census'!B155="","",TRIM('Enrollment Census'!B155&amp;""))</f>
        <v/>
      </c>
      <c r="C155" s="37">
        <f>IF('Enrollment Census'!C155="","",TRIM('Enrollment Census'!C155&amp;""))</f>
        <v/>
      </c>
      <c r="D155" s="37">
        <f>IF('Enrollment Census'!D155="","",TRIM('Enrollment Census'!D155&amp;""))</f>
        <v/>
      </c>
      <c r="E155" s="36">
        <f>IF('Enrollment Census'!E155="","",TRIM('Enrollment Census'!E155&amp;""))</f>
        <v/>
      </c>
      <c r="F155" s="37">
        <f>IF('Enrollment Census'!F155="","",TRIM('Enrollment Census'!F155&amp;""))</f>
        <v/>
      </c>
      <c r="G155" s="37">
        <f>IF('Enrollment Census'!G155="","",TRIM('Enrollment Census'!G155&amp;""))</f>
        <v/>
      </c>
      <c r="H155" s="37">
        <f>IF('Enrollment Census'!H155="","",TRIM('Enrollment Census'!H155&amp;""))</f>
        <v/>
      </c>
      <c r="I155" s="36">
        <f>IF('Enrollment Census'!I155="","",TRIM('Enrollment Census'!I155&amp;""))</f>
        <v/>
      </c>
      <c r="J155" s="36">
        <f>IF('Enrollment Census'!J155="","",TRIM('Enrollment Census'!J155&amp;""))</f>
        <v/>
      </c>
      <c r="K155" s="36">
        <f>IF('Enrollment Census'!K155="","",TRIM('Enrollment Census'!K155&amp;""))</f>
        <v/>
      </c>
      <c r="L155" s="38">
        <f>IF('Enrollment Census'!L155="","",'Enrollment Census'!L155)</f>
        <v/>
      </c>
      <c r="M155" s="36">
        <f>IF('Enrollment Census'!M155="","",TRIM('Enrollment Census'!M155&amp;""))</f>
        <v/>
      </c>
      <c r="N155" s="36">
        <f>IF('Enrollment Census'!N155="","",LOWER(TRIM('Enrollment Census'!N155&amp;"")))</f>
        <v/>
      </c>
      <c r="O155" s="36">
        <f>IF('Enrollment Census'!O155="","",TRIM('Enrollment Census'!O155&amp;""))</f>
        <v/>
      </c>
      <c r="P155" s="38">
        <f>IF('Enrollment Census'!P155="","",'Enrollment Census'!P155)</f>
        <v/>
      </c>
      <c r="Q155" s="38">
        <f>IF('Enrollment Census'!Q155="","",'Enrollment Census'!Q155)</f>
        <v/>
      </c>
      <c r="R155" s="36">
        <f>IF('Enrollment Census'!R155="","",TRIM('Enrollment Census'!R155&amp;""))</f>
        <v/>
      </c>
      <c r="S155" s="36">
        <f>IF('Enrollment Census'!S155="","",TRIM('Enrollment Census'!S155&amp;""))</f>
        <v/>
      </c>
      <c r="T155" s="36">
        <f>IF('Enrollment Census'!T155="","",TRIM('Enrollment Census'!T155&amp;""))</f>
        <v/>
      </c>
      <c r="U155" s="39">
        <f>IF('Enrollment Census'!U155="","",'Enrollment Census'!U155)</f>
        <v/>
      </c>
    </row>
    <row r="156">
      <c r="A156" s="36">
        <f>IF('Enrollment Census'!A156="","",TRIM('Enrollment Census'!A156&amp;""))</f>
        <v/>
      </c>
      <c r="B156" s="36">
        <f>IF('Enrollment Census'!B156="","",TRIM('Enrollment Census'!B156&amp;""))</f>
        <v/>
      </c>
      <c r="C156" s="37">
        <f>IF('Enrollment Census'!C156="","",TRIM('Enrollment Census'!C156&amp;""))</f>
        <v/>
      </c>
      <c r="D156" s="37">
        <f>IF('Enrollment Census'!D156="","",TRIM('Enrollment Census'!D156&amp;""))</f>
        <v/>
      </c>
      <c r="E156" s="36">
        <f>IF('Enrollment Census'!E156="","",TRIM('Enrollment Census'!E156&amp;""))</f>
        <v/>
      </c>
      <c r="F156" s="37">
        <f>IF('Enrollment Census'!F156="","",TRIM('Enrollment Census'!F156&amp;""))</f>
        <v/>
      </c>
      <c r="G156" s="37">
        <f>IF('Enrollment Census'!G156="","",TRIM('Enrollment Census'!G156&amp;""))</f>
        <v/>
      </c>
      <c r="H156" s="37">
        <f>IF('Enrollment Census'!H156="","",TRIM('Enrollment Census'!H156&amp;""))</f>
        <v/>
      </c>
      <c r="I156" s="36">
        <f>IF('Enrollment Census'!I156="","",TRIM('Enrollment Census'!I156&amp;""))</f>
        <v/>
      </c>
      <c r="J156" s="36">
        <f>IF('Enrollment Census'!J156="","",TRIM('Enrollment Census'!J156&amp;""))</f>
        <v/>
      </c>
      <c r="K156" s="36">
        <f>IF('Enrollment Census'!K156="","",TRIM('Enrollment Census'!K156&amp;""))</f>
        <v/>
      </c>
      <c r="L156" s="38">
        <f>IF('Enrollment Census'!L156="","",'Enrollment Census'!L156)</f>
        <v/>
      </c>
      <c r="M156" s="36">
        <f>IF('Enrollment Census'!M156="","",TRIM('Enrollment Census'!M156&amp;""))</f>
        <v/>
      </c>
      <c r="N156" s="36">
        <f>IF('Enrollment Census'!N156="","",LOWER(TRIM('Enrollment Census'!N156&amp;"")))</f>
        <v/>
      </c>
      <c r="O156" s="36">
        <f>IF('Enrollment Census'!O156="","",TRIM('Enrollment Census'!O156&amp;""))</f>
        <v/>
      </c>
      <c r="P156" s="38">
        <f>IF('Enrollment Census'!P156="","",'Enrollment Census'!P156)</f>
        <v/>
      </c>
      <c r="Q156" s="38">
        <f>IF('Enrollment Census'!Q156="","",'Enrollment Census'!Q156)</f>
        <v/>
      </c>
      <c r="R156" s="36">
        <f>IF('Enrollment Census'!R156="","",TRIM('Enrollment Census'!R156&amp;""))</f>
        <v/>
      </c>
      <c r="S156" s="36">
        <f>IF('Enrollment Census'!S156="","",TRIM('Enrollment Census'!S156&amp;""))</f>
        <v/>
      </c>
      <c r="T156" s="36">
        <f>IF('Enrollment Census'!T156="","",TRIM('Enrollment Census'!T156&amp;""))</f>
        <v/>
      </c>
      <c r="U156" s="39">
        <f>IF('Enrollment Census'!U156="","",'Enrollment Census'!U156)</f>
        <v/>
      </c>
    </row>
    <row r="157">
      <c r="A157" s="36">
        <f>IF('Enrollment Census'!A157="","",TRIM('Enrollment Census'!A157&amp;""))</f>
        <v/>
      </c>
      <c r="B157" s="36">
        <f>IF('Enrollment Census'!B157="","",TRIM('Enrollment Census'!B157&amp;""))</f>
        <v/>
      </c>
      <c r="C157" s="37">
        <f>IF('Enrollment Census'!C157="","",TRIM('Enrollment Census'!C157&amp;""))</f>
        <v/>
      </c>
      <c r="D157" s="37">
        <f>IF('Enrollment Census'!D157="","",TRIM('Enrollment Census'!D157&amp;""))</f>
        <v/>
      </c>
      <c r="E157" s="36">
        <f>IF('Enrollment Census'!E157="","",TRIM('Enrollment Census'!E157&amp;""))</f>
        <v/>
      </c>
      <c r="F157" s="37">
        <f>IF('Enrollment Census'!F157="","",TRIM('Enrollment Census'!F157&amp;""))</f>
        <v/>
      </c>
      <c r="G157" s="37">
        <f>IF('Enrollment Census'!G157="","",TRIM('Enrollment Census'!G157&amp;""))</f>
        <v/>
      </c>
      <c r="H157" s="37">
        <f>IF('Enrollment Census'!H157="","",TRIM('Enrollment Census'!H157&amp;""))</f>
        <v/>
      </c>
      <c r="I157" s="36">
        <f>IF('Enrollment Census'!I157="","",TRIM('Enrollment Census'!I157&amp;""))</f>
        <v/>
      </c>
      <c r="J157" s="36">
        <f>IF('Enrollment Census'!J157="","",TRIM('Enrollment Census'!J157&amp;""))</f>
        <v/>
      </c>
      <c r="K157" s="36">
        <f>IF('Enrollment Census'!K157="","",TRIM('Enrollment Census'!K157&amp;""))</f>
        <v/>
      </c>
      <c r="L157" s="38">
        <f>IF('Enrollment Census'!L157="","",'Enrollment Census'!L157)</f>
        <v/>
      </c>
      <c r="M157" s="36">
        <f>IF('Enrollment Census'!M157="","",TRIM('Enrollment Census'!M157&amp;""))</f>
        <v/>
      </c>
      <c r="N157" s="36">
        <f>IF('Enrollment Census'!N157="","",LOWER(TRIM('Enrollment Census'!N157&amp;"")))</f>
        <v/>
      </c>
      <c r="O157" s="36">
        <f>IF('Enrollment Census'!O157="","",TRIM('Enrollment Census'!O157&amp;""))</f>
        <v/>
      </c>
      <c r="P157" s="38">
        <f>IF('Enrollment Census'!P157="","",'Enrollment Census'!P157)</f>
        <v/>
      </c>
      <c r="Q157" s="38">
        <f>IF('Enrollment Census'!Q157="","",'Enrollment Census'!Q157)</f>
        <v/>
      </c>
      <c r="R157" s="36">
        <f>IF('Enrollment Census'!R157="","",TRIM('Enrollment Census'!R157&amp;""))</f>
        <v/>
      </c>
      <c r="S157" s="36">
        <f>IF('Enrollment Census'!S157="","",TRIM('Enrollment Census'!S157&amp;""))</f>
        <v/>
      </c>
      <c r="T157" s="36">
        <f>IF('Enrollment Census'!T157="","",TRIM('Enrollment Census'!T157&amp;""))</f>
        <v/>
      </c>
      <c r="U157" s="39">
        <f>IF('Enrollment Census'!U157="","",'Enrollment Census'!U157)</f>
        <v/>
      </c>
    </row>
    <row r="158">
      <c r="A158" s="36">
        <f>IF('Enrollment Census'!A158="","",TRIM('Enrollment Census'!A158&amp;""))</f>
        <v/>
      </c>
      <c r="B158" s="36">
        <f>IF('Enrollment Census'!B158="","",TRIM('Enrollment Census'!B158&amp;""))</f>
        <v/>
      </c>
      <c r="C158" s="37">
        <f>IF('Enrollment Census'!C158="","",TRIM('Enrollment Census'!C158&amp;""))</f>
        <v/>
      </c>
      <c r="D158" s="37">
        <f>IF('Enrollment Census'!D158="","",TRIM('Enrollment Census'!D158&amp;""))</f>
        <v/>
      </c>
      <c r="E158" s="36">
        <f>IF('Enrollment Census'!E158="","",TRIM('Enrollment Census'!E158&amp;""))</f>
        <v/>
      </c>
      <c r="F158" s="37">
        <f>IF('Enrollment Census'!F158="","",TRIM('Enrollment Census'!F158&amp;""))</f>
        <v/>
      </c>
      <c r="G158" s="37">
        <f>IF('Enrollment Census'!G158="","",TRIM('Enrollment Census'!G158&amp;""))</f>
        <v/>
      </c>
      <c r="H158" s="37">
        <f>IF('Enrollment Census'!H158="","",TRIM('Enrollment Census'!H158&amp;""))</f>
        <v/>
      </c>
      <c r="I158" s="36">
        <f>IF('Enrollment Census'!I158="","",TRIM('Enrollment Census'!I158&amp;""))</f>
        <v/>
      </c>
      <c r="J158" s="36">
        <f>IF('Enrollment Census'!J158="","",TRIM('Enrollment Census'!J158&amp;""))</f>
        <v/>
      </c>
      <c r="K158" s="36">
        <f>IF('Enrollment Census'!K158="","",TRIM('Enrollment Census'!K158&amp;""))</f>
        <v/>
      </c>
      <c r="L158" s="38">
        <f>IF('Enrollment Census'!L158="","",'Enrollment Census'!L158)</f>
        <v/>
      </c>
      <c r="M158" s="36">
        <f>IF('Enrollment Census'!M158="","",TRIM('Enrollment Census'!M158&amp;""))</f>
        <v/>
      </c>
      <c r="N158" s="36">
        <f>IF('Enrollment Census'!N158="","",LOWER(TRIM('Enrollment Census'!N158&amp;"")))</f>
        <v/>
      </c>
      <c r="O158" s="36">
        <f>IF('Enrollment Census'!O158="","",TRIM('Enrollment Census'!O158&amp;""))</f>
        <v/>
      </c>
      <c r="P158" s="38">
        <f>IF('Enrollment Census'!P158="","",'Enrollment Census'!P158)</f>
        <v/>
      </c>
      <c r="Q158" s="38">
        <f>IF('Enrollment Census'!Q158="","",'Enrollment Census'!Q158)</f>
        <v/>
      </c>
      <c r="R158" s="36">
        <f>IF('Enrollment Census'!R158="","",TRIM('Enrollment Census'!R158&amp;""))</f>
        <v/>
      </c>
      <c r="S158" s="36">
        <f>IF('Enrollment Census'!S158="","",TRIM('Enrollment Census'!S158&amp;""))</f>
        <v/>
      </c>
      <c r="T158" s="36">
        <f>IF('Enrollment Census'!T158="","",TRIM('Enrollment Census'!T158&amp;""))</f>
        <v/>
      </c>
      <c r="U158" s="39">
        <f>IF('Enrollment Census'!U158="","",'Enrollment Census'!U158)</f>
        <v/>
      </c>
    </row>
    <row r="159">
      <c r="A159" s="36">
        <f>IF('Enrollment Census'!A159="","",TRIM('Enrollment Census'!A159&amp;""))</f>
        <v/>
      </c>
      <c r="B159" s="36">
        <f>IF('Enrollment Census'!B159="","",TRIM('Enrollment Census'!B159&amp;""))</f>
        <v/>
      </c>
      <c r="C159" s="37">
        <f>IF('Enrollment Census'!C159="","",TRIM('Enrollment Census'!C159&amp;""))</f>
        <v/>
      </c>
      <c r="D159" s="37">
        <f>IF('Enrollment Census'!D159="","",TRIM('Enrollment Census'!D159&amp;""))</f>
        <v/>
      </c>
      <c r="E159" s="36">
        <f>IF('Enrollment Census'!E159="","",TRIM('Enrollment Census'!E159&amp;""))</f>
        <v/>
      </c>
      <c r="F159" s="37">
        <f>IF('Enrollment Census'!F159="","",TRIM('Enrollment Census'!F159&amp;""))</f>
        <v/>
      </c>
      <c r="G159" s="37">
        <f>IF('Enrollment Census'!G159="","",TRIM('Enrollment Census'!G159&amp;""))</f>
        <v/>
      </c>
      <c r="H159" s="37">
        <f>IF('Enrollment Census'!H159="","",TRIM('Enrollment Census'!H159&amp;""))</f>
        <v/>
      </c>
      <c r="I159" s="36">
        <f>IF('Enrollment Census'!I159="","",TRIM('Enrollment Census'!I159&amp;""))</f>
        <v/>
      </c>
      <c r="J159" s="36">
        <f>IF('Enrollment Census'!J159="","",TRIM('Enrollment Census'!J159&amp;""))</f>
        <v/>
      </c>
      <c r="K159" s="36">
        <f>IF('Enrollment Census'!K159="","",TRIM('Enrollment Census'!K159&amp;""))</f>
        <v/>
      </c>
      <c r="L159" s="38">
        <f>IF('Enrollment Census'!L159="","",'Enrollment Census'!L159)</f>
        <v/>
      </c>
      <c r="M159" s="36">
        <f>IF('Enrollment Census'!M159="","",TRIM('Enrollment Census'!M159&amp;""))</f>
        <v/>
      </c>
      <c r="N159" s="36">
        <f>IF('Enrollment Census'!N159="","",LOWER(TRIM('Enrollment Census'!N159&amp;"")))</f>
        <v/>
      </c>
      <c r="O159" s="36">
        <f>IF('Enrollment Census'!O159="","",TRIM('Enrollment Census'!O159&amp;""))</f>
        <v/>
      </c>
      <c r="P159" s="38">
        <f>IF('Enrollment Census'!P159="","",'Enrollment Census'!P159)</f>
        <v/>
      </c>
      <c r="Q159" s="38">
        <f>IF('Enrollment Census'!Q159="","",'Enrollment Census'!Q159)</f>
        <v/>
      </c>
      <c r="R159" s="36">
        <f>IF('Enrollment Census'!R159="","",TRIM('Enrollment Census'!R159&amp;""))</f>
        <v/>
      </c>
      <c r="S159" s="36">
        <f>IF('Enrollment Census'!S159="","",TRIM('Enrollment Census'!S159&amp;""))</f>
        <v/>
      </c>
      <c r="T159" s="36">
        <f>IF('Enrollment Census'!T159="","",TRIM('Enrollment Census'!T159&amp;""))</f>
        <v/>
      </c>
      <c r="U159" s="39">
        <f>IF('Enrollment Census'!U159="","",'Enrollment Census'!U159)</f>
        <v/>
      </c>
    </row>
    <row r="160">
      <c r="A160" s="36">
        <f>IF('Enrollment Census'!A160="","",TRIM('Enrollment Census'!A160&amp;""))</f>
        <v/>
      </c>
      <c r="B160" s="36">
        <f>IF('Enrollment Census'!B160="","",TRIM('Enrollment Census'!B160&amp;""))</f>
        <v/>
      </c>
      <c r="C160" s="37">
        <f>IF('Enrollment Census'!C160="","",TRIM('Enrollment Census'!C160&amp;""))</f>
        <v/>
      </c>
      <c r="D160" s="37">
        <f>IF('Enrollment Census'!D160="","",TRIM('Enrollment Census'!D160&amp;""))</f>
        <v/>
      </c>
      <c r="E160" s="36">
        <f>IF('Enrollment Census'!E160="","",TRIM('Enrollment Census'!E160&amp;""))</f>
        <v/>
      </c>
      <c r="F160" s="37">
        <f>IF('Enrollment Census'!F160="","",TRIM('Enrollment Census'!F160&amp;""))</f>
        <v/>
      </c>
      <c r="G160" s="37">
        <f>IF('Enrollment Census'!G160="","",TRIM('Enrollment Census'!G160&amp;""))</f>
        <v/>
      </c>
      <c r="H160" s="37">
        <f>IF('Enrollment Census'!H160="","",TRIM('Enrollment Census'!H160&amp;""))</f>
        <v/>
      </c>
      <c r="I160" s="36">
        <f>IF('Enrollment Census'!I160="","",TRIM('Enrollment Census'!I160&amp;""))</f>
        <v/>
      </c>
      <c r="J160" s="36">
        <f>IF('Enrollment Census'!J160="","",TRIM('Enrollment Census'!J160&amp;""))</f>
        <v/>
      </c>
      <c r="K160" s="36">
        <f>IF('Enrollment Census'!K160="","",TRIM('Enrollment Census'!K160&amp;""))</f>
        <v/>
      </c>
      <c r="L160" s="38">
        <f>IF('Enrollment Census'!L160="","",'Enrollment Census'!L160)</f>
        <v/>
      </c>
      <c r="M160" s="36">
        <f>IF('Enrollment Census'!M160="","",TRIM('Enrollment Census'!M160&amp;""))</f>
        <v/>
      </c>
      <c r="N160" s="36">
        <f>IF('Enrollment Census'!N160="","",LOWER(TRIM('Enrollment Census'!N160&amp;"")))</f>
        <v/>
      </c>
      <c r="O160" s="36">
        <f>IF('Enrollment Census'!O160="","",TRIM('Enrollment Census'!O160&amp;""))</f>
        <v/>
      </c>
      <c r="P160" s="38">
        <f>IF('Enrollment Census'!P160="","",'Enrollment Census'!P160)</f>
        <v/>
      </c>
      <c r="Q160" s="38">
        <f>IF('Enrollment Census'!Q160="","",'Enrollment Census'!Q160)</f>
        <v/>
      </c>
      <c r="R160" s="36">
        <f>IF('Enrollment Census'!R160="","",TRIM('Enrollment Census'!R160&amp;""))</f>
        <v/>
      </c>
      <c r="S160" s="36">
        <f>IF('Enrollment Census'!S160="","",TRIM('Enrollment Census'!S160&amp;""))</f>
        <v/>
      </c>
      <c r="T160" s="36">
        <f>IF('Enrollment Census'!T160="","",TRIM('Enrollment Census'!T160&amp;""))</f>
        <v/>
      </c>
      <c r="U160" s="39">
        <f>IF('Enrollment Census'!U160="","",'Enrollment Census'!U160)</f>
        <v/>
      </c>
    </row>
    <row r="161">
      <c r="A161" s="36">
        <f>IF('Enrollment Census'!A161="","",TRIM('Enrollment Census'!A161&amp;""))</f>
        <v/>
      </c>
      <c r="B161" s="36">
        <f>IF('Enrollment Census'!B161="","",TRIM('Enrollment Census'!B161&amp;""))</f>
        <v/>
      </c>
      <c r="C161" s="37">
        <f>IF('Enrollment Census'!C161="","",TRIM('Enrollment Census'!C161&amp;""))</f>
        <v/>
      </c>
      <c r="D161" s="37">
        <f>IF('Enrollment Census'!D161="","",TRIM('Enrollment Census'!D161&amp;""))</f>
        <v/>
      </c>
      <c r="E161" s="36">
        <f>IF('Enrollment Census'!E161="","",TRIM('Enrollment Census'!E161&amp;""))</f>
        <v/>
      </c>
      <c r="F161" s="37">
        <f>IF('Enrollment Census'!F161="","",TRIM('Enrollment Census'!F161&amp;""))</f>
        <v/>
      </c>
      <c r="G161" s="37">
        <f>IF('Enrollment Census'!G161="","",TRIM('Enrollment Census'!G161&amp;""))</f>
        <v/>
      </c>
      <c r="H161" s="37">
        <f>IF('Enrollment Census'!H161="","",TRIM('Enrollment Census'!H161&amp;""))</f>
        <v/>
      </c>
      <c r="I161" s="36">
        <f>IF('Enrollment Census'!I161="","",TRIM('Enrollment Census'!I161&amp;""))</f>
        <v/>
      </c>
      <c r="J161" s="36">
        <f>IF('Enrollment Census'!J161="","",TRIM('Enrollment Census'!J161&amp;""))</f>
        <v/>
      </c>
      <c r="K161" s="36">
        <f>IF('Enrollment Census'!K161="","",TRIM('Enrollment Census'!K161&amp;""))</f>
        <v/>
      </c>
      <c r="L161" s="38">
        <f>IF('Enrollment Census'!L161="","",'Enrollment Census'!L161)</f>
        <v/>
      </c>
      <c r="M161" s="36">
        <f>IF('Enrollment Census'!M161="","",TRIM('Enrollment Census'!M161&amp;""))</f>
        <v/>
      </c>
      <c r="N161" s="36">
        <f>IF('Enrollment Census'!N161="","",LOWER(TRIM('Enrollment Census'!N161&amp;"")))</f>
        <v/>
      </c>
      <c r="O161" s="36">
        <f>IF('Enrollment Census'!O161="","",TRIM('Enrollment Census'!O161&amp;""))</f>
        <v/>
      </c>
      <c r="P161" s="38">
        <f>IF('Enrollment Census'!P161="","",'Enrollment Census'!P161)</f>
        <v/>
      </c>
      <c r="Q161" s="38">
        <f>IF('Enrollment Census'!Q161="","",'Enrollment Census'!Q161)</f>
        <v/>
      </c>
      <c r="R161" s="36">
        <f>IF('Enrollment Census'!R161="","",TRIM('Enrollment Census'!R161&amp;""))</f>
        <v/>
      </c>
      <c r="S161" s="36">
        <f>IF('Enrollment Census'!S161="","",TRIM('Enrollment Census'!S161&amp;""))</f>
        <v/>
      </c>
      <c r="T161" s="36">
        <f>IF('Enrollment Census'!T161="","",TRIM('Enrollment Census'!T161&amp;""))</f>
        <v/>
      </c>
      <c r="U161" s="39">
        <f>IF('Enrollment Census'!U161="","",'Enrollment Census'!U161)</f>
        <v/>
      </c>
    </row>
    <row r="162">
      <c r="A162" s="36">
        <f>IF('Enrollment Census'!A162="","",TRIM('Enrollment Census'!A162&amp;""))</f>
        <v/>
      </c>
      <c r="B162" s="36">
        <f>IF('Enrollment Census'!B162="","",TRIM('Enrollment Census'!B162&amp;""))</f>
        <v/>
      </c>
      <c r="C162" s="37">
        <f>IF('Enrollment Census'!C162="","",TRIM('Enrollment Census'!C162&amp;""))</f>
        <v/>
      </c>
      <c r="D162" s="37">
        <f>IF('Enrollment Census'!D162="","",TRIM('Enrollment Census'!D162&amp;""))</f>
        <v/>
      </c>
      <c r="E162" s="36">
        <f>IF('Enrollment Census'!E162="","",TRIM('Enrollment Census'!E162&amp;""))</f>
        <v/>
      </c>
      <c r="F162" s="37">
        <f>IF('Enrollment Census'!F162="","",TRIM('Enrollment Census'!F162&amp;""))</f>
        <v/>
      </c>
      <c r="G162" s="37">
        <f>IF('Enrollment Census'!G162="","",TRIM('Enrollment Census'!G162&amp;""))</f>
        <v/>
      </c>
      <c r="H162" s="37">
        <f>IF('Enrollment Census'!H162="","",TRIM('Enrollment Census'!H162&amp;""))</f>
        <v/>
      </c>
      <c r="I162" s="36">
        <f>IF('Enrollment Census'!I162="","",TRIM('Enrollment Census'!I162&amp;""))</f>
        <v/>
      </c>
      <c r="J162" s="36">
        <f>IF('Enrollment Census'!J162="","",TRIM('Enrollment Census'!J162&amp;""))</f>
        <v/>
      </c>
      <c r="K162" s="36">
        <f>IF('Enrollment Census'!K162="","",TRIM('Enrollment Census'!K162&amp;""))</f>
        <v/>
      </c>
      <c r="L162" s="38">
        <f>IF('Enrollment Census'!L162="","",'Enrollment Census'!L162)</f>
        <v/>
      </c>
      <c r="M162" s="36">
        <f>IF('Enrollment Census'!M162="","",TRIM('Enrollment Census'!M162&amp;""))</f>
        <v/>
      </c>
      <c r="N162" s="36">
        <f>IF('Enrollment Census'!N162="","",LOWER(TRIM('Enrollment Census'!N162&amp;"")))</f>
        <v/>
      </c>
      <c r="O162" s="36">
        <f>IF('Enrollment Census'!O162="","",TRIM('Enrollment Census'!O162&amp;""))</f>
        <v/>
      </c>
      <c r="P162" s="38">
        <f>IF('Enrollment Census'!P162="","",'Enrollment Census'!P162)</f>
        <v/>
      </c>
      <c r="Q162" s="38">
        <f>IF('Enrollment Census'!Q162="","",'Enrollment Census'!Q162)</f>
        <v/>
      </c>
      <c r="R162" s="36">
        <f>IF('Enrollment Census'!R162="","",TRIM('Enrollment Census'!R162&amp;""))</f>
        <v/>
      </c>
      <c r="S162" s="36">
        <f>IF('Enrollment Census'!S162="","",TRIM('Enrollment Census'!S162&amp;""))</f>
        <v/>
      </c>
      <c r="T162" s="36">
        <f>IF('Enrollment Census'!T162="","",TRIM('Enrollment Census'!T162&amp;""))</f>
        <v/>
      </c>
      <c r="U162" s="39">
        <f>IF('Enrollment Census'!U162="","",'Enrollment Census'!U162)</f>
        <v/>
      </c>
    </row>
    <row r="163">
      <c r="A163" s="36">
        <f>IF('Enrollment Census'!A163="","",TRIM('Enrollment Census'!A163&amp;""))</f>
        <v/>
      </c>
      <c r="B163" s="36">
        <f>IF('Enrollment Census'!B163="","",TRIM('Enrollment Census'!B163&amp;""))</f>
        <v/>
      </c>
      <c r="C163" s="37">
        <f>IF('Enrollment Census'!C163="","",TRIM('Enrollment Census'!C163&amp;""))</f>
        <v/>
      </c>
      <c r="D163" s="37">
        <f>IF('Enrollment Census'!D163="","",TRIM('Enrollment Census'!D163&amp;""))</f>
        <v/>
      </c>
      <c r="E163" s="36">
        <f>IF('Enrollment Census'!E163="","",TRIM('Enrollment Census'!E163&amp;""))</f>
        <v/>
      </c>
      <c r="F163" s="37">
        <f>IF('Enrollment Census'!F163="","",TRIM('Enrollment Census'!F163&amp;""))</f>
        <v/>
      </c>
      <c r="G163" s="37">
        <f>IF('Enrollment Census'!G163="","",TRIM('Enrollment Census'!G163&amp;""))</f>
        <v/>
      </c>
      <c r="H163" s="37">
        <f>IF('Enrollment Census'!H163="","",TRIM('Enrollment Census'!H163&amp;""))</f>
        <v/>
      </c>
      <c r="I163" s="36">
        <f>IF('Enrollment Census'!I163="","",TRIM('Enrollment Census'!I163&amp;""))</f>
        <v/>
      </c>
      <c r="J163" s="36">
        <f>IF('Enrollment Census'!J163="","",TRIM('Enrollment Census'!J163&amp;""))</f>
        <v/>
      </c>
      <c r="K163" s="36">
        <f>IF('Enrollment Census'!K163="","",TRIM('Enrollment Census'!K163&amp;""))</f>
        <v/>
      </c>
      <c r="L163" s="38">
        <f>IF('Enrollment Census'!L163="","",'Enrollment Census'!L163)</f>
        <v/>
      </c>
      <c r="M163" s="36">
        <f>IF('Enrollment Census'!M163="","",TRIM('Enrollment Census'!M163&amp;""))</f>
        <v/>
      </c>
      <c r="N163" s="36">
        <f>IF('Enrollment Census'!N163="","",LOWER(TRIM('Enrollment Census'!N163&amp;"")))</f>
        <v/>
      </c>
      <c r="O163" s="36">
        <f>IF('Enrollment Census'!O163="","",TRIM('Enrollment Census'!O163&amp;""))</f>
        <v/>
      </c>
      <c r="P163" s="38">
        <f>IF('Enrollment Census'!P163="","",'Enrollment Census'!P163)</f>
        <v/>
      </c>
      <c r="Q163" s="38">
        <f>IF('Enrollment Census'!Q163="","",'Enrollment Census'!Q163)</f>
        <v/>
      </c>
      <c r="R163" s="36">
        <f>IF('Enrollment Census'!R163="","",TRIM('Enrollment Census'!R163&amp;""))</f>
        <v/>
      </c>
      <c r="S163" s="36">
        <f>IF('Enrollment Census'!S163="","",TRIM('Enrollment Census'!S163&amp;""))</f>
        <v/>
      </c>
      <c r="T163" s="36">
        <f>IF('Enrollment Census'!T163="","",TRIM('Enrollment Census'!T163&amp;""))</f>
        <v/>
      </c>
      <c r="U163" s="39">
        <f>IF('Enrollment Census'!U163="","",'Enrollment Census'!U163)</f>
        <v/>
      </c>
    </row>
    <row r="164">
      <c r="A164" s="36">
        <f>IF('Enrollment Census'!A164="","",TRIM('Enrollment Census'!A164&amp;""))</f>
        <v/>
      </c>
      <c r="B164" s="36">
        <f>IF('Enrollment Census'!B164="","",TRIM('Enrollment Census'!B164&amp;""))</f>
        <v/>
      </c>
      <c r="C164" s="37">
        <f>IF('Enrollment Census'!C164="","",TRIM('Enrollment Census'!C164&amp;""))</f>
        <v/>
      </c>
      <c r="D164" s="37">
        <f>IF('Enrollment Census'!D164="","",TRIM('Enrollment Census'!D164&amp;""))</f>
        <v/>
      </c>
      <c r="E164" s="36">
        <f>IF('Enrollment Census'!E164="","",TRIM('Enrollment Census'!E164&amp;""))</f>
        <v/>
      </c>
      <c r="F164" s="37">
        <f>IF('Enrollment Census'!F164="","",TRIM('Enrollment Census'!F164&amp;""))</f>
        <v/>
      </c>
      <c r="G164" s="37">
        <f>IF('Enrollment Census'!G164="","",TRIM('Enrollment Census'!G164&amp;""))</f>
        <v/>
      </c>
      <c r="H164" s="37">
        <f>IF('Enrollment Census'!H164="","",TRIM('Enrollment Census'!H164&amp;""))</f>
        <v/>
      </c>
      <c r="I164" s="36">
        <f>IF('Enrollment Census'!I164="","",TRIM('Enrollment Census'!I164&amp;""))</f>
        <v/>
      </c>
      <c r="J164" s="36">
        <f>IF('Enrollment Census'!J164="","",TRIM('Enrollment Census'!J164&amp;""))</f>
        <v/>
      </c>
      <c r="K164" s="36">
        <f>IF('Enrollment Census'!K164="","",TRIM('Enrollment Census'!K164&amp;""))</f>
        <v/>
      </c>
      <c r="L164" s="38">
        <f>IF('Enrollment Census'!L164="","",'Enrollment Census'!L164)</f>
        <v/>
      </c>
      <c r="M164" s="36">
        <f>IF('Enrollment Census'!M164="","",TRIM('Enrollment Census'!M164&amp;""))</f>
        <v/>
      </c>
      <c r="N164" s="36">
        <f>IF('Enrollment Census'!N164="","",LOWER(TRIM('Enrollment Census'!N164&amp;"")))</f>
        <v/>
      </c>
      <c r="O164" s="36">
        <f>IF('Enrollment Census'!O164="","",TRIM('Enrollment Census'!O164&amp;""))</f>
        <v/>
      </c>
      <c r="P164" s="38">
        <f>IF('Enrollment Census'!P164="","",'Enrollment Census'!P164)</f>
        <v/>
      </c>
      <c r="Q164" s="38">
        <f>IF('Enrollment Census'!Q164="","",'Enrollment Census'!Q164)</f>
        <v/>
      </c>
      <c r="R164" s="36">
        <f>IF('Enrollment Census'!R164="","",TRIM('Enrollment Census'!R164&amp;""))</f>
        <v/>
      </c>
      <c r="S164" s="36">
        <f>IF('Enrollment Census'!S164="","",TRIM('Enrollment Census'!S164&amp;""))</f>
        <v/>
      </c>
      <c r="T164" s="36">
        <f>IF('Enrollment Census'!T164="","",TRIM('Enrollment Census'!T164&amp;""))</f>
        <v/>
      </c>
      <c r="U164" s="39">
        <f>IF('Enrollment Census'!U164="","",'Enrollment Census'!U164)</f>
        <v/>
      </c>
    </row>
    <row r="165">
      <c r="A165" s="36">
        <f>IF('Enrollment Census'!A165="","",TRIM('Enrollment Census'!A165&amp;""))</f>
        <v/>
      </c>
      <c r="B165" s="36">
        <f>IF('Enrollment Census'!B165="","",TRIM('Enrollment Census'!B165&amp;""))</f>
        <v/>
      </c>
      <c r="C165" s="37">
        <f>IF('Enrollment Census'!C165="","",TRIM('Enrollment Census'!C165&amp;""))</f>
        <v/>
      </c>
      <c r="D165" s="37">
        <f>IF('Enrollment Census'!D165="","",TRIM('Enrollment Census'!D165&amp;""))</f>
        <v/>
      </c>
      <c r="E165" s="36">
        <f>IF('Enrollment Census'!E165="","",TRIM('Enrollment Census'!E165&amp;""))</f>
        <v/>
      </c>
      <c r="F165" s="37">
        <f>IF('Enrollment Census'!F165="","",TRIM('Enrollment Census'!F165&amp;""))</f>
        <v/>
      </c>
      <c r="G165" s="37">
        <f>IF('Enrollment Census'!G165="","",TRIM('Enrollment Census'!G165&amp;""))</f>
        <v/>
      </c>
      <c r="H165" s="37">
        <f>IF('Enrollment Census'!H165="","",TRIM('Enrollment Census'!H165&amp;""))</f>
        <v/>
      </c>
      <c r="I165" s="36">
        <f>IF('Enrollment Census'!I165="","",TRIM('Enrollment Census'!I165&amp;""))</f>
        <v/>
      </c>
      <c r="J165" s="36">
        <f>IF('Enrollment Census'!J165="","",TRIM('Enrollment Census'!J165&amp;""))</f>
        <v/>
      </c>
      <c r="K165" s="36">
        <f>IF('Enrollment Census'!K165="","",TRIM('Enrollment Census'!K165&amp;""))</f>
        <v/>
      </c>
      <c r="L165" s="38">
        <f>IF('Enrollment Census'!L165="","",'Enrollment Census'!L165)</f>
        <v/>
      </c>
      <c r="M165" s="36">
        <f>IF('Enrollment Census'!M165="","",TRIM('Enrollment Census'!M165&amp;""))</f>
        <v/>
      </c>
      <c r="N165" s="36">
        <f>IF('Enrollment Census'!N165="","",LOWER(TRIM('Enrollment Census'!N165&amp;"")))</f>
        <v/>
      </c>
      <c r="O165" s="36">
        <f>IF('Enrollment Census'!O165="","",TRIM('Enrollment Census'!O165&amp;""))</f>
        <v/>
      </c>
      <c r="P165" s="38">
        <f>IF('Enrollment Census'!P165="","",'Enrollment Census'!P165)</f>
        <v/>
      </c>
      <c r="Q165" s="38">
        <f>IF('Enrollment Census'!Q165="","",'Enrollment Census'!Q165)</f>
        <v/>
      </c>
      <c r="R165" s="36">
        <f>IF('Enrollment Census'!R165="","",TRIM('Enrollment Census'!R165&amp;""))</f>
        <v/>
      </c>
      <c r="S165" s="36">
        <f>IF('Enrollment Census'!S165="","",TRIM('Enrollment Census'!S165&amp;""))</f>
        <v/>
      </c>
      <c r="T165" s="36">
        <f>IF('Enrollment Census'!T165="","",TRIM('Enrollment Census'!T165&amp;""))</f>
        <v/>
      </c>
      <c r="U165" s="39">
        <f>IF('Enrollment Census'!U165="","",'Enrollment Census'!U165)</f>
        <v/>
      </c>
    </row>
    <row r="166">
      <c r="A166" s="36">
        <f>IF('Enrollment Census'!A166="","",TRIM('Enrollment Census'!A166&amp;""))</f>
        <v/>
      </c>
      <c r="B166" s="36">
        <f>IF('Enrollment Census'!B166="","",TRIM('Enrollment Census'!B166&amp;""))</f>
        <v/>
      </c>
      <c r="C166" s="37">
        <f>IF('Enrollment Census'!C166="","",TRIM('Enrollment Census'!C166&amp;""))</f>
        <v/>
      </c>
      <c r="D166" s="37">
        <f>IF('Enrollment Census'!D166="","",TRIM('Enrollment Census'!D166&amp;""))</f>
        <v/>
      </c>
      <c r="E166" s="36">
        <f>IF('Enrollment Census'!E166="","",TRIM('Enrollment Census'!E166&amp;""))</f>
        <v/>
      </c>
      <c r="F166" s="37">
        <f>IF('Enrollment Census'!F166="","",TRIM('Enrollment Census'!F166&amp;""))</f>
        <v/>
      </c>
      <c r="G166" s="37">
        <f>IF('Enrollment Census'!G166="","",TRIM('Enrollment Census'!G166&amp;""))</f>
        <v/>
      </c>
      <c r="H166" s="37">
        <f>IF('Enrollment Census'!H166="","",TRIM('Enrollment Census'!H166&amp;""))</f>
        <v/>
      </c>
      <c r="I166" s="36">
        <f>IF('Enrollment Census'!I166="","",TRIM('Enrollment Census'!I166&amp;""))</f>
        <v/>
      </c>
      <c r="J166" s="36">
        <f>IF('Enrollment Census'!J166="","",TRIM('Enrollment Census'!J166&amp;""))</f>
        <v/>
      </c>
      <c r="K166" s="36">
        <f>IF('Enrollment Census'!K166="","",TRIM('Enrollment Census'!K166&amp;""))</f>
        <v/>
      </c>
      <c r="L166" s="38">
        <f>IF('Enrollment Census'!L166="","",'Enrollment Census'!L166)</f>
        <v/>
      </c>
      <c r="M166" s="36">
        <f>IF('Enrollment Census'!M166="","",TRIM('Enrollment Census'!M166&amp;""))</f>
        <v/>
      </c>
      <c r="N166" s="36">
        <f>IF('Enrollment Census'!N166="","",LOWER(TRIM('Enrollment Census'!N166&amp;"")))</f>
        <v/>
      </c>
      <c r="O166" s="36">
        <f>IF('Enrollment Census'!O166="","",TRIM('Enrollment Census'!O166&amp;""))</f>
        <v/>
      </c>
      <c r="P166" s="38">
        <f>IF('Enrollment Census'!P166="","",'Enrollment Census'!P166)</f>
        <v/>
      </c>
      <c r="Q166" s="38">
        <f>IF('Enrollment Census'!Q166="","",'Enrollment Census'!Q166)</f>
        <v/>
      </c>
      <c r="R166" s="36">
        <f>IF('Enrollment Census'!R166="","",TRIM('Enrollment Census'!R166&amp;""))</f>
        <v/>
      </c>
      <c r="S166" s="36">
        <f>IF('Enrollment Census'!S166="","",TRIM('Enrollment Census'!S166&amp;""))</f>
        <v/>
      </c>
      <c r="T166" s="36">
        <f>IF('Enrollment Census'!T166="","",TRIM('Enrollment Census'!T166&amp;""))</f>
        <v/>
      </c>
      <c r="U166" s="39">
        <f>IF('Enrollment Census'!U166="","",'Enrollment Census'!U166)</f>
        <v/>
      </c>
    </row>
    <row r="167">
      <c r="A167" s="36">
        <f>IF('Enrollment Census'!A167="","",TRIM('Enrollment Census'!A167&amp;""))</f>
        <v/>
      </c>
      <c r="B167" s="36">
        <f>IF('Enrollment Census'!B167="","",TRIM('Enrollment Census'!B167&amp;""))</f>
        <v/>
      </c>
      <c r="C167" s="37">
        <f>IF('Enrollment Census'!C167="","",TRIM('Enrollment Census'!C167&amp;""))</f>
        <v/>
      </c>
      <c r="D167" s="37">
        <f>IF('Enrollment Census'!D167="","",TRIM('Enrollment Census'!D167&amp;""))</f>
        <v/>
      </c>
      <c r="E167" s="36">
        <f>IF('Enrollment Census'!E167="","",TRIM('Enrollment Census'!E167&amp;""))</f>
        <v/>
      </c>
      <c r="F167" s="37">
        <f>IF('Enrollment Census'!F167="","",TRIM('Enrollment Census'!F167&amp;""))</f>
        <v/>
      </c>
      <c r="G167" s="37">
        <f>IF('Enrollment Census'!G167="","",TRIM('Enrollment Census'!G167&amp;""))</f>
        <v/>
      </c>
      <c r="H167" s="37">
        <f>IF('Enrollment Census'!H167="","",TRIM('Enrollment Census'!H167&amp;""))</f>
        <v/>
      </c>
      <c r="I167" s="36">
        <f>IF('Enrollment Census'!I167="","",TRIM('Enrollment Census'!I167&amp;""))</f>
        <v/>
      </c>
      <c r="J167" s="36">
        <f>IF('Enrollment Census'!J167="","",TRIM('Enrollment Census'!J167&amp;""))</f>
        <v/>
      </c>
      <c r="K167" s="36">
        <f>IF('Enrollment Census'!K167="","",TRIM('Enrollment Census'!K167&amp;""))</f>
        <v/>
      </c>
      <c r="L167" s="38">
        <f>IF('Enrollment Census'!L167="","",'Enrollment Census'!L167)</f>
        <v/>
      </c>
      <c r="M167" s="36">
        <f>IF('Enrollment Census'!M167="","",TRIM('Enrollment Census'!M167&amp;""))</f>
        <v/>
      </c>
      <c r="N167" s="36">
        <f>IF('Enrollment Census'!N167="","",LOWER(TRIM('Enrollment Census'!N167&amp;"")))</f>
        <v/>
      </c>
      <c r="O167" s="36">
        <f>IF('Enrollment Census'!O167="","",TRIM('Enrollment Census'!O167&amp;""))</f>
        <v/>
      </c>
      <c r="P167" s="38">
        <f>IF('Enrollment Census'!P167="","",'Enrollment Census'!P167)</f>
        <v/>
      </c>
      <c r="Q167" s="38">
        <f>IF('Enrollment Census'!Q167="","",'Enrollment Census'!Q167)</f>
        <v/>
      </c>
      <c r="R167" s="36">
        <f>IF('Enrollment Census'!R167="","",TRIM('Enrollment Census'!R167&amp;""))</f>
        <v/>
      </c>
      <c r="S167" s="36">
        <f>IF('Enrollment Census'!S167="","",TRIM('Enrollment Census'!S167&amp;""))</f>
        <v/>
      </c>
      <c r="T167" s="36">
        <f>IF('Enrollment Census'!T167="","",TRIM('Enrollment Census'!T167&amp;""))</f>
        <v/>
      </c>
      <c r="U167" s="39">
        <f>IF('Enrollment Census'!U167="","",'Enrollment Census'!U167)</f>
        <v/>
      </c>
    </row>
    <row r="168">
      <c r="A168" s="36">
        <f>IF('Enrollment Census'!A168="","",TRIM('Enrollment Census'!A168&amp;""))</f>
        <v/>
      </c>
      <c r="B168" s="36">
        <f>IF('Enrollment Census'!B168="","",TRIM('Enrollment Census'!B168&amp;""))</f>
        <v/>
      </c>
      <c r="C168" s="37">
        <f>IF('Enrollment Census'!C168="","",TRIM('Enrollment Census'!C168&amp;""))</f>
        <v/>
      </c>
      <c r="D168" s="37">
        <f>IF('Enrollment Census'!D168="","",TRIM('Enrollment Census'!D168&amp;""))</f>
        <v/>
      </c>
      <c r="E168" s="36">
        <f>IF('Enrollment Census'!E168="","",TRIM('Enrollment Census'!E168&amp;""))</f>
        <v/>
      </c>
      <c r="F168" s="37">
        <f>IF('Enrollment Census'!F168="","",TRIM('Enrollment Census'!F168&amp;""))</f>
        <v/>
      </c>
      <c r="G168" s="37">
        <f>IF('Enrollment Census'!G168="","",TRIM('Enrollment Census'!G168&amp;""))</f>
        <v/>
      </c>
      <c r="H168" s="37">
        <f>IF('Enrollment Census'!H168="","",TRIM('Enrollment Census'!H168&amp;""))</f>
        <v/>
      </c>
      <c r="I168" s="36">
        <f>IF('Enrollment Census'!I168="","",TRIM('Enrollment Census'!I168&amp;""))</f>
        <v/>
      </c>
      <c r="J168" s="36">
        <f>IF('Enrollment Census'!J168="","",TRIM('Enrollment Census'!J168&amp;""))</f>
        <v/>
      </c>
      <c r="K168" s="36">
        <f>IF('Enrollment Census'!K168="","",TRIM('Enrollment Census'!K168&amp;""))</f>
        <v/>
      </c>
      <c r="L168" s="38">
        <f>IF('Enrollment Census'!L168="","",'Enrollment Census'!L168)</f>
        <v/>
      </c>
      <c r="M168" s="36">
        <f>IF('Enrollment Census'!M168="","",TRIM('Enrollment Census'!M168&amp;""))</f>
        <v/>
      </c>
      <c r="N168" s="36">
        <f>IF('Enrollment Census'!N168="","",LOWER(TRIM('Enrollment Census'!N168&amp;"")))</f>
        <v/>
      </c>
      <c r="O168" s="36">
        <f>IF('Enrollment Census'!O168="","",TRIM('Enrollment Census'!O168&amp;""))</f>
        <v/>
      </c>
      <c r="P168" s="38">
        <f>IF('Enrollment Census'!P168="","",'Enrollment Census'!P168)</f>
        <v/>
      </c>
      <c r="Q168" s="38">
        <f>IF('Enrollment Census'!Q168="","",'Enrollment Census'!Q168)</f>
        <v/>
      </c>
      <c r="R168" s="36">
        <f>IF('Enrollment Census'!R168="","",TRIM('Enrollment Census'!R168&amp;""))</f>
        <v/>
      </c>
      <c r="S168" s="36">
        <f>IF('Enrollment Census'!S168="","",TRIM('Enrollment Census'!S168&amp;""))</f>
        <v/>
      </c>
      <c r="T168" s="36">
        <f>IF('Enrollment Census'!T168="","",TRIM('Enrollment Census'!T168&amp;""))</f>
        <v/>
      </c>
      <c r="U168" s="39">
        <f>IF('Enrollment Census'!U168="","",'Enrollment Census'!U168)</f>
        <v/>
      </c>
    </row>
    <row r="169">
      <c r="A169" s="36">
        <f>IF('Enrollment Census'!A169="","",TRIM('Enrollment Census'!A169&amp;""))</f>
        <v/>
      </c>
      <c r="B169" s="36">
        <f>IF('Enrollment Census'!B169="","",TRIM('Enrollment Census'!B169&amp;""))</f>
        <v/>
      </c>
      <c r="C169" s="37">
        <f>IF('Enrollment Census'!C169="","",TRIM('Enrollment Census'!C169&amp;""))</f>
        <v/>
      </c>
      <c r="D169" s="37">
        <f>IF('Enrollment Census'!D169="","",TRIM('Enrollment Census'!D169&amp;""))</f>
        <v/>
      </c>
      <c r="E169" s="36">
        <f>IF('Enrollment Census'!E169="","",TRIM('Enrollment Census'!E169&amp;""))</f>
        <v/>
      </c>
      <c r="F169" s="37">
        <f>IF('Enrollment Census'!F169="","",TRIM('Enrollment Census'!F169&amp;""))</f>
        <v/>
      </c>
      <c r="G169" s="37">
        <f>IF('Enrollment Census'!G169="","",TRIM('Enrollment Census'!G169&amp;""))</f>
        <v/>
      </c>
      <c r="H169" s="37">
        <f>IF('Enrollment Census'!H169="","",TRIM('Enrollment Census'!H169&amp;""))</f>
        <v/>
      </c>
      <c r="I169" s="36">
        <f>IF('Enrollment Census'!I169="","",TRIM('Enrollment Census'!I169&amp;""))</f>
        <v/>
      </c>
      <c r="J169" s="36">
        <f>IF('Enrollment Census'!J169="","",TRIM('Enrollment Census'!J169&amp;""))</f>
        <v/>
      </c>
      <c r="K169" s="36">
        <f>IF('Enrollment Census'!K169="","",TRIM('Enrollment Census'!K169&amp;""))</f>
        <v/>
      </c>
      <c r="L169" s="38">
        <f>IF('Enrollment Census'!L169="","",'Enrollment Census'!L169)</f>
        <v/>
      </c>
      <c r="M169" s="36">
        <f>IF('Enrollment Census'!M169="","",TRIM('Enrollment Census'!M169&amp;""))</f>
        <v/>
      </c>
      <c r="N169" s="36">
        <f>IF('Enrollment Census'!N169="","",LOWER(TRIM('Enrollment Census'!N169&amp;"")))</f>
        <v/>
      </c>
      <c r="O169" s="36">
        <f>IF('Enrollment Census'!O169="","",TRIM('Enrollment Census'!O169&amp;""))</f>
        <v/>
      </c>
      <c r="P169" s="38">
        <f>IF('Enrollment Census'!P169="","",'Enrollment Census'!P169)</f>
        <v/>
      </c>
      <c r="Q169" s="38">
        <f>IF('Enrollment Census'!Q169="","",'Enrollment Census'!Q169)</f>
        <v/>
      </c>
      <c r="R169" s="36">
        <f>IF('Enrollment Census'!R169="","",TRIM('Enrollment Census'!R169&amp;""))</f>
        <v/>
      </c>
      <c r="S169" s="36">
        <f>IF('Enrollment Census'!S169="","",TRIM('Enrollment Census'!S169&amp;""))</f>
        <v/>
      </c>
      <c r="T169" s="36">
        <f>IF('Enrollment Census'!T169="","",TRIM('Enrollment Census'!T169&amp;""))</f>
        <v/>
      </c>
      <c r="U169" s="39">
        <f>IF('Enrollment Census'!U169="","",'Enrollment Census'!U169)</f>
        <v/>
      </c>
    </row>
    <row r="170">
      <c r="A170" s="36">
        <f>IF('Enrollment Census'!A170="","",TRIM('Enrollment Census'!A170&amp;""))</f>
        <v/>
      </c>
      <c r="B170" s="36">
        <f>IF('Enrollment Census'!B170="","",TRIM('Enrollment Census'!B170&amp;""))</f>
        <v/>
      </c>
      <c r="C170" s="37">
        <f>IF('Enrollment Census'!C170="","",TRIM('Enrollment Census'!C170&amp;""))</f>
        <v/>
      </c>
      <c r="D170" s="37">
        <f>IF('Enrollment Census'!D170="","",TRIM('Enrollment Census'!D170&amp;""))</f>
        <v/>
      </c>
      <c r="E170" s="36">
        <f>IF('Enrollment Census'!E170="","",TRIM('Enrollment Census'!E170&amp;""))</f>
        <v/>
      </c>
      <c r="F170" s="37">
        <f>IF('Enrollment Census'!F170="","",TRIM('Enrollment Census'!F170&amp;""))</f>
        <v/>
      </c>
      <c r="G170" s="37">
        <f>IF('Enrollment Census'!G170="","",TRIM('Enrollment Census'!G170&amp;""))</f>
        <v/>
      </c>
      <c r="H170" s="37">
        <f>IF('Enrollment Census'!H170="","",TRIM('Enrollment Census'!H170&amp;""))</f>
        <v/>
      </c>
      <c r="I170" s="36">
        <f>IF('Enrollment Census'!I170="","",TRIM('Enrollment Census'!I170&amp;""))</f>
        <v/>
      </c>
      <c r="J170" s="36">
        <f>IF('Enrollment Census'!J170="","",TRIM('Enrollment Census'!J170&amp;""))</f>
        <v/>
      </c>
      <c r="K170" s="36">
        <f>IF('Enrollment Census'!K170="","",TRIM('Enrollment Census'!K170&amp;""))</f>
        <v/>
      </c>
      <c r="L170" s="38">
        <f>IF('Enrollment Census'!L170="","",'Enrollment Census'!L170)</f>
        <v/>
      </c>
      <c r="M170" s="36">
        <f>IF('Enrollment Census'!M170="","",TRIM('Enrollment Census'!M170&amp;""))</f>
        <v/>
      </c>
      <c r="N170" s="36">
        <f>IF('Enrollment Census'!N170="","",LOWER(TRIM('Enrollment Census'!N170&amp;"")))</f>
        <v/>
      </c>
      <c r="O170" s="36">
        <f>IF('Enrollment Census'!O170="","",TRIM('Enrollment Census'!O170&amp;""))</f>
        <v/>
      </c>
      <c r="P170" s="38">
        <f>IF('Enrollment Census'!P170="","",'Enrollment Census'!P170)</f>
        <v/>
      </c>
      <c r="Q170" s="38">
        <f>IF('Enrollment Census'!Q170="","",'Enrollment Census'!Q170)</f>
        <v/>
      </c>
      <c r="R170" s="36">
        <f>IF('Enrollment Census'!R170="","",TRIM('Enrollment Census'!R170&amp;""))</f>
        <v/>
      </c>
      <c r="S170" s="36">
        <f>IF('Enrollment Census'!S170="","",TRIM('Enrollment Census'!S170&amp;""))</f>
        <v/>
      </c>
      <c r="T170" s="36">
        <f>IF('Enrollment Census'!T170="","",TRIM('Enrollment Census'!T170&amp;""))</f>
        <v/>
      </c>
      <c r="U170" s="39">
        <f>IF('Enrollment Census'!U170="","",'Enrollment Census'!U170)</f>
        <v/>
      </c>
    </row>
    <row r="171">
      <c r="A171" s="36">
        <f>IF('Enrollment Census'!A171="","",TRIM('Enrollment Census'!A171&amp;""))</f>
        <v/>
      </c>
      <c r="B171" s="36">
        <f>IF('Enrollment Census'!B171="","",TRIM('Enrollment Census'!B171&amp;""))</f>
        <v/>
      </c>
      <c r="C171" s="37">
        <f>IF('Enrollment Census'!C171="","",TRIM('Enrollment Census'!C171&amp;""))</f>
        <v/>
      </c>
      <c r="D171" s="37">
        <f>IF('Enrollment Census'!D171="","",TRIM('Enrollment Census'!D171&amp;""))</f>
        <v/>
      </c>
      <c r="E171" s="36">
        <f>IF('Enrollment Census'!E171="","",TRIM('Enrollment Census'!E171&amp;""))</f>
        <v/>
      </c>
      <c r="F171" s="37">
        <f>IF('Enrollment Census'!F171="","",TRIM('Enrollment Census'!F171&amp;""))</f>
        <v/>
      </c>
      <c r="G171" s="37">
        <f>IF('Enrollment Census'!G171="","",TRIM('Enrollment Census'!G171&amp;""))</f>
        <v/>
      </c>
      <c r="H171" s="37">
        <f>IF('Enrollment Census'!H171="","",TRIM('Enrollment Census'!H171&amp;""))</f>
        <v/>
      </c>
      <c r="I171" s="36">
        <f>IF('Enrollment Census'!I171="","",TRIM('Enrollment Census'!I171&amp;""))</f>
        <v/>
      </c>
      <c r="J171" s="36">
        <f>IF('Enrollment Census'!J171="","",TRIM('Enrollment Census'!J171&amp;""))</f>
        <v/>
      </c>
      <c r="K171" s="36">
        <f>IF('Enrollment Census'!K171="","",TRIM('Enrollment Census'!K171&amp;""))</f>
        <v/>
      </c>
      <c r="L171" s="38">
        <f>IF('Enrollment Census'!L171="","",'Enrollment Census'!L171)</f>
        <v/>
      </c>
      <c r="M171" s="36">
        <f>IF('Enrollment Census'!M171="","",TRIM('Enrollment Census'!M171&amp;""))</f>
        <v/>
      </c>
      <c r="N171" s="36">
        <f>IF('Enrollment Census'!N171="","",LOWER(TRIM('Enrollment Census'!N171&amp;"")))</f>
        <v/>
      </c>
      <c r="O171" s="36">
        <f>IF('Enrollment Census'!O171="","",TRIM('Enrollment Census'!O171&amp;""))</f>
        <v/>
      </c>
      <c r="P171" s="38">
        <f>IF('Enrollment Census'!P171="","",'Enrollment Census'!P171)</f>
        <v/>
      </c>
      <c r="Q171" s="38">
        <f>IF('Enrollment Census'!Q171="","",'Enrollment Census'!Q171)</f>
        <v/>
      </c>
      <c r="R171" s="36">
        <f>IF('Enrollment Census'!R171="","",TRIM('Enrollment Census'!R171&amp;""))</f>
        <v/>
      </c>
      <c r="S171" s="36">
        <f>IF('Enrollment Census'!S171="","",TRIM('Enrollment Census'!S171&amp;""))</f>
        <v/>
      </c>
      <c r="T171" s="36">
        <f>IF('Enrollment Census'!T171="","",TRIM('Enrollment Census'!T171&amp;""))</f>
        <v/>
      </c>
      <c r="U171" s="39">
        <f>IF('Enrollment Census'!U171="","",'Enrollment Census'!U171)</f>
        <v/>
      </c>
    </row>
    <row r="172">
      <c r="A172" s="36">
        <f>IF('Enrollment Census'!A172="","",TRIM('Enrollment Census'!A172&amp;""))</f>
        <v/>
      </c>
      <c r="B172" s="36">
        <f>IF('Enrollment Census'!B172="","",TRIM('Enrollment Census'!B172&amp;""))</f>
        <v/>
      </c>
      <c r="C172" s="37">
        <f>IF('Enrollment Census'!C172="","",TRIM('Enrollment Census'!C172&amp;""))</f>
        <v/>
      </c>
      <c r="D172" s="37">
        <f>IF('Enrollment Census'!D172="","",TRIM('Enrollment Census'!D172&amp;""))</f>
        <v/>
      </c>
      <c r="E172" s="36">
        <f>IF('Enrollment Census'!E172="","",TRIM('Enrollment Census'!E172&amp;""))</f>
        <v/>
      </c>
      <c r="F172" s="37">
        <f>IF('Enrollment Census'!F172="","",TRIM('Enrollment Census'!F172&amp;""))</f>
        <v/>
      </c>
      <c r="G172" s="37">
        <f>IF('Enrollment Census'!G172="","",TRIM('Enrollment Census'!G172&amp;""))</f>
        <v/>
      </c>
      <c r="H172" s="37">
        <f>IF('Enrollment Census'!H172="","",TRIM('Enrollment Census'!H172&amp;""))</f>
        <v/>
      </c>
      <c r="I172" s="36">
        <f>IF('Enrollment Census'!I172="","",TRIM('Enrollment Census'!I172&amp;""))</f>
        <v/>
      </c>
      <c r="J172" s="36">
        <f>IF('Enrollment Census'!J172="","",TRIM('Enrollment Census'!J172&amp;""))</f>
        <v/>
      </c>
      <c r="K172" s="36">
        <f>IF('Enrollment Census'!K172="","",TRIM('Enrollment Census'!K172&amp;""))</f>
        <v/>
      </c>
      <c r="L172" s="38">
        <f>IF('Enrollment Census'!L172="","",'Enrollment Census'!L172)</f>
        <v/>
      </c>
      <c r="M172" s="36">
        <f>IF('Enrollment Census'!M172="","",TRIM('Enrollment Census'!M172&amp;""))</f>
        <v/>
      </c>
      <c r="N172" s="36">
        <f>IF('Enrollment Census'!N172="","",LOWER(TRIM('Enrollment Census'!N172&amp;"")))</f>
        <v/>
      </c>
      <c r="O172" s="36">
        <f>IF('Enrollment Census'!O172="","",TRIM('Enrollment Census'!O172&amp;""))</f>
        <v/>
      </c>
      <c r="P172" s="38">
        <f>IF('Enrollment Census'!P172="","",'Enrollment Census'!P172)</f>
        <v/>
      </c>
      <c r="Q172" s="38">
        <f>IF('Enrollment Census'!Q172="","",'Enrollment Census'!Q172)</f>
        <v/>
      </c>
      <c r="R172" s="36">
        <f>IF('Enrollment Census'!R172="","",TRIM('Enrollment Census'!R172&amp;""))</f>
        <v/>
      </c>
      <c r="S172" s="36">
        <f>IF('Enrollment Census'!S172="","",TRIM('Enrollment Census'!S172&amp;""))</f>
        <v/>
      </c>
      <c r="T172" s="36">
        <f>IF('Enrollment Census'!T172="","",TRIM('Enrollment Census'!T172&amp;""))</f>
        <v/>
      </c>
      <c r="U172" s="39">
        <f>IF('Enrollment Census'!U172="","",'Enrollment Census'!U172)</f>
        <v/>
      </c>
    </row>
    <row r="173">
      <c r="A173" s="36">
        <f>IF('Enrollment Census'!A173="","",TRIM('Enrollment Census'!A173&amp;""))</f>
        <v/>
      </c>
      <c r="B173" s="36">
        <f>IF('Enrollment Census'!B173="","",TRIM('Enrollment Census'!B173&amp;""))</f>
        <v/>
      </c>
      <c r="C173" s="37">
        <f>IF('Enrollment Census'!C173="","",TRIM('Enrollment Census'!C173&amp;""))</f>
        <v/>
      </c>
      <c r="D173" s="37">
        <f>IF('Enrollment Census'!D173="","",TRIM('Enrollment Census'!D173&amp;""))</f>
        <v/>
      </c>
      <c r="E173" s="36">
        <f>IF('Enrollment Census'!E173="","",TRIM('Enrollment Census'!E173&amp;""))</f>
        <v/>
      </c>
      <c r="F173" s="37">
        <f>IF('Enrollment Census'!F173="","",TRIM('Enrollment Census'!F173&amp;""))</f>
        <v/>
      </c>
      <c r="G173" s="37">
        <f>IF('Enrollment Census'!G173="","",TRIM('Enrollment Census'!G173&amp;""))</f>
        <v/>
      </c>
      <c r="H173" s="37">
        <f>IF('Enrollment Census'!H173="","",TRIM('Enrollment Census'!H173&amp;""))</f>
        <v/>
      </c>
      <c r="I173" s="36">
        <f>IF('Enrollment Census'!I173="","",TRIM('Enrollment Census'!I173&amp;""))</f>
        <v/>
      </c>
      <c r="J173" s="36">
        <f>IF('Enrollment Census'!J173="","",TRIM('Enrollment Census'!J173&amp;""))</f>
        <v/>
      </c>
      <c r="K173" s="36">
        <f>IF('Enrollment Census'!K173="","",TRIM('Enrollment Census'!K173&amp;""))</f>
        <v/>
      </c>
      <c r="L173" s="38">
        <f>IF('Enrollment Census'!L173="","",'Enrollment Census'!L173)</f>
        <v/>
      </c>
      <c r="M173" s="36">
        <f>IF('Enrollment Census'!M173="","",TRIM('Enrollment Census'!M173&amp;""))</f>
        <v/>
      </c>
      <c r="N173" s="36">
        <f>IF('Enrollment Census'!N173="","",LOWER(TRIM('Enrollment Census'!N173&amp;"")))</f>
        <v/>
      </c>
      <c r="O173" s="36">
        <f>IF('Enrollment Census'!O173="","",TRIM('Enrollment Census'!O173&amp;""))</f>
        <v/>
      </c>
      <c r="P173" s="38">
        <f>IF('Enrollment Census'!P173="","",'Enrollment Census'!P173)</f>
        <v/>
      </c>
      <c r="Q173" s="38">
        <f>IF('Enrollment Census'!Q173="","",'Enrollment Census'!Q173)</f>
        <v/>
      </c>
      <c r="R173" s="36">
        <f>IF('Enrollment Census'!R173="","",TRIM('Enrollment Census'!R173&amp;""))</f>
        <v/>
      </c>
      <c r="S173" s="36">
        <f>IF('Enrollment Census'!S173="","",TRIM('Enrollment Census'!S173&amp;""))</f>
        <v/>
      </c>
      <c r="T173" s="36">
        <f>IF('Enrollment Census'!T173="","",TRIM('Enrollment Census'!T173&amp;""))</f>
        <v/>
      </c>
      <c r="U173" s="39">
        <f>IF('Enrollment Census'!U173="","",'Enrollment Census'!U173)</f>
        <v/>
      </c>
    </row>
    <row r="174">
      <c r="A174" s="36">
        <f>IF('Enrollment Census'!A174="","",TRIM('Enrollment Census'!A174&amp;""))</f>
        <v/>
      </c>
      <c r="B174" s="36">
        <f>IF('Enrollment Census'!B174="","",TRIM('Enrollment Census'!B174&amp;""))</f>
        <v/>
      </c>
      <c r="C174" s="37">
        <f>IF('Enrollment Census'!C174="","",TRIM('Enrollment Census'!C174&amp;""))</f>
        <v/>
      </c>
      <c r="D174" s="37">
        <f>IF('Enrollment Census'!D174="","",TRIM('Enrollment Census'!D174&amp;""))</f>
        <v/>
      </c>
      <c r="E174" s="36">
        <f>IF('Enrollment Census'!E174="","",TRIM('Enrollment Census'!E174&amp;""))</f>
        <v/>
      </c>
      <c r="F174" s="37">
        <f>IF('Enrollment Census'!F174="","",TRIM('Enrollment Census'!F174&amp;""))</f>
        <v/>
      </c>
      <c r="G174" s="37">
        <f>IF('Enrollment Census'!G174="","",TRIM('Enrollment Census'!G174&amp;""))</f>
        <v/>
      </c>
      <c r="H174" s="37">
        <f>IF('Enrollment Census'!H174="","",TRIM('Enrollment Census'!H174&amp;""))</f>
        <v/>
      </c>
      <c r="I174" s="36">
        <f>IF('Enrollment Census'!I174="","",TRIM('Enrollment Census'!I174&amp;""))</f>
        <v/>
      </c>
      <c r="J174" s="36">
        <f>IF('Enrollment Census'!J174="","",TRIM('Enrollment Census'!J174&amp;""))</f>
        <v/>
      </c>
      <c r="K174" s="36">
        <f>IF('Enrollment Census'!K174="","",TRIM('Enrollment Census'!K174&amp;""))</f>
        <v/>
      </c>
      <c r="L174" s="38">
        <f>IF('Enrollment Census'!L174="","",'Enrollment Census'!L174)</f>
        <v/>
      </c>
      <c r="M174" s="36">
        <f>IF('Enrollment Census'!M174="","",TRIM('Enrollment Census'!M174&amp;""))</f>
        <v/>
      </c>
      <c r="N174" s="36">
        <f>IF('Enrollment Census'!N174="","",LOWER(TRIM('Enrollment Census'!N174&amp;"")))</f>
        <v/>
      </c>
      <c r="O174" s="36">
        <f>IF('Enrollment Census'!O174="","",TRIM('Enrollment Census'!O174&amp;""))</f>
        <v/>
      </c>
      <c r="P174" s="38">
        <f>IF('Enrollment Census'!P174="","",'Enrollment Census'!P174)</f>
        <v/>
      </c>
      <c r="Q174" s="38">
        <f>IF('Enrollment Census'!Q174="","",'Enrollment Census'!Q174)</f>
        <v/>
      </c>
      <c r="R174" s="36">
        <f>IF('Enrollment Census'!R174="","",TRIM('Enrollment Census'!R174&amp;""))</f>
        <v/>
      </c>
      <c r="S174" s="36">
        <f>IF('Enrollment Census'!S174="","",TRIM('Enrollment Census'!S174&amp;""))</f>
        <v/>
      </c>
      <c r="T174" s="36">
        <f>IF('Enrollment Census'!T174="","",TRIM('Enrollment Census'!T174&amp;""))</f>
        <v/>
      </c>
      <c r="U174" s="39">
        <f>IF('Enrollment Census'!U174="","",'Enrollment Census'!U174)</f>
        <v/>
      </c>
    </row>
    <row r="175">
      <c r="A175" s="36">
        <f>IF('Enrollment Census'!A175="","",TRIM('Enrollment Census'!A175&amp;""))</f>
        <v/>
      </c>
      <c r="B175" s="36">
        <f>IF('Enrollment Census'!B175="","",TRIM('Enrollment Census'!B175&amp;""))</f>
        <v/>
      </c>
      <c r="C175" s="37">
        <f>IF('Enrollment Census'!C175="","",TRIM('Enrollment Census'!C175&amp;""))</f>
        <v/>
      </c>
      <c r="D175" s="37">
        <f>IF('Enrollment Census'!D175="","",TRIM('Enrollment Census'!D175&amp;""))</f>
        <v/>
      </c>
      <c r="E175" s="36">
        <f>IF('Enrollment Census'!E175="","",TRIM('Enrollment Census'!E175&amp;""))</f>
        <v/>
      </c>
      <c r="F175" s="37">
        <f>IF('Enrollment Census'!F175="","",TRIM('Enrollment Census'!F175&amp;""))</f>
        <v/>
      </c>
      <c r="G175" s="37">
        <f>IF('Enrollment Census'!G175="","",TRIM('Enrollment Census'!G175&amp;""))</f>
        <v/>
      </c>
      <c r="H175" s="37">
        <f>IF('Enrollment Census'!H175="","",TRIM('Enrollment Census'!H175&amp;""))</f>
        <v/>
      </c>
      <c r="I175" s="36">
        <f>IF('Enrollment Census'!I175="","",TRIM('Enrollment Census'!I175&amp;""))</f>
        <v/>
      </c>
      <c r="J175" s="36">
        <f>IF('Enrollment Census'!J175="","",TRIM('Enrollment Census'!J175&amp;""))</f>
        <v/>
      </c>
      <c r="K175" s="36">
        <f>IF('Enrollment Census'!K175="","",TRIM('Enrollment Census'!K175&amp;""))</f>
        <v/>
      </c>
      <c r="L175" s="38">
        <f>IF('Enrollment Census'!L175="","",'Enrollment Census'!L175)</f>
        <v/>
      </c>
      <c r="M175" s="36">
        <f>IF('Enrollment Census'!M175="","",TRIM('Enrollment Census'!M175&amp;""))</f>
        <v/>
      </c>
      <c r="N175" s="36">
        <f>IF('Enrollment Census'!N175="","",LOWER(TRIM('Enrollment Census'!N175&amp;"")))</f>
        <v/>
      </c>
      <c r="O175" s="36">
        <f>IF('Enrollment Census'!O175="","",TRIM('Enrollment Census'!O175&amp;""))</f>
        <v/>
      </c>
      <c r="P175" s="38">
        <f>IF('Enrollment Census'!P175="","",'Enrollment Census'!P175)</f>
        <v/>
      </c>
      <c r="Q175" s="38">
        <f>IF('Enrollment Census'!Q175="","",'Enrollment Census'!Q175)</f>
        <v/>
      </c>
      <c r="R175" s="36">
        <f>IF('Enrollment Census'!R175="","",TRIM('Enrollment Census'!R175&amp;""))</f>
        <v/>
      </c>
      <c r="S175" s="36">
        <f>IF('Enrollment Census'!S175="","",TRIM('Enrollment Census'!S175&amp;""))</f>
        <v/>
      </c>
      <c r="T175" s="36">
        <f>IF('Enrollment Census'!T175="","",TRIM('Enrollment Census'!T175&amp;""))</f>
        <v/>
      </c>
      <c r="U175" s="39">
        <f>IF('Enrollment Census'!U175="","",'Enrollment Census'!U175)</f>
        <v/>
      </c>
    </row>
    <row r="176">
      <c r="A176" s="36">
        <f>IF('Enrollment Census'!A176="","",TRIM('Enrollment Census'!A176&amp;""))</f>
        <v/>
      </c>
      <c r="B176" s="36">
        <f>IF('Enrollment Census'!B176="","",TRIM('Enrollment Census'!B176&amp;""))</f>
        <v/>
      </c>
      <c r="C176" s="37">
        <f>IF('Enrollment Census'!C176="","",TRIM('Enrollment Census'!C176&amp;""))</f>
        <v/>
      </c>
      <c r="D176" s="37">
        <f>IF('Enrollment Census'!D176="","",TRIM('Enrollment Census'!D176&amp;""))</f>
        <v/>
      </c>
      <c r="E176" s="36">
        <f>IF('Enrollment Census'!E176="","",TRIM('Enrollment Census'!E176&amp;""))</f>
        <v/>
      </c>
      <c r="F176" s="37">
        <f>IF('Enrollment Census'!F176="","",TRIM('Enrollment Census'!F176&amp;""))</f>
        <v/>
      </c>
      <c r="G176" s="37">
        <f>IF('Enrollment Census'!G176="","",TRIM('Enrollment Census'!G176&amp;""))</f>
        <v/>
      </c>
      <c r="H176" s="37">
        <f>IF('Enrollment Census'!H176="","",TRIM('Enrollment Census'!H176&amp;""))</f>
        <v/>
      </c>
      <c r="I176" s="36">
        <f>IF('Enrollment Census'!I176="","",TRIM('Enrollment Census'!I176&amp;""))</f>
        <v/>
      </c>
      <c r="J176" s="36">
        <f>IF('Enrollment Census'!J176="","",TRIM('Enrollment Census'!J176&amp;""))</f>
        <v/>
      </c>
      <c r="K176" s="36">
        <f>IF('Enrollment Census'!K176="","",TRIM('Enrollment Census'!K176&amp;""))</f>
        <v/>
      </c>
      <c r="L176" s="38">
        <f>IF('Enrollment Census'!L176="","",'Enrollment Census'!L176)</f>
        <v/>
      </c>
      <c r="M176" s="36">
        <f>IF('Enrollment Census'!M176="","",TRIM('Enrollment Census'!M176&amp;""))</f>
        <v/>
      </c>
      <c r="N176" s="36">
        <f>IF('Enrollment Census'!N176="","",LOWER(TRIM('Enrollment Census'!N176&amp;"")))</f>
        <v/>
      </c>
      <c r="O176" s="36">
        <f>IF('Enrollment Census'!O176="","",TRIM('Enrollment Census'!O176&amp;""))</f>
        <v/>
      </c>
      <c r="P176" s="38">
        <f>IF('Enrollment Census'!P176="","",'Enrollment Census'!P176)</f>
        <v/>
      </c>
      <c r="Q176" s="38">
        <f>IF('Enrollment Census'!Q176="","",'Enrollment Census'!Q176)</f>
        <v/>
      </c>
      <c r="R176" s="36">
        <f>IF('Enrollment Census'!R176="","",TRIM('Enrollment Census'!R176&amp;""))</f>
        <v/>
      </c>
      <c r="S176" s="36">
        <f>IF('Enrollment Census'!S176="","",TRIM('Enrollment Census'!S176&amp;""))</f>
        <v/>
      </c>
      <c r="T176" s="36">
        <f>IF('Enrollment Census'!T176="","",TRIM('Enrollment Census'!T176&amp;""))</f>
        <v/>
      </c>
      <c r="U176" s="39">
        <f>IF('Enrollment Census'!U176="","",'Enrollment Census'!U176)</f>
        <v/>
      </c>
    </row>
    <row r="177">
      <c r="A177" s="36">
        <f>IF('Enrollment Census'!A177="","",TRIM('Enrollment Census'!A177&amp;""))</f>
        <v/>
      </c>
      <c r="B177" s="36">
        <f>IF('Enrollment Census'!B177="","",TRIM('Enrollment Census'!B177&amp;""))</f>
        <v/>
      </c>
      <c r="C177" s="37">
        <f>IF('Enrollment Census'!C177="","",TRIM('Enrollment Census'!C177&amp;""))</f>
        <v/>
      </c>
      <c r="D177" s="37">
        <f>IF('Enrollment Census'!D177="","",TRIM('Enrollment Census'!D177&amp;""))</f>
        <v/>
      </c>
      <c r="E177" s="36">
        <f>IF('Enrollment Census'!E177="","",TRIM('Enrollment Census'!E177&amp;""))</f>
        <v/>
      </c>
      <c r="F177" s="37">
        <f>IF('Enrollment Census'!F177="","",TRIM('Enrollment Census'!F177&amp;""))</f>
        <v/>
      </c>
      <c r="G177" s="37">
        <f>IF('Enrollment Census'!G177="","",TRIM('Enrollment Census'!G177&amp;""))</f>
        <v/>
      </c>
      <c r="H177" s="37">
        <f>IF('Enrollment Census'!H177="","",TRIM('Enrollment Census'!H177&amp;""))</f>
        <v/>
      </c>
      <c r="I177" s="36">
        <f>IF('Enrollment Census'!I177="","",TRIM('Enrollment Census'!I177&amp;""))</f>
        <v/>
      </c>
      <c r="J177" s="36">
        <f>IF('Enrollment Census'!J177="","",TRIM('Enrollment Census'!J177&amp;""))</f>
        <v/>
      </c>
      <c r="K177" s="36">
        <f>IF('Enrollment Census'!K177="","",TRIM('Enrollment Census'!K177&amp;""))</f>
        <v/>
      </c>
      <c r="L177" s="38">
        <f>IF('Enrollment Census'!L177="","",'Enrollment Census'!L177)</f>
        <v/>
      </c>
      <c r="M177" s="36">
        <f>IF('Enrollment Census'!M177="","",TRIM('Enrollment Census'!M177&amp;""))</f>
        <v/>
      </c>
      <c r="N177" s="36">
        <f>IF('Enrollment Census'!N177="","",LOWER(TRIM('Enrollment Census'!N177&amp;"")))</f>
        <v/>
      </c>
      <c r="O177" s="36">
        <f>IF('Enrollment Census'!O177="","",TRIM('Enrollment Census'!O177&amp;""))</f>
        <v/>
      </c>
      <c r="P177" s="38">
        <f>IF('Enrollment Census'!P177="","",'Enrollment Census'!P177)</f>
        <v/>
      </c>
      <c r="Q177" s="38">
        <f>IF('Enrollment Census'!Q177="","",'Enrollment Census'!Q177)</f>
        <v/>
      </c>
      <c r="R177" s="36">
        <f>IF('Enrollment Census'!R177="","",TRIM('Enrollment Census'!R177&amp;""))</f>
        <v/>
      </c>
      <c r="S177" s="36">
        <f>IF('Enrollment Census'!S177="","",TRIM('Enrollment Census'!S177&amp;""))</f>
        <v/>
      </c>
      <c r="T177" s="36">
        <f>IF('Enrollment Census'!T177="","",TRIM('Enrollment Census'!T177&amp;""))</f>
        <v/>
      </c>
      <c r="U177" s="39">
        <f>IF('Enrollment Census'!U177="","",'Enrollment Census'!U177)</f>
        <v/>
      </c>
    </row>
    <row r="178">
      <c r="A178" s="36">
        <f>IF('Enrollment Census'!A178="","",TRIM('Enrollment Census'!A178&amp;""))</f>
        <v/>
      </c>
      <c r="B178" s="36">
        <f>IF('Enrollment Census'!B178="","",TRIM('Enrollment Census'!B178&amp;""))</f>
        <v/>
      </c>
      <c r="C178" s="37">
        <f>IF('Enrollment Census'!C178="","",TRIM('Enrollment Census'!C178&amp;""))</f>
        <v/>
      </c>
      <c r="D178" s="37">
        <f>IF('Enrollment Census'!D178="","",TRIM('Enrollment Census'!D178&amp;""))</f>
        <v/>
      </c>
      <c r="E178" s="36">
        <f>IF('Enrollment Census'!E178="","",TRIM('Enrollment Census'!E178&amp;""))</f>
        <v/>
      </c>
      <c r="F178" s="37">
        <f>IF('Enrollment Census'!F178="","",TRIM('Enrollment Census'!F178&amp;""))</f>
        <v/>
      </c>
      <c r="G178" s="37">
        <f>IF('Enrollment Census'!G178="","",TRIM('Enrollment Census'!G178&amp;""))</f>
        <v/>
      </c>
      <c r="H178" s="37">
        <f>IF('Enrollment Census'!H178="","",TRIM('Enrollment Census'!H178&amp;""))</f>
        <v/>
      </c>
      <c r="I178" s="36">
        <f>IF('Enrollment Census'!I178="","",TRIM('Enrollment Census'!I178&amp;""))</f>
        <v/>
      </c>
      <c r="J178" s="36">
        <f>IF('Enrollment Census'!J178="","",TRIM('Enrollment Census'!J178&amp;""))</f>
        <v/>
      </c>
      <c r="K178" s="36">
        <f>IF('Enrollment Census'!K178="","",TRIM('Enrollment Census'!K178&amp;""))</f>
        <v/>
      </c>
      <c r="L178" s="38">
        <f>IF('Enrollment Census'!L178="","",'Enrollment Census'!L178)</f>
        <v/>
      </c>
      <c r="M178" s="36">
        <f>IF('Enrollment Census'!M178="","",TRIM('Enrollment Census'!M178&amp;""))</f>
        <v/>
      </c>
      <c r="N178" s="36">
        <f>IF('Enrollment Census'!N178="","",LOWER(TRIM('Enrollment Census'!N178&amp;"")))</f>
        <v/>
      </c>
      <c r="O178" s="36">
        <f>IF('Enrollment Census'!O178="","",TRIM('Enrollment Census'!O178&amp;""))</f>
        <v/>
      </c>
      <c r="P178" s="38">
        <f>IF('Enrollment Census'!P178="","",'Enrollment Census'!P178)</f>
        <v/>
      </c>
      <c r="Q178" s="38">
        <f>IF('Enrollment Census'!Q178="","",'Enrollment Census'!Q178)</f>
        <v/>
      </c>
      <c r="R178" s="36">
        <f>IF('Enrollment Census'!R178="","",TRIM('Enrollment Census'!R178&amp;""))</f>
        <v/>
      </c>
      <c r="S178" s="36">
        <f>IF('Enrollment Census'!S178="","",TRIM('Enrollment Census'!S178&amp;""))</f>
        <v/>
      </c>
      <c r="T178" s="36">
        <f>IF('Enrollment Census'!T178="","",TRIM('Enrollment Census'!T178&amp;""))</f>
        <v/>
      </c>
      <c r="U178" s="39">
        <f>IF('Enrollment Census'!U178="","",'Enrollment Census'!U178)</f>
        <v/>
      </c>
    </row>
    <row r="179">
      <c r="A179" s="36">
        <f>IF('Enrollment Census'!A179="","",TRIM('Enrollment Census'!A179&amp;""))</f>
        <v/>
      </c>
      <c r="B179" s="36">
        <f>IF('Enrollment Census'!B179="","",TRIM('Enrollment Census'!B179&amp;""))</f>
        <v/>
      </c>
      <c r="C179" s="37">
        <f>IF('Enrollment Census'!C179="","",TRIM('Enrollment Census'!C179&amp;""))</f>
        <v/>
      </c>
      <c r="D179" s="37">
        <f>IF('Enrollment Census'!D179="","",TRIM('Enrollment Census'!D179&amp;""))</f>
        <v/>
      </c>
      <c r="E179" s="36">
        <f>IF('Enrollment Census'!E179="","",TRIM('Enrollment Census'!E179&amp;""))</f>
        <v/>
      </c>
      <c r="F179" s="37">
        <f>IF('Enrollment Census'!F179="","",TRIM('Enrollment Census'!F179&amp;""))</f>
        <v/>
      </c>
      <c r="G179" s="37">
        <f>IF('Enrollment Census'!G179="","",TRIM('Enrollment Census'!G179&amp;""))</f>
        <v/>
      </c>
      <c r="H179" s="37">
        <f>IF('Enrollment Census'!H179="","",TRIM('Enrollment Census'!H179&amp;""))</f>
        <v/>
      </c>
      <c r="I179" s="36">
        <f>IF('Enrollment Census'!I179="","",TRIM('Enrollment Census'!I179&amp;""))</f>
        <v/>
      </c>
      <c r="J179" s="36">
        <f>IF('Enrollment Census'!J179="","",TRIM('Enrollment Census'!J179&amp;""))</f>
        <v/>
      </c>
      <c r="K179" s="36">
        <f>IF('Enrollment Census'!K179="","",TRIM('Enrollment Census'!K179&amp;""))</f>
        <v/>
      </c>
      <c r="L179" s="38">
        <f>IF('Enrollment Census'!L179="","",'Enrollment Census'!L179)</f>
        <v/>
      </c>
      <c r="M179" s="36">
        <f>IF('Enrollment Census'!M179="","",TRIM('Enrollment Census'!M179&amp;""))</f>
        <v/>
      </c>
      <c r="N179" s="36">
        <f>IF('Enrollment Census'!N179="","",LOWER(TRIM('Enrollment Census'!N179&amp;"")))</f>
        <v/>
      </c>
      <c r="O179" s="36">
        <f>IF('Enrollment Census'!O179="","",TRIM('Enrollment Census'!O179&amp;""))</f>
        <v/>
      </c>
      <c r="P179" s="38">
        <f>IF('Enrollment Census'!P179="","",'Enrollment Census'!P179)</f>
        <v/>
      </c>
      <c r="Q179" s="38">
        <f>IF('Enrollment Census'!Q179="","",'Enrollment Census'!Q179)</f>
        <v/>
      </c>
      <c r="R179" s="36">
        <f>IF('Enrollment Census'!R179="","",TRIM('Enrollment Census'!R179&amp;""))</f>
        <v/>
      </c>
      <c r="S179" s="36">
        <f>IF('Enrollment Census'!S179="","",TRIM('Enrollment Census'!S179&amp;""))</f>
        <v/>
      </c>
      <c r="T179" s="36">
        <f>IF('Enrollment Census'!T179="","",TRIM('Enrollment Census'!T179&amp;""))</f>
        <v/>
      </c>
      <c r="U179" s="39">
        <f>IF('Enrollment Census'!U179="","",'Enrollment Census'!U179)</f>
        <v/>
      </c>
    </row>
    <row r="180">
      <c r="A180" s="36">
        <f>IF('Enrollment Census'!A180="","",TRIM('Enrollment Census'!A180&amp;""))</f>
        <v/>
      </c>
      <c r="B180" s="36">
        <f>IF('Enrollment Census'!B180="","",TRIM('Enrollment Census'!B180&amp;""))</f>
        <v/>
      </c>
      <c r="C180" s="37">
        <f>IF('Enrollment Census'!C180="","",TRIM('Enrollment Census'!C180&amp;""))</f>
        <v/>
      </c>
      <c r="D180" s="37">
        <f>IF('Enrollment Census'!D180="","",TRIM('Enrollment Census'!D180&amp;""))</f>
        <v/>
      </c>
      <c r="E180" s="36">
        <f>IF('Enrollment Census'!E180="","",TRIM('Enrollment Census'!E180&amp;""))</f>
        <v/>
      </c>
      <c r="F180" s="37">
        <f>IF('Enrollment Census'!F180="","",TRIM('Enrollment Census'!F180&amp;""))</f>
        <v/>
      </c>
      <c r="G180" s="37">
        <f>IF('Enrollment Census'!G180="","",TRIM('Enrollment Census'!G180&amp;""))</f>
        <v/>
      </c>
      <c r="H180" s="37">
        <f>IF('Enrollment Census'!H180="","",TRIM('Enrollment Census'!H180&amp;""))</f>
        <v/>
      </c>
      <c r="I180" s="36">
        <f>IF('Enrollment Census'!I180="","",TRIM('Enrollment Census'!I180&amp;""))</f>
        <v/>
      </c>
      <c r="J180" s="36">
        <f>IF('Enrollment Census'!J180="","",TRIM('Enrollment Census'!J180&amp;""))</f>
        <v/>
      </c>
      <c r="K180" s="36">
        <f>IF('Enrollment Census'!K180="","",TRIM('Enrollment Census'!K180&amp;""))</f>
        <v/>
      </c>
      <c r="L180" s="38">
        <f>IF('Enrollment Census'!L180="","",'Enrollment Census'!L180)</f>
        <v/>
      </c>
      <c r="M180" s="36">
        <f>IF('Enrollment Census'!M180="","",TRIM('Enrollment Census'!M180&amp;""))</f>
        <v/>
      </c>
      <c r="N180" s="36">
        <f>IF('Enrollment Census'!N180="","",LOWER(TRIM('Enrollment Census'!N180&amp;"")))</f>
        <v/>
      </c>
      <c r="O180" s="36">
        <f>IF('Enrollment Census'!O180="","",TRIM('Enrollment Census'!O180&amp;""))</f>
        <v/>
      </c>
      <c r="P180" s="38">
        <f>IF('Enrollment Census'!P180="","",'Enrollment Census'!P180)</f>
        <v/>
      </c>
      <c r="Q180" s="38">
        <f>IF('Enrollment Census'!Q180="","",'Enrollment Census'!Q180)</f>
        <v/>
      </c>
      <c r="R180" s="36">
        <f>IF('Enrollment Census'!R180="","",TRIM('Enrollment Census'!R180&amp;""))</f>
        <v/>
      </c>
      <c r="S180" s="36">
        <f>IF('Enrollment Census'!S180="","",TRIM('Enrollment Census'!S180&amp;""))</f>
        <v/>
      </c>
      <c r="T180" s="36">
        <f>IF('Enrollment Census'!T180="","",TRIM('Enrollment Census'!T180&amp;""))</f>
        <v/>
      </c>
      <c r="U180" s="39">
        <f>IF('Enrollment Census'!U180="","",'Enrollment Census'!U180)</f>
        <v/>
      </c>
    </row>
    <row r="181">
      <c r="A181" s="36">
        <f>IF('Enrollment Census'!A181="","",TRIM('Enrollment Census'!A181&amp;""))</f>
        <v/>
      </c>
      <c r="B181" s="36">
        <f>IF('Enrollment Census'!B181="","",TRIM('Enrollment Census'!B181&amp;""))</f>
        <v/>
      </c>
      <c r="C181" s="37">
        <f>IF('Enrollment Census'!C181="","",TRIM('Enrollment Census'!C181&amp;""))</f>
        <v/>
      </c>
      <c r="D181" s="37">
        <f>IF('Enrollment Census'!D181="","",TRIM('Enrollment Census'!D181&amp;""))</f>
        <v/>
      </c>
      <c r="E181" s="36">
        <f>IF('Enrollment Census'!E181="","",TRIM('Enrollment Census'!E181&amp;""))</f>
        <v/>
      </c>
      <c r="F181" s="37">
        <f>IF('Enrollment Census'!F181="","",TRIM('Enrollment Census'!F181&amp;""))</f>
        <v/>
      </c>
      <c r="G181" s="37">
        <f>IF('Enrollment Census'!G181="","",TRIM('Enrollment Census'!G181&amp;""))</f>
        <v/>
      </c>
      <c r="H181" s="37">
        <f>IF('Enrollment Census'!H181="","",TRIM('Enrollment Census'!H181&amp;""))</f>
        <v/>
      </c>
      <c r="I181" s="36">
        <f>IF('Enrollment Census'!I181="","",TRIM('Enrollment Census'!I181&amp;""))</f>
        <v/>
      </c>
      <c r="J181" s="36">
        <f>IF('Enrollment Census'!J181="","",TRIM('Enrollment Census'!J181&amp;""))</f>
        <v/>
      </c>
      <c r="K181" s="36">
        <f>IF('Enrollment Census'!K181="","",TRIM('Enrollment Census'!K181&amp;""))</f>
        <v/>
      </c>
      <c r="L181" s="38">
        <f>IF('Enrollment Census'!L181="","",'Enrollment Census'!L181)</f>
        <v/>
      </c>
      <c r="M181" s="36">
        <f>IF('Enrollment Census'!M181="","",TRIM('Enrollment Census'!M181&amp;""))</f>
        <v/>
      </c>
      <c r="N181" s="36">
        <f>IF('Enrollment Census'!N181="","",LOWER(TRIM('Enrollment Census'!N181&amp;"")))</f>
        <v/>
      </c>
      <c r="O181" s="36">
        <f>IF('Enrollment Census'!O181="","",TRIM('Enrollment Census'!O181&amp;""))</f>
        <v/>
      </c>
      <c r="P181" s="38">
        <f>IF('Enrollment Census'!P181="","",'Enrollment Census'!P181)</f>
        <v/>
      </c>
      <c r="Q181" s="38">
        <f>IF('Enrollment Census'!Q181="","",'Enrollment Census'!Q181)</f>
        <v/>
      </c>
      <c r="R181" s="36">
        <f>IF('Enrollment Census'!R181="","",TRIM('Enrollment Census'!R181&amp;""))</f>
        <v/>
      </c>
      <c r="S181" s="36">
        <f>IF('Enrollment Census'!S181="","",TRIM('Enrollment Census'!S181&amp;""))</f>
        <v/>
      </c>
      <c r="T181" s="36">
        <f>IF('Enrollment Census'!T181="","",TRIM('Enrollment Census'!T181&amp;""))</f>
        <v/>
      </c>
      <c r="U181" s="39">
        <f>IF('Enrollment Census'!U181="","",'Enrollment Census'!U181)</f>
        <v/>
      </c>
    </row>
    <row r="182">
      <c r="A182" s="36">
        <f>IF('Enrollment Census'!A182="","",TRIM('Enrollment Census'!A182&amp;""))</f>
        <v/>
      </c>
      <c r="B182" s="36">
        <f>IF('Enrollment Census'!B182="","",TRIM('Enrollment Census'!B182&amp;""))</f>
        <v/>
      </c>
      <c r="C182" s="37">
        <f>IF('Enrollment Census'!C182="","",TRIM('Enrollment Census'!C182&amp;""))</f>
        <v/>
      </c>
      <c r="D182" s="37">
        <f>IF('Enrollment Census'!D182="","",TRIM('Enrollment Census'!D182&amp;""))</f>
        <v/>
      </c>
      <c r="E182" s="36">
        <f>IF('Enrollment Census'!E182="","",TRIM('Enrollment Census'!E182&amp;""))</f>
        <v/>
      </c>
      <c r="F182" s="37">
        <f>IF('Enrollment Census'!F182="","",TRIM('Enrollment Census'!F182&amp;""))</f>
        <v/>
      </c>
      <c r="G182" s="37">
        <f>IF('Enrollment Census'!G182="","",TRIM('Enrollment Census'!G182&amp;""))</f>
        <v/>
      </c>
      <c r="H182" s="37">
        <f>IF('Enrollment Census'!H182="","",TRIM('Enrollment Census'!H182&amp;""))</f>
        <v/>
      </c>
      <c r="I182" s="36">
        <f>IF('Enrollment Census'!I182="","",TRIM('Enrollment Census'!I182&amp;""))</f>
        <v/>
      </c>
      <c r="J182" s="36">
        <f>IF('Enrollment Census'!J182="","",TRIM('Enrollment Census'!J182&amp;""))</f>
        <v/>
      </c>
      <c r="K182" s="36">
        <f>IF('Enrollment Census'!K182="","",TRIM('Enrollment Census'!K182&amp;""))</f>
        <v/>
      </c>
      <c r="L182" s="38">
        <f>IF('Enrollment Census'!L182="","",'Enrollment Census'!L182)</f>
        <v/>
      </c>
      <c r="M182" s="36">
        <f>IF('Enrollment Census'!M182="","",TRIM('Enrollment Census'!M182&amp;""))</f>
        <v/>
      </c>
      <c r="N182" s="36">
        <f>IF('Enrollment Census'!N182="","",LOWER(TRIM('Enrollment Census'!N182&amp;"")))</f>
        <v/>
      </c>
      <c r="O182" s="36">
        <f>IF('Enrollment Census'!O182="","",TRIM('Enrollment Census'!O182&amp;""))</f>
        <v/>
      </c>
      <c r="P182" s="38">
        <f>IF('Enrollment Census'!P182="","",'Enrollment Census'!P182)</f>
        <v/>
      </c>
      <c r="Q182" s="38">
        <f>IF('Enrollment Census'!Q182="","",'Enrollment Census'!Q182)</f>
        <v/>
      </c>
      <c r="R182" s="36">
        <f>IF('Enrollment Census'!R182="","",TRIM('Enrollment Census'!R182&amp;""))</f>
        <v/>
      </c>
      <c r="S182" s="36">
        <f>IF('Enrollment Census'!S182="","",TRIM('Enrollment Census'!S182&amp;""))</f>
        <v/>
      </c>
      <c r="T182" s="36">
        <f>IF('Enrollment Census'!T182="","",TRIM('Enrollment Census'!T182&amp;""))</f>
        <v/>
      </c>
      <c r="U182" s="39">
        <f>IF('Enrollment Census'!U182="","",'Enrollment Census'!U182)</f>
        <v/>
      </c>
    </row>
    <row r="183">
      <c r="A183" s="36">
        <f>IF('Enrollment Census'!A183="","",TRIM('Enrollment Census'!A183&amp;""))</f>
        <v/>
      </c>
      <c r="B183" s="36">
        <f>IF('Enrollment Census'!B183="","",TRIM('Enrollment Census'!B183&amp;""))</f>
        <v/>
      </c>
      <c r="C183" s="37">
        <f>IF('Enrollment Census'!C183="","",TRIM('Enrollment Census'!C183&amp;""))</f>
        <v/>
      </c>
      <c r="D183" s="37">
        <f>IF('Enrollment Census'!D183="","",TRIM('Enrollment Census'!D183&amp;""))</f>
        <v/>
      </c>
      <c r="E183" s="36">
        <f>IF('Enrollment Census'!E183="","",TRIM('Enrollment Census'!E183&amp;""))</f>
        <v/>
      </c>
      <c r="F183" s="37">
        <f>IF('Enrollment Census'!F183="","",TRIM('Enrollment Census'!F183&amp;""))</f>
        <v/>
      </c>
      <c r="G183" s="37">
        <f>IF('Enrollment Census'!G183="","",TRIM('Enrollment Census'!G183&amp;""))</f>
        <v/>
      </c>
      <c r="H183" s="37">
        <f>IF('Enrollment Census'!H183="","",TRIM('Enrollment Census'!H183&amp;""))</f>
        <v/>
      </c>
      <c r="I183" s="36">
        <f>IF('Enrollment Census'!I183="","",TRIM('Enrollment Census'!I183&amp;""))</f>
        <v/>
      </c>
      <c r="J183" s="36">
        <f>IF('Enrollment Census'!J183="","",TRIM('Enrollment Census'!J183&amp;""))</f>
        <v/>
      </c>
      <c r="K183" s="36">
        <f>IF('Enrollment Census'!K183="","",TRIM('Enrollment Census'!K183&amp;""))</f>
        <v/>
      </c>
      <c r="L183" s="38">
        <f>IF('Enrollment Census'!L183="","",'Enrollment Census'!L183)</f>
        <v/>
      </c>
      <c r="M183" s="36">
        <f>IF('Enrollment Census'!M183="","",TRIM('Enrollment Census'!M183&amp;""))</f>
        <v/>
      </c>
      <c r="N183" s="36">
        <f>IF('Enrollment Census'!N183="","",LOWER(TRIM('Enrollment Census'!N183&amp;"")))</f>
        <v/>
      </c>
      <c r="O183" s="36">
        <f>IF('Enrollment Census'!O183="","",TRIM('Enrollment Census'!O183&amp;""))</f>
        <v/>
      </c>
      <c r="P183" s="38">
        <f>IF('Enrollment Census'!P183="","",'Enrollment Census'!P183)</f>
        <v/>
      </c>
      <c r="Q183" s="38">
        <f>IF('Enrollment Census'!Q183="","",'Enrollment Census'!Q183)</f>
        <v/>
      </c>
      <c r="R183" s="36">
        <f>IF('Enrollment Census'!R183="","",TRIM('Enrollment Census'!R183&amp;""))</f>
        <v/>
      </c>
      <c r="S183" s="36">
        <f>IF('Enrollment Census'!S183="","",TRIM('Enrollment Census'!S183&amp;""))</f>
        <v/>
      </c>
      <c r="T183" s="36">
        <f>IF('Enrollment Census'!T183="","",TRIM('Enrollment Census'!T183&amp;""))</f>
        <v/>
      </c>
      <c r="U183" s="39">
        <f>IF('Enrollment Census'!U183="","",'Enrollment Census'!U183)</f>
        <v/>
      </c>
    </row>
    <row r="184">
      <c r="A184" s="36">
        <f>IF('Enrollment Census'!A184="","",TRIM('Enrollment Census'!A184&amp;""))</f>
        <v/>
      </c>
      <c r="B184" s="36">
        <f>IF('Enrollment Census'!B184="","",TRIM('Enrollment Census'!B184&amp;""))</f>
        <v/>
      </c>
      <c r="C184" s="37">
        <f>IF('Enrollment Census'!C184="","",TRIM('Enrollment Census'!C184&amp;""))</f>
        <v/>
      </c>
      <c r="D184" s="37">
        <f>IF('Enrollment Census'!D184="","",TRIM('Enrollment Census'!D184&amp;""))</f>
        <v/>
      </c>
      <c r="E184" s="36">
        <f>IF('Enrollment Census'!E184="","",TRIM('Enrollment Census'!E184&amp;""))</f>
        <v/>
      </c>
      <c r="F184" s="37">
        <f>IF('Enrollment Census'!F184="","",TRIM('Enrollment Census'!F184&amp;""))</f>
        <v/>
      </c>
      <c r="G184" s="37">
        <f>IF('Enrollment Census'!G184="","",TRIM('Enrollment Census'!G184&amp;""))</f>
        <v/>
      </c>
      <c r="H184" s="37">
        <f>IF('Enrollment Census'!H184="","",TRIM('Enrollment Census'!H184&amp;""))</f>
        <v/>
      </c>
      <c r="I184" s="36">
        <f>IF('Enrollment Census'!I184="","",TRIM('Enrollment Census'!I184&amp;""))</f>
        <v/>
      </c>
      <c r="J184" s="36">
        <f>IF('Enrollment Census'!J184="","",TRIM('Enrollment Census'!J184&amp;""))</f>
        <v/>
      </c>
      <c r="K184" s="36">
        <f>IF('Enrollment Census'!K184="","",TRIM('Enrollment Census'!K184&amp;""))</f>
        <v/>
      </c>
      <c r="L184" s="38">
        <f>IF('Enrollment Census'!L184="","",'Enrollment Census'!L184)</f>
        <v/>
      </c>
      <c r="M184" s="36">
        <f>IF('Enrollment Census'!M184="","",TRIM('Enrollment Census'!M184&amp;""))</f>
        <v/>
      </c>
      <c r="N184" s="36">
        <f>IF('Enrollment Census'!N184="","",LOWER(TRIM('Enrollment Census'!N184&amp;"")))</f>
        <v/>
      </c>
      <c r="O184" s="36">
        <f>IF('Enrollment Census'!O184="","",TRIM('Enrollment Census'!O184&amp;""))</f>
        <v/>
      </c>
      <c r="P184" s="38">
        <f>IF('Enrollment Census'!P184="","",'Enrollment Census'!P184)</f>
        <v/>
      </c>
      <c r="Q184" s="38">
        <f>IF('Enrollment Census'!Q184="","",'Enrollment Census'!Q184)</f>
        <v/>
      </c>
      <c r="R184" s="36">
        <f>IF('Enrollment Census'!R184="","",TRIM('Enrollment Census'!R184&amp;""))</f>
        <v/>
      </c>
      <c r="S184" s="36">
        <f>IF('Enrollment Census'!S184="","",TRIM('Enrollment Census'!S184&amp;""))</f>
        <v/>
      </c>
      <c r="T184" s="36">
        <f>IF('Enrollment Census'!T184="","",TRIM('Enrollment Census'!T184&amp;""))</f>
        <v/>
      </c>
      <c r="U184" s="39">
        <f>IF('Enrollment Census'!U184="","",'Enrollment Census'!U184)</f>
        <v/>
      </c>
    </row>
    <row r="185">
      <c r="A185" s="36">
        <f>IF('Enrollment Census'!A185="","",TRIM('Enrollment Census'!A185&amp;""))</f>
        <v/>
      </c>
      <c r="B185" s="36">
        <f>IF('Enrollment Census'!B185="","",TRIM('Enrollment Census'!B185&amp;""))</f>
        <v/>
      </c>
      <c r="C185" s="37">
        <f>IF('Enrollment Census'!C185="","",TRIM('Enrollment Census'!C185&amp;""))</f>
        <v/>
      </c>
      <c r="D185" s="37">
        <f>IF('Enrollment Census'!D185="","",TRIM('Enrollment Census'!D185&amp;""))</f>
        <v/>
      </c>
      <c r="E185" s="36">
        <f>IF('Enrollment Census'!E185="","",TRIM('Enrollment Census'!E185&amp;""))</f>
        <v/>
      </c>
      <c r="F185" s="37">
        <f>IF('Enrollment Census'!F185="","",TRIM('Enrollment Census'!F185&amp;""))</f>
        <v/>
      </c>
      <c r="G185" s="37">
        <f>IF('Enrollment Census'!G185="","",TRIM('Enrollment Census'!G185&amp;""))</f>
        <v/>
      </c>
      <c r="H185" s="37">
        <f>IF('Enrollment Census'!H185="","",TRIM('Enrollment Census'!H185&amp;""))</f>
        <v/>
      </c>
      <c r="I185" s="36">
        <f>IF('Enrollment Census'!I185="","",TRIM('Enrollment Census'!I185&amp;""))</f>
        <v/>
      </c>
      <c r="J185" s="36">
        <f>IF('Enrollment Census'!J185="","",TRIM('Enrollment Census'!J185&amp;""))</f>
        <v/>
      </c>
      <c r="K185" s="36">
        <f>IF('Enrollment Census'!K185="","",TRIM('Enrollment Census'!K185&amp;""))</f>
        <v/>
      </c>
      <c r="L185" s="38">
        <f>IF('Enrollment Census'!L185="","",'Enrollment Census'!L185)</f>
        <v/>
      </c>
      <c r="M185" s="36">
        <f>IF('Enrollment Census'!M185="","",TRIM('Enrollment Census'!M185&amp;""))</f>
        <v/>
      </c>
      <c r="N185" s="36">
        <f>IF('Enrollment Census'!N185="","",LOWER(TRIM('Enrollment Census'!N185&amp;"")))</f>
        <v/>
      </c>
      <c r="O185" s="36">
        <f>IF('Enrollment Census'!O185="","",TRIM('Enrollment Census'!O185&amp;""))</f>
        <v/>
      </c>
      <c r="P185" s="38">
        <f>IF('Enrollment Census'!P185="","",'Enrollment Census'!P185)</f>
        <v/>
      </c>
      <c r="Q185" s="38">
        <f>IF('Enrollment Census'!Q185="","",'Enrollment Census'!Q185)</f>
        <v/>
      </c>
      <c r="R185" s="36">
        <f>IF('Enrollment Census'!R185="","",TRIM('Enrollment Census'!R185&amp;""))</f>
        <v/>
      </c>
      <c r="S185" s="36">
        <f>IF('Enrollment Census'!S185="","",TRIM('Enrollment Census'!S185&amp;""))</f>
        <v/>
      </c>
      <c r="T185" s="36">
        <f>IF('Enrollment Census'!T185="","",TRIM('Enrollment Census'!T185&amp;""))</f>
        <v/>
      </c>
      <c r="U185" s="39">
        <f>IF('Enrollment Census'!U185="","",'Enrollment Census'!U185)</f>
        <v/>
      </c>
    </row>
    <row r="186">
      <c r="A186" s="36">
        <f>IF('Enrollment Census'!A186="","",TRIM('Enrollment Census'!A186&amp;""))</f>
        <v/>
      </c>
      <c r="B186" s="36">
        <f>IF('Enrollment Census'!B186="","",TRIM('Enrollment Census'!B186&amp;""))</f>
        <v/>
      </c>
      <c r="C186" s="37">
        <f>IF('Enrollment Census'!C186="","",TRIM('Enrollment Census'!C186&amp;""))</f>
        <v/>
      </c>
      <c r="D186" s="37">
        <f>IF('Enrollment Census'!D186="","",TRIM('Enrollment Census'!D186&amp;""))</f>
        <v/>
      </c>
      <c r="E186" s="36">
        <f>IF('Enrollment Census'!E186="","",TRIM('Enrollment Census'!E186&amp;""))</f>
        <v/>
      </c>
      <c r="F186" s="37">
        <f>IF('Enrollment Census'!F186="","",TRIM('Enrollment Census'!F186&amp;""))</f>
        <v/>
      </c>
      <c r="G186" s="37">
        <f>IF('Enrollment Census'!G186="","",TRIM('Enrollment Census'!G186&amp;""))</f>
        <v/>
      </c>
      <c r="H186" s="37">
        <f>IF('Enrollment Census'!H186="","",TRIM('Enrollment Census'!H186&amp;""))</f>
        <v/>
      </c>
      <c r="I186" s="36">
        <f>IF('Enrollment Census'!I186="","",TRIM('Enrollment Census'!I186&amp;""))</f>
        <v/>
      </c>
      <c r="J186" s="36">
        <f>IF('Enrollment Census'!J186="","",TRIM('Enrollment Census'!J186&amp;""))</f>
        <v/>
      </c>
      <c r="K186" s="36">
        <f>IF('Enrollment Census'!K186="","",TRIM('Enrollment Census'!K186&amp;""))</f>
        <v/>
      </c>
      <c r="L186" s="38">
        <f>IF('Enrollment Census'!L186="","",'Enrollment Census'!L186)</f>
        <v/>
      </c>
      <c r="M186" s="36">
        <f>IF('Enrollment Census'!M186="","",TRIM('Enrollment Census'!M186&amp;""))</f>
        <v/>
      </c>
      <c r="N186" s="36">
        <f>IF('Enrollment Census'!N186="","",LOWER(TRIM('Enrollment Census'!N186&amp;"")))</f>
        <v/>
      </c>
      <c r="O186" s="36">
        <f>IF('Enrollment Census'!O186="","",TRIM('Enrollment Census'!O186&amp;""))</f>
        <v/>
      </c>
      <c r="P186" s="38">
        <f>IF('Enrollment Census'!P186="","",'Enrollment Census'!P186)</f>
        <v/>
      </c>
      <c r="Q186" s="38">
        <f>IF('Enrollment Census'!Q186="","",'Enrollment Census'!Q186)</f>
        <v/>
      </c>
      <c r="R186" s="36">
        <f>IF('Enrollment Census'!R186="","",TRIM('Enrollment Census'!R186&amp;""))</f>
        <v/>
      </c>
      <c r="S186" s="36">
        <f>IF('Enrollment Census'!S186="","",TRIM('Enrollment Census'!S186&amp;""))</f>
        <v/>
      </c>
      <c r="T186" s="36">
        <f>IF('Enrollment Census'!T186="","",TRIM('Enrollment Census'!T186&amp;""))</f>
        <v/>
      </c>
      <c r="U186" s="39">
        <f>IF('Enrollment Census'!U186="","",'Enrollment Census'!U186)</f>
        <v/>
      </c>
    </row>
    <row r="187">
      <c r="A187" s="36">
        <f>IF('Enrollment Census'!A187="","",TRIM('Enrollment Census'!A187&amp;""))</f>
        <v/>
      </c>
      <c r="B187" s="36">
        <f>IF('Enrollment Census'!B187="","",TRIM('Enrollment Census'!B187&amp;""))</f>
        <v/>
      </c>
      <c r="C187" s="37">
        <f>IF('Enrollment Census'!C187="","",TRIM('Enrollment Census'!C187&amp;""))</f>
        <v/>
      </c>
      <c r="D187" s="37">
        <f>IF('Enrollment Census'!D187="","",TRIM('Enrollment Census'!D187&amp;""))</f>
        <v/>
      </c>
      <c r="E187" s="36">
        <f>IF('Enrollment Census'!E187="","",TRIM('Enrollment Census'!E187&amp;""))</f>
        <v/>
      </c>
      <c r="F187" s="37">
        <f>IF('Enrollment Census'!F187="","",TRIM('Enrollment Census'!F187&amp;""))</f>
        <v/>
      </c>
      <c r="G187" s="37">
        <f>IF('Enrollment Census'!G187="","",TRIM('Enrollment Census'!G187&amp;""))</f>
        <v/>
      </c>
      <c r="H187" s="37">
        <f>IF('Enrollment Census'!H187="","",TRIM('Enrollment Census'!H187&amp;""))</f>
        <v/>
      </c>
      <c r="I187" s="36">
        <f>IF('Enrollment Census'!I187="","",TRIM('Enrollment Census'!I187&amp;""))</f>
        <v/>
      </c>
      <c r="J187" s="36">
        <f>IF('Enrollment Census'!J187="","",TRIM('Enrollment Census'!J187&amp;""))</f>
        <v/>
      </c>
      <c r="K187" s="36">
        <f>IF('Enrollment Census'!K187="","",TRIM('Enrollment Census'!K187&amp;""))</f>
        <v/>
      </c>
      <c r="L187" s="38">
        <f>IF('Enrollment Census'!L187="","",'Enrollment Census'!L187)</f>
        <v/>
      </c>
      <c r="M187" s="36">
        <f>IF('Enrollment Census'!M187="","",TRIM('Enrollment Census'!M187&amp;""))</f>
        <v/>
      </c>
      <c r="N187" s="36">
        <f>IF('Enrollment Census'!N187="","",LOWER(TRIM('Enrollment Census'!N187&amp;"")))</f>
        <v/>
      </c>
      <c r="O187" s="36">
        <f>IF('Enrollment Census'!O187="","",TRIM('Enrollment Census'!O187&amp;""))</f>
        <v/>
      </c>
      <c r="P187" s="38">
        <f>IF('Enrollment Census'!P187="","",'Enrollment Census'!P187)</f>
        <v/>
      </c>
      <c r="Q187" s="38">
        <f>IF('Enrollment Census'!Q187="","",'Enrollment Census'!Q187)</f>
        <v/>
      </c>
      <c r="R187" s="36">
        <f>IF('Enrollment Census'!R187="","",TRIM('Enrollment Census'!R187&amp;""))</f>
        <v/>
      </c>
      <c r="S187" s="36">
        <f>IF('Enrollment Census'!S187="","",TRIM('Enrollment Census'!S187&amp;""))</f>
        <v/>
      </c>
      <c r="T187" s="36">
        <f>IF('Enrollment Census'!T187="","",TRIM('Enrollment Census'!T187&amp;""))</f>
        <v/>
      </c>
      <c r="U187" s="39">
        <f>IF('Enrollment Census'!U187="","",'Enrollment Census'!U187)</f>
        <v/>
      </c>
    </row>
    <row r="188">
      <c r="A188" s="36">
        <f>IF('Enrollment Census'!A188="","",TRIM('Enrollment Census'!A188&amp;""))</f>
        <v/>
      </c>
      <c r="B188" s="36">
        <f>IF('Enrollment Census'!B188="","",TRIM('Enrollment Census'!B188&amp;""))</f>
        <v/>
      </c>
      <c r="C188" s="37">
        <f>IF('Enrollment Census'!C188="","",TRIM('Enrollment Census'!C188&amp;""))</f>
        <v/>
      </c>
      <c r="D188" s="37">
        <f>IF('Enrollment Census'!D188="","",TRIM('Enrollment Census'!D188&amp;""))</f>
        <v/>
      </c>
      <c r="E188" s="36">
        <f>IF('Enrollment Census'!E188="","",TRIM('Enrollment Census'!E188&amp;""))</f>
        <v/>
      </c>
      <c r="F188" s="37">
        <f>IF('Enrollment Census'!F188="","",TRIM('Enrollment Census'!F188&amp;""))</f>
        <v/>
      </c>
      <c r="G188" s="37">
        <f>IF('Enrollment Census'!G188="","",TRIM('Enrollment Census'!G188&amp;""))</f>
        <v/>
      </c>
      <c r="H188" s="37">
        <f>IF('Enrollment Census'!H188="","",TRIM('Enrollment Census'!H188&amp;""))</f>
        <v/>
      </c>
      <c r="I188" s="36">
        <f>IF('Enrollment Census'!I188="","",TRIM('Enrollment Census'!I188&amp;""))</f>
        <v/>
      </c>
      <c r="J188" s="36">
        <f>IF('Enrollment Census'!J188="","",TRIM('Enrollment Census'!J188&amp;""))</f>
        <v/>
      </c>
      <c r="K188" s="36">
        <f>IF('Enrollment Census'!K188="","",TRIM('Enrollment Census'!K188&amp;""))</f>
        <v/>
      </c>
      <c r="L188" s="38">
        <f>IF('Enrollment Census'!L188="","",'Enrollment Census'!L188)</f>
        <v/>
      </c>
      <c r="M188" s="36">
        <f>IF('Enrollment Census'!M188="","",TRIM('Enrollment Census'!M188&amp;""))</f>
        <v/>
      </c>
      <c r="N188" s="36">
        <f>IF('Enrollment Census'!N188="","",LOWER(TRIM('Enrollment Census'!N188&amp;"")))</f>
        <v/>
      </c>
      <c r="O188" s="36">
        <f>IF('Enrollment Census'!O188="","",TRIM('Enrollment Census'!O188&amp;""))</f>
        <v/>
      </c>
      <c r="P188" s="38">
        <f>IF('Enrollment Census'!P188="","",'Enrollment Census'!P188)</f>
        <v/>
      </c>
      <c r="Q188" s="38">
        <f>IF('Enrollment Census'!Q188="","",'Enrollment Census'!Q188)</f>
        <v/>
      </c>
      <c r="R188" s="36">
        <f>IF('Enrollment Census'!R188="","",TRIM('Enrollment Census'!R188&amp;""))</f>
        <v/>
      </c>
      <c r="S188" s="36">
        <f>IF('Enrollment Census'!S188="","",TRIM('Enrollment Census'!S188&amp;""))</f>
        <v/>
      </c>
      <c r="T188" s="36">
        <f>IF('Enrollment Census'!T188="","",TRIM('Enrollment Census'!T188&amp;""))</f>
        <v/>
      </c>
      <c r="U188" s="39">
        <f>IF('Enrollment Census'!U188="","",'Enrollment Census'!U188)</f>
        <v/>
      </c>
    </row>
    <row r="189">
      <c r="A189" s="36">
        <f>IF('Enrollment Census'!A189="","",TRIM('Enrollment Census'!A189&amp;""))</f>
        <v/>
      </c>
      <c r="B189" s="36">
        <f>IF('Enrollment Census'!B189="","",TRIM('Enrollment Census'!B189&amp;""))</f>
        <v/>
      </c>
      <c r="C189" s="37">
        <f>IF('Enrollment Census'!C189="","",TRIM('Enrollment Census'!C189&amp;""))</f>
        <v/>
      </c>
      <c r="D189" s="37">
        <f>IF('Enrollment Census'!D189="","",TRIM('Enrollment Census'!D189&amp;""))</f>
        <v/>
      </c>
      <c r="E189" s="36">
        <f>IF('Enrollment Census'!E189="","",TRIM('Enrollment Census'!E189&amp;""))</f>
        <v/>
      </c>
      <c r="F189" s="37">
        <f>IF('Enrollment Census'!F189="","",TRIM('Enrollment Census'!F189&amp;""))</f>
        <v/>
      </c>
      <c r="G189" s="37">
        <f>IF('Enrollment Census'!G189="","",TRIM('Enrollment Census'!G189&amp;""))</f>
        <v/>
      </c>
      <c r="H189" s="37">
        <f>IF('Enrollment Census'!H189="","",TRIM('Enrollment Census'!H189&amp;""))</f>
        <v/>
      </c>
      <c r="I189" s="36">
        <f>IF('Enrollment Census'!I189="","",TRIM('Enrollment Census'!I189&amp;""))</f>
        <v/>
      </c>
      <c r="J189" s="36">
        <f>IF('Enrollment Census'!J189="","",TRIM('Enrollment Census'!J189&amp;""))</f>
        <v/>
      </c>
      <c r="K189" s="36">
        <f>IF('Enrollment Census'!K189="","",TRIM('Enrollment Census'!K189&amp;""))</f>
        <v/>
      </c>
      <c r="L189" s="38">
        <f>IF('Enrollment Census'!L189="","",'Enrollment Census'!L189)</f>
        <v/>
      </c>
      <c r="M189" s="36">
        <f>IF('Enrollment Census'!M189="","",TRIM('Enrollment Census'!M189&amp;""))</f>
        <v/>
      </c>
      <c r="N189" s="36">
        <f>IF('Enrollment Census'!N189="","",LOWER(TRIM('Enrollment Census'!N189&amp;"")))</f>
        <v/>
      </c>
      <c r="O189" s="36">
        <f>IF('Enrollment Census'!O189="","",TRIM('Enrollment Census'!O189&amp;""))</f>
        <v/>
      </c>
      <c r="P189" s="38">
        <f>IF('Enrollment Census'!P189="","",'Enrollment Census'!P189)</f>
        <v/>
      </c>
      <c r="Q189" s="38">
        <f>IF('Enrollment Census'!Q189="","",'Enrollment Census'!Q189)</f>
        <v/>
      </c>
      <c r="R189" s="36">
        <f>IF('Enrollment Census'!R189="","",TRIM('Enrollment Census'!R189&amp;""))</f>
        <v/>
      </c>
      <c r="S189" s="36">
        <f>IF('Enrollment Census'!S189="","",TRIM('Enrollment Census'!S189&amp;""))</f>
        <v/>
      </c>
      <c r="T189" s="36">
        <f>IF('Enrollment Census'!T189="","",TRIM('Enrollment Census'!T189&amp;""))</f>
        <v/>
      </c>
      <c r="U189" s="39">
        <f>IF('Enrollment Census'!U189="","",'Enrollment Census'!U189)</f>
        <v/>
      </c>
    </row>
    <row r="190">
      <c r="A190" s="36">
        <f>IF('Enrollment Census'!A190="","",TRIM('Enrollment Census'!A190&amp;""))</f>
        <v/>
      </c>
      <c r="B190" s="36">
        <f>IF('Enrollment Census'!B190="","",TRIM('Enrollment Census'!B190&amp;""))</f>
        <v/>
      </c>
      <c r="C190" s="37">
        <f>IF('Enrollment Census'!C190="","",TRIM('Enrollment Census'!C190&amp;""))</f>
        <v/>
      </c>
      <c r="D190" s="37">
        <f>IF('Enrollment Census'!D190="","",TRIM('Enrollment Census'!D190&amp;""))</f>
        <v/>
      </c>
      <c r="E190" s="36">
        <f>IF('Enrollment Census'!E190="","",TRIM('Enrollment Census'!E190&amp;""))</f>
        <v/>
      </c>
      <c r="F190" s="37">
        <f>IF('Enrollment Census'!F190="","",TRIM('Enrollment Census'!F190&amp;""))</f>
        <v/>
      </c>
      <c r="G190" s="37">
        <f>IF('Enrollment Census'!G190="","",TRIM('Enrollment Census'!G190&amp;""))</f>
        <v/>
      </c>
      <c r="H190" s="37">
        <f>IF('Enrollment Census'!H190="","",TRIM('Enrollment Census'!H190&amp;""))</f>
        <v/>
      </c>
      <c r="I190" s="36">
        <f>IF('Enrollment Census'!I190="","",TRIM('Enrollment Census'!I190&amp;""))</f>
        <v/>
      </c>
      <c r="J190" s="36">
        <f>IF('Enrollment Census'!J190="","",TRIM('Enrollment Census'!J190&amp;""))</f>
        <v/>
      </c>
      <c r="K190" s="36">
        <f>IF('Enrollment Census'!K190="","",TRIM('Enrollment Census'!K190&amp;""))</f>
        <v/>
      </c>
      <c r="L190" s="38">
        <f>IF('Enrollment Census'!L190="","",'Enrollment Census'!L190)</f>
        <v/>
      </c>
      <c r="M190" s="36">
        <f>IF('Enrollment Census'!M190="","",TRIM('Enrollment Census'!M190&amp;""))</f>
        <v/>
      </c>
      <c r="N190" s="36">
        <f>IF('Enrollment Census'!N190="","",LOWER(TRIM('Enrollment Census'!N190&amp;"")))</f>
        <v/>
      </c>
      <c r="O190" s="36">
        <f>IF('Enrollment Census'!O190="","",TRIM('Enrollment Census'!O190&amp;""))</f>
        <v/>
      </c>
      <c r="P190" s="38">
        <f>IF('Enrollment Census'!P190="","",'Enrollment Census'!P190)</f>
        <v/>
      </c>
      <c r="Q190" s="38">
        <f>IF('Enrollment Census'!Q190="","",'Enrollment Census'!Q190)</f>
        <v/>
      </c>
      <c r="R190" s="36">
        <f>IF('Enrollment Census'!R190="","",TRIM('Enrollment Census'!R190&amp;""))</f>
        <v/>
      </c>
      <c r="S190" s="36">
        <f>IF('Enrollment Census'!S190="","",TRIM('Enrollment Census'!S190&amp;""))</f>
        <v/>
      </c>
      <c r="T190" s="36">
        <f>IF('Enrollment Census'!T190="","",TRIM('Enrollment Census'!T190&amp;""))</f>
        <v/>
      </c>
      <c r="U190" s="39">
        <f>IF('Enrollment Census'!U190="","",'Enrollment Census'!U190)</f>
        <v/>
      </c>
    </row>
    <row r="191">
      <c r="A191" s="36">
        <f>IF('Enrollment Census'!A191="","",TRIM('Enrollment Census'!A191&amp;""))</f>
        <v/>
      </c>
      <c r="B191" s="36">
        <f>IF('Enrollment Census'!B191="","",TRIM('Enrollment Census'!B191&amp;""))</f>
        <v/>
      </c>
      <c r="C191" s="37">
        <f>IF('Enrollment Census'!C191="","",TRIM('Enrollment Census'!C191&amp;""))</f>
        <v/>
      </c>
      <c r="D191" s="37">
        <f>IF('Enrollment Census'!D191="","",TRIM('Enrollment Census'!D191&amp;""))</f>
        <v/>
      </c>
      <c r="E191" s="36">
        <f>IF('Enrollment Census'!E191="","",TRIM('Enrollment Census'!E191&amp;""))</f>
        <v/>
      </c>
      <c r="F191" s="37">
        <f>IF('Enrollment Census'!F191="","",TRIM('Enrollment Census'!F191&amp;""))</f>
        <v/>
      </c>
      <c r="G191" s="37">
        <f>IF('Enrollment Census'!G191="","",TRIM('Enrollment Census'!G191&amp;""))</f>
        <v/>
      </c>
      <c r="H191" s="37">
        <f>IF('Enrollment Census'!H191="","",TRIM('Enrollment Census'!H191&amp;""))</f>
        <v/>
      </c>
      <c r="I191" s="36">
        <f>IF('Enrollment Census'!I191="","",TRIM('Enrollment Census'!I191&amp;""))</f>
        <v/>
      </c>
      <c r="J191" s="36">
        <f>IF('Enrollment Census'!J191="","",TRIM('Enrollment Census'!J191&amp;""))</f>
        <v/>
      </c>
      <c r="K191" s="36">
        <f>IF('Enrollment Census'!K191="","",TRIM('Enrollment Census'!K191&amp;""))</f>
        <v/>
      </c>
      <c r="L191" s="38">
        <f>IF('Enrollment Census'!L191="","",'Enrollment Census'!L191)</f>
        <v/>
      </c>
      <c r="M191" s="36">
        <f>IF('Enrollment Census'!M191="","",TRIM('Enrollment Census'!M191&amp;""))</f>
        <v/>
      </c>
      <c r="N191" s="36">
        <f>IF('Enrollment Census'!N191="","",LOWER(TRIM('Enrollment Census'!N191&amp;"")))</f>
        <v/>
      </c>
      <c r="O191" s="36">
        <f>IF('Enrollment Census'!O191="","",TRIM('Enrollment Census'!O191&amp;""))</f>
        <v/>
      </c>
      <c r="P191" s="38">
        <f>IF('Enrollment Census'!P191="","",'Enrollment Census'!P191)</f>
        <v/>
      </c>
      <c r="Q191" s="38">
        <f>IF('Enrollment Census'!Q191="","",'Enrollment Census'!Q191)</f>
        <v/>
      </c>
      <c r="R191" s="36">
        <f>IF('Enrollment Census'!R191="","",TRIM('Enrollment Census'!R191&amp;""))</f>
        <v/>
      </c>
      <c r="S191" s="36">
        <f>IF('Enrollment Census'!S191="","",TRIM('Enrollment Census'!S191&amp;""))</f>
        <v/>
      </c>
      <c r="T191" s="36">
        <f>IF('Enrollment Census'!T191="","",TRIM('Enrollment Census'!T191&amp;""))</f>
        <v/>
      </c>
      <c r="U191" s="39">
        <f>IF('Enrollment Census'!U191="","",'Enrollment Census'!U191)</f>
        <v/>
      </c>
    </row>
    <row r="192">
      <c r="A192" s="36">
        <f>IF('Enrollment Census'!A192="","",TRIM('Enrollment Census'!A192&amp;""))</f>
        <v/>
      </c>
      <c r="B192" s="36">
        <f>IF('Enrollment Census'!B192="","",TRIM('Enrollment Census'!B192&amp;""))</f>
        <v/>
      </c>
      <c r="C192" s="37">
        <f>IF('Enrollment Census'!C192="","",TRIM('Enrollment Census'!C192&amp;""))</f>
        <v/>
      </c>
      <c r="D192" s="37">
        <f>IF('Enrollment Census'!D192="","",TRIM('Enrollment Census'!D192&amp;""))</f>
        <v/>
      </c>
      <c r="E192" s="36">
        <f>IF('Enrollment Census'!E192="","",TRIM('Enrollment Census'!E192&amp;""))</f>
        <v/>
      </c>
      <c r="F192" s="37">
        <f>IF('Enrollment Census'!F192="","",TRIM('Enrollment Census'!F192&amp;""))</f>
        <v/>
      </c>
      <c r="G192" s="37">
        <f>IF('Enrollment Census'!G192="","",TRIM('Enrollment Census'!G192&amp;""))</f>
        <v/>
      </c>
      <c r="H192" s="37">
        <f>IF('Enrollment Census'!H192="","",TRIM('Enrollment Census'!H192&amp;""))</f>
        <v/>
      </c>
      <c r="I192" s="36">
        <f>IF('Enrollment Census'!I192="","",TRIM('Enrollment Census'!I192&amp;""))</f>
        <v/>
      </c>
      <c r="J192" s="36">
        <f>IF('Enrollment Census'!J192="","",TRIM('Enrollment Census'!J192&amp;""))</f>
        <v/>
      </c>
      <c r="K192" s="36">
        <f>IF('Enrollment Census'!K192="","",TRIM('Enrollment Census'!K192&amp;""))</f>
        <v/>
      </c>
      <c r="L192" s="38">
        <f>IF('Enrollment Census'!L192="","",'Enrollment Census'!L192)</f>
        <v/>
      </c>
      <c r="M192" s="36">
        <f>IF('Enrollment Census'!M192="","",TRIM('Enrollment Census'!M192&amp;""))</f>
        <v/>
      </c>
      <c r="N192" s="36">
        <f>IF('Enrollment Census'!N192="","",LOWER(TRIM('Enrollment Census'!N192&amp;"")))</f>
        <v/>
      </c>
      <c r="O192" s="36">
        <f>IF('Enrollment Census'!O192="","",TRIM('Enrollment Census'!O192&amp;""))</f>
        <v/>
      </c>
      <c r="P192" s="38">
        <f>IF('Enrollment Census'!P192="","",'Enrollment Census'!P192)</f>
        <v/>
      </c>
      <c r="Q192" s="38">
        <f>IF('Enrollment Census'!Q192="","",'Enrollment Census'!Q192)</f>
        <v/>
      </c>
      <c r="R192" s="36">
        <f>IF('Enrollment Census'!R192="","",TRIM('Enrollment Census'!R192&amp;""))</f>
        <v/>
      </c>
      <c r="S192" s="36">
        <f>IF('Enrollment Census'!S192="","",TRIM('Enrollment Census'!S192&amp;""))</f>
        <v/>
      </c>
      <c r="T192" s="36">
        <f>IF('Enrollment Census'!T192="","",TRIM('Enrollment Census'!T192&amp;""))</f>
        <v/>
      </c>
      <c r="U192" s="39">
        <f>IF('Enrollment Census'!U192="","",'Enrollment Census'!U192)</f>
        <v/>
      </c>
    </row>
    <row r="193">
      <c r="A193" s="36">
        <f>IF('Enrollment Census'!A193="","",TRIM('Enrollment Census'!A193&amp;""))</f>
        <v/>
      </c>
      <c r="B193" s="36">
        <f>IF('Enrollment Census'!B193="","",TRIM('Enrollment Census'!B193&amp;""))</f>
        <v/>
      </c>
      <c r="C193" s="37">
        <f>IF('Enrollment Census'!C193="","",TRIM('Enrollment Census'!C193&amp;""))</f>
        <v/>
      </c>
      <c r="D193" s="37">
        <f>IF('Enrollment Census'!D193="","",TRIM('Enrollment Census'!D193&amp;""))</f>
        <v/>
      </c>
      <c r="E193" s="36">
        <f>IF('Enrollment Census'!E193="","",TRIM('Enrollment Census'!E193&amp;""))</f>
        <v/>
      </c>
      <c r="F193" s="37">
        <f>IF('Enrollment Census'!F193="","",TRIM('Enrollment Census'!F193&amp;""))</f>
        <v/>
      </c>
      <c r="G193" s="37">
        <f>IF('Enrollment Census'!G193="","",TRIM('Enrollment Census'!G193&amp;""))</f>
        <v/>
      </c>
      <c r="H193" s="37">
        <f>IF('Enrollment Census'!H193="","",TRIM('Enrollment Census'!H193&amp;""))</f>
        <v/>
      </c>
      <c r="I193" s="36">
        <f>IF('Enrollment Census'!I193="","",TRIM('Enrollment Census'!I193&amp;""))</f>
        <v/>
      </c>
      <c r="J193" s="36">
        <f>IF('Enrollment Census'!J193="","",TRIM('Enrollment Census'!J193&amp;""))</f>
        <v/>
      </c>
      <c r="K193" s="36">
        <f>IF('Enrollment Census'!K193="","",TRIM('Enrollment Census'!K193&amp;""))</f>
        <v/>
      </c>
      <c r="L193" s="38">
        <f>IF('Enrollment Census'!L193="","",'Enrollment Census'!L193)</f>
        <v/>
      </c>
      <c r="M193" s="36">
        <f>IF('Enrollment Census'!M193="","",TRIM('Enrollment Census'!M193&amp;""))</f>
        <v/>
      </c>
      <c r="N193" s="36">
        <f>IF('Enrollment Census'!N193="","",LOWER(TRIM('Enrollment Census'!N193&amp;"")))</f>
        <v/>
      </c>
      <c r="O193" s="36">
        <f>IF('Enrollment Census'!O193="","",TRIM('Enrollment Census'!O193&amp;""))</f>
        <v/>
      </c>
      <c r="P193" s="38">
        <f>IF('Enrollment Census'!P193="","",'Enrollment Census'!P193)</f>
        <v/>
      </c>
      <c r="Q193" s="38">
        <f>IF('Enrollment Census'!Q193="","",'Enrollment Census'!Q193)</f>
        <v/>
      </c>
      <c r="R193" s="36">
        <f>IF('Enrollment Census'!R193="","",TRIM('Enrollment Census'!R193&amp;""))</f>
        <v/>
      </c>
      <c r="S193" s="36">
        <f>IF('Enrollment Census'!S193="","",TRIM('Enrollment Census'!S193&amp;""))</f>
        <v/>
      </c>
      <c r="T193" s="36">
        <f>IF('Enrollment Census'!T193="","",TRIM('Enrollment Census'!T193&amp;""))</f>
        <v/>
      </c>
      <c r="U193" s="39">
        <f>IF('Enrollment Census'!U193="","",'Enrollment Census'!U193)</f>
        <v/>
      </c>
    </row>
    <row r="194">
      <c r="A194" s="36">
        <f>IF('Enrollment Census'!A194="","",TRIM('Enrollment Census'!A194&amp;""))</f>
        <v/>
      </c>
      <c r="B194" s="36">
        <f>IF('Enrollment Census'!B194="","",TRIM('Enrollment Census'!B194&amp;""))</f>
        <v/>
      </c>
      <c r="C194" s="37">
        <f>IF('Enrollment Census'!C194="","",TRIM('Enrollment Census'!C194&amp;""))</f>
        <v/>
      </c>
      <c r="D194" s="37">
        <f>IF('Enrollment Census'!D194="","",TRIM('Enrollment Census'!D194&amp;""))</f>
        <v/>
      </c>
      <c r="E194" s="36">
        <f>IF('Enrollment Census'!E194="","",TRIM('Enrollment Census'!E194&amp;""))</f>
        <v/>
      </c>
      <c r="F194" s="37">
        <f>IF('Enrollment Census'!F194="","",TRIM('Enrollment Census'!F194&amp;""))</f>
        <v/>
      </c>
      <c r="G194" s="37">
        <f>IF('Enrollment Census'!G194="","",TRIM('Enrollment Census'!G194&amp;""))</f>
        <v/>
      </c>
      <c r="H194" s="37">
        <f>IF('Enrollment Census'!H194="","",TRIM('Enrollment Census'!H194&amp;""))</f>
        <v/>
      </c>
      <c r="I194" s="36">
        <f>IF('Enrollment Census'!I194="","",TRIM('Enrollment Census'!I194&amp;""))</f>
        <v/>
      </c>
      <c r="J194" s="36">
        <f>IF('Enrollment Census'!J194="","",TRIM('Enrollment Census'!J194&amp;""))</f>
        <v/>
      </c>
      <c r="K194" s="36">
        <f>IF('Enrollment Census'!K194="","",TRIM('Enrollment Census'!K194&amp;""))</f>
        <v/>
      </c>
      <c r="L194" s="38">
        <f>IF('Enrollment Census'!L194="","",'Enrollment Census'!L194)</f>
        <v/>
      </c>
      <c r="M194" s="36">
        <f>IF('Enrollment Census'!M194="","",TRIM('Enrollment Census'!M194&amp;""))</f>
        <v/>
      </c>
      <c r="N194" s="36">
        <f>IF('Enrollment Census'!N194="","",LOWER(TRIM('Enrollment Census'!N194&amp;"")))</f>
        <v/>
      </c>
      <c r="O194" s="36">
        <f>IF('Enrollment Census'!O194="","",TRIM('Enrollment Census'!O194&amp;""))</f>
        <v/>
      </c>
      <c r="P194" s="38">
        <f>IF('Enrollment Census'!P194="","",'Enrollment Census'!P194)</f>
        <v/>
      </c>
      <c r="Q194" s="38">
        <f>IF('Enrollment Census'!Q194="","",'Enrollment Census'!Q194)</f>
        <v/>
      </c>
      <c r="R194" s="36">
        <f>IF('Enrollment Census'!R194="","",TRIM('Enrollment Census'!R194&amp;""))</f>
        <v/>
      </c>
      <c r="S194" s="36">
        <f>IF('Enrollment Census'!S194="","",TRIM('Enrollment Census'!S194&amp;""))</f>
        <v/>
      </c>
      <c r="T194" s="36">
        <f>IF('Enrollment Census'!T194="","",TRIM('Enrollment Census'!T194&amp;""))</f>
        <v/>
      </c>
      <c r="U194" s="39">
        <f>IF('Enrollment Census'!U194="","",'Enrollment Census'!U194)</f>
        <v/>
      </c>
    </row>
    <row r="195">
      <c r="A195" s="36">
        <f>IF('Enrollment Census'!A195="","",TRIM('Enrollment Census'!A195&amp;""))</f>
        <v/>
      </c>
      <c r="B195" s="36">
        <f>IF('Enrollment Census'!B195="","",TRIM('Enrollment Census'!B195&amp;""))</f>
        <v/>
      </c>
      <c r="C195" s="37">
        <f>IF('Enrollment Census'!C195="","",TRIM('Enrollment Census'!C195&amp;""))</f>
        <v/>
      </c>
      <c r="D195" s="37">
        <f>IF('Enrollment Census'!D195="","",TRIM('Enrollment Census'!D195&amp;""))</f>
        <v/>
      </c>
      <c r="E195" s="36">
        <f>IF('Enrollment Census'!E195="","",TRIM('Enrollment Census'!E195&amp;""))</f>
        <v/>
      </c>
      <c r="F195" s="37">
        <f>IF('Enrollment Census'!F195="","",TRIM('Enrollment Census'!F195&amp;""))</f>
        <v/>
      </c>
      <c r="G195" s="37">
        <f>IF('Enrollment Census'!G195="","",TRIM('Enrollment Census'!G195&amp;""))</f>
        <v/>
      </c>
      <c r="H195" s="37">
        <f>IF('Enrollment Census'!H195="","",TRIM('Enrollment Census'!H195&amp;""))</f>
        <v/>
      </c>
      <c r="I195" s="36">
        <f>IF('Enrollment Census'!I195="","",TRIM('Enrollment Census'!I195&amp;""))</f>
        <v/>
      </c>
      <c r="J195" s="36">
        <f>IF('Enrollment Census'!J195="","",TRIM('Enrollment Census'!J195&amp;""))</f>
        <v/>
      </c>
      <c r="K195" s="36">
        <f>IF('Enrollment Census'!K195="","",TRIM('Enrollment Census'!K195&amp;""))</f>
        <v/>
      </c>
      <c r="L195" s="38">
        <f>IF('Enrollment Census'!L195="","",'Enrollment Census'!L195)</f>
        <v/>
      </c>
      <c r="M195" s="36">
        <f>IF('Enrollment Census'!M195="","",TRIM('Enrollment Census'!M195&amp;""))</f>
        <v/>
      </c>
      <c r="N195" s="36">
        <f>IF('Enrollment Census'!N195="","",LOWER(TRIM('Enrollment Census'!N195&amp;"")))</f>
        <v/>
      </c>
      <c r="O195" s="36">
        <f>IF('Enrollment Census'!O195="","",TRIM('Enrollment Census'!O195&amp;""))</f>
        <v/>
      </c>
      <c r="P195" s="38">
        <f>IF('Enrollment Census'!P195="","",'Enrollment Census'!P195)</f>
        <v/>
      </c>
      <c r="Q195" s="38">
        <f>IF('Enrollment Census'!Q195="","",'Enrollment Census'!Q195)</f>
        <v/>
      </c>
      <c r="R195" s="36">
        <f>IF('Enrollment Census'!R195="","",TRIM('Enrollment Census'!R195&amp;""))</f>
        <v/>
      </c>
      <c r="S195" s="36">
        <f>IF('Enrollment Census'!S195="","",TRIM('Enrollment Census'!S195&amp;""))</f>
        <v/>
      </c>
      <c r="T195" s="36">
        <f>IF('Enrollment Census'!T195="","",TRIM('Enrollment Census'!T195&amp;""))</f>
        <v/>
      </c>
      <c r="U195" s="39">
        <f>IF('Enrollment Census'!U195="","",'Enrollment Census'!U195)</f>
        <v/>
      </c>
    </row>
    <row r="196">
      <c r="A196" s="36">
        <f>IF('Enrollment Census'!A196="","",TRIM('Enrollment Census'!A196&amp;""))</f>
        <v/>
      </c>
      <c r="B196" s="36">
        <f>IF('Enrollment Census'!B196="","",TRIM('Enrollment Census'!B196&amp;""))</f>
        <v/>
      </c>
      <c r="C196" s="37">
        <f>IF('Enrollment Census'!C196="","",TRIM('Enrollment Census'!C196&amp;""))</f>
        <v/>
      </c>
      <c r="D196" s="37">
        <f>IF('Enrollment Census'!D196="","",TRIM('Enrollment Census'!D196&amp;""))</f>
        <v/>
      </c>
      <c r="E196" s="36">
        <f>IF('Enrollment Census'!E196="","",TRIM('Enrollment Census'!E196&amp;""))</f>
        <v/>
      </c>
      <c r="F196" s="37">
        <f>IF('Enrollment Census'!F196="","",TRIM('Enrollment Census'!F196&amp;""))</f>
        <v/>
      </c>
      <c r="G196" s="37">
        <f>IF('Enrollment Census'!G196="","",TRIM('Enrollment Census'!G196&amp;""))</f>
        <v/>
      </c>
      <c r="H196" s="37">
        <f>IF('Enrollment Census'!H196="","",TRIM('Enrollment Census'!H196&amp;""))</f>
        <v/>
      </c>
      <c r="I196" s="36">
        <f>IF('Enrollment Census'!I196="","",TRIM('Enrollment Census'!I196&amp;""))</f>
        <v/>
      </c>
      <c r="J196" s="36">
        <f>IF('Enrollment Census'!J196="","",TRIM('Enrollment Census'!J196&amp;""))</f>
        <v/>
      </c>
      <c r="K196" s="36">
        <f>IF('Enrollment Census'!K196="","",TRIM('Enrollment Census'!K196&amp;""))</f>
        <v/>
      </c>
      <c r="L196" s="38">
        <f>IF('Enrollment Census'!L196="","",'Enrollment Census'!L196)</f>
        <v/>
      </c>
      <c r="M196" s="36">
        <f>IF('Enrollment Census'!M196="","",TRIM('Enrollment Census'!M196&amp;""))</f>
        <v/>
      </c>
      <c r="N196" s="36">
        <f>IF('Enrollment Census'!N196="","",LOWER(TRIM('Enrollment Census'!N196&amp;"")))</f>
        <v/>
      </c>
      <c r="O196" s="36">
        <f>IF('Enrollment Census'!O196="","",TRIM('Enrollment Census'!O196&amp;""))</f>
        <v/>
      </c>
      <c r="P196" s="38">
        <f>IF('Enrollment Census'!P196="","",'Enrollment Census'!P196)</f>
        <v/>
      </c>
      <c r="Q196" s="38">
        <f>IF('Enrollment Census'!Q196="","",'Enrollment Census'!Q196)</f>
        <v/>
      </c>
      <c r="R196" s="36">
        <f>IF('Enrollment Census'!R196="","",TRIM('Enrollment Census'!R196&amp;""))</f>
        <v/>
      </c>
      <c r="S196" s="36">
        <f>IF('Enrollment Census'!S196="","",TRIM('Enrollment Census'!S196&amp;""))</f>
        <v/>
      </c>
      <c r="T196" s="36">
        <f>IF('Enrollment Census'!T196="","",TRIM('Enrollment Census'!T196&amp;""))</f>
        <v/>
      </c>
      <c r="U196" s="39">
        <f>IF('Enrollment Census'!U196="","",'Enrollment Census'!U196)</f>
        <v/>
      </c>
    </row>
    <row r="197">
      <c r="A197" s="36">
        <f>IF('Enrollment Census'!A197="","",TRIM('Enrollment Census'!A197&amp;""))</f>
        <v/>
      </c>
      <c r="B197" s="36">
        <f>IF('Enrollment Census'!B197="","",TRIM('Enrollment Census'!B197&amp;""))</f>
        <v/>
      </c>
      <c r="C197" s="37">
        <f>IF('Enrollment Census'!C197="","",TRIM('Enrollment Census'!C197&amp;""))</f>
        <v/>
      </c>
      <c r="D197" s="37">
        <f>IF('Enrollment Census'!D197="","",TRIM('Enrollment Census'!D197&amp;""))</f>
        <v/>
      </c>
      <c r="E197" s="36">
        <f>IF('Enrollment Census'!E197="","",TRIM('Enrollment Census'!E197&amp;""))</f>
        <v/>
      </c>
      <c r="F197" s="37">
        <f>IF('Enrollment Census'!F197="","",TRIM('Enrollment Census'!F197&amp;""))</f>
        <v/>
      </c>
      <c r="G197" s="37">
        <f>IF('Enrollment Census'!G197="","",TRIM('Enrollment Census'!G197&amp;""))</f>
        <v/>
      </c>
      <c r="H197" s="37">
        <f>IF('Enrollment Census'!H197="","",TRIM('Enrollment Census'!H197&amp;""))</f>
        <v/>
      </c>
      <c r="I197" s="36">
        <f>IF('Enrollment Census'!I197="","",TRIM('Enrollment Census'!I197&amp;""))</f>
        <v/>
      </c>
      <c r="J197" s="36">
        <f>IF('Enrollment Census'!J197="","",TRIM('Enrollment Census'!J197&amp;""))</f>
        <v/>
      </c>
      <c r="K197" s="36">
        <f>IF('Enrollment Census'!K197="","",TRIM('Enrollment Census'!K197&amp;""))</f>
        <v/>
      </c>
      <c r="L197" s="38">
        <f>IF('Enrollment Census'!L197="","",'Enrollment Census'!L197)</f>
        <v/>
      </c>
      <c r="M197" s="36">
        <f>IF('Enrollment Census'!M197="","",TRIM('Enrollment Census'!M197&amp;""))</f>
        <v/>
      </c>
      <c r="N197" s="36">
        <f>IF('Enrollment Census'!N197="","",LOWER(TRIM('Enrollment Census'!N197&amp;"")))</f>
        <v/>
      </c>
      <c r="O197" s="36">
        <f>IF('Enrollment Census'!O197="","",TRIM('Enrollment Census'!O197&amp;""))</f>
        <v/>
      </c>
      <c r="P197" s="38">
        <f>IF('Enrollment Census'!P197="","",'Enrollment Census'!P197)</f>
        <v/>
      </c>
      <c r="Q197" s="38">
        <f>IF('Enrollment Census'!Q197="","",'Enrollment Census'!Q197)</f>
        <v/>
      </c>
      <c r="R197" s="36">
        <f>IF('Enrollment Census'!R197="","",TRIM('Enrollment Census'!R197&amp;""))</f>
        <v/>
      </c>
      <c r="S197" s="36">
        <f>IF('Enrollment Census'!S197="","",TRIM('Enrollment Census'!S197&amp;""))</f>
        <v/>
      </c>
      <c r="T197" s="36">
        <f>IF('Enrollment Census'!T197="","",TRIM('Enrollment Census'!T197&amp;""))</f>
        <v/>
      </c>
      <c r="U197" s="39">
        <f>IF('Enrollment Census'!U197="","",'Enrollment Census'!U197)</f>
        <v/>
      </c>
    </row>
    <row r="198">
      <c r="A198" s="36">
        <f>IF('Enrollment Census'!A198="","",TRIM('Enrollment Census'!A198&amp;""))</f>
        <v/>
      </c>
      <c r="B198" s="36">
        <f>IF('Enrollment Census'!B198="","",TRIM('Enrollment Census'!B198&amp;""))</f>
        <v/>
      </c>
      <c r="C198" s="37">
        <f>IF('Enrollment Census'!C198="","",TRIM('Enrollment Census'!C198&amp;""))</f>
        <v/>
      </c>
      <c r="D198" s="37">
        <f>IF('Enrollment Census'!D198="","",TRIM('Enrollment Census'!D198&amp;""))</f>
        <v/>
      </c>
      <c r="E198" s="36">
        <f>IF('Enrollment Census'!E198="","",TRIM('Enrollment Census'!E198&amp;""))</f>
        <v/>
      </c>
      <c r="F198" s="37">
        <f>IF('Enrollment Census'!F198="","",TRIM('Enrollment Census'!F198&amp;""))</f>
        <v/>
      </c>
      <c r="G198" s="37">
        <f>IF('Enrollment Census'!G198="","",TRIM('Enrollment Census'!G198&amp;""))</f>
        <v/>
      </c>
      <c r="H198" s="37">
        <f>IF('Enrollment Census'!H198="","",TRIM('Enrollment Census'!H198&amp;""))</f>
        <v/>
      </c>
      <c r="I198" s="36">
        <f>IF('Enrollment Census'!I198="","",TRIM('Enrollment Census'!I198&amp;""))</f>
        <v/>
      </c>
      <c r="J198" s="36">
        <f>IF('Enrollment Census'!J198="","",TRIM('Enrollment Census'!J198&amp;""))</f>
        <v/>
      </c>
      <c r="K198" s="36">
        <f>IF('Enrollment Census'!K198="","",TRIM('Enrollment Census'!K198&amp;""))</f>
        <v/>
      </c>
      <c r="L198" s="38">
        <f>IF('Enrollment Census'!L198="","",'Enrollment Census'!L198)</f>
        <v/>
      </c>
      <c r="M198" s="36">
        <f>IF('Enrollment Census'!M198="","",TRIM('Enrollment Census'!M198&amp;""))</f>
        <v/>
      </c>
      <c r="N198" s="36">
        <f>IF('Enrollment Census'!N198="","",LOWER(TRIM('Enrollment Census'!N198&amp;"")))</f>
        <v/>
      </c>
      <c r="O198" s="36">
        <f>IF('Enrollment Census'!O198="","",TRIM('Enrollment Census'!O198&amp;""))</f>
        <v/>
      </c>
      <c r="P198" s="38">
        <f>IF('Enrollment Census'!P198="","",'Enrollment Census'!P198)</f>
        <v/>
      </c>
      <c r="Q198" s="38">
        <f>IF('Enrollment Census'!Q198="","",'Enrollment Census'!Q198)</f>
        <v/>
      </c>
      <c r="R198" s="36">
        <f>IF('Enrollment Census'!R198="","",TRIM('Enrollment Census'!R198&amp;""))</f>
        <v/>
      </c>
      <c r="S198" s="36">
        <f>IF('Enrollment Census'!S198="","",TRIM('Enrollment Census'!S198&amp;""))</f>
        <v/>
      </c>
      <c r="T198" s="36">
        <f>IF('Enrollment Census'!T198="","",TRIM('Enrollment Census'!T198&amp;""))</f>
        <v/>
      </c>
      <c r="U198" s="39">
        <f>IF('Enrollment Census'!U198="","",'Enrollment Census'!U198)</f>
        <v/>
      </c>
    </row>
    <row r="199">
      <c r="A199" s="36">
        <f>IF('Enrollment Census'!A199="","",TRIM('Enrollment Census'!A199&amp;""))</f>
        <v/>
      </c>
      <c r="B199" s="36">
        <f>IF('Enrollment Census'!B199="","",TRIM('Enrollment Census'!B199&amp;""))</f>
        <v/>
      </c>
      <c r="C199" s="37">
        <f>IF('Enrollment Census'!C199="","",TRIM('Enrollment Census'!C199&amp;""))</f>
        <v/>
      </c>
      <c r="D199" s="37">
        <f>IF('Enrollment Census'!D199="","",TRIM('Enrollment Census'!D199&amp;""))</f>
        <v/>
      </c>
      <c r="E199" s="36">
        <f>IF('Enrollment Census'!E199="","",TRIM('Enrollment Census'!E199&amp;""))</f>
        <v/>
      </c>
      <c r="F199" s="37">
        <f>IF('Enrollment Census'!F199="","",TRIM('Enrollment Census'!F199&amp;""))</f>
        <v/>
      </c>
      <c r="G199" s="37">
        <f>IF('Enrollment Census'!G199="","",TRIM('Enrollment Census'!G199&amp;""))</f>
        <v/>
      </c>
      <c r="H199" s="37">
        <f>IF('Enrollment Census'!H199="","",TRIM('Enrollment Census'!H199&amp;""))</f>
        <v/>
      </c>
      <c r="I199" s="36">
        <f>IF('Enrollment Census'!I199="","",TRIM('Enrollment Census'!I199&amp;""))</f>
        <v/>
      </c>
      <c r="J199" s="36">
        <f>IF('Enrollment Census'!J199="","",TRIM('Enrollment Census'!J199&amp;""))</f>
        <v/>
      </c>
      <c r="K199" s="36">
        <f>IF('Enrollment Census'!K199="","",TRIM('Enrollment Census'!K199&amp;""))</f>
        <v/>
      </c>
      <c r="L199" s="38">
        <f>IF('Enrollment Census'!L199="","",'Enrollment Census'!L199)</f>
        <v/>
      </c>
      <c r="M199" s="36">
        <f>IF('Enrollment Census'!M199="","",TRIM('Enrollment Census'!M199&amp;""))</f>
        <v/>
      </c>
      <c r="N199" s="36">
        <f>IF('Enrollment Census'!N199="","",LOWER(TRIM('Enrollment Census'!N199&amp;"")))</f>
        <v/>
      </c>
      <c r="O199" s="36">
        <f>IF('Enrollment Census'!O199="","",TRIM('Enrollment Census'!O199&amp;""))</f>
        <v/>
      </c>
      <c r="P199" s="38">
        <f>IF('Enrollment Census'!P199="","",'Enrollment Census'!P199)</f>
        <v/>
      </c>
      <c r="Q199" s="38">
        <f>IF('Enrollment Census'!Q199="","",'Enrollment Census'!Q199)</f>
        <v/>
      </c>
      <c r="R199" s="36">
        <f>IF('Enrollment Census'!R199="","",TRIM('Enrollment Census'!R199&amp;""))</f>
        <v/>
      </c>
      <c r="S199" s="36">
        <f>IF('Enrollment Census'!S199="","",TRIM('Enrollment Census'!S199&amp;""))</f>
        <v/>
      </c>
      <c r="T199" s="36">
        <f>IF('Enrollment Census'!T199="","",TRIM('Enrollment Census'!T199&amp;""))</f>
        <v/>
      </c>
      <c r="U199" s="39">
        <f>IF('Enrollment Census'!U199="","",'Enrollment Census'!U199)</f>
        <v/>
      </c>
    </row>
    <row r="200">
      <c r="A200" s="36">
        <f>IF('Enrollment Census'!A200="","",TRIM('Enrollment Census'!A200&amp;""))</f>
        <v/>
      </c>
      <c r="B200" s="36">
        <f>IF('Enrollment Census'!B200="","",TRIM('Enrollment Census'!B200&amp;""))</f>
        <v/>
      </c>
      <c r="C200" s="37">
        <f>IF('Enrollment Census'!C200="","",TRIM('Enrollment Census'!C200&amp;""))</f>
        <v/>
      </c>
      <c r="D200" s="37">
        <f>IF('Enrollment Census'!D200="","",TRIM('Enrollment Census'!D200&amp;""))</f>
        <v/>
      </c>
      <c r="E200" s="36">
        <f>IF('Enrollment Census'!E200="","",TRIM('Enrollment Census'!E200&amp;""))</f>
        <v/>
      </c>
      <c r="F200" s="37">
        <f>IF('Enrollment Census'!F200="","",TRIM('Enrollment Census'!F200&amp;""))</f>
        <v/>
      </c>
      <c r="G200" s="37">
        <f>IF('Enrollment Census'!G200="","",TRIM('Enrollment Census'!G200&amp;""))</f>
        <v/>
      </c>
      <c r="H200" s="37">
        <f>IF('Enrollment Census'!H200="","",TRIM('Enrollment Census'!H200&amp;""))</f>
        <v/>
      </c>
      <c r="I200" s="36">
        <f>IF('Enrollment Census'!I200="","",TRIM('Enrollment Census'!I200&amp;""))</f>
        <v/>
      </c>
      <c r="J200" s="36">
        <f>IF('Enrollment Census'!J200="","",TRIM('Enrollment Census'!J200&amp;""))</f>
        <v/>
      </c>
      <c r="K200" s="36">
        <f>IF('Enrollment Census'!K200="","",TRIM('Enrollment Census'!K200&amp;""))</f>
        <v/>
      </c>
      <c r="L200" s="38">
        <f>IF('Enrollment Census'!L200="","",'Enrollment Census'!L200)</f>
        <v/>
      </c>
      <c r="M200" s="36">
        <f>IF('Enrollment Census'!M200="","",TRIM('Enrollment Census'!M200&amp;""))</f>
        <v/>
      </c>
      <c r="N200" s="36">
        <f>IF('Enrollment Census'!N200="","",LOWER(TRIM('Enrollment Census'!N200&amp;"")))</f>
        <v/>
      </c>
      <c r="O200" s="36">
        <f>IF('Enrollment Census'!O200="","",TRIM('Enrollment Census'!O200&amp;""))</f>
        <v/>
      </c>
      <c r="P200" s="38">
        <f>IF('Enrollment Census'!P200="","",'Enrollment Census'!P200)</f>
        <v/>
      </c>
      <c r="Q200" s="38">
        <f>IF('Enrollment Census'!Q200="","",'Enrollment Census'!Q200)</f>
        <v/>
      </c>
      <c r="R200" s="36">
        <f>IF('Enrollment Census'!R200="","",TRIM('Enrollment Census'!R200&amp;""))</f>
        <v/>
      </c>
      <c r="S200" s="36">
        <f>IF('Enrollment Census'!S200="","",TRIM('Enrollment Census'!S200&amp;""))</f>
        <v/>
      </c>
      <c r="T200" s="36">
        <f>IF('Enrollment Census'!T200="","",TRIM('Enrollment Census'!T200&amp;""))</f>
        <v/>
      </c>
      <c r="U200" s="39">
        <f>IF('Enrollment Census'!U200="","",'Enrollment Census'!U200)</f>
        <v/>
      </c>
    </row>
    <row r="201">
      <c r="A201" s="36">
        <f>IF('Enrollment Census'!A201="","",TRIM('Enrollment Census'!A201&amp;""))</f>
        <v/>
      </c>
      <c r="B201" s="36">
        <f>IF('Enrollment Census'!B201="","",TRIM('Enrollment Census'!B201&amp;""))</f>
        <v/>
      </c>
      <c r="C201" s="37">
        <f>IF('Enrollment Census'!C201="","",TRIM('Enrollment Census'!C201&amp;""))</f>
        <v/>
      </c>
      <c r="D201" s="37">
        <f>IF('Enrollment Census'!D201="","",TRIM('Enrollment Census'!D201&amp;""))</f>
        <v/>
      </c>
      <c r="E201" s="36">
        <f>IF('Enrollment Census'!E201="","",TRIM('Enrollment Census'!E201&amp;""))</f>
        <v/>
      </c>
      <c r="F201" s="37">
        <f>IF('Enrollment Census'!F201="","",TRIM('Enrollment Census'!F201&amp;""))</f>
        <v/>
      </c>
      <c r="G201" s="37">
        <f>IF('Enrollment Census'!G201="","",TRIM('Enrollment Census'!G201&amp;""))</f>
        <v/>
      </c>
      <c r="H201" s="37">
        <f>IF('Enrollment Census'!H201="","",TRIM('Enrollment Census'!H201&amp;""))</f>
        <v/>
      </c>
      <c r="I201" s="36">
        <f>IF('Enrollment Census'!I201="","",TRIM('Enrollment Census'!I201&amp;""))</f>
        <v/>
      </c>
      <c r="J201" s="36">
        <f>IF('Enrollment Census'!J201="","",TRIM('Enrollment Census'!J201&amp;""))</f>
        <v/>
      </c>
      <c r="K201" s="36">
        <f>IF('Enrollment Census'!K201="","",TRIM('Enrollment Census'!K201&amp;""))</f>
        <v/>
      </c>
      <c r="L201" s="38">
        <f>IF('Enrollment Census'!L201="","",'Enrollment Census'!L201)</f>
        <v/>
      </c>
      <c r="M201" s="36">
        <f>IF('Enrollment Census'!M201="","",TRIM('Enrollment Census'!M201&amp;""))</f>
        <v/>
      </c>
      <c r="N201" s="36">
        <f>IF('Enrollment Census'!N201="","",LOWER(TRIM('Enrollment Census'!N201&amp;"")))</f>
        <v/>
      </c>
      <c r="O201" s="36">
        <f>IF('Enrollment Census'!O201="","",TRIM('Enrollment Census'!O201&amp;""))</f>
        <v/>
      </c>
      <c r="P201" s="38">
        <f>IF('Enrollment Census'!P201="","",'Enrollment Census'!P201)</f>
        <v/>
      </c>
      <c r="Q201" s="38">
        <f>IF('Enrollment Census'!Q201="","",'Enrollment Census'!Q201)</f>
        <v/>
      </c>
      <c r="R201" s="36">
        <f>IF('Enrollment Census'!R201="","",TRIM('Enrollment Census'!R201&amp;""))</f>
        <v/>
      </c>
      <c r="S201" s="36">
        <f>IF('Enrollment Census'!S201="","",TRIM('Enrollment Census'!S201&amp;""))</f>
        <v/>
      </c>
      <c r="T201" s="36">
        <f>IF('Enrollment Census'!T201="","",TRIM('Enrollment Census'!T201&amp;""))</f>
        <v/>
      </c>
      <c r="U201" s="39">
        <f>IF('Enrollment Census'!U201="","",'Enrollment Census'!U201)</f>
        <v/>
      </c>
    </row>
    <row r="202">
      <c r="A202" s="36">
        <f>IF('Enrollment Census'!A202="","",TRIM('Enrollment Census'!A202&amp;""))</f>
        <v/>
      </c>
      <c r="B202" s="36">
        <f>IF('Enrollment Census'!B202="","",TRIM('Enrollment Census'!B202&amp;""))</f>
        <v/>
      </c>
      <c r="C202" s="37">
        <f>IF('Enrollment Census'!C202="","",TRIM('Enrollment Census'!C202&amp;""))</f>
        <v/>
      </c>
      <c r="D202" s="37">
        <f>IF('Enrollment Census'!D202="","",TRIM('Enrollment Census'!D202&amp;""))</f>
        <v/>
      </c>
      <c r="E202" s="36">
        <f>IF('Enrollment Census'!E202="","",TRIM('Enrollment Census'!E202&amp;""))</f>
        <v/>
      </c>
      <c r="F202" s="37">
        <f>IF('Enrollment Census'!F202="","",TRIM('Enrollment Census'!F202&amp;""))</f>
        <v/>
      </c>
      <c r="G202" s="37">
        <f>IF('Enrollment Census'!G202="","",TRIM('Enrollment Census'!G202&amp;""))</f>
        <v/>
      </c>
      <c r="H202" s="37">
        <f>IF('Enrollment Census'!H202="","",TRIM('Enrollment Census'!H202&amp;""))</f>
        <v/>
      </c>
      <c r="I202" s="36">
        <f>IF('Enrollment Census'!I202="","",TRIM('Enrollment Census'!I202&amp;""))</f>
        <v/>
      </c>
      <c r="J202" s="36">
        <f>IF('Enrollment Census'!J202="","",TRIM('Enrollment Census'!J202&amp;""))</f>
        <v/>
      </c>
      <c r="K202" s="36">
        <f>IF('Enrollment Census'!K202="","",TRIM('Enrollment Census'!K202&amp;""))</f>
        <v/>
      </c>
      <c r="L202" s="38">
        <f>IF('Enrollment Census'!L202="","",'Enrollment Census'!L202)</f>
        <v/>
      </c>
      <c r="M202" s="36">
        <f>IF('Enrollment Census'!M202="","",TRIM('Enrollment Census'!M202&amp;""))</f>
        <v/>
      </c>
      <c r="N202" s="36">
        <f>IF('Enrollment Census'!N202="","",LOWER(TRIM('Enrollment Census'!N202&amp;"")))</f>
        <v/>
      </c>
      <c r="O202" s="36">
        <f>IF('Enrollment Census'!O202="","",TRIM('Enrollment Census'!O202&amp;""))</f>
        <v/>
      </c>
      <c r="P202" s="38">
        <f>IF('Enrollment Census'!P202="","",'Enrollment Census'!P202)</f>
        <v/>
      </c>
      <c r="Q202" s="38">
        <f>IF('Enrollment Census'!Q202="","",'Enrollment Census'!Q202)</f>
        <v/>
      </c>
      <c r="R202" s="36">
        <f>IF('Enrollment Census'!R202="","",TRIM('Enrollment Census'!R202&amp;""))</f>
        <v/>
      </c>
      <c r="S202" s="36">
        <f>IF('Enrollment Census'!S202="","",TRIM('Enrollment Census'!S202&amp;""))</f>
        <v/>
      </c>
      <c r="T202" s="36">
        <f>IF('Enrollment Census'!T202="","",TRIM('Enrollment Census'!T202&amp;""))</f>
        <v/>
      </c>
      <c r="U202" s="39">
        <f>IF('Enrollment Census'!U202="","",'Enrollment Census'!U202)</f>
        <v/>
      </c>
    </row>
    <row r="203">
      <c r="A203" s="36">
        <f>IF('Enrollment Census'!A203="","",TRIM('Enrollment Census'!A203&amp;""))</f>
        <v/>
      </c>
      <c r="B203" s="36">
        <f>IF('Enrollment Census'!B203="","",TRIM('Enrollment Census'!B203&amp;""))</f>
        <v/>
      </c>
      <c r="C203" s="37">
        <f>IF('Enrollment Census'!C203="","",TRIM('Enrollment Census'!C203&amp;""))</f>
        <v/>
      </c>
      <c r="D203" s="37">
        <f>IF('Enrollment Census'!D203="","",TRIM('Enrollment Census'!D203&amp;""))</f>
        <v/>
      </c>
      <c r="E203" s="36">
        <f>IF('Enrollment Census'!E203="","",TRIM('Enrollment Census'!E203&amp;""))</f>
        <v/>
      </c>
      <c r="F203" s="37">
        <f>IF('Enrollment Census'!F203="","",TRIM('Enrollment Census'!F203&amp;""))</f>
        <v/>
      </c>
      <c r="G203" s="37">
        <f>IF('Enrollment Census'!G203="","",TRIM('Enrollment Census'!G203&amp;""))</f>
        <v/>
      </c>
      <c r="H203" s="37">
        <f>IF('Enrollment Census'!H203="","",TRIM('Enrollment Census'!H203&amp;""))</f>
        <v/>
      </c>
      <c r="I203" s="36">
        <f>IF('Enrollment Census'!I203="","",TRIM('Enrollment Census'!I203&amp;""))</f>
        <v/>
      </c>
      <c r="J203" s="36">
        <f>IF('Enrollment Census'!J203="","",TRIM('Enrollment Census'!J203&amp;""))</f>
        <v/>
      </c>
      <c r="K203" s="36">
        <f>IF('Enrollment Census'!K203="","",TRIM('Enrollment Census'!K203&amp;""))</f>
        <v/>
      </c>
      <c r="L203" s="38">
        <f>IF('Enrollment Census'!L203="","",'Enrollment Census'!L203)</f>
        <v/>
      </c>
      <c r="M203" s="36">
        <f>IF('Enrollment Census'!M203="","",TRIM('Enrollment Census'!M203&amp;""))</f>
        <v/>
      </c>
      <c r="N203" s="36">
        <f>IF('Enrollment Census'!N203="","",LOWER(TRIM('Enrollment Census'!N203&amp;"")))</f>
        <v/>
      </c>
      <c r="O203" s="36">
        <f>IF('Enrollment Census'!O203="","",TRIM('Enrollment Census'!O203&amp;""))</f>
        <v/>
      </c>
      <c r="P203" s="38">
        <f>IF('Enrollment Census'!P203="","",'Enrollment Census'!P203)</f>
        <v/>
      </c>
      <c r="Q203" s="38">
        <f>IF('Enrollment Census'!Q203="","",'Enrollment Census'!Q203)</f>
        <v/>
      </c>
      <c r="R203" s="36">
        <f>IF('Enrollment Census'!R203="","",TRIM('Enrollment Census'!R203&amp;""))</f>
        <v/>
      </c>
      <c r="S203" s="36">
        <f>IF('Enrollment Census'!S203="","",TRIM('Enrollment Census'!S203&amp;""))</f>
        <v/>
      </c>
      <c r="T203" s="36">
        <f>IF('Enrollment Census'!T203="","",TRIM('Enrollment Census'!T203&amp;""))</f>
        <v/>
      </c>
      <c r="U203" s="39">
        <f>IF('Enrollment Census'!U203="","",'Enrollment Census'!U203)</f>
        <v/>
      </c>
    </row>
    <row r="204">
      <c r="A204" s="36">
        <f>IF('Enrollment Census'!A204="","",TRIM('Enrollment Census'!A204&amp;""))</f>
        <v/>
      </c>
      <c r="B204" s="36">
        <f>IF('Enrollment Census'!B204="","",TRIM('Enrollment Census'!B204&amp;""))</f>
        <v/>
      </c>
      <c r="C204" s="37">
        <f>IF('Enrollment Census'!C204="","",TRIM('Enrollment Census'!C204&amp;""))</f>
        <v/>
      </c>
      <c r="D204" s="37">
        <f>IF('Enrollment Census'!D204="","",TRIM('Enrollment Census'!D204&amp;""))</f>
        <v/>
      </c>
      <c r="E204" s="36">
        <f>IF('Enrollment Census'!E204="","",TRIM('Enrollment Census'!E204&amp;""))</f>
        <v/>
      </c>
      <c r="F204" s="37">
        <f>IF('Enrollment Census'!F204="","",TRIM('Enrollment Census'!F204&amp;""))</f>
        <v/>
      </c>
      <c r="G204" s="37">
        <f>IF('Enrollment Census'!G204="","",TRIM('Enrollment Census'!G204&amp;""))</f>
        <v/>
      </c>
      <c r="H204" s="37">
        <f>IF('Enrollment Census'!H204="","",TRIM('Enrollment Census'!H204&amp;""))</f>
        <v/>
      </c>
      <c r="I204" s="36">
        <f>IF('Enrollment Census'!I204="","",TRIM('Enrollment Census'!I204&amp;""))</f>
        <v/>
      </c>
      <c r="J204" s="36">
        <f>IF('Enrollment Census'!J204="","",TRIM('Enrollment Census'!J204&amp;""))</f>
        <v/>
      </c>
      <c r="K204" s="36">
        <f>IF('Enrollment Census'!K204="","",TRIM('Enrollment Census'!K204&amp;""))</f>
        <v/>
      </c>
      <c r="L204" s="38">
        <f>IF('Enrollment Census'!L204="","",'Enrollment Census'!L204)</f>
        <v/>
      </c>
      <c r="M204" s="36">
        <f>IF('Enrollment Census'!M204="","",TRIM('Enrollment Census'!M204&amp;""))</f>
        <v/>
      </c>
      <c r="N204" s="36">
        <f>IF('Enrollment Census'!N204="","",LOWER(TRIM('Enrollment Census'!N204&amp;"")))</f>
        <v/>
      </c>
      <c r="O204" s="36">
        <f>IF('Enrollment Census'!O204="","",TRIM('Enrollment Census'!O204&amp;""))</f>
        <v/>
      </c>
      <c r="P204" s="38">
        <f>IF('Enrollment Census'!P204="","",'Enrollment Census'!P204)</f>
        <v/>
      </c>
      <c r="Q204" s="38">
        <f>IF('Enrollment Census'!Q204="","",'Enrollment Census'!Q204)</f>
        <v/>
      </c>
      <c r="R204" s="36">
        <f>IF('Enrollment Census'!R204="","",TRIM('Enrollment Census'!R204&amp;""))</f>
        <v/>
      </c>
      <c r="S204" s="36">
        <f>IF('Enrollment Census'!S204="","",TRIM('Enrollment Census'!S204&amp;""))</f>
        <v/>
      </c>
      <c r="T204" s="36">
        <f>IF('Enrollment Census'!T204="","",TRIM('Enrollment Census'!T204&amp;""))</f>
        <v/>
      </c>
      <c r="U204" s="39">
        <f>IF('Enrollment Census'!U204="","",'Enrollment Census'!U204)</f>
        <v/>
      </c>
    </row>
    <row r="205">
      <c r="A205" s="36">
        <f>IF('Enrollment Census'!A205="","",TRIM('Enrollment Census'!A205&amp;""))</f>
        <v/>
      </c>
      <c r="B205" s="36">
        <f>IF('Enrollment Census'!B205="","",TRIM('Enrollment Census'!B205&amp;""))</f>
        <v/>
      </c>
      <c r="C205" s="37">
        <f>IF('Enrollment Census'!C205="","",TRIM('Enrollment Census'!C205&amp;""))</f>
        <v/>
      </c>
      <c r="D205" s="37">
        <f>IF('Enrollment Census'!D205="","",TRIM('Enrollment Census'!D205&amp;""))</f>
        <v/>
      </c>
      <c r="E205" s="36">
        <f>IF('Enrollment Census'!E205="","",TRIM('Enrollment Census'!E205&amp;""))</f>
        <v/>
      </c>
      <c r="F205" s="37">
        <f>IF('Enrollment Census'!F205="","",TRIM('Enrollment Census'!F205&amp;""))</f>
        <v/>
      </c>
      <c r="G205" s="37">
        <f>IF('Enrollment Census'!G205="","",TRIM('Enrollment Census'!G205&amp;""))</f>
        <v/>
      </c>
      <c r="H205" s="37">
        <f>IF('Enrollment Census'!H205="","",TRIM('Enrollment Census'!H205&amp;""))</f>
        <v/>
      </c>
      <c r="I205" s="36">
        <f>IF('Enrollment Census'!I205="","",TRIM('Enrollment Census'!I205&amp;""))</f>
        <v/>
      </c>
      <c r="J205" s="36">
        <f>IF('Enrollment Census'!J205="","",TRIM('Enrollment Census'!J205&amp;""))</f>
        <v/>
      </c>
      <c r="K205" s="36">
        <f>IF('Enrollment Census'!K205="","",TRIM('Enrollment Census'!K205&amp;""))</f>
        <v/>
      </c>
      <c r="L205" s="38">
        <f>IF('Enrollment Census'!L205="","",'Enrollment Census'!L205)</f>
        <v/>
      </c>
      <c r="M205" s="36">
        <f>IF('Enrollment Census'!M205="","",TRIM('Enrollment Census'!M205&amp;""))</f>
        <v/>
      </c>
      <c r="N205" s="36">
        <f>IF('Enrollment Census'!N205="","",LOWER(TRIM('Enrollment Census'!N205&amp;"")))</f>
        <v/>
      </c>
      <c r="O205" s="36">
        <f>IF('Enrollment Census'!O205="","",TRIM('Enrollment Census'!O205&amp;""))</f>
        <v/>
      </c>
      <c r="P205" s="38">
        <f>IF('Enrollment Census'!P205="","",'Enrollment Census'!P205)</f>
        <v/>
      </c>
      <c r="Q205" s="38">
        <f>IF('Enrollment Census'!Q205="","",'Enrollment Census'!Q205)</f>
        <v/>
      </c>
      <c r="R205" s="36">
        <f>IF('Enrollment Census'!R205="","",TRIM('Enrollment Census'!R205&amp;""))</f>
        <v/>
      </c>
      <c r="S205" s="36">
        <f>IF('Enrollment Census'!S205="","",TRIM('Enrollment Census'!S205&amp;""))</f>
        <v/>
      </c>
      <c r="T205" s="36">
        <f>IF('Enrollment Census'!T205="","",TRIM('Enrollment Census'!T205&amp;""))</f>
        <v/>
      </c>
      <c r="U205" s="39">
        <f>IF('Enrollment Census'!U205="","",'Enrollment Census'!U205)</f>
        <v/>
      </c>
    </row>
    <row r="206">
      <c r="A206" s="36">
        <f>IF('Enrollment Census'!A206="","",TRIM('Enrollment Census'!A206&amp;""))</f>
        <v/>
      </c>
      <c r="B206" s="36">
        <f>IF('Enrollment Census'!B206="","",TRIM('Enrollment Census'!B206&amp;""))</f>
        <v/>
      </c>
      <c r="C206" s="37">
        <f>IF('Enrollment Census'!C206="","",TRIM('Enrollment Census'!C206&amp;""))</f>
        <v/>
      </c>
      <c r="D206" s="37">
        <f>IF('Enrollment Census'!D206="","",TRIM('Enrollment Census'!D206&amp;""))</f>
        <v/>
      </c>
      <c r="E206" s="36">
        <f>IF('Enrollment Census'!E206="","",TRIM('Enrollment Census'!E206&amp;""))</f>
        <v/>
      </c>
      <c r="F206" s="37">
        <f>IF('Enrollment Census'!F206="","",TRIM('Enrollment Census'!F206&amp;""))</f>
        <v/>
      </c>
      <c r="G206" s="37">
        <f>IF('Enrollment Census'!G206="","",TRIM('Enrollment Census'!G206&amp;""))</f>
        <v/>
      </c>
      <c r="H206" s="37">
        <f>IF('Enrollment Census'!H206="","",TRIM('Enrollment Census'!H206&amp;""))</f>
        <v/>
      </c>
      <c r="I206" s="36">
        <f>IF('Enrollment Census'!I206="","",TRIM('Enrollment Census'!I206&amp;""))</f>
        <v/>
      </c>
      <c r="J206" s="36">
        <f>IF('Enrollment Census'!J206="","",TRIM('Enrollment Census'!J206&amp;""))</f>
        <v/>
      </c>
      <c r="K206" s="36">
        <f>IF('Enrollment Census'!K206="","",TRIM('Enrollment Census'!K206&amp;""))</f>
        <v/>
      </c>
      <c r="L206" s="38">
        <f>IF('Enrollment Census'!L206="","",'Enrollment Census'!L206)</f>
        <v/>
      </c>
      <c r="M206" s="36">
        <f>IF('Enrollment Census'!M206="","",TRIM('Enrollment Census'!M206&amp;""))</f>
        <v/>
      </c>
      <c r="N206" s="36">
        <f>IF('Enrollment Census'!N206="","",LOWER(TRIM('Enrollment Census'!N206&amp;"")))</f>
        <v/>
      </c>
      <c r="O206" s="36">
        <f>IF('Enrollment Census'!O206="","",TRIM('Enrollment Census'!O206&amp;""))</f>
        <v/>
      </c>
      <c r="P206" s="38">
        <f>IF('Enrollment Census'!P206="","",'Enrollment Census'!P206)</f>
        <v/>
      </c>
      <c r="Q206" s="38">
        <f>IF('Enrollment Census'!Q206="","",'Enrollment Census'!Q206)</f>
        <v/>
      </c>
      <c r="R206" s="36">
        <f>IF('Enrollment Census'!R206="","",TRIM('Enrollment Census'!R206&amp;""))</f>
        <v/>
      </c>
      <c r="S206" s="36">
        <f>IF('Enrollment Census'!S206="","",TRIM('Enrollment Census'!S206&amp;""))</f>
        <v/>
      </c>
      <c r="T206" s="36">
        <f>IF('Enrollment Census'!T206="","",TRIM('Enrollment Census'!T206&amp;""))</f>
        <v/>
      </c>
      <c r="U206" s="39">
        <f>IF('Enrollment Census'!U206="","",'Enrollment Census'!U206)</f>
        <v/>
      </c>
    </row>
    <row r="207">
      <c r="A207" s="36">
        <f>IF('Enrollment Census'!A207="","",TRIM('Enrollment Census'!A207&amp;""))</f>
        <v/>
      </c>
      <c r="B207" s="36">
        <f>IF('Enrollment Census'!B207="","",TRIM('Enrollment Census'!B207&amp;""))</f>
        <v/>
      </c>
      <c r="C207" s="37">
        <f>IF('Enrollment Census'!C207="","",TRIM('Enrollment Census'!C207&amp;""))</f>
        <v/>
      </c>
      <c r="D207" s="37">
        <f>IF('Enrollment Census'!D207="","",TRIM('Enrollment Census'!D207&amp;""))</f>
        <v/>
      </c>
      <c r="E207" s="36">
        <f>IF('Enrollment Census'!E207="","",TRIM('Enrollment Census'!E207&amp;""))</f>
        <v/>
      </c>
      <c r="F207" s="37">
        <f>IF('Enrollment Census'!F207="","",TRIM('Enrollment Census'!F207&amp;""))</f>
        <v/>
      </c>
      <c r="G207" s="37">
        <f>IF('Enrollment Census'!G207="","",TRIM('Enrollment Census'!G207&amp;""))</f>
        <v/>
      </c>
      <c r="H207" s="37">
        <f>IF('Enrollment Census'!H207="","",TRIM('Enrollment Census'!H207&amp;""))</f>
        <v/>
      </c>
      <c r="I207" s="36">
        <f>IF('Enrollment Census'!I207="","",TRIM('Enrollment Census'!I207&amp;""))</f>
        <v/>
      </c>
      <c r="J207" s="36">
        <f>IF('Enrollment Census'!J207="","",TRIM('Enrollment Census'!J207&amp;""))</f>
        <v/>
      </c>
      <c r="K207" s="36">
        <f>IF('Enrollment Census'!K207="","",TRIM('Enrollment Census'!K207&amp;""))</f>
        <v/>
      </c>
      <c r="L207" s="38">
        <f>IF('Enrollment Census'!L207="","",'Enrollment Census'!L207)</f>
        <v/>
      </c>
      <c r="M207" s="36">
        <f>IF('Enrollment Census'!M207="","",TRIM('Enrollment Census'!M207&amp;""))</f>
        <v/>
      </c>
      <c r="N207" s="36">
        <f>IF('Enrollment Census'!N207="","",LOWER(TRIM('Enrollment Census'!N207&amp;"")))</f>
        <v/>
      </c>
      <c r="O207" s="36">
        <f>IF('Enrollment Census'!O207="","",TRIM('Enrollment Census'!O207&amp;""))</f>
        <v/>
      </c>
      <c r="P207" s="38">
        <f>IF('Enrollment Census'!P207="","",'Enrollment Census'!P207)</f>
        <v/>
      </c>
      <c r="Q207" s="38">
        <f>IF('Enrollment Census'!Q207="","",'Enrollment Census'!Q207)</f>
        <v/>
      </c>
      <c r="R207" s="36">
        <f>IF('Enrollment Census'!R207="","",TRIM('Enrollment Census'!R207&amp;""))</f>
        <v/>
      </c>
      <c r="S207" s="36">
        <f>IF('Enrollment Census'!S207="","",TRIM('Enrollment Census'!S207&amp;""))</f>
        <v/>
      </c>
      <c r="T207" s="36">
        <f>IF('Enrollment Census'!T207="","",TRIM('Enrollment Census'!T207&amp;""))</f>
        <v/>
      </c>
      <c r="U207" s="39">
        <f>IF('Enrollment Census'!U207="","",'Enrollment Census'!U207)</f>
        <v/>
      </c>
    </row>
    <row r="208">
      <c r="A208" s="36">
        <f>IF('Enrollment Census'!A208="","",TRIM('Enrollment Census'!A208&amp;""))</f>
        <v/>
      </c>
      <c r="B208" s="36">
        <f>IF('Enrollment Census'!B208="","",TRIM('Enrollment Census'!B208&amp;""))</f>
        <v/>
      </c>
      <c r="C208" s="37">
        <f>IF('Enrollment Census'!C208="","",TRIM('Enrollment Census'!C208&amp;""))</f>
        <v/>
      </c>
      <c r="D208" s="37">
        <f>IF('Enrollment Census'!D208="","",TRIM('Enrollment Census'!D208&amp;""))</f>
        <v/>
      </c>
      <c r="E208" s="36">
        <f>IF('Enrollment Census'!E208="","",TRIM('Enrollment Census'!E208&amp;""))</f>
        <v/>
      </c>
      <c r="F208" s="37">
        <f>IF('Enrollment Census'!F208="","",TRIM('Enrollment Census'!F208&amp;""))</f>
        <v/>
      </c>
      <c r="G208" s="37">
        <f>IF('Enrollment Census'!G208="","",TRIM('Enrollment Census'!G208&amp;""))</f>
        <v/>
      </c>
      <c r="H208" s="37">
        <f>IF('Enrollment Census'!H208="","",TRIM('Enrollment Census'!H208&amp;""))</f>
        <v/>
      </c>
      <c r="I208" s="36">
        <f>IF('Enrollment Census'!I208="","",TRIM('Enrollment Census'!I208&amp;""))</f>
        <v/>
      </c>
      <c r="J208" s="36">
        <f>IF('Enrollment Census'!J208="","",TRIM('Enrollment Census'!J208&amp;""))</f>
        <v/>
      </c>
      <c r="K208" s="36">
        <f>IF('Enrollment Census'!K208="","",TRIM('Enrollment Census'!K208&amp;""))</f>
        <v/>
      </c>
      <c r="L208" s="38">
        <f>IF('Enrollment Census'!L208="","",'Enrollment Census'!L208)</f>
        <v/>
      </c>
      <c r="M208" s="36">
        <f>IF('Enrollment Census'!M208="","",TRIM('Enrollment Census'!M208&amp;""))</f>
        <v/>
      </c>
      <c r="N208" s="36">
        <f>IF('Enrollment Census'!N208="","",LOWER(TRIM('Enrollment Census'!N208&amp;"")))</f>
        <v/>
      </c>
      <c r="O208" s="36">
        <f>IF('Enrollment Census'!O208="","",TRIM('Enrollment Census'!O208&amp;""))</f>
        <v/>
      </c>
      <c r="P208" s="38">
        <f>IF('Enrollment Census'!P208="","",'Enrollment Census'!P208)</f>
        <v/>
      </c>
      <c r="Q208" s="38">
        <f>IF('Enrollment Census'!Q208="","",'Enrollment Census'!Q208)</f>
        <v/>
      </c>
      <c r="R208" s="36">
        <f>IF('Enrollment Census'!R208="","",TRIM('Enrollment Census'!R208&amp;""))</f>
        <v/>
      </c>
      <c r="S208" s="36">
        <f>IF('Enrollment Census'!S208="","",TRIM('Enrollment Census'!S208&amp;""))</f>
        <v/>
      </c>
      <c r="T208" s="36">
        <f>IF('Enrollment Census'!T208="","",TRIM('Enrollment Census'!T208&amp;""))</f>
        <v/>
      </c>
      <c r="U208" s="39">
        <f>IF('Enrollment Census'!U208="","",'Enrollment Census'!U208)</f>
        <v/>
      </c>
    </row>
    <row r="209">
      <c r="A209" s="36">
        <f>IF('Enrollment Census'!A209="","",TRIM('Enrollment Census'!A209&amp;""))</f>
        <v/>
      </c>
      <c r="B209" s="36">
        <f>IF('Enrollment Census'!B209="","",TRIM('Enrollment Census'!B209&amp;""))</f>
        <v/>
      </c>
      <c r="C209" s="37">
        <f>IF('Enrollment Census'!C209="","",TRIM('Enrollment Census'!C209&amp;""))</f>
        <v/>
      </c>
      <c r="D209" s="37">
        <f>IF('Enrollment Census'!D209="","",TRIM('Enrollment Census'!D209&amp;""))</f>
        <v/>
      </c>
      <c r="E209" s="36">
        <f>IF('Enrollment Census'!E209="","",TRIM('Enrollment Census'!E209&amp;""))</f>
        <v/>
      </c>
      <c r="F209" s="37">
        <f>IF('Enrollment Census'!F209="","",TRIM('Enrollment Census'!F209&amp;""))</f>
        <v/>
      </c>
      <c r="G209" s="37">
        <f>IF('Enrollment Census'!G209="","",TRIM('Enrollment Census'!G209&amp;""))</f>
        <v/>
      </c>
      <c r="H209" s="37">
        <f>IF('Enrollment Census'!H209="","",TRIM('Enrollment Census'!H209&amp;""))</f>
        <v/>
      </c>
      <c r="I209" s="36">
        <f>IF('Enrollment Census'!I209="","",TRIM('Enrollment Census'!I209&amp;""))</f>
        <v/>
      </c>
      <c r="J209" s="36">
        <f>IF('Enrollment Census'!J209="","",TRIM('Enrollment Census'!J209&amp;""))</f>
        <v/>
      </c>
      <c r="K209" s="36">
        <f>IF('Enrollment Census'!K209="","",TRIM('Enrollment Census'!K209&amp;""))</f>
        <v/>
      </c>
      <c r="L209" s="38">
        <f>IF('Enrollment Census'!L209="","",'Enrollment Census'!L209)</f>
        <v/>
      </c>
      <c r="M209" s="36">
        <f>IF('Enrollment Census'!M209="","",TRIM('Enrollment Census'!M209&amp;""))</f>
        <v/>
      </c>
      <c r="N209" s="36">
        <f>IF('Enrollment Census'!N209="","",LOWER(TRIM('Enrollment Census'!N209&amp;"")))</f>
        <v/>
      </c>
      <c r="O209" s="36">
        <f>IF('Enrollment Census'!O209="","",TRIM('Enrollment Census'!O209&amp;""))</f>
        <v/>
      </c>
      <c r="P209" s="38">
        <f>IF('Enrollment Census'!P209="","",'Enrollment Census'!P209)</f>
        <v/>
      </c>
      <c r="Q209" s="38">
        <f>IF('Enrollment Census'!Q209="","",'Enrollment Census'!Q209)</f>
        <v/>
      </c>
      <c r="R209" s="36">
        <f>IF('Enrollment Census'!R209="","",TRIM('Enrollment Census'!R209&amp;""))</f>
        <v/>
      </c>
      <c r="S209" s="36">
        <f>IF('Enrollment Census'!S209="","",TRIM('Enrollment Census'!S209&amp;""))</f>
        <v/>
      </c>
      <c r="T209" s="36">
        <f>IF('Enrollment Census'!T209="","",TRIM('Enrollment Census'!T209&amp;""))</f>
        <v/>
      </c>
      <c r="U209" s="39">
        <f>IF('Enrollment Census'!U209="","",'Enrollment Census'!U209)</f>
        <v/>
      </c>
    </row>
    <row r="210">
      <c r="A210" s="36">
        <f>IF('Enrollment Census'!A210="","",TRIM('Enrollment Census'!A210&amp;""))</f>
        <v/>
      </c>
      <c r="B210" s="36">
        <f>IF('Enrollment Census'!B210="","",TRIM('Enrollment Census'!B210&amp;""))</f>
        <v/>
      </c>
      <c r="C210" s="37">
        <f>IF('Enrollment Census'!C210="","",TRIM('Enrollment Census'!C210&amp;""))</f>
        <v/>
      </c>
      <c r="D210" s="37">
        <f>IF('Enrollment Census'!D210="","",TRIM('Enrollment Census'!D210&amp;""))</f>
        <v/>
      </c>
      <c r="E210" s="36">
        <f>IF('Enrollment Census'!E210="","",TRIM('Enrollment Census'!E210&amp;""))</f>
        <v/>
      </c>
      <c r="F210" s="37">
        <f>IF('Enrollment Census'!F210="","",TRIM('Enrollment Census'!F210&amp;""))</f>
        <v/>
      </c>
      <c r="G210" s="37">
        <f>IF('Enrollment Census'!G210="","",TRIM('Enrollment Census'!G210&amp;""))</f>
        <v/>
      </c>
      <c r="H210" s="37">
        <f>IF('Enrollment Census'!H210="","",TRIM('Enrollment Census'!H210&amp;""))</f>
        <v/>
      </c>
      <c r="I210" s="36">
        <f>IF('Enrollment Census'!I210="","",TRIM('Enrollment Census'!I210&amp;""))</f>
        <v/>
      </c>
      <c r="J210" s="36">
        <f>IF('Enrollment Census'!J210="","",TRIM('Enrollment Census'!J210&amp;""))</f>
        <v/>
      </c>
      <c r="K210" s="36">
        <f>IF('Enrollment Census'!K210="","",TRIM('Enrollment Census'!K210&amp;""))</f>
        <v/>
      </c>
      <c r="L210" s="38">
        <f>IF('Enrollment Census'!L210="","",'Enrollment Census'!L210)</f>
        <v/>
      </c>
      <c r="M210" s="36">
        <f>IF('Enrollment Census'!M210="","",TRIM('Enrollment Census'!M210&amp;""))</f>
        <v/>
      </c>
      <c r="N210" s="36">
        <f>IF('Enrollment Census'!N210="","",LOWER(TRIM('Enrollment Census'!N210&amp;"")))</f>
        <v/>
      </c>
      <c r="O210" s="36">
        <f>IF('Enrollment Census'!O210="","",TRIM('Enrollment Census'!O210&amp;""))</f>
        <v/>
      </c>
      <c r="P210" s="38">
        <f>IF('Enrollment Census'!P210="","",'Enrollment Census'!P210)</f>
        <v/>
      </c>
      <c r="Q210" s="38">
        <f>IF('Enrollment Census'!Q210="","",'Enrollment Census'!Q210)</f>
        <v/>
      </c>
      <c r="R210" s="36">
        <f>IF('Enrollment Census'!R210="","",TRIM('Enrollment Census'!R210&amp;""))</f>
        <v/>
      </c>
      <c r="S210" s="36">
        <f>IF('Enrollment Census'!S210="","",TRIM('Enrollment Census'!S210&amp;""))</f>
        <v/>
      </c>
      <c r="T210" s="36">
        <f>IF('Enrollment Census'!T210="","",TRIM('Enrollment Census'!T210&amp;""))</f>
        <v/>
      </c>
      <c r="U210" s="39">
        <f>IF('Enrollment Census'!U210="","",'Enrollment Census'!U210)</f>
        <v/>
      </c>
    </row>
    <row r="211">
      <c r="A211" s="36">
        <f>IF('Enrollment Census'!A211="","",TRIM('Enrollment Census'!A211&amp;""))</f>
        <v/>
      </c>
      <c r="B211" s="36">
        <f>IF('Enrollment Census'!B211="","",TRIM('Enrollment Census'!B211&amp;""))</f>
        <v/>
      </c>
      <c r="C211" s="37">
        <f>IF('Enrollment Census'!C211="","",TRIM('Enrollment Census'!C211&amp;""))</f>
        <v/>
      </c>
      <c r="D211" s="37">
        <f>IF('Enrollment Census'!D211="","",TRIM('Enrollment Census'!D211&amp;""))</f>
        <v/>
      </c>
      <c r="E211" s="36">
        <f>IF('Enrollment Census'!E211="","",TRIM('Enrollment Census'!E211&amp;""))</f>
        <v/>
      </c>
      <c r="F211" s="37">
        <f>IF('Enrollment Census'!F211="","",TRIM('Enrollment Census'!F211&amp;""))</f>
        <v/>
      </c>
      <c r="G211" s="37">
        <f>IF('Enrollment Census'!G211="","",TRIM('Enrollment Census'!G211&amp;""))</f>
        <v/>
      </c>
      <c r="H211" s="37">
        <f>IF('Enrollment Census'!H211="","",TRIM('Enrollment Census'!H211&amp;""))</f>
        <v/>
      </c>
      <c r="I211" s="36">
        <f>IF('Enrollment Census'!I211="","",TRIM('Enrollment Census'!I211&amp;""))</f>
        <v/>
      </c>
      <c r="J211" s="36">
        <f>IF('Enrollment Census'!J211="","",TRIM('Enrollment Census'!J211&amp;""))</f>
        <v/>
      </c>
      <c r="K211" s="36">
        <f>IF('Enrollment Census'!K211="","",TRIM('Enrollment Census'!K211&amp;""))</f>
        <v/>
      </c>
      <c r="L211" s="38">
        <f>IF('Enrollment Census'!L211="","",'Enrollment Census'!L211)</f>
        <v/>
      </c>
      <c r="M211" s="36">
        <f>IF('Enrollment Census'!M211="","",TRIM('Enrollment Census'!M211&amp;""))</f>
        <v/>
      </c>
      <c r="N211" s="36">
        <f>IF('Enrollment Census'!N211="","",LOWER(TRIM('Enrollment Census'!N211&amp;"")))</f>
        <v/>
      </c>
      <c r="O211" s="36">
        <f>IF('Enrollment Census'!O211="","",TRIM('Enrollment Census'!O211&amp;""))</f>
        <v/>
      </c>
      <c r="P211" s="38">
        <f>IF('Enrollment Census'!P211="","",'Enrollment Census'!P211)</f>
        <v/>
      </c>
      <c r="Q211" s="38">
        <f>IF('Enrollment Census'!Q211="","",'Enrollment Census'!Q211)</f>
        <v/>
      </c>
      <c r="R211" s="36">
        <f>IF('Enrollment Census'!R211="","",TRIM('Enrollment Census'!R211&amp;""))</f>
        <v/>
      </c>
      <c r="S211" s="36">
        <f>IF('Enrollment Census'!S211="","",TRIM('Enrollment Census'!S211&amp;""))</f>
        <v/>
      </c>
      <c r="T211" s="36">
        <f>IF('Enrollment Census'!T211="","",TRIM('Enrollment Census'!T211&amp;""))</f>
        <v/>
      </c>
      <c r="U211" s="39">
        <f>IF('Enrollment Census'!U211="","",'Enrollment Census'!U211)</f>
        <v/>
      </c>
    </row>
    <row r="212">
      <c r="A212" s="36">
        <f>IF('Enrollment Census'!A212="","",TRIM('Enrollment Census'!A212&amp;""))</f>
        <v/>
      </c>
      <c r="B212" s="36">
        <f>IF('Enrollment Census'!B212="","",TRIM('Enrollment Census'!B212&amp;""))</f>
        <v/>
      </c>
      <c r="C212" s="37">
        <f>IF('Enrollment Census'!C212="","",TRIM('Enrollment Census'!C212&amp;""))</f>
        <v/>
      </c>
      <c r="D212" s="37">
        <f>IF('Enrollment Census'!D212="","",TRIM('Enrollment Census'!D212&amp;""))</f>
        <v/>
      </c>
      <c r="E212" s="36">
        <f>IF('Enrollment Census'!E212="","",TRIM('Enrollment Census'!E212&amp;""))</f>
        <v/>
      </c>
      <c r="F212" s="37">
        <f>IF('Enrollment Census'!F212="","",TRIM('Enrollment Census'!F212&amp;""))</f>
        <v/>
      </c>
      <c r="G212" s="37">
        <f>IF('Enrollment Census'!G212="","",TRIM('Enrollment Census'!G212&amp;""))</f>
        <v/>
      </c>
      <c r="H212" s="37">
        <f>IF('Enrollment Census'!H212="","",TRIM('Enrollment Census'!H212&amp;""))</f>
        <v/>
      </c>
      <c r="I212" s="36">
        <f>IF('Enrollment Census'!I212="","",TRIM('Enrollment Census'!I212&amp;""))</f>
        <v/>
      </c>
      <c r="J212" s="36">
        <f>IF('Enrollment Census'!J212="","",TRIM('Enrollment Census'!J212&amp;""))</f>
        <v/>
      </c>
      <c r="K212" s="36">
        <f>IF('Enrollment Census'!K212="","",TRIM('Enrollment Census'!K212&amp;""))</f>
        <v/>
      </c>
      <c r="L212" s="38">
        <f>IF('Enrollment Census'!L212="","",'Enrollment Census'!L212)</f>
        <v/>
      </c>
      <c r="M212" s="36">
        <f>IF('Enrollment Census'!M212="","",TRIM('Enrollment Census'!M212&amp;""))</f>
        <v/>
      </c>
      <c r="N212" s="36">
        <f>IF('Enrollment Census'!N212="","",LOWER(TRIM('Enrollment Census'!N212&amp;"")))</f>
        <v/>
      </c>
      <c r="O212" s="36">
        <f>IF('Enrollment Census'!O212="","",TRIM('Enrollment Census'!O212&amp;""))</f>
        <v/>
      </c>
      <c r="P212" s="38">
        <f>IF('Enrollment Census'!P212="","",'Enrollment Census'!P212)</f>
        <v/>
      </c>
      <c r="Q212" s="38">
        <f>IF('Enrollment Census'!Q212="","",'Enrollment Census'!Q212)</f>
        <v/>
      </c>
      <c r="R212" s="36">
        <f>IF('Enrollment Census'!R212="","",TRIM('Enrollment Census'!R212&amp;""))</f>
        <v/>
      </c>
      <c r="S212" s="36">
        <f>IF('Enrollment Census'!S212="","",TRIM('Enrollment Census'!S212&amp;""))</f>
        <v/>
      </c>
      <c r="T212" s="36">
        <f>IF('Enrollment Census'!T212="","",TRIM('Enrollment Census'!T212&amp;""))</f>
        <v/>
      </c>
      <c r="U212" s="39">
        <f>IF('Enrollment Census'!U212="","",'Enrollment Census'!U212)</f>
        <v/>
      </c>
    </row>
    <row r="213">
      <c r="A213" s="36">
        <f>IF('Enrollment Census'!A213="","",TRIM('Enrollment Census'!A213&amp;""))</f>
        <v/>
      </c>
      <c r="B213" s="36">
        <f>IF('Enrollment Census'!B213="","",TRIM('Enrollment Census'!B213&amp;""))</f>
        <v/>
      </c>
      <c r="C213" s="37">
        <f>IF('Enrollment Census'!C213="","",TRIM('Enrollment Census'!C213&amp;""))</f>
        <v/>
      </c>
      <c r="D213" s="37">
        <f>IF('Enrollment Census'!D213="","",TRIM('Enrollment Census'!D213&amp;""))</f>
        <v/>
      </c>
      <c r="E213" s="36">
        <f>IF('Enrollment Census'!E213="","",TRIM('Enrollment Census'!E213&amp;""))</f>
        <v/>
      </c>
      <c r="F213" s="37">
        <f>IF('Enrollment Census'!F213="","",TRIM('Enrollment Census'!F213&amp;""))</f>
        <v/>
      </c>
      <c r="G213" s="37">
        <f>IF('Enrollment Census'!G213="","",TRIM('Enrollment Census'!G213&amp;""))</f>
        <v/>
      </c>
      <c r="H213" s="37">
        <f>IF('Enrollment Census'!H213="","",TRIM('Enrollment Census'!H213&amp;""))</f>
        <v/>
      </c>
      <c r="I213" s="36">
        <f>IF('Enrollment Census'!I213="","",TRIM('Enrollment Census'!I213&amp;""))</f>
        <v/>
      </c>
      <c r="J213" s="36">
        <f>IF('Enrollment Census'!J213="","",TRIM('Enrollment Census'!J213&amp;""))</f>
        <v/>
      </c>
      <c r="K213" s="36">
        <f>IF('Enrollment Census'!K213="","",TRIM('Enrollment Census'!K213&amp;""))</f>
        <v/>
      </c>
      <c r="L213" s="38">
        <f>IF('Enrollment Census'!L213="","",'Enrollment Census'!L213)</f>
        <v/>
      </c>
      <c r="M213" s="36">
        <f>IF('Enrollment Census'!M213="","",TRIM('Enrollment Census'!M213&amp;""))</f>
        <v/>
      </c>
      <c r="N213" s="36">
        <f>IF('Enrollment Census'!N213="","",LOWER(TRIM('Enrollment Census'!N213&amp;"")))</f>
        <v/>
      </c>
      <c r="O213" s="36">
        <f>IF('Enrollment Census'!O213="","",TRIM('Enrollment Census'!O213&amp;""))</f>
        <v/>
      </c>
      <c r="P213" s="38">
        <f>IF('Enrollment Census'!P213="","",'Enrollment Census'!P213)</f>
        <v/>
      </c>
      <c r="Q213" s="38">
        <f>IF('Enrollment Census'!Q213="","",'Enrollment Census'!Q213)</f>
        <v/>
      </c>
      <c r="R213" s="36">
        <f>IF('Enrollment Census'!R213="","",TRIM('Enrollment Census'!R213&amp;""))</f>
        <v/>
      </c>
      <c r="S213" s="36">
        <f>IF('Enrollment Census'!S213="","",TRIM('Enrollment Census'!S213&amp;""))</f>
        <v/>
      </c>
      <c r="T213" s="36">
        <f>IF('Enrollment Census'!T213="","",TRIM('Enrollment Census'!T213&amp;""))</f>
        <v/>
      </c>
      <c r="U213" s="39">
        <f>IF('Enrollment Census'!U213="","",'Enrollment Census'!U213)</f>
        <v/>
      </c>
    </row>
    <row r="214">
      <c r="A214" s="36">
        <f>IF('Enrollment Census'!A214="","",TRIM('Enrollment Census'!A214&amp;""))</f>
        <v/>
      </c>
      <c r="B214" s="36">
        <f>IF('Enrollment Census'!B214="","",TRIM('Enrollment Census'!B214&amp;""))</f>
        <v/>
      </c>
      <c r="C214" s="37">
        <f>IF('Enrollment Census'!C214="","",TRIM('Enrollment Census'!C214&amp;""))</f>
        <v/>
      </c>
      <c r="D214" s="37">
        <f>IF('Enrollment Census'!D214="","",TRIM('Enrollment Census'!D214&amp;""))</f>
        <v/>
      </c>
      <c r="E214" s="36">
        <f>IF('Enrollment Census'!E214="","",TRIM('Enrollment Census'!E214&amp;""))</f>
        <v/>
      </c>
      <c r="F214" s="37">
        <f>IF('Enrollment Census'!F214="","",TRIM('Enrollment Census'!F214&amp;""))</f>
        <v/>
      </c>
      <c r="G214" s="37">
        <f>IF('Enrollment Census'!G214="","",TRIM('Enrollment Census'!G214&amp;""))</f>
        <v/>
      </c>
      <c r="H214" s="37">
        <f>IF('Enrollment Census'!H214="","",TRIM('Enrollment Census'!H214&amp;""))</f>
        <v/>
      </c>
      <c r="I214" s="36">
        <f>IF('Enrollment Census'!I214="","",TRIM('Enrollment Census'!I214&amp;""))</f>
        <v/>
      </c>
      <c r="J214" s="36">
        <f>IF('Enrollment Census'!J214="","",TRIM('Enrollment Census'!J214&amp;""))</f>
        <v/>
      </c>
      <c r="K214" s="36">
        <f>IF('Enrollment Census'!K214="","",TRIM('Enrollment Census'!K214&amp;""))</f>
        <v/>
      </c>
      <c r="L214" s="38">
        <f>IF('Enrollment Census'!L214="","",'Enrollment Census'!L214)</f>
        <v/>
      </c>
      <c r="M214" s="36">
        <f>IF('Enrollment Census'!M214="","",TRIM('Enrollment Census'!M214&amp;""))</f>
        <v/>
      </c>
      <c r="N214" s="36">
        <f>IF('Enrollment Census'!N214="","",LOWER(TRIM('Enrollment Census'!N214&amp;"")))</f>
        <v/>
      </c>
      <c r="O214" s="36">
        <f>IF('Enrollment Census'!O214="","",TRIM('Enrollment Census'!O214&amp;""))</f>
        <v/>
      </c>
      <c r="P214" s="38">
        <f>IF('Enrollment Census'!P214="","",'Enrollment Census'!P214)</f>
        <v/>
      </c>
      <c r="Q214" s="38">
        <f>IF('Enrollment Census'!Q214="","",'Enrollment Census'!Q214)</f>
        <v/>
      </c>
      <c r="R214" s="36">
        <f>IF('Enrollment Census'!R214="","",TRIM('Enrollment Census'!R214&amp;""))</f>
        <v/>
      </c>
      <c r="S214" s="36">
        <f>IF('Enrollment Census'!S214="","",TRIM('Enrollment Census'!S214&amp;""))</f>
        <v/>
      </c>
      <c r="T214" s="36">
        <f>IF('Enrollment Census'!T214="","",TRIM('Enrollment Census'!T214&amp;""))</f>
        <v/>
      </c>
      <c r="U214" s="39">
        <f>IF('Enrollment Census'!U214="","",'Enrollment Census'!U214)</f>
        <v/>
      </c>
    </row>
    <row r="215">
      <c r="A215" s="36">
        <f>IF('Enrollment Census'!A215="","",TRIM('Enrollment Census'!A215&amp;""))</f>
        <v/>
      </c>
      <c r="B215" s="36">
        <f>IF('Enrollment Census'!B215="","",TRIM('Enrollment Census'!B215&amp;""))</f>
        <v/>
      </c>
      <c r="C215" s="37">
        <f>IF('Enrollment Census'!C215="","",TRIM('Enrollment Census'!C215&amp;""))</f>
        <v/>
      </c>
      <c r="D215" s="37">
        <f>IF('Enrollment Census'!D215="","",TRIM('Enrollment Census'!D215&amp;""))</f>
        <v/>
      </c>
      <c r="E215" s="36">
        <f>IF('Enrollment Census'!E215="","",TRIM('Enrollment Census'!E215&amp;""))</f>
        <v/>
      </c>
      <c r="F215" s="37">
        <f>IF('Enrollment Census'!F215="","",TRIM('Enrollment Census'!F215&amp;""))</f>
        <v/>
      </c>
      <c r="G215" s="37">
        <f>IF('Enrollment Census'!G215="","",TRIM('Enrollment Census'!G215&amp;""))</f>
        <v/>
      </c>
      <c r="H215" s="37">
        <f>IF('Enrollment Census'!H215="","",TRIM('Enrollment Census'!H215&amp;""))</f>
        <v/>
      </c>
      <c r="I215" s="36">
        <f>IF('Enrollment Census'!I215="","",TRIM('Enrollment Census'!I215&amp;""))</f>
        <v/>
      </c>
      <c r="J215" s="36">
        <f>IF('Enrollment Census'!J215="","",TRIM('Enrollment Census'!J215&amp;""))</f>
        <v/>
      </c>
      <c r="K215" s="36">
        <f>IF('Enrollment Census'!K215="","",TRIM('Enrollment Census'!K215&amp;""))</f>
        <v/>
      </c>
      <c r="L215" s="38">
        <f>IF('Enrollment Census'!L215="","",'Enrollment Census'!L215)</f>
        <v/>
      </c>
      <c r="M215" s="36">
        <f>IF('Enrollment Census'!M215="","",TRIM('Enrollment Census'!M215&amp;""))</f>
        <v/>
      </c>
      <c r="N215" s="36">
        <f>IF('Enrollment Census'!N215="","",LOWER(TRIM('Enrollment Census'!N215&amp;"")))</f>
        <v/>
      </c>
      <c r="O215" s="36">
        <f>IF('Enrollment Census'!O215="","",TRIM('Enrollment Census'!O215&amp;""))</f>
        <v/>
      </c>
      <c r="P215" s="38">
        <f>IF('Enrollment Census'!P215="","",'Enrollment Census'!P215)</f>
        <v/>
      </c>
      <c r="Q215" s="38">
        <f>IF('Enrollment Census'!Q215="","",'Enrollment Census'!Q215)</f>
        <v/>
      </c>
      <c r="R215" s="36">
        <f>IF('Enrollment Census'!R215="","",TRIM('Enrollment Census'!R215&amp;""))</f>
        <v/>
      </c>
      <c r="S215" s="36">
        <f>IF('Enrollment Census'!S215="","",TRIM('Enrollment Census'!S215&amp;""))</f>
        <v/>
      </c>
      <c r="T215" s="36">
        <f>IF('Enrollment Census'!T215="","",TRIM('Enrollment Census'!T215&amp;""))</f>
        <v/>
      </c>
      <c r="U215" s="39">
        <f>IF('Enrollment Census'!U215="","",'Enrollment Census'!U215)</f>
        <v/>
      </c>
    </row>
    <row r="216">
      <c r="A216" s="36">
        <f>IF('Enrollment Census'!A216="","",TRIM('Enrollment Census'!A216&amp;""))</f>
        <v/>
      </c>
      <c r="B216" s="36">
        <f>IF('Enrollment Census'!B216="","",TRIM('Enrollment Census'!B216&amp;""))</f>
        <v/>
      </c>
      <c r="C216" s="37">
        <f>IF('Enrollment Census'!C216="","",TRIM('Enrollment Census'!C216&amp;""))</f>
        <v/>
      </c>
      <c r="D216" s="37">
        <f>IF('Enrollment Census'!D216="","",TRIM('Enrollment Census'!D216&amp;""))</f>
        <v/>
      </c>
      <c r="E216" s="36">
        <f>IF('Enrollment Census'!E216="","",TRIM('Enrollment Census'!E216&amp;""))</f>
        <v/>
      </c>
      <c r="F216" s="37">
        <f>IF('Enrollment Census'!F216="","",TRIM('Enrollment Census'!F216&amp;""))</f>
        <v/>
      </c>
      <c r="G216" s="37">
        <f>IF('Enrollment Census'!G216="","",TRIM('Enrollment Census'!G216&amp;""))</f>
        <v/>
      </c>
      <c r="H216" s="37">
        <f>IF('Enrollment Census'!H216="","",TRIM('Enrollment Census'!H216&amp;""))</f>
        <v/>
      </c>
      <c r="I216" s="36">
        <f>IF('Enrollment Census'!I216="","",TRIM('Enrollment Census'!I216&amp;""))</f>
        <v/>
      </c>
      <c r="J216" s="36">
        <f>IF('Enrollment Census'!J216="","",TRIM('Enrollment Census'!J216&amp;""))</f>
        <v/>
      </c>
      <c r="K216" s="36">
        <f>IF('Enrollment Census'!K216="","",TRIM('Enrollment Census'!K216&amp;""))</f>
        <v/>
      </c>
      <c r="L216" s="38">
        <f>IF('Enrollment Census'!L216="","",'Enrollment Census'!L216)</f>
        <v/>
      </c>
      <c r="M216" s="36">
        <f>IF('Enrollment Census'!M216="","",TRIM('Enrollment Census'!M216&amp;""))</f>
        <v/>
      </c>
      <c r="N216" s="36">
        <f>IF('Enrollment Census'!N216="","",LOWER(TRIM('Enrollment Census'!N216&amp;"")))</f>
        <v/>
      </c>
      <c r="O216" s="36">
        <f>IF('Enrollment Census'!O216="","",TRIM('Enrollment Census'!O216&amp;""))</f>
        <v/>
      </c>
      <c r="P216" s="38">
        <f>IF('Enrollment Census'!P216="","",'Enrollment Census'!P216)</f>
        <v/>
      </c>
      <c r="Q216" s="38">
        <f>IF('Enrollment Census'!Q216="","",'Enrollment Census'!Q216)</f>
        <v/>
      </c>
      <c r="R216" s="36">
        <f>IF('Enrollment Census'!R216="","",TRIM('Enrollment Census'!R216&amp;""))</f>
        <v/>
      </c>
      <c r="S216" s="36">
        <f>IF('Enrollment Census'!S216="","",TRIM('Enrollment Census'!S216&amp;""))</f>
        <v/>
      </c>
      <c r="T216" s="36">
        <f>IF('Enrollment Census'!T216="","",TRIM('Enrollment Census'!T216&amp;""))</f>
        <v/>
      </c>
      <c r="U216" s="39">
        <f>IF('Enrollment Census'!U216="","",'Enrollment Census'!U216)</f>
        <v/>
      </c>
    </row>
    <row r="217">
      <c r="A217" s="36">
        <f>IF('Enrollment Census'!A217="","",TRIM('Enrollment Census'!A217&amp;""))</f>
        <v/>
      </c>
      <c r="B217" s="36">
        <f>IF('Enrollment Census'!B217="","",TRIM('Enrollment Census'!B217&amp;""))</f>
        <v/>
      </c>
      <c r="C217" s="37">
        <f>IF('Enrollment Census'!C217="","",TRIM('Enrollment Census'!C217&amp;""))</f>
        <v/>
      </c>
      <c r="D217" s="37">
        <f>IF('Enrollment Census'!D217="","",TRIM('Enrollment Census'!D217&amp;""))</f>
        <v/>
      </c>
      <c r="E217" s="36">
        <f>IF('Enrollment Census'!E217="","",TRIM('Enrollment Census'!E217&amp;""))</f>
        <v/>
      </c>
      <c r="F217" s="37">
        <f>IF('Enrollment Census'!F217="","",TRIM('Enrollment Census'!F217&amp;""))</f>
        <v/>
      </c>
      <c r="G217" s="37">
        <f>IF('Enrollment Census'!G217="","",TRIM('Enrollment Census'!G217&amp;""))</f>
        <v/>
      </c>
      <c r="H217" s="37">
        <f>IF('Enrollment Census'!H217="","",TRIM('Enrollment Census'!H217&amp;""))</f>
        <v/>
      </c>
      <c r="I217" s="36">
        <f>IF('Enrollment Census'!I217="","",TRIM('Enrollment Census'!I217&amp;""))</f>
        <v/>
      </c>
      <c r="J217" s="36">
        <f>IF('Enrollment Census'!J217="","",TRIM('Enrollment Census'!J217&amp;""))</f>
        <v/>
      </c>
      <c r="K217" s="36">
        <f>IF('Enrollment Census'!K217="","",TRIM('Enrollment Census'!K217&amp;""))</f>
        <v/>
      </c>
      <c r="L217" s="38">
        <f>IF('Enrollment Census'!L217="","",'Enrollment Census'!L217)</f>
        <v/>
      </c>
      <c r="M217" s="36">
        <f>IF('Enrollment Census'!M217="","",TRIM('Enrollment Census'!M217&amp;""))</f>
        <v/>
      </c>
      <c r="N217" s="36">
        <f>IF('Enrollment Census'!N217="","",LOWER(TRIM('Enrollment Census'!N217&amp;"")))</f>
        <v/>
      </c>
      <c r="O217" s="36">
        <f>IF('Enrollment Census'!O217="","",TRIM('Enrollment Census'!O217&amp;""))</f>
        <v/>
      </c>
      <c r="P217" s="38">
        <f>IF('Enrollment Census'!P217="","",'Enrollment Census'!P217)</f>
        <v/>
      </c>
      <c r="Q217" s="38">
        <f>IF('Enrollment Census'!Q217="","",'Enrollment Census'!Q217)</f>
        <v/>
      </c>
      <c r="R217" s="36">
        <f>IF('Enrollment Census'!R217="","",TRIM('Enrollment Census'!R217&amp;""))</f>
        <v/>
      </c>
      <c r="S217" s="36">
        <f>IF('Enrollment Census'!S217="","",TRIM('Enrollment Census'!S217&amp;""))</f>
        <v/>
      </c>
      <c r="T217" s="36">
        <f>IF('Enrollment Census'!T217="","",TRIM('Enrollment Census'!T217&amp;""))</f>
        <v/>
      </c>
      <c r="U217" s="39">
        <f>IF('Enrollment Census'!U217="","",'Enrollment Census'!U217)</f>
        <v/>
      </c>
    </row>
    <row r="218">
      <c r="A218" s="36">
        <f>IF('Enrollment Census'!A218="","",TRIM('Enrollment Census'!A218&amp;""))</f>
        <v/>
      </c>
      <c r="B218" s="36">
        <f>IF('Enrollment Census'!B218="","",TRIM('Enrollment Census'!B218&amp;""))</f>
        <v/>
      </c>
      <c r="C218" s="37">
        <f>IF('Enrollment Census'!C218="","",TRIM('Enrollment Census'!C218&amp;""))</f>
        <v/>
      </c>
      <c r="D218" s="37">
        <f>IF('Enrollment Census'!D218="","",TRIM('Enrollment Census'!D218&amp;""))</f>
        <v/>
      </c>
      <c r="E218" s="36">
        <f>IF('Enrollment Census'!E218="","",TRIM('Enrollment Census'!E218&amp;""))</f>
        <v/>
      </c>
      <c r="F218" s="37">
        <f>IF('Enrollment Census'!F218="","",TRIM('Enrollment Census'!F218&amp;""))</f>
        <v/>
      </c>
      <c r="G218" s="37">
        <f>IF('Enrollment Census'!G218="","",TRIM('Enrollment Census'!G218&amp;""))</f>
        <v/>
      </c>
      <c r="H218" s="37">
        <f>IF('Enrollment Census'!H218="","",TRIM('Enrollment Census'!H218&amp;""))</f>
        <v/>
      </c>
      <c r="I218" s="36">
        <f>IF('Enrollment Census'!I218="","",TRIM('Enrollment Census'!I218&amp;""))</f>
        <v/>
      </c>
      <c r="J218" s="36">
        <f>IF('Enrollment Census'!J218="","",TRIM('Enrollment Census'!J218&amp;""))</f>
        <v/>
      </c>
      <c r="K218" s="36">
        <f>IF('Enrollment Census'!K218="","",TRIM('Enrollment Census'!K218&amp;""))</f>
        <v/>
      </c>
      <c r="L218" s="38">
        <f>IF('Enrollment Census'!L218="","",'Enrollment Census'!L218)</f>
        <v/>
      </c>
      <c r="M218" s="36">
        <f>IF('Enrollment Census'!M218="","",TRIM('Enrollment Census'!M218&amp;""))</f>
        <v/>
      </c>
      <c r="N218" s="36">
        <f>IF('Enrollment Census'!N218="","",LOWER(TRIM('Enrollment Census'!N218&amp;"")))</f>
        <v/>
      </c>
      <c r="O218" s="36">
        <f>IF('Enrollment Census'!O218="","",TRIM('Enrollment Census'!O218&amp;""))</f>
        <v/>
      </c>
      <c r="P218" s="38">
        <f>IF('Enrollment Census'!P218="","",'Enrollment Census'!P218)</f>
        <v/>
      </c>
      <c r="Q218" s="38">
        <f>IF('Enrollment Census'!Q218="","",'Enrollment Census'!Q218)</f>
        <v/>
      </c>
      <c r="R218" s="36">
        <f>IF('Enrollment Census'!R218="","",TRIM('Enrollment Census'!R218&amp;""))</f>
        <v/>
      </c>
      <c r="S218" s="36">
        <f>IF('Enrollment Census'!S218="","",TRIM('Enrollment Census'!S218&amp;""))</f>
        <v/>
      </c>
      <c r="T218" s="36">
        <f>IF('Enrollment Census'!T218="","",TRIM('Enrollment Census'!T218&amp;""))</f>
        <v/>
      </c>
      <c r="U218" s="39">
        <f>IF('Enrollment Census'!U218="","",'Enrollment Census'!U218)</f>
        <v/>
      </c>
    </row>
    <row r="219">
      <c r="A219" s="36">
        <f>IF('Enrollment Census'!A219="","",TRIM('Enrollment Census'!A219&amp;""))</f>
        <v/>
      </c>
      <c r="B219" s="36">
        <f>IF('Enrollment Census'!B219="","",TRIM('Enrollment Census'!B219&amp;""))</f>
        <v/>
      </c>
      <c r="C219" s="37">
        <f>IF('Enrollment Census'!C219="","",TRIM('Enrollment Census'!C219&amp;""))</f>
        <v/>
      </c>
      <c r="D219" s="37">
        <f>IF('Enrollment Census'!D219="","",TRIM('Enrollment Census'!D219&amp;""))</f>
        <v/>
      </c>
      <c r="E219" s="36">
        <f>IF('Enrollment Census'!E219="","",TRIM('Enrollment Census'!E219&amp;""))</f>
        <v/>
      </c>
      <c r="F219" s="37">
        <f>IF('Enrollment Census'!F219="","",TRIM('Enrollment Census'!F219&amp;""))</f>
        <v/>
      </c>
      <c r="G219" s="37">
        <f>IF('Enrollment Census'!G219="","",TRIM('Enrollment Census'!G219&amp;""))</f>
        <v/>
      </c>
      <c r="H219" s="37">
        <f>IF('Enrollment Census'!H219="","",TRIM('Enrollment Census'!H219&amp;""))</f>
        <v/>
      </c>
      <c r="I219" s="36">
        <f>IF('Enrollment Census'!I219="","",TRIM('Enrollment Census'!I219&amp;""))</f>
        <v/>
      </c>
      <c r="J219" s="36">
        <f>IF('Enrollment Census'!J219="","",TRIM('Enrollment Census'!J219&amp;""))</f>
        <v/>
      </c>
      <c r="K219" s="36">
        <f>IF('Enrollment Census'!K219="","",TRIM('Enrollment Census'!K219&amp;""))</f>
        <v/>
      </c>
      <c r="L219" s="38">
        <f>IF('Enrollment Census'!L219="","",'Enrollment Census'!L219)</f>
        <v/>
      </c>
      <c r="M219" s="36">
        <f>IF('Enrollment Census'!M219="","",TRIM('Enrollment Census'!M219&amp;""))</f>
        <v/>
      </c>
      <c r="N219" s="36">
        <f>IF('Enrollment Census'!N219="","",LOWER(TRIM('Enrollment Census'!N219&amp;"")))</f>
        <v/>
      </c>
      <c r="O219" s="36">
        <f>IF('Enrollment Census'!O219="","",TRIM('Enrollment Census'!O219&amp;""))</f>
        <v/>
      </c>
      <c r="P219" s="38">
        <f>IF('Enrollment Census'!P219="","",'Enrollment Census'!P219)</f>
        <v/>
      </c>
      <c r="Q219" s="38">
        <f>IF('Enrollment Census'!Q219="","",'Enrollment Census'!Q219)</f>
        <v/>
      </c>
      <c r="R219" s="36">
        <f>IF('Enrollment Census'!R219="","",TRIM('Enrollment Census'!R219&amp;""))</f>
        <v/>
      </c>
      <c r="S219" s="36">
        <f>IF('Enrollment Census'!S219="","",TRIM('Enrollment Census'!S219&amp;""))</f>
        <v/>
      </c>
      <c r="T219" s="36">
        <f>IF('Enrollment Census'!T219="","",TRIM('Enrollment Census'!T219&amp;""))</f>
        <v/>
      </c>
      <c r="U219" s="39">
        <f>IF('Enrollment Census'!U219="","",'Enrollment Census'!U219)</f>
        <v/>
      </c>
    </row>
    <row r="220">
      <c r="A220" s="36">
        <f>IF('Enrollment Census'!A220="","",TRIM('Enrollment Census'!A220&amp;""))</f>
        <v/>
      </c>
      <c r="B220" s="36">
        <f>IF('Enrollment Census'!B220="","",TRIM('Enrollment Census'!B220&amp;""))</f>
        <v/>
      </c>
      <c r="C220" s="37">
        <f>IF('Enrollment Census'!C220="","",TRIM('Enrollment Census'!C220&amp;""))</f>
        <v/>
      </c>
      <c r="D220" s="37">
        <f>IF('Enrollment Census'!D220="","",TRIM('Enrollment Census'!D220&amp;""))</f>
        <v/>
      </c>
      <c r="E220" s="36">
        <f>IF('Enrollment Census'!E220="","",TRIM('Enrollment Census'!E220&amp;""))</f>
        <v/>
      </c>
      <c r="F220" s="37">
        <f>IF('Enrollment Census'!F220="","",TRIM('Enrollment Census'!F220&amp;""))</f>
        <v/>
      </c>
      <c r="G220" s="37">
        <f>IF('Enrollment Census'!G220="","",TRIM('Enrollment Census'!G220&amp;""))</f>
        <v/>
      </c>
      <c r="H220" s="37">
        <f>IF('Enrollment Census'!H220="","",TRIM('Enrollment Census'!H220&amp;""))</f>
        <v/>
      </c>
      <c r="I220" s="36">
        <f>IF('Enrollment Census'!I220="","",TRIM('Enrollment Census'!I220&amp;""))</f>
        <v/>
      </c>
      <c r="J220" s="36">
        <f>IF('Enrollment Census'!J220="","",TRIM('Enrollment Census'!J220&amp;""))</f>
        <v/>
      </c>
      <c r="K220" s="36">
        <f>IF('Enrollment Census'!K220="","",TRIM('Enrollment Census'!K220&amp;""))</f>
        <v/>
      </c>
      <c r="L220" s="38">
        <f>IF('Enrollment Census'!L220="","",'Enrollment Census'!L220)</f>
        <v/>
      </c>
      <c r="M220" s="36">
        <f>IF('Enrollment Census'!M220="","",TRIM('Enrollment Census'!M220&amp;""))</f>
        <v/>
      </c>
      <c r="N220" s="36">
        <f>IF('Enrollment Census'!N220="","",LOWER(TRIM('Enrollment Census'!N220&amp;"")))</f>
        <v/>
      </c>
      <c r="O220" s="36">
        <f>IF('Enrollment Census'!O220="","",TRIM('Enrollment Census'!O220&amp;""))</f>
        <v/>
      </c>
      <c r="P220" s="38">
        <f>IF('Enrollment Census'!P220="","",'Enrollment Census'!P220)</f>
        <v/>
      </c>
      <c r="Q220" s="38">
        <f>IF('Enrollment Census'!Q220="","",'Enrollment Census'!Q220)</f>
        <v/>
      </c>
      <c r="R220" s="36">
        <f>IF('Enrollment Census'!R220="","",TRIM('Enrollment Census'!R220&amp;""))</f>
        <v/>
      </c>
      <c r="S220" s="36">
        <f>IF('Enrollment Census'!S220="","",TRIM('Enrollment Census'!S220&amp;""))</f>
        <v/>
      </c>
      <c r="T220" s="36">
        <f>IF('Enrollment Census'!T220="","",TRIM('Enrollment Census'!T220&amp;""))</f>
        <v/>
      </c>
      <c r="U220" s="39">
        <f>IF('Enrollment Census'!U220="","",'Enrollment Census'!U220)</f>
        <v/>
      </c>
    </row>
    <row r="221">
      <c r="A221" s="36">
        <f>IF('Enrollment Census'!A221="","",TRIM('Enrollment Census'!A221&amp;""))</f>
        <v/>
      </c>
      <c r="B221" s="36">
        <f>IF('Enrollment Census'!B221="","",TRIM('Enrollment Census'!B221&amp;""))</f>
        <v/>
      </c>
      <c r="C221" s="37">
        <f>IF('Enrollment Census'!C221="","",TRIM('Enrollment Census'!C221&amp;""))</f>
        <v/>
      </c>
      <c r="D221" s="37">
        <f>IF('Enrollment Census'!D221="","",TRIM('Enrollment Census'!D221&amp;""))</f>
        <v/>
      </c>
      <c r="E221" s="36">
        <f>IF('Enrollment Census'!E221="","",TRIM('Enrollment Census'!E221&amp;""))</f>
        <v/>
      </c>
      <c r="F221" s="37">
        <f>IF('Enrollment Census'!F221="","",TRIM('Enrollment Census'!F221&amp;""))</f>
        <v/>
      </c>
      <c r="G221" s="37">
        <f>IF('Enrollment Census'!G221="","",TRIM('Enrollment Census'!G221&amp;""))</f>
        <v/>
      </c>
      <c r="H221" s="37">
        <f>IF('Enrollment Census'!H221="","",TRIM('Enrollment Census'!H221&amp;""))</f>
        <v/>
      </c>
      <c r="I221" s="36">
        <f>IF('Enrollment Census'!I221="","",TRIM('Enrollment Census'!I221&amp;""))</f>
        <v/>
      </c>
      <c r="J221" s="36">
        <f>IF('Enrollment Census'!J221="","",TRIM('Enrollment Census'!J221&amp;""))</f>
        <v/>
      </c>
      <c r="K221" s="36">
        <f>IF('Enrollment Census'!K221="","",TRIM('Enrollment Census'!K221&amp;""))</f>
        <v/>
      </c>
      <c r="L221" s="38">
        <f>IF('Enrollment Census'!L221="","",'Enrollment Census'!L221)</f>
        <v/>
      </c>
      <c r="M221" s="36">
        <f>IF('Enrollment Census'!M221="","",TRIM('Enrollment Census'!M221&amp;""))</f>
        <v/>
      </c>
      <c r="N221" s="36">
        <f>IF('Enrollment Census'!N221="","",LOWER(TRIM('Enrollment Census'!N221&amp;"")))</f>
        <v/>
      </c>
      <c r="O221" s="36">
        <f>IF('Enrollment Census'!O221="","",TRIM('Enrollment Census'!O221&amp;""))</f>
        <v/>
      </c>
      <c r="P221" s="38">
        <f>IF('Enrollment Census'!P221="","",'Enrollment Census'!P221)</f>
        <v/>
      </c>
      <c r="Q221" s="38">
        <f>IF('Enrollment Census'!Q221="","",'Enrollment Census'!Q221)</f>
        <v/>
      </c>
      <c r="R221" s="36">
        <f>IF('Enrollment Census'!R221="","",TRIM('Enrollment Census'!R221&amp;""))</f>
        <v/>
      </c>
      <c r="S221" s="36">
        <f>IF('Enrollment Census'!S221="","",TRIM('Enrollment Census'!S221&amp;""))</f>
        <v/>
      </c>
      <c r="T221" s="36">
        <f>IF('Enrollment Census'!T221="","",TRIM('Enrollment Census'!T221&amp;""))</f>
        <v/>
      </c>
      <c r="U221" s="39">
        <f>IF('Enrollment Census'!U221="","",'Enrollment Census'!U221)</f>
        <v/>
      </c>
    </row>
    <row r="222">
      <c r="A222" s="36">
        <f>IF('Enrollment Census'!A222="","",TRIM('Enrollment Census'!A222&amp;""))</f>
        <v/>
      </c>
      <c r="B222" s="36">
        <f>IF('Enrollment Census'!B222="","",TRIM('Enrollment Census'!B222&amp;""))</f>
        <v/>
      </c>
      <c r="C222" s="37">
        <f>IF('Enrollment Census'!C222="","",TRIM('Enrollment Census'!C222&amp;""))</f>
        <v/>
      </c>
      <c r="D222" s="37">
        <f>IF('Enrollment Census'!D222="","",TRIM('Enrollment Census'!D222&amp;""))</f>
        <v/>
      </c>
      <c r="E222" s="36">
        <f>IF('Enrollment Census'!E222="","",TRIM('Enrollment Census'!E222&amp;""))</f>
        <v/>
      </c>
      <c r="F222" s="37">
        <f>IF('Enrollment Census'!F222="","",TRIM('Enrollment Census'!F222&amp;""))</f>
        <v/>
      </c>
      <c r="G222" s="37">
        <f>IF('Enrollment Census'!G222="","",TRIM('Enrollment Census'!G222&amp;""))</f>
        <v/>
      </c>
      <c r="H222" s="37">
        <f>IF('Enrollment Census'!H222="","",TRIM('Enrollment Census'!H222&amp;""))</f>
        <v/>
      </c>
      <c r="I222" s="36">
        <f>IF('Enrollment Census'!I222="","",TRIM('Enrollment Census'!I222&amp;""))</f>
        <v/>
      </c>
      <c r="J222" s="36">
        <f>IF('Enrollment Census'!J222="","",TRIM('Enrollment Census'!J222&amp;""))</f>
        <v/>
      </c>
      <c r="K222" s="36">
        <f>IF('Enrollment Census'!K222="","",TRIM('Enrollment Census'!K222&amp;""))</f>
        <v/>
      </c>
      <c r="L222" s="38">
        <f>IF('Enrollment Census'!L222="","",'Enrollment Census'!L222)</f>
        <v/>
      </c>
      <c r="M222" s="36">
        <f>IF('Enrollment Census'!M222="","",TRIM('Enrollment Census'!M222&amp;""))</f>
        <v/>
      </c>
      <c r="N222" s="36">
        <f>IF('Enrollment Census'!N222="","",LOWER(TRIM('Enrollment Census'!N222&amp;"")))</f>
        <v/>
      </c>
      <c r="O222" s="36">
        <f>IF('Enrollment Census'!O222="","",TRIM('Enrollment Census'!O222&amp;""))</f>
        <v/>
      </c>
      <c r="P222" s="38">
        <f>IF('Enrollment Census'!P222="","",'Enrollment Census'!P222)</f>
        <v/>
      </c>
      <c r="Q222" s="38">
        <f>IF('Enrollment Census'!Q222="","",'Enrollment Census'!Q222)</f>
        <v/>
      </c>
      <c r="R222" s="36">
        <f>IF('Enrollment Census'!R222="","",TRIM('Enrollment Census'!R222&amp;""))</f>
        <v/>
      </c>
      <c r="S222" s="36">
        <f>IF('Enrollment Census'!S222="","",TRIM('Enrollment Census'!S222&amp;""))</f>
        <v/>
      </c>
      <c r="T222" s="36">
        <f>IF('Enrollment Census'!T222="","",TRIM('Enrollment Census'!T222&amp;""))</f>
        <v/>
      </c>
      <c r="U222" s="39">
        <f>IF('Enrollment Census'!U222="","",'Enrollment Census'!U222)</f>
        <v/>
      </c>
    </row>
    <row r="223">
      <c r="A223" s="36">
        <f>IF('Enrollment Census'!A223="","",TRIM('Enrollment Census'!A223&amp;""))</f>
        <v/>
      </c>
      <c r="B223" s="36">
        <f>IF('Enrollment Census'!B223="","",TRIM('Enrollment Census'!B223&amp;""))</f>
        <v/>
      </c>
      <c r="C223" s="37">
        <f>IF('Enrollment Census'!C223="","",TRIM('Enrollment Census'!C223&amp;""))</f>
        <v/>
      </c>
      <c r="D223" s="37">
        <f>IF('Enrollment Census'!D223="","",TRIM('Enrollment Census'!D223&amp;""))</f>
        <v/>
      </c>
      <c r="E223" s="36">
        <f>IF('Enrollment Census'!E223="","",TRIM('Enrollment Census'!E223&amp;""))</f>
        <v/>
      </c>
      <c r="F223" s="37">
        <f>IF('Enrollment Census'!F223="","",TRIM('Enrollment Census'!F223&amp;""))</f>
        <v/>
      </c>
      <c r="G223" s="37">
        <f>IF('Enrollment Census'!G223="","",TRIM('Enrollment Census'!G223&amp;""))</f>
        <v/>
      </c>
      <c r="H223" s="37">
        <f>IF('Enrollment Census'!H223="","",TRIM('Enrollment Census'!H223&amp;""))</f>
        <v/>
      </c>
      <c r="I223" s="36">
        <f>IF('Enrollment Census'!I223="","",TRIM('Enrollment Census'!I223&amp;""))</f>
        <v/>
      </c>
      <c r="J223" s="36">
        <f>IF('Enrollment Census'!J223="","",TRIM('Enrollment Census'!J223&amp;""))</f>
        <v/>
      </c>
      <c r="K223" s="36">
        <f>IF('Enrollment Census'!K223="","",TRIM('Enrollment Census'!K223&amp;""))</f>
        <v/>
      </c>
      <c r="L223" s="38">
        <f>IF('Enrollment Census'!L223="","",'Enrollment Census'!L223)</f>
        <v/>
      </c>
      <c r="M223" s="36">
        <f>IF('Enrollment Census'!M223="","",TRIM('Enrollment Census'!M223&amp;""))</f>
        <v/>
      </c>
      <c r="N223" s="36">
        <f>IF('Enrollment Census'!N223="","",LOWER(TRIM('Enrollment Census'!N223&amp;"")))</f>
        <v/>
      </c>
      <c r="O223" s="36">
        <f>IF('Enrollment Census'!O223="","",TRIM('Enrollment Census'!O223&amp;""))</f>
        <v/>
      </c>
      <c r="P223" s="38">
        <f>IF('Enrollment Census'!P223="","",'Enrollment Census'!P223)</f>
        <v/>
      </c>
      <c r="Q223" s="38">
        <f>IF('Enrollment Census'!Q223="","",'Enrollment Census'!Q223)</f>
        <v/>
      </c>
      <c r="R223" s="36">
        <f>IF('Enrollment Census'!R223="","",TRIM('Enrollment Census'!R223&amp;""))</f>
        <v/>
      </c>
      <c r="S223" s="36">
        <f>IF('Enrollment Census'!S223="","",TRIM('Enrollment Census'!S223&amp;""))</f>
        <v/>
      </c>
      <c r="T223" s="36">
        <f>IF('Enrollment Census'!T223="","",TRIM('Enrollment Census'!T223&amp;""))</f>
        <v/>
      </c>
      <c r="U223" s="39">
        <f>IF('Enrollment Census'!U223="","",'Enrollment Census'!U223)</f>
        <v/>
      </c>
    </row>
    <row r="224">
      <c r="A224" s="36">
        <f>IF('Enrollment Census'!A224="","",TRIM('Enrollment Census'!A224&amp;""))</f>
        <v/>
      </c>
      <c r="B224" s="36">
        <f>IF('Enrollment Census'!B224="","",TRIM('Enrollment Census'!B224&amp;""))</f>
        <v/>
      </c>
      <c r="C224" s="37">
        <f>IF('Enrollment Census'!C224="","",TRIM('Enrollment Census'!C224&amp;""))</f>
        <v/>
      </c>
      <c r="D224" s="37">
        <f>IF('Enrollment Census'!D224="","",TRIM('Enrollment Census'!D224&amp;""))</f>
        <v/>
      </c>
      <c r="E224" s="36">
        <f>IF('Enrollment Census'!E224="","",TRIM('Enrollment Census'!E224&amp;""))</f>
        <v/>
      </c>
      <c r="F224" s="37">
        <f>IF('Enrollment Census'!F224="","",TRIM('Enrollment Census'!F224&amp;""))</f>
        <v/>
      </c>
      <c r="G224" s="37">
        <f>IF('Enrollment Census'!G224="","",TRIM('Enrollment Census'!G224&amp;""))</f>
        <v/>
      </c>
      <c r="H224" s="37">
        <f>IF('Enrollment Census'!H224="","",TRIM('Enrollment Census'!H224&amp;""))</f>
        <v/>
      </c>
      <c r="I224" s="36">
        <f>IF('Enrollment Census'!I224="","",TRIM('Enrollment Census'!I224&amp;""))</f>
        <v/>
      </c>
      <c r="J224" s="36">
        <f>IF('Enrollment Census'!J224="","",TRIM('Enrollment Census'!J224&amp;""))</f>
        <v/>
      </c>
      <c r="K224" s="36">
        <f>IF('Enrollment Census'!K224="","",TRIM('Enrollment Census'!K224&amp;""))</f>
        <v/>
      </c>
      <c r="L224" s="38">
        <f>IF('Enrollment Census'!L224="","",'Enrollment Census'!L224)</f>
        <v/>
      </c>
      <c r="M224" s="36">
        <f>IF('Enrollment Census'!M224="","",TRIM('Enrollment Census'!M224&amp;""))</f>
        <v/>
      </c>
      <c r="N224" s="36">
        <f>IF('Enrollment Census'!N224="","",LOWER(TRIM('Enrollment Census'!N224&amp;"")))</f>
        <v/>
      </c>
      <c r="O224" s="36">
        <f>IF('Enrollment Census'!O224="","",TRIM('Enrollment Census'!O224&amp;""))</f>
        <v/>
      </c>
      <c r="P224" s="38">
        <f>IF('Enrollment Census'!P224="","",'Enrollment Census'!P224)</f>
        <v/>
      </c>
      <c r="Q224" s="38">
        <f>IF('Enrollment Census'!Q224="","",'Enrollment Census'!Q224)</f>
        <v/>
      </c>
      <c r="R224" s="36">
        <f>IF('Enrollment Census'!R224="","",TRIM('Enrollment Census'!R224&amp;""))</f>
        <v/>
      </c>
      <c r="S224" s="36">
        <f>IF('Enrollment Census'!S224="","",TRIM('Enrollment Census'!S224&amp;""))</f>
        <v/>
      </c>
      <c r="T224" s="36">
        <f>IF('Enrollment Census'!T224="","",TRIM('Enrollment Census'!T224&amp;""))</f>
        <v/>
      </c>
      <c r="U224" s="39">
        <f>IF('Enrollment Census'!U224="","",'Enrollment Census'!U224)</f>
        <v/>
      </c>
    </row>
    <row r="225">
      <c r="A225" s="36">
        <f>IF('Enrollment Census'!A225="","",TRIM('Enrollment Census'!A225&amp;""))</f>
        <v/>
      </c>
      <c r="B225" s="36">
        <f>IF('Enrollment Census'!B225="","",TRIM('Enrollment Census'!B225&amp;""))</f>
        <v/>
      </c>
      <c r="C225" s="37">
        <f>IF('Enrollment Census'!C225="","",TRIM('Enrollment Census'!C225&amp;""))</f>
        <v/>
      </c>
      <c r="D225" s="37">
        <f>IF('Enrollment Census'!D225="","",TRIM('Enrollment Census'!D225&amp;""))</f>
        <v/>
      </c>
      <c r="E225" s="36">
        <f>IF('Enrollment Census'!E225="","",TRIM('Enrollment Census'!E225&amp;""))</f>
        <v/>
      </c>
      <c r="F225" s="37">
        <f>IF('Enrollment Census'!F225="","",TRIM('Enrollment Census'!F225&amp;""))</f>
        <v/>
      </c>
      <c r="G225" s="37">
        <f>IF('Enrollment Census'!G225="","",TRIM('Enrollment Census'!G225&amp;""))</f>
        <v/>
      </c>
      <c r="H225" s="37">
        <f>IF('Enrollment Census'!H225="","",TRIM('Enrollment Census'!H225&amp;""))</f>
        <v/>
      </c>
      <c r="I225" s="36">
        <f>IF('Enrollment Census'!I225="","",TRIM('Enrollment Census'!I225&amp;""))</f>
        <v/>
      </c>
      <c r="J225" s="36">
        <f>IF('Enrollment Census'!J225="","",TRIM('Enrollment Census'!J225&amp;""))</f>
        <v/>
      </c>
      <c r="K225" s="36">
        <f>IF('Enrollment Census'!K225="","",TRIM('Enrollment Census'!K225&amp;""))</f>
        <v/>
      </c>
      <c r="L225" s="38">
        <f>IF('Enrollment Census'!L225="","",'Enrollment Census'!L225)</f>
        <v/>
      </c>
      <c r="M225" s="36">
        <f>IF('Enrollment Census'!M225="","",TRIM('Enrollment Census'!M225&amp;""))</f>
        <v/>
      </c>
      <c r="N225" s="36">
        <f>IF('Enrollment Census'!N225="","",LOWER(TRIM('Enrollment Census'!N225&amp;"")))</f>
        <v/>
      </c>
      <c r="O225" s="36">
        <f>IF('Enrollment Census'!O225="","",TRIM('Enrollment Census'!O225&amp;""))</f>
        <v/>
      </c>
      <c r="P225" s="38">
        <f>IF('Enrollment Census'!P225="","",'Enrollment Census'!P225)</f>
        <v/>
      </c>
      <c r="Q225" s="38">
        <f>IF('Enrollment Census'!Q225="","",'Enrollment Census'!Q225)</f>
        <v/>
      </c>
      <c r="R225" s="36">
        <f>IF('Enrollment Census'!R225="","",TRIM('Enrollment Census'!R225&amp;""))</f>
        <v/>
      </c>
      <c r="S225" s="36">
        <f>IF('Enrollment Census'!S225="","",TRIM('Enrollment Census'!S225&amp;""))</f>
        <v/>
      </c>
      <c r="T225" s="36">
        <f>IF('Enrollment Census'!T225="","",TRIM('Enrollment Census'!T225&amp;""))</f>
        <v/>
      </c>
      <c r="U225" s="39">
        <f>IF('Enrollment Census'!U225="","",'Enrollment Census'!U225)</f>
        <v/>
      </c>
    </row>
    <row r="226">
      <c r="A226" s="36">
        <f>IF('Enrollment Census'!A226="","",TRIM('Enrollment Census'!A226&amp;""))</f>
        <v/>
      </c>
      <c r="B226" s="36">
        <f>IF('Enrollment Census'!B226="","",TRIM('Enrollment Census'!B226&amp;""))</f>
        <v/>
      </c>
      <c r="C226" s="37">
        <f>IF('Enrollment Census'!C226="","",TRIM('Enrollment Census'!C226&amp;""))</f>
        <v/>
      </c>
      <c r="D226" s="37">
        <f>IF('Enrollment Census'!D226="","",TRIM('Enrollment Census'!D226&amp;""))</f>
        <v/>
      </c>
      <c r="E226" s="36">
        <f>IF('Enrollment Census'!E226="","",TRIM('Enrollment Census'!E226&amp;""))</f>
        <v/>
      </c>
      <c r="F226" s="37">
        <f>IF('Enrollment Census'!F226="","",TRIM('Enrollment Census'!F226&amp;""))</f>
        <v/>
      </c>
      <c r="G226" s="37">
        <f>IF('Enrollment Census'!G226="","",TRIM('Enrollment Census'!G226&amp;""))</f>
        <v/>
      </c>
      <c r="H226" s="37">
        <f>IF('Enrollment Census'!H226="","",TRIM('Enrollment Census'!H226&amp;""))</f>
        <v/>
      </c>
      <c r="I226" s="36">
        <f>IF('Enrollment Census'!I226="","",TRIM('Enrollment Census'!I226&amp;""))</f>
        <v/>
      </c>
      <c r="J226" s="36">
        <f>IF('Enrollment Census'!J226="","",TRIM('Enrollment Census'!J226&amp;""))</f>
        <v/>
      </c>
      <c r="K226" s="36">
        <f>IF('Enrollment Census'!K226="","",TRIM('Enrollment Census'!K226&amp;""))</f>
        <v/>
      </c>
      <c r="L226" s="38">
        <f>IF('Enrollment Census'!L226="","",'Enrollment Census'!L226)</f>
        <v/>
      </c>
      <c r="M226" s="36">
        <f>IF('Enrollment Census'!M226="","",TRIM('Enrollment Census'!M226&amp;""))</f>
        <v/>
      </c>
      <c r="N226" s="36">
        <f>IF('Enrollment Census'!N226="","",LOWER(TRIM('Enrollment Census'!N226&amp;"")))</f>
        <v/>
      </c>
      <c r="O226" s="36">
        <f>IF('Enrollment Census'!O226="","",TRIM('Enrollment Census'!O226&amp;""))</f>
        <v/>
      </c>
      <c r="P226" s="38">
        <f>IF('Enrollment Census'!P226="","",'Enrollment Census'!P226)</f>
        <v/>
      </c>
      <c r="Q226" s="38">
        <f>IF('Enrollment Census'!Q226="","",'Enrollment Census'!Q226)</f>
        <v/>
      </c>
      <c r="R226" s="36">
        <f>IF('Enrollment Census'!R226="","",TRIM('Enrollment Census'!R226&amp;""))</f>
        <v/>
      </c>
      <c r="S226" s="36">
        <f>IF('Enrollment Census'!S226="","",TRIM('Enrollment Census'!S226&amp;""))</f>
        <v/>
      </c>
      <c r="T226" s="36">
        <f>IF('Enrollment Census'!T226="","",TRIM('Enrollment Census'!T226&amp;""))</f>
        <v/>
      </c>
      <c r="U226" s="39">
        <f>IF('Enrollment Census'!U226="","",'Enrollment Census'!U226)</f>
        <v/>
      </c>
    </row>
    <row r="227">
      <c r="A227" s="36">
        <f>IF('Enrollment Census'!A227="","",TRIM('Enrollment Census'!A227&amp;""))</f>
        <v/>
      </c>
      <c r="B227" s="36">
        <f>IF('Enrollment Census'!B227="","",TRIM('Enrollment Census'!B227&amp;""))</f>
        <v/>
      </c>
      <c r="C227" s="37">
        <f>IF('Enrollment Census'!C227="","",TRIM('Enrollment Census'!C227&amp;""))</f>
        <v/>
      </c>
      <c r="D227" s="37">
        <f>IF('Enrollment Census'!D227="","",TRIM('Enrollment Census'!D227&amp;""))</f>
        <v/>
      </c>
      <c r="E227" s="36">
        <f>IF('Enrollment Census'!E227="","",TRIM('Enrollment Census'!E227&amp;""))</f>
        <v/>
      </c>
      <c r="F227" s="37">
        <f>IF('Enrollment Census'!F227="","",TRIM('Enrollment Census'!F227&amp;""))</f>
        <v/>
      </c>
      <c r="G227" s="37">
        <f>IF('Enrollment Census'!G227="","",TRIM('Enrollment Census'!G227&amp;""))</f>
        <v/>
      </c>
      <c r="H227" s="37">
        <f>IF('Enrollment Census'!H227="","",TRIM('Enrollment Census'!H227&amp;""))</f>
        <v/>
      </c>
      <c r="I227" s="36">
        <f>IF('Enrollment Census'!I227="","",TRIM('Enrollment Census'!I227&amp;""))</f>
        <v/>
      </c>
      <c r="J227" s="36">
        <f>IF('Enrollment Census'!J227="","",TRIM('Enrollment Census'!J227&amp;""))</f>
        <v/>
      </c>
      <c r="K227" s="36">
        <f>IF('Enrollment Census'!K227="","",TRIM('Enrollment Census'!K227&amp;""))</f>
        <v/>
      </c>
      <c r="L227" s="38">
        <f>IF('Enrollment Census'!L227="","",'Enrollment Census'!L227)</f>
        <v/>
      </c>
      <c r="M227" s="36">
        <f>IF('Enrollment Census'!M227="","",TRIM('Enrollment Census'!M227&amp;""))</f>
        <v/>
      </c>
      <c r="N227" s="36">
        <f>IF('Enrollment Census'!N227="","",LOWER(TRIM('Enrollment Census'!N227&amp;"")))</f>
        <v/>
      </c>
      <c r="O227" s="36">
        <f>IF('Enrollment Census'!O227="","",TRIM('Enrollment Census'!O227&amp;""))</f>
        <v/>
      </c>
      <c r="P227" s="38">
        <f>IF('Enrollment Census'!P227="","",'Enrollment Census'!P227)</f>
        <v/>
      </c>
      <c r="Q227" s="38">
        <f>IF('Enrollment Census'!Q227="","",'Enrollment Census'!Q227)</f>
        <v/>
      </c>
      <c r="R227" s="36">
        <f>IF('Enrollment Census'!R227="","",TRIM('Enrollment Census'!R227&amp;""))</f>
        <v/>
      </c>
      <c r="S227" s="36">
        <f>IF('Enrollment Census'!S227="","",TRIM('Enrollment Census'!S227&amp;""))</f>
        <v/>
      </c>
      <c r="T227" s="36">
        <f>IF('Enrollment Census'!T227="","",TRIM('Enrollment Census'!T227&amp;""))</f>
        <v/>
      </c>
      <c r="U227" s="39">
        <f>IF('Enrollment Census'!U227="","",'Enrollment Census'!U227)</f>
        <v/>
      </c>
    </row>
    <row r="228">
      <c r="A228" s="36">
        <f>IF('Enrollment Census'!A228="","",TRIM('Enrollment Census'!A228&amp;""))</f>
        <v/>
      </c>
      <c r="B228" s="36">
        <f>IF('Enrollment Census'!B228="","",TRIM('Enrollment Census'!B228&amp;""))</f>
        <v/>
      </c>
      <c r="C228" s="37">
        <f>IF('Enrollment Census'!C228="","",TRIM('Enrollment Census'!C228&amp;""))</f>
        <v/>
      </c>
      <c r="D228" s="37">
        <f>IF('Enrollment Census'!D228="","",TRIM('Enrollment Census'!D228&amp;""))</f>
        <v/>
      </c>
      <c r="E228" s="36">
        <f>IF('Enrollment Census'!E228="","",TRIM('Enrollment Census'!E228&amp;""))</f>
        <v/>
      </c>
      <c r="F228" s="37">
        <f>IF('Enrollment Census'!F228="","",TRIM('Enrollment Census'!F228&amp;""))</f>
        <v/>
      </c>
      <c r="G228" s="37">
        <f>IF('Enrollment Census'!G228="","",TRIM('Enrollment Census'!G228&amp;""))</f>
        <v/>
      </c>
      <c r="H228" s="37">
        <f>IF('Enrollment Census'!H228="","",TRIM('Enrollment Census'!H228&amp;""))</f>
        <v/>
      </c>
      <c r="I228" s="36">
        <f>IF('Enrollment Census'!I228="","",TRIM('Enrollment Census'!I228&amp;""))</f>
        <v/>
      </c>
      <c r="J228" s="36">
        <f>IF('Enrollment Census'!J228="","",TRIM('Enrollment Census'!J228&amp;""))</f>
        <v/>
      </c>
      <c r="K228" s="36">
        <f>IF('Enrollment Census'!K228="","",TRIM('Enrollment Census'!K228&amp;""))</f>
        <v/>
      </c>
      <c r="L228" s="38">
        <f>IF('Enrollment Census'!L228="","",'Enrollment Census'!L228)</f>
        <v/>
      </c>
      <c r="M228" s="36">
        <f>IF('Enrollment Census'!M228="","",TRIM('Enrollment Census'!M228&amp;""))</f>
        <v/>
      </c>
      <c r="N228" s="36">
        <f>IF('Enrollment Census'!N228="","",LOWER(TRIM('Enrollment Census'!N228&amp;"")))</f>
        <v/>
      </c>
      <c r="O228" s="36">
        <f>IF('Enrollment Census'!O228="","",TRIM('Enrollment Census'!O228&amp;""))</f>
        <v/>
      </c>
      <c r="P228" s="38">
        <f>IF('Enrollment Census'!P228="","",'Enrollment Census'!P228)</f>
        <v/>
      </c>
      <c r="Q228" s="38">
        <f>IF('Enrollment Census'!Q228="","",'Enrollment Census'!Q228)</f>
        <v/>
      </c>
      <c r="R228" s="36">
        <f>IF('Enrollment Census'!R228="","",TRIM('Enrollment Census'!R228&amp;""))</f>
        <v/>
      </c>
      <c r="S228" s="36">
        <f>IF('Enrollment Census'!S228="","",TRIM('Enrollment Census'!S228&amp;""))</f>
        <v/>
      </c>
      <c r="T228" s="36">
        <f>IF('Enrollment Census'!T228="","",TRIM('Enrollment Census'!T228&amp;""))</f>
        <v/>
      </c>
      <c r="U228" s="39">
        <f>IF('Enrollment Census'!U228="","",'Enrollment Census'!U228)</f>
        <v/>
      </c>
    </row>
    <row r="229">
      <c r="A229" s="36">
        <f>IF('Enrollment Census'!A229="","",TRIM('Enrollment Census'!A229&amp;""))</f>
        <v/>
      </c>
      <c r="B229" s="36">
        <f>IF('Enrollment Census'!B229="","",TRIM('Enrollment Census'!B229&amp;""))</f>
        <v/>
      </c>
      <c r="C229" s="37">
        <f>IF('Enrollment Census'!C229="","",TRIM('Enrollment Census'!C229&amp;""))</f>
        <v/>
      </c>
      <c r="D229" s="37">
        <f>IF('Enrollment Census'!D229="","",TRIM('Enrollment Census'!D229&amp;""))</f>
        <v/>
      </c>
      <c r="E229" s="36">
        <f>IF('Enrollment Census'!E229="","",TRIM('Enrollment Census'!E229&amp;""))</f>
        <v/>
      </c>
      <c r="F229" s="37">
        <f>IF('Enrollment Census'!F229="","",TRIM('Enrollment Census'!F229&amp;""))</f>
        <v/>
      </c>
      <c r="G229" s="37">
        <f>IF('Enrollment Census'!G229="","",TRIM('Enrollment Census'!G229&amp;""))</f>
        <v/>
      </c>
      <c r="H229" s="37">
        <f>IF('Enrollment Census'!H229="","",TRIM('Enrollment Census'!H229&amp;""))</f>
        <v/>
      </c>
      <c r="I229" s="36">
        <f>IF('Enrollment Census'!I229="","",TRIM('Enrollment Census'!I229&amp;""))</f>
        <v/>
      </c>
      <c r="J229" s="36">
        <f>IF('Enrollment Census'!J229="","",TRIM('Enrollment Census'!J229&amp;""))</f>
        <v/>
      </c>
      <c r="K229" s="36">
        <f>IF('Enrollment Census'!K229="","",TRIM('Enrollment Census'!K229&amp;""))</f>
        <v/>
      </c>
      <c r="L229" s="38">
        <f>IF('Enrollment Census'!L229="","",'Enrollment Census'!L229)</f>
        <v/>
      </c>
      <c r="M229" s="36">
        <f>IF('Enrollment Census'!M229="","",TRIM('Enrollment Census'!M229&amp;""))</f>
        <v/>
      </c>
      <c r="N229" s="36">
        <f>IF('Enrollment Census'!N229="","",LOWER(TRIM('Enrollment Census'!N229&amp;"")))</f>
        <v/>
      </c>
      <c r="O229" s="36">
        <f>IF('Enrollment Census'!O229="","",TRIM('Enrollment Census'!O229&amp;""))</f>
        <v/>
      </c>
      <c r="P229" s="38">
        <f>IF('Enrollment Census'!P229="","",'Enrollment Census'!P229)</f>
        <v/>
      </c>
      <c r="Q229" s="38">
        <f>IF('Enrollment Census'!Q229="","",'Enrollment Census'!Q229)</f>
        <v/>
      </c>
      <c r="R229" s="36">
        <f>IF('Enrollment Census'!R229="","",TRIM('Enrollment Census'!R229&amp;""))</f>
        <v/>
      </c>
      <c r="S229" s="36">
        <f>IF('Enrollment Census'!S229="","",TRIM('Enrollment Census'!S229&amp;""))</f>
        <v/>
      </c>
      <c r="T229" s="36">
        <f>IF('Enrollment Census'!T229="","",TRIM('Enrollment Census'!T229&amp;""))</f>
        <v/>
      </c>
      <c r="U229" s="39">
        <f>IF('Enrollment Census'!U229="","",'Enrollment Census'!U229)</f>
        <v/>
      </c>
    </row>
    <row r="230">
      <c r="A230" s="36">
        <f>IF('Enrollment Census'!A230="","",TRIM('Enrollment Census'!A230&amp;""))</f>
        <v/>
      </c>
      <c r="B230" s="36">
        <f>IF('Enrollment Census'!B230="","",TRIM('Enrollment Census'!B230&amp;""))</f>
        <v/>
      </c>
      <c r="C230" s="37">
        <f>IF('Enrollment Census'!C230="","",TRIM('Enrollment Census'!C230&amp;""))</f>
        <v/>
      </c>
      <c r="D230" s="37">
        <f>IF('Enrollment Census'!D230="","",TRIM('Enrollment Census'!D230&amp;""))</f>
        <v/>
      </c>
      <c r="E230" s="36">
        <f>IF('Enrollment Census'!E230="","",TRIM('Enrollment Census'!E230&amp;""))</f>
        <v/>
      </c>
      <c r="F230" s="37">
        <f>IF('Enrollment Census'!F230="","",TRIM('Enrollment Census'!F230&amp;""))</f>
        <v/>
      </c>
      <c r="G230" s="37">
        <f>IF('Enrollment Census'!G230="","",TRIM('Enrollment Census'!G230&amp;""))</f>
        <v/>
      </c>
      <c r="H230" s="37">
        <f>IF('Enrollment Census'!H230="","",TRIM('Enrollment Census'!H230&amp;""))</f>
        <v/>
      </c>
      <c r="I230" s="36">
        <f>IF('Enrollment Census'!I230="","",TRIM('Enrollment Census'!I230&amp;""))</f>
        <v/>
      </c>
      <c r="J230" s="36">
        <f>IF('Enrollment Census'!J230="","",TRIM('Enrollment Census'!J230&amp;""))</f>
        <v/>
      </c>
      <c r="K230" s="36">
        <f>IF('Enrollment Census'!K230="","",TRIM('Enrollment Census'!K230&amp;""))</f>
        <v/>
      </c>
      <c r="L230" s="38">
        <f>IF('Enrollment Census'!L230="","",'Enrollment Census'!L230)</f>
        <v/>
      </c>
      <c r="M230" s="36">
        <f>IF('Enrollment Census'!M230="","",TRIM('Enrollment Census'!M230&amp;""))</f>
        <v/>
      </c>
      <c r="N230" s="36">
        <f>IF('Enrollment Census'!N230="","",LOWER(TRIM('Enrollment Census'!N230&amp;"")))</f>
        <v/>
      </c>
      <c r="O230" s="36">
        <f>IF('Enrollment Census'!O230="","",TRIM('Enrollment Census'!O230&amp;""))</f>
        <v/>
      </c>
      <c r="P230" s="38">
        <f>IF('Enrollment Census'!P230="","",'Enrollment Census'!P230)</f>
        <v/>
      </c>
      <c r="Q230" s="38">
        <f>IF('Enrollment Census'!Q230="","",'Enrollment Census'!Q230)</f>
        <v/>
      </c>
      <c r="R230" s="36">
        <f>IF('Enrollment Census'!R230="","",TRIM('Enrollment Census'!R230&amp;""))</f>
        <v/>
      </c>
      <c r="S230" s="36">
        <f>IF('Enrollment Census'!S230="","",TRIM('Enrollment Census'!S230&amp;""))</f>
        <v/>
      </c>
      <c r="T230" s="36">
        <f>IF('Enrollment Census'!T230="","",TRIM('Enrollment Census'!T230&amp;""))</f>
        <v/>
      </c>
      <c r="U230" s="39">
        <f>IF('Enrollment Census'!U230="","",'Enrollment Census'!U230)</f>
        <v/>
      </c>
    </row>
    <row r="231">
      <c r="A231" s="36">
        <f>IF('Enrollment Census'!A231="","",TRIM('Enrollment Census'!A231&amp;""))</f>
        <v/>
      </c>
      <c r="B231" s="36">
        <f>IF('Enrollment Census'!B231="","",TRIM('Enrollment Census'!B231&amp;""))</f>
        <v/>
      </c>
      <c r="C231" s="37">
        <f>IF('Enrollment Census'!C231="","",TRIM('Enrollment Census'!C231&amp;""))</f>
        <v/>
      </c>
      <c r="D231" s="37">
        <f>IF('Enrollment Census'!D231="","",TRIM('Enrollment Census'!D231&amp;""))</f>
        <v/>
      </c>
      <c r="E231" s="36">
        <f>IF('Enrollment Census'!E231="","",TRIM('Enrollment Census'!E231&amp;""))</f>
        <v/>
      </c>
      <c r="F231" s="37">
        <f>IF('Enrollment Census'!F231="","",TRIM('Enrollment Census'!F231&amp;""))</f>
        <v/>
      </c>
      <c r="G231" s="37">
        <f>IF('Enrollment Census'!G231="","",TRIM('Enrollment Census'!G231&amp;""))</f>
        <v/>
      </c>
      <c r="H231" s="37">
        <f>IF('Enrollment Census'!H231="","",TRIM('Enrollment Census'!H231&amp;""))</f>
        <v/>
      </c>
      <c r="I231" s="36">
        <f>IF('Enrollment Census'!I231="","",TRIM('Enrollment Census'!I231&amp;""))</f>
        <v/>
      </c>
      <c r="J231" s="36">
        <f>IF('Enrollment Census'!J231="","",TRIM('Enrollment Census'!J231&amp;""))</f>
        <v/>
      </c>
      <c r="K231" s="36">
        <f>IF('Enrollment Census'!K231="","",TRIM('Enrollment Census'!K231&amp;""))</f>
        <v/>
      </c>
      <c r="L231" s="38">
        <f>IF('Enrollment Census'!L231="","",'Enrollment Census'!L231)</f>
        <v/>
      </c>
      <c r="M231" s="36">
        <f>IF('Enrollment Census'!M231="","",TRIM('Enrollment Census'!M231&amp;""))</f>
        <v/>
      </c>
      <c r="N231" s="36">
        <f>IF('Enrollment Census'!N231="","",LOWER(TRIM('Enrollment Census'!N231&amp;"")))</f>
        <v/>
      </c>
      <c r="O231" s="36">
        <f>IF('Enrollment Census'!O231="","",TRIM('Enrollment Census'!O231&amp;""))</f>
        <v/>
      </c>
      <c r="P231" s="38">
        <f>IF('Enrollment Census'!P231="","",'Enrollment Census'!P231)</f>
        <v/>
      </c>
      <c r="Q231" s="38">
        <f>IF('Enrollment Census'!Q231="","",'Enrollment Census'!Q231)</f>
        <v/>
      </c>
      <c r="R231" s="36">
        <f>IF('Enrollment Census'!R231="","",TRIM('Enrollment Census'!R231&amp;""))</f>
        <v/>
      </c>
      <c r="S231" s="36">
        <f>IF('Enrollment Census'!S231="","",TRIM('Enrollment Census'!S231&amp;""))</f>
        <v/>
      </c>
      <c r="T231" s="36">
        <f>IF('Enrollment Census'!T231="","",TRIM('Enrollment Census'!T231&amp;""))</f>
        <v/>
      </c>
      <c r="U231" s="39">
        <f>IF('Enrollment Census'!U231="","",'Enrollment Census'!U231)</f>
        <v/>
      </c>
    </row>
    <row r="232">
      <c r="A232" s="36">
        <f>IF('Enrollment Census'!A232="","",TRIM('Enrollment Census'!A232&amp;""))</f>
        <v/>
      </c>
      <c r="B232" s="36">
        <f>IF('Enrollment Census'!B232="","",TRIM('Enrollment Census'!B232&amp;""))</f>
        <v/>
      </c>
      <c r="C232" s="37">
        <f>IF('Enrollment Census'!C232="","",TRIM('Enrollment Census'!C232&amp;""))</f>
        <v/>
      </c>
      <c r="D232" s="37">
        <f>IF('Enrollment Census'!D232="","",TRIM('Enrollment Census'!D232&amp;""))</f>
        <v/>
      </c>
      <c r="E232" s="36">
        <f>IF('Enrollment Census'!E232="","",TRIM('Enrollment Census'!E232&amp;""))</f>
        <v/>
      </c>
      <c r="F232" s="37">
        <f>IF('Enrollment Census'!F232="","",TRIM('Enrollment Census'!F232&amp;""))</f>
        <v/>
      </c>
      <c r="G232" s="37">
        <f>IF('Enrollment Census'!G232="","",TRIM('Enrollment Census'!G232&amp;""))</f>
        <v/>
      </c>
      <c r="H232" s="37">
        <f>IF('Enrollment Census'!H232="","",TRIM('Enrollment Census'!H232&amp;""))</f>
        <v/>
      </c>
      <c r="I232" s="36">
        <f>IF('Enrollment Census'!I232="","",TRIM('Enrollment Census'!I232&amp;""))</f>
        <v/>
      </c>
      <c r="J232" s="36">
        <f>IF('Enrollment Census'!J232="","",TRIM('Enrollment Census'!J232&amp;""))</f>
        <v/>
      </c>
      <c r="K232" s="36">
        <f>IF('Enrollment Census'!K232="","",TRIM('Enrollment Census'!K232&amp;""))</f>
        <v/>
      </c>
      <c r="L232" s="38">
        <f>IF('Enrollment Census'!L232="","",'Enrollment Census'!L232)</f>
        <v/>
      </c>
      <c r="M232" s="36">
        <f>IF('Enrollment Census'!M232="","",TRIM('Enrollment Census'!M232&amp;""))</f>
        <v/>
      </c>
      <c r="N232" s="36">
        <f>IF('Enrollment Census'!N232="","",LOWER(TRIM('Enrollment Census'!N232&amp;"")))</f>
        <v/>
      </c>
      <c r="O232" s="36">
        <f>IF('Enrollment Census'!O232="","",TRIM('Enrollment Census'!O232&amp;""))</f>
        <v/>
      </c>
      <c r="P232" s="38">
        <f>IF('Enrollment Census'!P232="","",'Enrollment Census'!P232)</f>
        <v/>
      </c>
      <c r="Q232" s="38">
        <f>IF('Enrollment Census'!Q232="","",'Enrollment Census'!Q232)</f>
        <v/>
      </c>
      <c r="R232" s="36">
        <f>IF('Enrollment Census'!R232="","",TRIM('Enrollment Census'!R232&amp;""))</f>
        <v/>
      </c>
      <c r="S232" s="36">
        <f>IF('Enrollment Census'!S232="","",TRIM('Enrollment Census'!S232&amp;""))</f>
        <v/>
      </c>
      <c r="T232" s="36">
        <f>IF('Enrollment Census'!T232="","",TRIM('Enrollment Census'!T232&amp;""))</f>
        <v/>
      </c>
      <c r="U232" s="39">
        <f>IF('Enrollment Census'!U232="","",'Enrollment Census'!U232)</f>
        <v/>
      </c>
    </row>
    <row r="233">
      <c r="A233" s="36">
        <f>IF('Enrollment Census'!A233="","",TRIM('Enrollment Census'!A233&amp;""))</f>
        <v/>
      </c>
      <c r="B233" s="36">
        <f>IF('Enrollment Census'!B233="","",TRIM('Enrollment Census'!B233&amp;""))</f>
        <v/>
      </c>
      <c r="C233" s="37">
        <f>IF('Enrollment Census'!C233="","",TRIM('Enrollment Census'!C233&amp;""))</f>
        <v/>
      </c>
      <c r="D233" s="37">
        <f>IF('Enrollment Census'!D233="","",TRIM('Enrollment Census'!D233&amp;""))</f>
        <v/>
      </c>
      <c r="E233" s="36">
        <f>IF('Enrollment Census'!E233="","",TRIM('Enrollment Census'!E233&amp;""))</f>
        <v/>
      </c>
      <c r="F233" s="37">
        <f>IF('Enrollment Census'!F233="","",TRIM('Enrollment Census'!F233&amp;""))</f>
        <v/>
      </c>
      <c r="G233" s="37">
        <f>IF('Enrollment Census'!G233="","",TRIM('Enrollment Census'!G233&amp;""))</f>
        <v/>
      </c>
      <c r="H233" s="37">
        <f>IF('Enrollment Census'!H233="","",TRIM('Enrollment Census'!H233&amp;""))</f>
        <v/>
      </c>
      <c r="I233" s="36">
        <f>IF('Enrollment Census'!I233="","",TRIM('Enrollment Census'!I233&amp;""))</f>
        <v/>
      </c>
      <c r="J233" s="36">
        <f>IF('Enrollment Census'!J233="","",TRIM('Enrollment Census'!J233&amp;""))</f>
        <v/>
      </c>
      <c r="K233" s="36">
        <f>IF('Enrollment Census'!K233="","",TRIM('Enrollment Census'!K233&amp;""))</f>
        <v/>
      </c>
      <c r="L233" s="38">
        <f>IF('Enrollment Census'!L233="","",'Enrollment Census'!L233)</f>
        <v/>
      </c>
      <c r="M233" s="36">
        <f>IF('Enrollment Census'!M233="","",TRIM('Enrollment Census'!M233&amp;""))</f>
        <v/>
      </c>
      <c r="N233" s="36">
        <f>IF('Enrollment Census'!N233="","",LOWER(TRIM('Enrollment Census'!N233&amp;"")))</f>
        <v/>
      </c>
      <c r="O233" s="36">
        <f>IF('Enrollment Census'!O233="","",TRIM('Enrollment Census'!O233&amp;""))</f>
        <v/>
      </c>
      <c r="P233" s="38">
        <f>IF('Enrollment Census'!P233="","",'Enrollment Census'!P233)</f>
        <v/>
      </c>
      <c r="Q233" s="38">
        <f>IF('Enrollment Census'!Q233="","",'Enrollment Census'!Q233)</f>
        <v/>
      </c>
      <c r="R233" s="36">
        <f>IF('Enrollment Census'!R233="","",TRIM('Enrollment Census'!R233&amp;""))</f>
        <v/>
      </c>
      <c r="S233" s="36">
        <f>IF('Enrollment Census'!S233="","",TRIM('Enrollment Census'!S233&amp;""))</f>
        <v/>
      </c>
      <c r="T233" s="36">
        <f>IF('Enrollment Census'!T233="","",TRIM('Enrollment Census'!T233&amp;""))</f>
        <v/>
      </c>
      <c r="U233" s="39">
        <f>IF('Enrollment Census'!U233="","",'Enrollment Census'!U233)</f>
        <v/>
      </c>
    </row>
    <row r="234">
      <c r="A234" s="36">
        <f>IF('Enrollment Census'!A234="","",TRIM('Enrollment Census'!A234&amp;""))</f>
        <v/>
      </c>
      <c r="B234" s="36">
        <f>IF('Enrollment Census'!B234="","",TRIM('Enrollment Census'!B234&amp;""))</f>
        <v/>
      </c>
      <c r="C234" s="37">
        <f>IF('Enrollment Census'!C234="","",TRIM('Enrollment Census'!C234&amp;""))</f>
        <v/>
      </c>
      <c r="D234" s="37">
        <f>IF('Enrollment Census'!D234="","",TRIM('Enrollment Census'!D234&amp;""))</f>
        <v/>
      </c>
      <c r="E234" s="36">
        <f>IF('Enrollment Census'!E234="","",TRIM('Enrollment Census'!E234&amp;""))</f>
        <v/>
      </c>
      <c r="F234" s="37">
        <f>IF('Enrollment Census'!F234="","",TRIM('Enrollment Census'!F234&amp;""))</f>
        <v/>
      </c>
      <c r="G234" s="37">
        <f>IF('Enrollment Census'!G234="","",TRIM('Enrollment Census'!G234&amp;""))</f>
        <v/>
      </c>
      <c r="H234" s="37">
        <f>IF('Enrollment Census'!H234="","",TRIM('Enrollment Census'!H234&amp;""))</f>
        <v/>
      </c>
      <c r="I234" s="36">
        <f>IF('Enrollment Census'!I234="","",TRIM('Enrollment Census'!I234&amp;""))</f>
        <v/>
      </c>
      <c r="J234" s="36">
        <f>IF('Enrollment Census'!J234="","",TRIM('Enrollment Census'!J234&amp;""))</f>
        <v/>
      </c>
      <c r="K234" s="36">
        <f>IF('Enrollment Census'!K234="","",TRIM('Enrollment Census'!K234&amp;""))</f>
        <v/>
      </c>
      <c r="L234" s="38">
        <f>IF('Enrollment Census'!L234="","",'Enrollment Census'!L234)</f>
        <v/>
      </c>
      <c r="M234" s="36">
        <f>IF('Enrollment Census'!M234="","",TRIM('Enrollment Census'!M234&amp;""))</f>
        <v/>
      </c>
      <c r="N234" s="36">
        <f>IF('Enrollment Census'!N234="","",LOWER(TRIM('Enrollment Census'!N234&amp;"")))</f>
        <v/>
      </c>
      <c r="O234" s="36">
        <f>IF('Enrollment Census'!O234="","",TRIM('Enrollment Census'!O234&amp;""))</f>
        <v/>
      </c>
      <c r="P234" s="38">
        <f>IF('Enrollment Census'!P234="","",'Enrollment Census'!P234)</f>
        <v/>
      </c>
      <c r="Q234" s="38">
        <f>IF('Enrollment Census'!Q234="","",'Enrollment Census'!Q234)</f>
        <v/>
      </c>
      <c r="R234" s="36">
        <f>IF('Enrollment Census'!R234="","",TRIM('Enrollment Census'!R234&amp;""))</f>
        <v/>
      </c>
      <c r="S234" s="36">
        <f>IF('Enrollment Census'!S234="","",TRIM('Enrollment Census'!S234&amp;""))</f>
        <v/>
      </c>
      <c r="T234" s="36">
        <f>IF('Enrollment Census'!T234="","",TRIM('Enrollment Census'!T234&amp;""))</f>
        <v/>
      </c>
      <c r="U234" s="39">
        <f>IF('Enrollment Census'!U234="","",'Enrollment Census'!U234)</f>
        <v/>
      </c>
    </row>
    <row r="235">
      <c r="A235" s="36">
        <f>IF('Enrollment Census'!A235="","",TRIM('Enrollment Census'!A235&amp;""))</f>
        <v/>
      </c>
      <c r="B235" s="36">
        <f>IF('Enrollment Census'!B235="","",TRIM('Enrollment Census'!B235&amp;""))</f>
        <v/>
      </c>
      <c r="C235" s="37">
        <f>IF('Enrollment Census'!C235="","",TRIM('Enrollment Census'!C235&amp;""))</f>
        <v/>
      </c>
      <c r="D235" s="37">
        <f>IF('Enrollment Census'!D235="","",TRIM('Enrollment Census'!D235&amp;""))</f>
        <v/>
      </c>
      <c r="E235" s="36">
        <f>IF('Enrollment Census'!E235="","",TRIM('Enrollment Census'!E235&amp;""))</f>
        <v/>
      </c>
      <c r="F235" s="37">
        <f>IF('Enrollment Census'!F235="","",TRIM('Enrollment Census'!F235&amp;""))</f>
        <v/>
      </c>
      <c r="G235" s="37">
        <f>IF('Enrollment Census'!G235="","",TRIM('Enrollment Census'!G235&amp;""))</f>
        <v/>
      </c>
      <c r="H235" s="37">
        <f>IF('Enrollment Census'!H235="","",TRIM('Enrollment Census'!H235&amp;""))</f>
        <v/>
      </c>
      <c r="I235" s="36">
        <f>IF('Enrollment Census'!I235="","",TRIM('Enrollment Census'!I235&amp;""))</f>
        <v/>
      </c>
      <c r="J235" s="36">
        <f>IF('Enrollment Census'!J235="","",TRIM('Enrollment Census'!J235&amp;""))</f>
        <v/>
      </c>
      <c r="K235" s="36">
        <f>IF('Enrollment Census'!K235="","",TRIM('Enrollment Census'!K235&amp;""))</f>
        <v/>
      </c>
      <c r="L235" s="38">
        <f>IF('Enrollment Census'!L235="","",'Enrollment Census'!L235)</f>
        <v/>
      </c>
      <c r="M235" s="36">
        <f>IF('Enrollment Census'!M235="","",TRIM('Enrollment Census'!M235&amp;""))</f>
        <v/>
      </c>
      <c r="N235" s="36">
        <f>IF('Enrollment Census'!N235="","",LOWER(TRIM('Enrollment Census'!N235&amp;"")))</f>
        <v/>
      </c>
      <c r="O235" s="36">
        <f>IF('Enrollment Census'!O235="","",TRIM('Enrollment Census'!O235&amp;""))</f>
        <v/>
      </c>
      <c r="P235" s="38">
        <f>IF('Enrollment Census'!P235="","",'Enrollment Census'!P235)</f>
        <v/>
      </c>
      <c r="Q235" s="38">
        <f>IF('Enrollment Census'!Q235="","",'Enrollment Census'!Q235)</f>
        <v/>
      </c>
      <c r="R235" s="36">
        <f>IF('Enrollment Census'!R235="","",TRIM('Enrollment Census'!R235&amp;""))</f>
        <v/>
      </c>
      <c r="S235" s="36">
        <f>IF('Enrollment Census'!S235="","",TRIM('Enrollment Census'!S235&amp;""))</f>
        <v/>
      </c>
      <c r="T235" s="36">
        <f>IF('Enrollment Census'!T235="","",TRIM('Enrollment Census'!T235&amp;""))</f>
        <v/>
      </c>
      <c r="U235" s="39">
        <f>IF('Enrollment Census'!U235="","",'Enrollment Census'!U235)</f>
        <v/>
      </c>
    </row>
    <row r="236">
      <c r="A236" s="36">
        <f>IF('Enrollment Census'!A236="","",TRIM('Enrollment Census'!A236&amp;""))</f>
        <v/>
      </c>
      <c r="B236" s="36">
        <f>IF('Enrollment Census'!B236="","",TRIM('Enrollment Census'!B236&amp;""))</f>
        <v/>
      </c>
      <c r="C236" s="37">
        <f>IF('Enrollment Census'!C236="","",TRIM('Enrollment Census'!C236&amp;""))</f>
        <v/>
      </c>
      <c r="D236" s="37">
        <f>IF('Enrollment Census'!D236="","",TRIM('Enrollment Census'!D236&amp;""))</f>
        <v/>
      </c>
      <c r="E236" s="36">
        <f>IF('Enrollment Census'!E236="","",TRIM('Enrollment Census'!E236&amp;""))</f>
        <v/>
      </c>
      <c r="F236" s="37">
        <f>IF('Enrollment Census'!F236="","",TRIM('Enrollment Census'!F236&amp;""))</f>
        <v/>
      </c>
      <c r="G236" s="37">
        <f>IF('Enrollment Census'!G236="","",TRIM('Enrollment Census'!G236&amp;""))</f>
        <v/>
      </c>
      <c r="H236" s="37">
        <f>IF('Enrollment Census'!H236="","",TRIM('Enrollment Census'!H236&amp;""))</f>
        <v/>
      </c>
      <c r="I236" s="36">
        <f>IF('Enrollment Census'!I236="","",TRIM('Enrollment Census'!I236&amp;""))</f>
        <v/>
      </c>
      <c r="J236" s="36">
        <f>IF('Enrollment Census'!J236="","",TRIM('Enrollment Census'!J236&amp;""))</f>
        <v/>
      </c>
      <c r="K236" s="36">
        <f>IF('Enrollment Census'!K236="","",TRIM('Enrollment Census'!K236&amp;""))</f>
        <v/>
      </c>
      <c r="L236" s="38">
        <f>IF('Enrollment Census'!L236="","",'Enrollment Census'!L236)</f>
        <v/>
      </c>
      <c r="M236" s="36">
        <f>IF('Enrollment Census'!M236="","",TRIM('Enrollment Census'!M236&amp;""))</f>
        <v/>
      </c>
      <c r="N236" s="36">
        <f>IF('Enrollment Census'!N236="","",LOWER(TRIM('Enrollment Census'!N236&amp;"")))</f>
        <v/>
      </c>
      <c r="O236" s="36">
        <f>IF('Enrollment Census'!O236="","",TRIM('Enrollment Census'!O236&amp;""))</f>
        <v/>
      </c>
      <c r="P236" s="38">
        <f>IF('Enrollment Census'!P236="","",'Enrollment Census'!P236)</f>
        <v/>
      </c>
      <c r="Q236" s="38">
        <f>IF('Enrollment Census'!Q236="","",'Enrollment Census'!Q236)</f>
        <v/>
      </c>
      <c r="R236" s="36">
        <f>IF('Enrollment Census'!R236="","",TRIM('Enrollment Census'!R236&amp;""))</f>
        <v/>
      </c>
      <c r="S236" s="36">
        <f>IF('Enrollment Census'!S236="","",TRIM('Enrollment Census'!S236&amp;""))</f>
        <v/>
      </c>
      <c r="T236" s="36">
        <f>IF('Enrollment Census'!T236="","",TRIM('Enrollment Census'!T236&amp;""))</f>
        <v/>
      </c>
      <c r="U236" s="39">
        <f>IF('Enrollment Census'!U236="","",'Enrollment Census'!U236)</f>
        <v/>
      </c>
    </row>
    <row r="237">
      <c r="A237" s="36">
        <f>IF('Enrollment Census'!A237="","",TRIM('Enrollment Census'!A237&amp;""))</f>
        <v/>
      </c>
      <c r="B237" s="36">
        <f>IF('Enrollment Census'!B237="","",TRIM('Enrollment Census'!B237&amp;""))</f>
        <v/>
      </c>
      <c r="C237" s="37">
        <f>IF('Enrollment Census'!C237="","",TRIM('Enrollment Census'!C237&amp;""))</f>
        <v/>
      </c>
      <c r="D237" s="37">
        <f>IF('Enrollment Census'!D237="","",TRIM('Enrollment Census'!D237&amp;""))</f>
        <v/>
      </c>
      <c r="E237" s="36">
        <f>IF('Enrollment Census'!E237="","",TRIM('Enrollment Census'!E237&amp;""))</f>
        <v/>
      </c>
      <c r="F237" s="37">
        <f>IF('Enrollment Census'!F237="","",TRIM('Enrollment Census'!F237&amp;""))</f>
        <v/>
      </c>
      <c r="G237" s="37">
        <f>IF('Enrollment Census'!G237="","",TRIM('Enrollment Census'!G237&amp;""))</f>
        <v/>
      </c>
      <c r="H237" s="37">
        <f>IF('Enrollment Census'!H237="","",TRIM('Enrollment Census'!H237&amp;""))</f>
        <v/>
      </c>
      <c r="I237" s="36">
        <f>IF('Enrollment Census'!I237="","",TRIM('Enrollment Census'!I237&amp;""))</f>
        <v/>
      </c>
      <c r="J237" s="36">
        <f>IF('Enrollment Census'!J237="","",TRIM('Enrollment Census'!J237&amp;""))</f>
        <v/>
      </c>
      <c r="K237" s="36">
        <f>IF('Enrollment Census'!K237="","",TRIM('Enrollment Census'!K237&amp;""))</f>
        <v/>
      </c>
      <c r="L237" s="38">
        <f>IF('Enrollment Census'!L237="","",'Enrollment Census'!L237)</f>
        <v/>
      </c>
      <c r="M237" s="36">
        <f>IF('Enrollment Census'!M237="","",TRIM('Enrollment Census'!M237&amp;""))</f>
        <v/>
      </c>
      <c r="N237" s="36">
        <f>IF('Enrollment Census'!N237="","",LOWER(TRIM('Enrollment Census'!N237&amp;"")))</f>
        <v/>
      </c>
      <c r="O237" s="36">
        <f>IF('Enrollment Census'!O237="","",TRIM('Enrollment Census'!O237&amp;""))</f>
        <v/>
      </c>
      <c r="P237" s="38">
        <f>IF('Enrollment Census'!P237="","",'Enrollment Census'!P237)</f>
        <v/>
      </c>
      <c r="Q237" s="38">
        <f>IF('Enrollment Census'!Q237="","",'Enrollment Census'!Q237)</f>
        <v/>
      </c>
      <c r="R237" s="36">
        <f>IF('Enrollment Census'!R237="","",TRIM('Enrollment Census'!R237&amp;""))</f>
        <v/>
      </c>
      <c r="S237" s="36">
        <f>IF('Enrollment Census'!S237="","",TRIM('Enrollment Census'!S237&amp;""))</f>
        <v/>
      </c>
      <c r="T237" s="36">
        <f>IF('Enrollment Census'!T237="","",TRIM('Enrollment Census'!T237&amp;""))</f>
        <v/>
      </c>
      <c r="U237" s="39">
        <f>IF('Enrollment Census'!U237="","",'Enrollment Census'!U237)</f>
        <v/>
      </c>
    </row>
    <row r="238">
      <c r="A238" s="36">
        <f>IF('Enrollment Census'!A238="","",TRIM('Enrollment Census'!A238&amp;""))</f>
        <v/>
      </c>
      <c r="B238" s="36">
        <f>IF('Enrollment Census'!B238="","",TRIM('Enrollment Census'!B238&amp;""))</f>
        <v/>
      </c>
      <c r="C238" s="37">
        <f>IF('Enrollment Census'!C238="","",TRIM('Enrollment Census'!C238&amp;""))</f>
        <v/>
      </c>
      <c r="D238" s="37">
        <f>IF('Enrollment Census'!D238="","",TRIM('Enrollment Census'!D238&amp;""))</f>
        <v/>
      </c>
      <c r="E238" s="36">
        <f>IF('Enrollment Census'!E238="","",TRIM('Enrollment Census'!E238&amp;""))</f>
        <v/>
      </c>
      <c r="F238" s="37">
        <f>IF('Enrollment Census'!F238="","",TRIM('Enrollment Census'!F238&amp;""))</f>
        <v/>
      </c>
      <c r="G238" s="37">
        <f>IF('Enrollment Census'!G238="","",TRIM('Enrollment Census'!G238&amp;""))</f>
        <v/>
      </c>
      <c r="H238" s="37">
        <f>IF('Enrollment Census'!H238="","",TRIM('Enrollment Census'!H238&amp;""))</f>
        <v/>
      </c>
      <c r="I238" s="36">
        <f>IF('Enrollment Census'!I238="","",TRIM('Enrollment Census'!I238&amp;""))</f>
        <v/>
      </c>
      <c r="J238" s="36">
        <f>IF('Enrollment Census'!J238="","",TRIM('Enrollment Census'!J238&amp;""))</f>
        <v/>
      </c>
      <c r="K238" s="36">
        <f>IF('Enrollment Census'!K238="","",TRIM('Enrollment Census'!K238&amp;""))</f>
        <v/>
      </c>
      <c r="L238" s="38">
        <f>IF('Enrollment Census'!L238="","",'Enrollment Census'!L238)</f>
        <v/>
      </c>
      <c r="M238" s="36">
        <f>IF('Enrollment Census'!M238="","",TRIM('Enrollment Census'!M238&amp;""))</f>
        <v/>
      </c>
      <c r="N238" s="36">
        <f>IF('Enrollment Census'!N238="","",LOWER(TRIM('Enrollment Census'!N238&amp;"")))</f>
        <v/>
      </c>
      <c r="O238" s="36">
        <f>IF('Enrollment Census'!O238="","",TRIM('Enrollment Census'!O238&amp;""))</f>
        <v/>
      </c>
      <c r="P238" s="38">
        <f>IF('Enrollment Census'!P238="","",'Enrollment Census'!P238)</f>
        <v/>
      </c>
      <c r="Q238" s="38">
        <f>IF('Enrollment Census'!Q238="","",'Enrollment Census'!Q238)</f>
        <v/>
      </c>
      <c r="R238" s="36">
        <f>IF('Enrollment Census'!R238="","",TRIM('Enrollment Census'!R238&amp;""))</f>
        <v/>
      </c>
      <c r="S238" s="36">
        <f>IF('Enrollment Census'!S238="","",TRIM('Enrollment Census'!S238&amp;""))</f>
        <v/>
      </c>
      <c r="T238" s="36">
        <f>IF('Enrollment Census'!T238="","",TRIM('Enrollment Census'!T238&amp;""))</f>
        <v/>
      </c>
      <c r="U238" s="39">
        <f>IF('Enrollment Census'!U238="","",'Enrollment Census'!U238)</f>
        <v/>
      </c>
    </row>
    <row r="239">
      <c r="A239" s="36">
        <f>IF('Enrollment Census'!A239="","",TRIM('Enrollment Census'!A239&amp;""))</f>
        <v/>
      </c>
      <c r="B239" s="36">
        <f>IF('Enrollment Census'!B239="","",TRIM('Enrollment Census'!B239&amp;""))</f>
        <v/>
      </c>
      <c r="C239" s="37">
        <f>IF('Enrollment Census'!C239="","",TRIM('Enrollment Census'!C239&amp;""))</f>
        <v/>
      </c>
      <c r="D239" s="37">
        <f>IF('Enrollment Census'!D239="","",TRIM('Enrollment Census'!D239&amp;""))</f>
        <v/>
      </c>
      <c r="E239" s="36">
        <f>IF('Enrollment Census'!E239="","",TRIM('Enrollment Census'!E239&amp;""))</f>
        <v/>
      </c>
      <c r="F239" s="37">
        <f>IF('Enrollment Census'!F239="","",TRIM('Enrollment Census'!F239&amp;""))</f>
        <v/>
      </c>
      <c r="G239" s="37">
        <f>IF('Enrollment Census'!G239="","",TRIM('Enrollment Census'!G239&amp;""))</f>
        <v/>
      </c>
      <c r="H239" s="37">
        <f>IF('Enrollment Census'!H239="","",TRIM('Enrollment Census'!H239&amp;""))</f>
        <v/>
      </c>
      <c r="I239" s="36">
        <f>IF('Enrollment Census'!I239="","",TRIM('Enrollment Census'!I239&amp;""))</f>
        <v/>
      </c>
      <c r="J239" s="36">
        <f>IF('Enrollment Census'!J239="","",TRIM('Enrollment Census'!J239&amp;""))</f>
        <v/>
      </c>
      <c r="K239" s="36">
        <f>IF('Enrollment Census'!K239="","",TRIM('Enrollment Census'!K239&amp;""))</f>
        <v/>
      </c>
      <c r="L239" s="38">
        <f>IF('Enrollment Census'!L239="","",'Enrollment Census'!L239)</f>
        <v/>
      </c>
      <c r="M239" s="36">
        <f>IF('Enrollment Census'!M239="","",TRIM('Enrollment Census'!M239&amp;""))</f>
        <v/>
      </c>
      <c r="N239" s="36">
        <f>IF('Enrollment Census'!N239="","",LOWER(TRIM('Enrollment Census'!N239&amp;"")))</f>
        <v/>
      </c>
      <c r="O239" s="36">
        <f>IF('Enrollment Census'!O239="","",TRIM('Enrollment Census'!O239&amp;""))</f>
        <v/>
      </c>
      <c r="P239" s="38">
        <f>IF('Enrollment Census'!P239="","",'Enrollment Census'!P239)</f>
        <v/>
      </c>
      <c r="Q239" s="38">
        <f>IF('Enrollment Census'!Q239="","",'Enrollment Census'!Q239)</f>
        <v/>
      </c>
      <c r="R239" s="36">
        <f>IF('Enrollment Census'!R239="","",TRIM('Enrollment Census'!R239&amp;""))</f>
        <v/>
      </c>
      <c r="S239" s="36">
        <f>IF('Enrollment Census'!S239="","",TRIM('Enrollment Census'!S239&amp;""))</f>
        <v/>
      </c>
      <c r="T239" s="36">
        <f>IF('Enrollment Census'!T239="","",TRIM('Enrollment Census'!T239&amp;""))</f>
        <v/>
      </c>
      <c r="U239" s="39">
        <f>IF('Enrollment Census'!U239="","",'Enrollment Census'!U239)</f>
        <v/>
      </c>
    </row>
    <row r="240">
      <c r="A240" s="36">
        <f>IF('Enrollment Census'!A240="","",TRIM('Enrollment Census'!A240&amp;""))</f>
        <v/>
      </c>
      <c r="B240" s="36">
        <f>IF('Enrollment Census'!B240="","",TRIM('Enrollment Census'!B240&amp;""))</f>
        <v/>
      </c>
      <c r="C240" s="37">
        <f>IF('Enrollment Census'!C240="","",TRIM('Enrollment Census'!C240&amp;""))</f>
        <v/>
      </c>
      <c r="D240" s="37">
        <f>IF('Enrollment Census'!D240="","",TRIM('Enrollment Census'!D240&amp;""))</f>
        <v/>
      </c>
      <c r="E240" s="36">
        <f>IF('Enrollment Census'!E240="","",TRIM('Enrollment Census'!E240&amp;""))</f>
        <v/>
      </c>
      <c r="F240" s="37">
        <f>IF('Enrollment Census'!F240="","",TRIM('Enrollment Census'!F240&amp;""))</f>
        <v/>
      </c>
      <c r="G240" s="37">
        <f>IF('Enrollment Census'!G240="","",TRIM('Enrollment Census'!G240&amp;""))</f>
        <v/>
      </c>
      <c r="H240" s="37">
        <f>IF('Enrollment Census'!H240="","",TRIM('Enrollment Census'!H240&amp;""))</f>
        <v/>
      </c>
      <c r="I240" s="36">
        <f>IF('Enrollment Census'!I240="","",TRIM('Enrollment Census'!I240&amp;""))</f>
        <v/>
      </c>
      <c r="J240" s="36">
        <f>IF('Enrollment Census'!J240="","",TRIM('Enrollment Census'!J240&amp;""))</f>
        <v/>
      </c>
      <c r="K240" s="36">
        <f>IF('Enrollment Census'!K240="","",TRIM('Enrollment Census'!K240&amp;""))</f>
        <v/>
      </c>
      <c r="L240" s="38">
        <f>IF('Enrollment Census'!L240="","",'Enrollment Census'!L240)</f>
        <v/>
      </c>
      <c r="M240" s="36">
        <f>IF('Enrollment Census'!M240="","",TRIM('Enrollment Census'!M240&amp;""))</f>
        <v/>
      </c>
      <c r="N240" s="36">
        <f>IF('Enrollment Census'!N240="","",LOWER(TRIM('Enrollment Census'!N240&amp;"")))</f>
        <v/>
      </c>
      <c r="O240" s="36">
        <f>IF('Enrollment Census'!O240="","",TRIM('Enrollment Census'!O240&amp;""))</f>
        <v/>
      </c>
      <c r="P240" s="38">
        <f>IF('Enrollment Census'!P240="","",'Enrollment Census'!P240)</f>
        <v/>
      </c>
      <c r="Q240" s="38">
        <f>IF('Enrollment Census'!Q240="","",'Enrollment Census'!Q240)</f>
        <v/>
      </c>
      <c r="R240" s="36">
        <f>IF('Enrollment Census'!R240="","",TRIM('Enrollment Census'!R240&amp;""))</f>
        <v/>
      </c>
      <c r="S240" s="36">
        <f>IF('Enrollment Census'!S240="","",TRIM('Enrollment Census'!S240&amp;""))</f>
        <v/>
      </c>
      <c r="T240" s="36">
        <f>IF('Enrollment Census'!T240="","",TRIM('Enrollment Census'!T240&amp;""))</f>
        <v/>
      </c>
      <c r="U240" s="39">
        <f>IF('Enrollment Census'!U240="","",'Enrollment Census'!U240)</f>
        <v/>
      </c>
    </row>
    <row r="241">
      <c r="A241" s="36">
        <f>IF('Enrollment Census'!A241="","",TRIM('Enrollment Census'!A241&amp;""))</f>
        <v/>
      </c>
      <c r="B241" s="36">
        <f>IF('Enrollment Census'!B241="","",TRIM('Enrollment Census'!B241&amp;""))</f>
        <v/>
      </c>
      <c r="C241" s="37">
        <f>IF('Enrollment Census'!C241="","",TRIM('Enrollment Census'!C241&amp;""))</f>
        <v/>
      </c>
      <c r="D241" s="37">
        <f>IF('Enrollment Census'!D241="","",TRIM('Enrollment Census'!D241&amp;""))</f>
        <v/>
      </c>
      <c r="E241" s="36">
        <f>IF('Enrollment Census'!E241="","",TRIM('Enrollment Census'!E241&amp;""))</f>
        <v/>
      </c>
      <c r="F241" s="37">
        <f>IF('Enrollment Census'!F241="","",TRIM('Enrollment Census'!F241&amp;""))</f>
        <v/>
      </c>
      <c r="G241" s="37">
        <f>IF('Enrollment Census'!G241="","",TRIM('Enrollment Census'!G241&amp;""))</f>
        <v/>
      </c>
      <c r="H241" s="37">
        <f>IF('Enrollment Census'!H241="","",TRIM('Enrollment Census'!H241&amp;""))</f>
        <v/>
      </c>
      <c r="I241" s="36">
        <f>IF('Enrollment Census'!I241="","",TRIM('Enrollment Census'!I241&amp;""))</f>
        <v/>
      </c>
      <c r="J241" s="36">
        <f>IF('Enrollment Census'!J241="","",TRIM('Enrollment Census'!J241&amp;""))</f>
        <v/>
      </c>
      <c r="K241" s="36">
        <f>IF('Enrollment Census'!K241="","",TRIM('Enrollment Census'!K241&amp;""))</f>
        <v/>
      </c>
      <c r="L241" s="38">
        <f>IF('Enrollment Census'!L241="","",'Enrollment Census'!L241)</f>
        <v/>
      </c>
      <c r="M241" s="36">
        <f>IF('Enrollment Census'!M241="","",TRIM('Enrollment Census'!M241&amp;""))</f>
        <v/>
      </c>
      <c r="N241" s="36">
        <f>IF('Enrollment Census'!N241="","",LOWER(TRIM('Enrollment Census'!N241&amp;"")))</f>
        <v/>
      </c>
      <c r="O241" s="36">
        <f>IF('Enrollment Census'!O241="","",TRIM('Enrollment Census'!O241&amp;""))</f>
        <v/>
      </c>
      <c r="P241" s="38">
        <f>IF('Enrollment Census'!P241="","",'Enrollment Census'!P241)</f>
        <v/>
      </c>
      <c r="Q241" s="38">
        <f>IF('Enrollment Census'!Q241="","",'Enrollment Census'!Q241)</f>
        <v/>
      </c>
      <c r="R241" s="36">
        <f>IF('Enrollment Census'!R241="","",TRIM('Enrollment Census'!R241&amp;""))</f>
        <v/>
      </c>
      <c r="S241" s="36">
        <f>IF('Enrollment Census'!S241="","",TRIM('Enrollment Census'!S241&amp;""))</f>
        <v/>
      </c>
      <c r="T241" s="36">
        <f>IF('Enrollment Census'!T241="","",TRIM('Enrollment Census'!T241&amp;""))</f>
        <v/>
      </c>
      <c r="U241" s="39">
        <f>IF('Enrollment Census'!U241="","",'Enrollment Census'!U241)</f>
        <v/>
      </c>
    </row>
    <row r="242">
      <c r="A242" s="36">
        <f>IF('Enrollment Census'!A242="","",TRIM('Enrollment Census'!A242&amp;""))</f>
        <v/>
      </c>
      <c r="B242" s="36">
        <f>IF('Enrollment Census'!B242="","",TRIM('Enrollment Census'!B242&amp;""))</f>
        <v/>
      </c>
      <c r="C242" s="37">
        <f>IF('Enrollment Census'!C242="","",TRIM('Enrollment Census'!C242&amp;""))</f>
        <v/>
      </c>
      <c r="D242" s="37">
        <f>IF('Enrollment Census'!D242="","",TRIM('Enrollment Census'!D242&amp;""))</f>
        <v/>
      </c>
      <c r="E242" s="36">
        <f>IF('Enrollment Census'!E242="","",TRIM('Enrollment Census'!E242&amp;""))</f>
        <v/>
      </c>
      <c r="F242" s="37">
        <f>IF('Enrollment Census'!F242="","",TRIM('Enrollment Census'!F242&amp;""))</f>
        <v/>
      </c>
      <c r="G242" s="37">
        <f>IF('Enrollment Census'!G242="","",TRIM('Enrollment Census'!G242&amp;""))</f>
        <v/>
      </c>
      <c r="H242" s="37">
        <f>IF('Enrollment Census'!H242="","",TRIM('Enrollment Census'!H242&amp;""))</f>
        <v/>
      </c>
      <c r="I242" s="36">
        <f>IF('Enrollment Census'!I242="","",TRIM('Enrollment Census'!I242&amp;""))</f>
        <v/>
      </c>
      <c r="J242" s="36">
        <f>IF('Enrollment Census'!J242="","",TRIM('Enrollment Census'!J242&amp;""))</f>
        <v/>
      </c>
      <c r="K242" s="36">
        <f>IF('Enrollment Census'!K242="","",TRIM('Enrollment Census'!K242&amp;""))</f>
        <v/>
      </c>
      <c r="L242" s="38">
        <f>IF('Enrollment Census'!L242="","",'Enrollment Census'!L242)</f>
        <v/>
      </c>
      <c r="M242" s="36">
        <f>IF('Enrollment Census'!M242="","",TRIM('Enrollment Census'!M242&amp;""))</f>
        <v/>
      </c>
      <c r="N242" s="36">
        <f>IF('Enrollment Census'!N242="","",LOWER(TRIM('Enrollment Census'!N242&amp;"")))</f>
        <v/>
      </c>
      <c r="O242" s="36">
        <f>IF('Enrollment Census'!O242="","",TRIM('Enrollment Census'!O242&amp;""))</f>
        <v/>
      </c>
      <c r="P242" s="38">
        <f>IF('Enrollment Census'!P242="","",'Enrollment Census'!P242)</f>
        <v/>
      </c>
      <c r="Q242" s="38">
        <f>IF('Enrollment Census'!Q242="","",'Enrollment Census'!Q242)</f>
        <v/>
      </c>
      <c r="R242" s="36">
        <f>IF('Enrollment Census'!R242="","",TRIM('Enrollment Census'!R242&amp;""))</f>
        <v/>
      </c>
      <c r="S242" s="36">
        <f>IF('Enrollment Census'!S242="","",TRIM('Enrollment Census'!S242&amp;""))</f>
        <v/>
      </c>
      <c r="T242" s="36">
        <f>IF('Enrollment Census'!T242="","",TRIM('Enrollment Census'!T242&amp;""))</f>
        <v/>
      </c>
      <c r="U242" s="39">
        <f>IF('Enrollment Census'!U242="","",'Enrollment Census'!U242)</f>
        <v/>
      </c>
    </row>
    <row r="243">
      <c r="A243" s="36">
        <f>IF('Enrollment Census'!A243="","",TRIM('Enrollment Census'!A243&amp;""))</f>
        <v/>
      </c>
      <c r="B243" s="36">
        <f>IF('Enrollment Census'!B243="","",TRIM('Enrollment Census'!B243&amp;""))</f>
        <v/>
      </c>
      <c r="C243" s="37">
        <f>IF('Enrollment Census'!C243="","",TRIM('Enrollment Census'!C243&amp;""))</f>
        <v/>
      </c>
      <c r="D243" s="37">
        <f>IF('Enrollment Census'!D243="","",TRIM('Enrollment Census'!D243&amp;""))</f>
        <v/>
      </c>
      <c r="E243" s="36">
        <f>IF('Enrollment Census'!E243="","",TRIM('Enrollment Census'!E243&amp;""))</f>
        <v/>
      </c>
      <c r="F243" s="37">
        <f>IF('Enrollment Census'!F243="","",TRIM('Enrollment Census'!F243&amp;""))</f>
        <v/>
      </c>
      <c r="G243" s="37">
        <f>IF('Enrollment Census'!G243="","",TRIM('Enrollment Census'!G243&amp;""))</f>
        <v/>
      </c>
      <c r="H243" s="37">
        <f>IF('Enrollment Census'!H243="","",TRIM('Enrollment Census'!H243&amp;""))</f>
        <v/>
      </c>
      <c r="I243" s="36">
        <f>IF('Enrollment Census'!I243="","",TRIM('Enrollment Census'!I243&amp;""))</f>
        <v/>
      </c>
      <c r="J243" s="36">
        <f>IF('Enrollment Census'!J243="","",TRIM('Enrollment Census'!J243&amp;""))</f>
        <v/>
      </c>
      <c r="K243" s="36">
        <f>IF('Enrollment Census'!K243="","",TRIM('Enrollment Census'!K243&amp;""))</f>
        <v/>
      </c>
      <c r="L243" s="38">
        <f>IF('Enrollment Census'!L243="","",'Enrollment Census'!L243)</f>
        <v/>
      </c>
      <c r="M243" s="36">
        <f>IF('Enrollment Census'!M243="","",TRIM('Enrollment Census'!M243&amp;""))</f>
        <v/>
      </c>
      <c r="N243" s="36">
        <f>IF('Enrollment Census'!N243="","",LOWER(TRIM('Enrollment Census'!N243&amp;"")))</f>
        <v/>
      </c>
      <c r="O243" s="36">
        <f>IF('Enrollment Census'!O243="","",TRIM('Enrollment Census'!O243&amp;""))</f>
        <v/>
      </c>
      <c r="P243" s="38">
        <f>IF('Enrollment Census'!P243="","",'Enrollment Census'!P243)</f>
        <v/>
      </c>
      <c r="Q243" s="38">
        <f>IF('Enrollment Census'!Q243="","",'Enrollment Census'!Q243)</f>
        <v/>
      </c>
      <c r="R243" s="36">
        <f>IF('Enrollment Census'!R243="","",TRIM('Enrollment Census'!R243&amp;""))</f>
        <v/>
      </c>
      <c r="S243" s="36">
        <f>IF('Enrollment Census'!S243="","",TRIM('Enrollment Census'!S243&amp;""))</f>
        <v/>
      </c>
      <c r="T243" s="36">
        <f>IF('Enrollment Census'!T243="","",TRIM('Enrollment Census'!T243&amp;""))</f>
        <v/>
      </c>
      <c r="U243" s="39">
        <f>IF('Enrollment Census'!U243="","",'Enrollment Census'!U243)</f>
        <v/>
      </c>
    </row>
    <row r="244">
      <c r="A244" s="36">
        <f>IF('Enrollment Census'!A244="","",TRIM('Enrollment Census'!A244&amp;""))</f>
        <v/>
      </c>
      <c r="B244" s="36">
        <f>IF('Enrollment Census'!B244="","",TRIM('Enrollment Census'!B244&amp;""))</f>
        <v/>
      </c>
      <c r="C244" s="37">
        <f>IF('Enrollment Census'!C244="","",TRIM('Enrollment Census'!C244&amp;""))</f>
        <v/>
      </c>
      <c r="D244" s="37">
        <f>IF('Enrollment Census'!D244="","",TRIM('Enrollment Census'!D244&amp;""))</f>
        <v/>
      </c>
      <c r="E244" s="36">
        <f>IF('Enrollment Census'!E244="","",TRIM('Enrollment Census'!E244&amp;""))</f>
        <v/>
      </c>
      <c r="F244" s="37">
        <f>IF('Enrollment Census'!F244="","",TRIM('Enrollment Census'!F244&amp;""))</f>
        <v/>
      </c>
      <c r="G244" s="37">
        <f>IF('Enrollment Census'!G244="","",TRIM('Enrollment Census'!G244&amp;""))</f>
        <v/>
      </c>
      <c r="H244" s="37">
        <f>IF('Enrollment Census'!H244="","",TRIM('Enrollment Census'!H244&amp;""))</f>
        <v/>
      </c>
      <c r="I244" s="36">
        <f>IF('Enrollment Census'!I244="","",TRIM('Enrollment Census'!I244&amp;""))</f>
        <v/>
      </c>
      <c r="J244" s="36">
        <f>IF('Enrollment Census'!J244="","",TRIM('Enrollment Census'!J244&amp;""))</f>
        <v/>
      </c>
      <c r="K244" s="36">
        <f>IF('Enrollment Census'!K244="","",TRIM('Enrollment Census'!K244&amp;""))</f>
        <v/>
      </c>
      <c r="L244" s="38">
        <f>IF('Enrollment Census'!L244="","",'Enrollment Census'!L244)</f>
        <v/>
      </c>
      <c r="M244" s="36">
        <f>IF('Enrollment Census'!M244="","",TRIM('Enrollment Census'!M244&amp;""))</f>
        <v/>
      </c>
      <c r="N244" s="36">
        <f>IF('Enrollment Census'!N244="","",LOWER(TRIM('Enrollment Census'!N244&amp;"")))</f>
        <v/>
      </c>
      <c r="O244" s="36">
        <f>IF('Enrollment Census'!O244="","",TRIM('Enrollment Census'!O244&amp;""))</f>
        <v/>
      </c>
      <c r="P244" s="38">
        <f>IF('Enrollment Census'!P244="","",'Enrollment Census'!P244)</f>
        <v/>
      </c>
      <c r="Q244" s="38">
        <f>IF('Enrollment Census'!Q244="","",'Enrollment Census'!Q244)</f>
        <v/>
      </c>
      <c r="R244" s="36">
        <f>IF('Enrollment Census'!R244="","",TRIM('Enrollment Census'!R244&amp;""))</f>
        <v/>
      </c>
      <c r="S244" s="36">
        <f>IF('Enrollment Census'!S244="","",TRIM('Enrollment Census'!S244&amp;""))</f>
        <v/>
      </c>
      <c r="T244" s="36">
        <f>IF('Enrollment Census'!T244="","",TRIM('Enrollment Census'!T244&amp;""))</f>
        <v/>
      </c>
      <c r="U244" s="39">
        <f>IF('Enrollment Census'!U244="","",'Enrollment Census'!U244)</f>
        <v/>
      </c>
    </row>
    <row r="245">
      <c r="A245" s="36">
        <f>IF('Enrollment Census'!A245="","",TRIM('Enrollment Census'!A245&amp;""))</f>
        <v/>
      </c>
      <c r="B245" s="36">
        <f>IF('Enrollment Census'!B245="","",TRIM('Enrollment Census'!B245&amp;""))</f>
        <v/>
      </c>
      <c r="C245" s="37">
        <f>IF('Enrollment Census'!C245="","",TRIM('Enrollment Census'!C245&amp;""))</f>
        <v/>
      </c>
      <c r="D245" s="37">
        <f>IF('Enrollment Census'!D245="","",TRIM('Enrollment Census'!D245&amp;""))</f>
        <v/>
      </c>
      <c r="E245" s="36">
        <f>IF('Enrollment Census'!E245="","",TRIM('Enrollment Census'!E245&amp;""))</f>
        <v/>
      </c>
      <c r="F245" s="37">
        <f>IF('Enrollment Census'!F245="","",TRIM('Enrollment Census'!F245&amp;""))</f>
        <v/>
      </c>
      <c r="G245" s="37">
        <f>IF('Enrollment Census'!G245="","",TRIM('Enrollment Census'!G245&amp;""))</f>
        <v/>
      </c>
      <c r="H245" s="37">
        <f>IF('Enrollment Census'!H245="","",TRIM('Enrollment Census'!H245&amp;""))</f>
        <v/>
      </c>
      <c r="I245" s="36">
        <f>IF('Enrollment Census'!I245="","",TRIM('Enrollment Census'!I245&amp;""))</f>
        <v/>
      </c>
      <c r="J245" s="36">
        <f>IF('Enrollment Census'!J245="","",TRIM('Enrollment Census'!J245&amp;""))</f>
        <v/>
      </c>
      <c r="K245" s="36">
        <f>IF('Enrollment Census'!K245="","",TRIM('Enrollment Census'!K245&amp;""))</f>
        <v/>
      </c>
      <c r="L245" s="38">
        <f>IF('Enrollment Census'!L245="","",'Enrollment Census'!L245)</f>
        <v/>
      </c>
      <c r="M245" s="36">
        <f>IF('Enrollment Census'!M245="","",TRIM('Enrollment Census'!M245&amp;""))</f>
        <v/>
      </c>
      <c r="N245" s="36">
        <f>IF('Enrollment Census'!N245="","",LOWER(TRIM('Enrollment Census'!N245&amp;"")))</f>
        <v/>
      </c>
      <c r="O245" s="36">
        <f>IF('Enrollment Census'!O245="","",TRIM('Enrollment Census'!O245&amp;""))</f>
        <v/>
      </c>
      <c r="P245" s="38">
        <f>IF('Enrollment Census'!P245="","",'Enrollment Census'!P245)</f>
        <v/>
      </c>
      <c r="Q245" s="38">
        <f>IF('Enrollment Census'!Q245="","",'Enrollment Census'!Q245)</f>
        <v/>
      </c>
      <c r="R245" s="36">
        <f>IF('Enrollment Census'!R245="","",TRIM('Enrollment Census'!R245&amp;""))</f>
        <v/>
      </c>
      <c r="S245" s="36">
        <f>IF('Enrollment Census'!S245="","",TRIM('Enrollment Census'!S245&amp;""))</f>
        <v/>
      </c>
      <c r="T245" s="36">
        <f>IF('Enrollment Census'!T245="","",TRIM('Enrollment Census'!T245&amp;""))</f>
        <v/>
      </c>
      <c r="U245" s="39">
        <f>IF('Enrollment Census'!U245="","",'Enrollment Census'!U245)</f>
        <v/>
      </c>
    </row>
    <row r="246">
      <c r="A246" s="36">
        <f>IF('Enrollment Census'!A246="","",TRIM('Enrollment Census'!A246&amp;""))</f>
        <v/>
      </c>
      <c r="B246" s="36">
        <f>IF('Enrollment Census'!B246="","",TRIM('Enrollment Census'!B246&amp;""))</f>
        <v/>
      </c>
      <c r="C246" s="37">
        <f>IF('Enrollment Census'!C246="","",TRIM('Enrollment Census'!C246&amp;""))</f>
        <v/>
      </c>
      <c r="D246" s="37">
        <f>IF('Enrollment Census'!D246="","",TRIM('Enrollment Census'!D246&amp;""))</f>
        <v/>
      </c>
      <c r="E246" s="36">
        <f>IF('Enrollment Census'!E246="","",TRIM('Enrollment Census'!E246&amp;""))</f>
        <v/>
      </c>
      <c r="F246" s="37">
        <f>IF('Enrollment Census'!F246="","",TRIM('Enrollment Census'!F246&amp;""))</f>
        <v/>
      </c>
      <c r="G246" s="37">
        <f>IF('Enrollment Census'!G246="","",TRIM('Enrollment Census'!G246&amp;""))</f>
        <v/>
      </c>
      <c r="H246" s="37">
        <f>IF('Enrollment Census'!H246="","",TRIM('Enrollment Census'!H246&amp;""))</f>
        <v/>
      </c>
      <c r="I246" s="36">
        <f>IF('Enrollment Census'!I246="","",TRIM('Enrollment Census'!I246&amp;""))</f>
        <v/>
      </c>
      <c r="J246" s="36">
        <f>IF('Enrollment Census'!J246="","",TRIM('Enrollment Census'!J246&amp;""))</f>
        <v/>
      </c>
      <c r="K246" s="36">
        <f>IF('Enrollment Census'!K246="","",TRIM('Enrollment Census'!K246&amp;""))</f>
        <v/>
      </c>
      <c r="L246" s="38">
        <f>IF('Enrollment Census'!L246="","",'Enrollment Census'!L246)</f>
        <v/>
      </c>
      <c r="M246" s="36">
        <f>IF('Enrollment Census'!M246="","",TRIM('Enrollment Census'!M246&amp;""))</f>
        <v/>
      </c>
      <c r="N246" s="36">
        <f>IF('Enrollment Census'!N246="","",LOWER(TRIM('Enrollment Census'!N246&amp;"")))</f>
        <v/>
      </c>
      <c r="O246" s="36">
        <f>IF('Enrollment Census'!O246="","",TRIM('Enrollment Census'!O246&amp;""))</f>
        <v/>
      </c>
      <c r="P246" s="38">
        <f>IF('Enrollment Census'!P246="","",'Enrollment Census'!P246)</f>
        <v/>
      </c>
      <c r="Q246" s="38">
        <f>IF('Enrollment Census'!Q246="","",'Enrollment Census'!Q246)</f>
        <v/>
      </c>
      <c r="R246" s="36">
        <f>IF('Enrollment Census'!R246="","",TRIM('Enrollment Census'!R246&amp;""))</f>
        <v/>
      </c>
      <c r="S246" s="36">
        <f>IF('Enrollment Census'!S246="","",TRIM('Enrollment Census'!S246&amp;""))</f>
        <v/>
      </c>
      <c r="T246" s="36">
        <f>IF('Enrollment Census'!T246="","",TRIM('Enrollment Census'!T246&amp;""))</f>
        <v/>
      </c>
      <c r="U246" s="39">
        <f>IF('Enrollment Census'!U246="","",'Enrollment Census'!U246)</f>
        <v/>
      </c>
    </row>
    <row r="247">
      <c r="A247" s="36">
        <f>IF('Enrollment Census'!A247="","",TRIM('Enrollment Census'!A247&amp;""))</f>
        <v/>
      </c>
      <c r="B247" s="36">
        <f>IF('Enrollment Census'!B247="","",TRIM('Enrollment Census'!B247&amp;""))</f>
        <v/>
      </c>
      <c r="C247" s="37">
        <f>IF('Enrollment Census'!C247="","",TRIM('Enrollment Census'!C247&amp;""))</f>
        <v/>
      </c>
      <c r="D247" s="37">
        <f>IF('Enrollment Census'!D247="","",TRIM('Enrollment Census'!D247&amp;""))</f>
        <v/>
      </c>
      <c r="E247" s="36">
        <f>IF('Enrollment Census'!E247="","",TRIM('Enrollment Census'!E247&amp;""))</f>
        <v/>
      </c>
      <c r="F247" s="37">
        <f>IF('Enrollment Census'!F247="","",TRIM('Enrollment Census'!F247&amp;""))</f>
        <v/>
      </c>
      <c r="G247" s="37">
        <f>IF('Enrollment Census'!G247="","",TRIM('Enrollment Census'!G247&amp;""))</f>
        <v/>
      </c>
      <c r="H247" s="37">
        <f>IF('Enrollment Census'!H247="","",TRIM('Enrollment Census'!H247&amp;""))</f>
        <v/>
      </c>
      <c r="I247" s="36">
        <f>IF('Enrollment Census'!I247="","",TRIM('Enrollment Census'!I247&amp;""))</f>
        <v/>
      </c>
      <c r="J247" s="36">
        <f>IF('Enrollment Census'!J247="","",TRIM('Enrollment Census'!J247&amp;""))</f>
        <v/>
      </c>
      <c r="K247" s="36">
        <f>IF('Enrollment Census'!K247="","",TRIM('Enrollment Census'!K247&amp;""))</f>
        <v/>
      </c>
      <c r="L247" s="38">
        <f>IF('Enrollment Census'!L247="","",'Enrollment Census'!L247)</f>
        <v/>
      </c>
      <c r="M247" s="36">
        <f>IF('Enrollment Census'!M247="","",TRIM('Enrollment Census'!M247&amp;""))</f>
        <v/>
      </c>
      <c r="N247" s="36">
        <f>IF('Enrollment Census'!N247="","",LOWER(TRIM('Enrollment Census'!N247&amp;"")))</f>
        <v/>
      </c>
      <c r="O247" s="36">
        <f>IF('Enrollment Census'!O247="","",TRIM('Enrollment Census'!O247&amp;""))</f>
        <v/>
      </c>
      <c r="P247" s="38">
        <f>IF('Enrollment Census'!P247="","",'Enrollment Census'!P247)</f>
        <v/>
      </c>
      <c r="Q247" s="38">
        <f>IF('Enrollment Census'!Q247="","",'Enrollment Census'!Q247)</f>
        <v/>
      </c>
      <c r="R247" s="36">
        <f>IF('Enrollment Census'!R247="","",TRIM('Enrollment Census'!R247&amp;""))</f>
        <v/>
      </c>
      <c r="S247" s="36">
        <f>IF('Enrollment Census'!S247="","",TRIM('Enrollment Census'!S247&amp;""))</f>
        <v/>
      </c>
      <c r="T247" s="36">
        <f>IF('Enrollment Census'!T247="","",TRIM('Enrollment Census'!T247&amp;""))</f>
        <v/>
      </c>
      <c r="U247" s="39">
        <f>IF('Enrollment Census'!U247="","",'Enrollment Census'!U247)</f>
        <v/>
      </c>
    </row>
    <row r="248">
      <c r="A248" s="36">
        <f>IF('Enrollment Census'!A248="","",TRIM('Enrollment Census'!A248&amp;""))</f>
        <v/>
      </c>
      <c r="B248" s="36">
        <f>IF('Enrollment Census'!B248="","",TRIM('Enrollment Census'!B248&amp;""))</f>
        <v/>
      </c>
      <c r="C248" s="37">
        <f>IF('Enrollment Census'!C248="","",TRIM('Enrollment Census'!C248&amp;""))</f>
        <v/>
      </c>
      <c r="D248" s="37">
        <f>IF('Enrollment Census'!D248="","",TRIM('Enrollment Census'!D248&amp;""))</f>
        <v/>
      </c>
      <c r="E248" s="36">
        <f>IF('Enrollment Census'!E248="","",TRIM('Enrollment Census'!E248&amp;""))</f>
        <v/>
      </c>
      <c r="F248" s="37">
        <f>IF('Enrollment Census'!F248="","",TRIM('Enrollment Census'!F248&amp;""))</f>
        <v/>
      </c>
      <c r="G248" s="37">
        <f>IF('Enrollment Census'!G248="","",TRIM('Enrollment Census'!G248&amp;""))</f>
        <v/>
      </c>
      <c r="H248" s="37">
        <f>IF('Enrollment Census'!H248="","",TRIM('Enrollment Census'!H248&amp;""))</f>
        <v/>
      </c>
      <c r="I248" s="36">
        <f>IF('Enrollment Census'!I248="","",TRIM('Enrollment Census'!I248&amp;""))</f>
        <v/>
      </c>
      <c r="J248" s="36">
        <f>IF('Enrollment Census'!J248="","",TRIM('Enrollment Census'!J248&amp;""))</f>
        <v/>
      </c>
      <c r="K248" s="36">
        <f>IF('Enrollment Census'!K248="","",TRIM('Enrollment Census'!K248&amp;""))</f>
        <v/>
      </c>
      <c r="L248" s="38">
        <f>IF('Enrollment Census'!L248="","",'Enrollment Census'!L248)</f>
        <v/>
      </c>
      <c r="M248" s="36">
        <f>IF('Enrollment Census'!M248="","",TRIM('Enrollment Census'!M248&amp;""))</f>
        <v/>
      </c>
      <c r="N248" s="36">
        <f>IF('Enrollment Census'!N248="","",LOWER(TRIM('Enrollment Census'!N248&amp;"")))</f>
        <v/>
      </c>
      <c r="O248" s="36">
        <f>IF('Enrollment Census'!O248="","",TRIM('Enrollment Census'!O248&amp;""))</f>
        <v/>
      </c>
      <c r="P248" s="38">
        <f>IF('Enrollment Census'!P248="","",'Enrollment Census'!P248)</f>
        <v/>
      </c>
      <c r="Q248" s="38">
        <f>IF('Enrollment Census'!Q248="","",'Enrollment Census'!Q248)</f>
        <v/>
      </c>
      <c r="R248" s="36">
        <f>IF('Enrollment Census'!R248="","",TRIM('Enrollment Census'!R248&amp;""))</f>
        <v/>
      </c>
      <c r="S248" s="36">
        <f>IF('Enrollment Census'!S248="","",TRIM('Enrollment Census'!S248&amp;""))</f>
        <v/>
      </c>
      <c r="T248" s="36">
        <f>IF('Enrollment Census'!T248="","",TRIM('Enrollment Census'!T248&amp;""))</f>
        <v/>
      </c>
      <c r="U248" s="39">
        <f>IF('Enrollment Census'!U248="","",'Enrollment Census'!U248)</f>
        <v/>
      </c>
    </row>
    <row r="249">
      <c r="A249" s="36">
        <f>IF('Enrollment Census'!A249="","",TRIM('Enrollment Census'!A249&amp;""))</f>
        <v/>
      </c>
      <c r="B249" s="36">
        <f>IF('Enrollment Census'!B249="","",TRIM('Enrollment Census'!B249&amp;""))</f>
        <v/>
      </c>
      <c r="C249" s="37">
        <f>IF('Enrollment Census'!C249="","",TRIM('Enrollment Census'!C249&amp;""))</f>
        <v/>
      </c>
      <c r="D249" s="37">
        <f>IF('Enrollment Census'!D249="","",TRIM('Enrollment Census'!D249&amp;""))</f>
        <v/>
      </c>
      <c r="E249" s="36">
        <f>IF('Enrollment Census'!E249="","",TRIM('Enrollment Census'!E249&amp;""))</f>
        <v/>
      </c>
      <c r="F249" s="37">
        <f>IF('Enrollment Census'!F249="","",TRIM('Enrollment Census'!F249&amp;""))</f>
        <v/>
      </c>
      <c r="G249" s="37">
        <f>IF('Enrollment Census'!G249="","",TRIM('Enrollment Census'!G249&amp;""))</f>
        <v/>
      </c>
      <c r="H249" s="37">
        <f>IF('Enrollment Census'!H249="","",TRIM('Enrollment Census'!H249&amp;""))</f>
        <v/>
      </c>
      <c r="I249" s="36">
        <f>IF('Enrollment Census'!I249="","",TRIM('Enrollment Census'!I249&amp;""))</f>
        <v/>
      </c>
      <c r="J249" s="36">
        <f>IF('Enrollment Census'!J249="","",TRIM('Enrollment Census'!J249&amp;""))</f>
        <v/>
      </c>
      <c r="K249" s="36">
        <f>IF('Enrollment Census'!K249="","",TRIM('Enrollment Census'!K249&amp;""))</f>
        <v/>
      </c>
      <c r="L249" s="38">
        <f>IF('Enrollment Census'!L249="","",'Enrollment Census'!L249)</f>
        <v/>
      </c>
      <c r="M249" s="36">
        <f>IF('Enrollment Census'!M249="","",TRIM('Enrollment Census'!M249&amp;""))</f>
        <v/>
      </c>
      <c r="N249" s="36">
        <f>IF('Enrollment Census'!N249="","",LOWER(TRIM('Enrollment Census'!N249&amp;"")))</f>
        <v/>
      </c>
      <c r="O249" s="36">
        <f>IF('Enrollment Census'!O249="","",TRIM('Enrollment Census'!O249&amp;""))</f>
        <v/>
      </c>
      <c r="P249" s="38">
        <f>IF('Enrollment Census'!P249="","",'Enrollment Census'!P249)</f>
        <v/>
      </c>
      <c r="Q249" s="38">
        <f>IF('Enrollment Census'!Q249="","",'Enrollment Census'!Q249)</f>
        <v/>
      </c>
      <c r="R249" s="36">
        <f>IF('Enrollment Census'!R249="","",TRIM('Enrollment Census'!R249&amp;""))</f>
        <v/>
      </c>
      <c r="S249" s="36">
        <f>IF('Enrollment Census'!S249="","",TRIM('Enrollment Census'!S249&amp;""))</f>
        <v/>
      </c>
      <c r="T249" s="36">
        <f>IF('Enrollment Census'!T249="","",TRIM('Enrollment Census'!T249&amp;""))</f>
        <v/>
      </c>
      <c r="U249" s="39">
        <f>IF('Enrollment Census'!U249="","",'Enrollment Census'!U249)</f>
        <v/>
      </c>
    </row>
    <row r="250">
      <c r="A250" s="36">
        <f>IF('Enrollment Census'!A250="","",TRIM('Enrollment Census'!A250&amp;""))</f>
        <v/>
      </c>
      <c r="B250" s="36">
        <f>IF('Enrollment Census'!B250="","",TRIM('Enrollment Census'!B250&amp;""))</f>
        <v/>
      </c>
      <c r="C250" s="37">
        <f>IF('Enrollment Census'!C250="","",TRIM('Enrollment Census'!C250&amp;""))</f>
        <v/>
      </c>
      <c r="D250" s="37">
        <f>IF('Enrollment Census'!D250="","",TRIM('Enrollment Census'!D250&amp;""))</f>
        <v/>
      </c>
      <c r="E250" s="36">
        <f>IF('Enrollment Census'!E250="","",TRIM('Enrollment Census'!E250&amp;""))</f>
        <v/>
      </c>
      <c r="F250" s="37">
        <f>IF('Enrollment Census'!F250="","",TRIM('Enrollment Census'!F250&amp;""))</f>
        <v/>
      </c>
      <c r="G250" s="37">
        <f>IF('Enrollment Census'!G250="","",TRIM('Enrollment Census'!G250&amp;""))</f>
        <v/>
      </c>
      <c r="H250" s="37">
        <f>IF('Enrollment Census'!H250="","",TRIM('Enrollment Census'!H250&amp;""))</f>
        <v/>
      </c>
      <c r="I250" s="36">
        <f>IF('Enrollment Census'!I250="","",TRIM('Enrollment Census'!I250&amp;""))</f>
        <v/>
      </c>
      <c r="J250" s="36">
        <f>IF('Enrollment Census'!J250="","",TRIM('Enrollment Census'!J250&amp;""))</f>
        <v/>
      </c>
      <c r="K250" s="36">
        <f>IF('Enrollment Census'!K250="","",TRIM('Enrollment Census'!K250&amp;""))</f>
        <v/>
      </c>
      <c r="L250" s="38">
        <f>IF('Enrollment Census'!L250="","",'Enrollment Census'!L250)</f>
        <v/>
      </c>
      <c r="M250" s="36">
        <f>IF('Enrollment Census'!M250="","",TRIM('Enrollment Census'!M250&amp;""))</f>
        <v/>
      </c>
      <c r="N250" s="36">
        <f>IF('Enrollment Census'!N250="","",LOWER(TRIM('Enrollment Census'!N250&amp;"")))</f>
        <v/>
      </c>
      <c r="O250" s="36">
        <f>IF('Enrollment Census'!O250="","",TRIM('Enrollment Census'!O250&amp;""))</f>
        <v/>
      </c>
      <c r="P250" s="38">
        <f>IF('Enrollment Census'!P250="","",'Enrollment Census'!P250)</f>
        <v/>
      </c>
      <c r="Q250" s="38">
        <f>IF('Enrollment Census'!Q250="","",'Enrollment Census'!Q250)</f>
        <v/>
      </c>
      <c r="R250" s="36">
        <f>IF('Enrollment Census'!R250="","",TRIM('Enrollment Census'!R250&amp;""))</f>
        <v/>
      </c>
      <c r="S250" s="36">
        <f>IF('Enrollment Census'!S250="","",TRIM('Enrollment Census'!S250&amp;""))</f>
        <v/>
      </c>
      <c r="T250" s="36">
        <f>IF('Enrollment Census'!T250="","",TRIM('Enrollment Census'!T250&amp;""))</f>
        <v/>
      </c>
      <c r="U250" s="39">
        <f>IF('Enrollment Census'!U250="","",'Enrollment Census'!U250)</f>
        <v/>
      </c>
    </row>
    <row r="251">
      <c r="A251" s="36">
        <f>IF('Enrollment Census'!A251="","",TRIM('Enrollment Census'!A251&amp;""))</f>
        <v/>
      </c>
      <c r="B251" s="36">
        <f>IF('Enrollment Census'!B251="","",TRIM('Enrollment Census'!B251&amp;""))</f>
        <v/>
      </c>
      <c r="C251" s="37">
        <f>IF('Enrollment Census'!C251="","",TRIM('Enrollment Census'!C251&amp;""))</f>
        <v/>
      </c>
      <c r="D251" s="37">
        <f>IF('Enrollment Census'!D251="","",TRIM('Enrollment Census'!D251&amp;""))</f>
        <v/>
      </c>
      <c r="E251" s="36">
        <f>IF('Enrollment Census'!E251="","",TRIM('Enrollment Census'!E251&amp;""))</f>
        <v/>
      </c>
      <c r="F251" s="37">
        <f>IF('Enrollment Census'!F251="","",TRIM('Enrollment Census'!F251&amp;""))</f>
        <v/>
      </c>
      <c r="G251" s="37">
        <f>IF('Enrollment Census'!G251="","",TRIM('Enrollment Census'!G251&amp;""))</f>
        <v/>
      </c>
      <c r="H251" s="37">
        <f>IF('Enrollment Census'!H251="","",TRIM('Enrollment Census'!H251&amp;""))</f>
        <v/>
      </c>
      <c r="I251" s="36">
        <f>IF('Enrollment Census'!I251="","",TRIM('Enrollment Census'!I251&amp;""))</f>
        <v/>
      </c>
      <c r="J251" s="36">
        <f>IF('Enrollment Census'!J251="","",TRIM('Enrollment Census'!J251&amp;""))</f>
        <v/>
      </c>
      <c r="K251" s="36">
        <f>IF('Enrollment Census'!K251="","",TRIM('Enrollment Census'!K251&amp;""))</f>
        <v/>
      </c>
      <c r="L251" s="38">
        <f>IF('Enrollment Census'!L251="","",'Enrollment Census'!L251)</f>
        <v/>
      </c>
      <c r="M251" s="36">
        <f>IF('Enrollment Census'!M251="","",TRIM('Enrollment Census'!M251&amp;""))</f>
        <v/>
      </c>
      <c r="N251" s="36">
        <f>IF('Enrollment Census'!N251="","",LOWER(TRIM('Enrollment Census'!N251&amp;"")))</f>
        <v/>
      </c>
      <c r="O251" s="36">
        <f>IF('Enrollment Census'!O251="","",TRIM('Enrollment Census'!O251&amp;""))</f>
        <v/>
      </c>
      <c r="P251" s="38">
        <f>IF('Enrollment Census'!P251="","",'Enrollment Census'!P251)</f>
        <v/>
      </c>
      <c r="Q251" s="38">
        <f>IF('Enrollment Census'!Q251="","",'Enrollment Census'!Q251)</f>
        <v/>
      </c>
      <c r="R251" s="36">
        <f>IF('Enrollment Census'!R251="","",TRIM('Enrollment Census'!R251&amp;""))</f>
        <v/>
      </c>
      <c r="S251" s="36">
        <f>IF('Enrollment Census'!S251="","",TRIM('Enrollment Census'!S251&amp;""))</f>
        <v/>
      </c>
      <c r="T251" s="36">
        <f>IF('Enrollment Census'!T251="","",TRIM('Enrollment Census'!T251&amp;""))</f>
        <v/>
      </c>
      <c r="U251" s="39">
        <f>IF('Enrollment Census'!U251="","",'Enrollment Census'!U251)</f>
        <v/>
      </c>
    </row>
    <row r="252">
      <c r="A252" s="36">
        <f>IF('Enrollment Census'!A252="","",TRIM('Enrollment Census'!A252&amp;""))</f>
        <v/>
      </c>
      <c r="B252" s="36">
        <f>IF('Enrollment Census'!B252="","",TRIM('Enrollment Census'!B252&amp;""))</f>
        <v/>
      </c>
      <c r="C252" s="37">
        <f>IF('Enrollment Census'!C252="","",TRIM('Enrollment Census'!C252&amp;""))</f>
        <v/>
      </c>
      <c r="D252" s="37">
        <f>IF('Enrollment Census'!D252="","",TRIM('Enrollment Census'!D252&amp;""))</f>
        <v/>
      </c>
      <c r="E252" s="36">
        <f>IF('Enrollment Census'!E252="","",TRIM('Enrollment Census'!E252&amp;""))</f>
        <v/>
      </c>
      <c r="F252" s="37">
        <f>IF('Enrollment Census'!F252="","",TRIM('Enrollment Census'!F252&amp;""))</f>
        <v/>
      </c>
      <c r="G252" s="37">
        <f>IF('Enrollment Census'!G252="","",TRIM('Enrollment Census'!G252&amp;""))</f>
        <v/>
      </c>
      <c r="H252" s="37">
        <f>IF('Enrollment Census'!H252="","",TRIM('Enrollment Census'!H252&amp;""))</f>
        <v/>
      </c>
      <c r="I252" s="36">
        <f>IF('Enrollment Census'!I252="","",TRIM('Enrollment Census'!I252&amp;""))</f>
        <v/>
      </c>
      <c r="J252" s="36">
        <f>IF('Enrollment Census'!J252="","",TRIM('Enrollment Census'!J252&amp;""))</f>
        <v/>
      </c>
      <c r="K252" s="36">
        <f>IF('Enrollment Census'!K252="","",TRIM('Enrollment Census'!K252&amp;""))</f>
        <v/>
      </c>
      <c r="L252" s="38">
        <f>IF('Enrollment Census'!L252="","",'Enrollment Census'!L252)</f>
        <v/>
      </c>
      <c r="M252" s="36">
        <f>IF('Enrollment Census'!M252="","",TRIM('Enrollment Census'!M252&amp;""))</f>
        <v/>
      </c>
      <c r="N252" s="36">
        <f>IF('Enrollment Census'!N252="","",LOWER(TRIM('Enrollment Census'!N252&amp;"")))</f>
        <v/>
      </c>
      <c r="O252" s="36">
        <f>IF('Enrollment Census'!O252="","",TRIM('Enrollment Census'!O252&amp;""))</f>
        <v/>
      </c>
      <c r="P252" s="38">
        <f>IF('Enrollment Census'!P252="","",'Enrollment Census'!P252)</f>
        <v/>
      </c>
      <c r="Q252" s="38">
        <f>IF('Enrollment Census'!Q252="","",'Enrollment Census'!Q252)</f>
        <v/>
      </c>
      <c r="R252" s="36">
        <f>IF('Enrollment Census'!R252="","",TRIM('Enrollment Census'!R252&amp;""))</f>
        <v/>
      </c>
      <c r="S252" s="36">
        <f>IF('Enrollment Census'!S252="","",TRIM('Enrollment Census'!S252&amp;""))</f>
        <v/>
      </c>
      <c r="T252" s="36">
        <f>IF('Enrollment Census'!T252="","",TRIM('Enrollment Census'!T252&amp;""))</f>
        <v/>
      </c>
      <c r="U252" s="39">
        <f>IF('Enrollment Census'!U252="","",'Enrollment Census'!U252)</f>
        <v/>
      </c>
    </row>
    <row r="253">
      <c r="A253" s="36">
        <f>IF('Enrollment Census'!A253="","",TRIM('Enrollment Census'!A253&amp;""))</f>
        <v/>
      </c>
      <c r="B253" s="36">
        <f>IF('Enrollment Census'!B253="","",TRIM('Enrollment Census'!B253&amp;""))</f>
        <v/>
      </c>
      <c r="C253" s="37">
        <f>IF('Enrollment Census'!C253="","",TRIM('Enrollment Census'!C253&amp;""))</f>
        <v/>
      </c>
      <c r="D253" s="37">
        <f>IF('Enrollment Census'!D253="","",TRIM('Enrollment Census'!D253&amp;""))</f>
        <v/>
      </c>
      <c r="E253" s="36">
        <f>IF('Enrollment Census'!E253="","",TRIM('Enrollment Census'!E253&amp;""))</f>
        <v/>
      </c>
      <c r="F253" s="37">
        <f>IF('Enrollment Census'!F253="","",TRIM('Enrollment Census'!F253&amp;""))</f>
        <v/>
      </c>
      <c r="G253" s="37">
        <f>IF('Enrollment Census'!G253="","",TRIM('Enrollment Census'!G253&amp;""))</f>
        <v/>
      </c>
      <c r="H253" s="37">
        <f>IF('Enrollment Census'!H253="","",TRIM('Enrollment Census'!H253&amp;""))</f>
        <v/>
      </c>
      <c r="I253" s="36">
        <f>IF('Enrollment Census'!I253="","",TRIM('Enrollment Census'!I253&amp;""))</f>
        <v/>
      </c>
      <c r="J253" s="36">
        <f>IF('Enrollment Census'!J253="","",TRIM('Enrollment Census'!J253&amp;""))</f>
        <v/>
      </c>
      <c r="K253" s="36">
        <f>IF('Enrollment Census'!K253="","",TRIM('Enrollment Census'!K253&amp;""))</f>
        <v/>
      </c>
      <c r="L253" s="38">
        <f>IF('Enrollment Census'!L253="","",'Enrollment Census'!L253)</f>
        <v/>
      </c>
      <c r="M253" s="36">
        <f>IF('Enrollment Census'!M253="","",TRIM('Enrollment Census'!M253&amp;""))</f>
        <v/>
      </c>
      <c r="N253" s="36">
        <f>IF('Enrollment Census'!N253="","",LOWER(TRIM('Enrollment Census'!N253&amp;"")))</f>
        <v/>
      </c>
      <c r="O253" s="36">
        <f>IF('Enrollment Census'!O253="","",TRIM('Enrollment Census'!O253&amp;""))</f>
        <v/>
      </c>
      <c r="P253" s="38">
        <f>IF('Enrollment Census'!P253="","",'Enrollment Census'!P253)</f>
        <v/>
      </c>
      <c r="Q253" s="38">
        <f>IF('Enrollment Census'!Q253="","",'Enrollment Census'!Q253)</f>
        <v/>
      </c>
      <c r="R253" s="36">
        <f>IF('Enrollment Census'!R253="","",TRIM('Enrollment Census'!R253&amp;""))</f>
        <v/>
      </c>
      <c r="S253" s="36">
        <f>IF('Enrollment Census'!S253="","",TRIM('Enrollment Census'!S253&amp;""))</f>
        <v/>
      </c>
      <c r="T253" s="36">
        <f>IF('Enrollment Census'!T253="","",TRIM('Enrollment Census'!T253&amp;""))</f>
        <v/>
      </c>
      <c r="U253" s="39">
        <f>IF('Enrollment Census'!U253="","",'Enrollment Census'!U253)</f>
        <v/>
      </c>
    </row>
    <row r="254">
      <c r="A254" s="36">
        <f>IF('Enrollment Census'!A254="","",TRIM('Enrollment Census'!A254&amp;""))</f>
        <v/>
      </c>
      <c r="B254" s="36">
        <f>IF('Enrollment Census'!B254="","",TRIM('Enrollment Census'!B254&amp;""))</f>
        <v/>
      </c>
      <c r="C254" s="37">
        <f>IF('Enrollment Census'!C254="","",TRIM('Enrollment Census'!C254&amp;""))</f>
        <v/>
      </c>
      <c r="D254" s="37">
        <f>IF('Enrollment Census'!D254="","",TRIM('Enrollment Census'!D254&amp;""))</f>
        <v/>
      </c>
      <c r="E254" s="36">
        <f>IF('Enrollment Census'!E254="","",TRIM('Enrollment Census'!E254&amp;""))</f>
        <v/>
      </c>
      <c r="F254" s="37">
        <f>IF('Enrollment Census'!F254="","",TRIM('Enrollment Census'!F254&amp;""))</f>
        <v/>
      </c>
      <c r="G254" s="37">
        <f>IF('Enrollment Census'!G254="","",TRIM('Enrollment Census'!G254&amp;""))</f>
        <v/>
      </c>
      <c r="H254" s="37">
        <f>IF('Enrollment Census'!H254="","",TRIM('Enrollment Census'!H254&amp;""))</f>
        <v/>
      </c>
      <c r="I254" s="36">
        <f>IF('Enrollment Census'!I254="","",TRIM('Enrollment Census'!I254&amp;""))</f>
        <v/>
      </c>
      <c r="J254" s="36">
        <f>IF('Enrollment Census'!J254="","",TRIM('Enrollment Census'!J254&amp;""))</f>
        <v/>
      </c>
      <c r="K254" s="36">
        <f>IF('Enrollment Census'!K254="","",TRIM('Enrollment Census'!K254&amp;""))</f>
        <v/>
      </c>
      <c r="L254" s="38">
        <f>IF('Enrollment Census'!L254="","",'Enrollment Census'!L254)</f>
        <v/>
      </c>
      <c r="M254" s="36">
        <f>IF('Enrollment Census'!M254="","",TRIM('Enrollment Census'!M254&amp;""))</f>
        <v/>
      </c>
      <c r="N254" s="36">
        <f>IF('Enrollment Census'!N254="","",LOWER(TRIM('Enrollment Census'!N254&amp;"")))</f>
        <v/>
      </c>
      <c r="O254" s="36">
        <f>IF('Enrollment Census'!O254="","",TRIM('Enrollment Census'!O254&amp;""))</f>
        <v/>
      </c>
      <c r="P254" s="38">
        <f>IF('Enrollment Census'!P254="","",'Enrollment Census'!P254)</f>
        <v/>
      </c>
      <c r="Q254" s="38">
        <f>IF('Enrollment Census'!Q254="","",'Enrollment Census'!Q254)</f>
        <v/>
      </c>
      <c r="R254" s="36">
        <f>IF('Enrollment Census'!R254="","",TRIM('Enrollment Census'!R254&amp;""))</f>
        <v/>
      </c>
      <c r="S254" s="36">
        <f>IF('Enrollment Census'!S254="","",TRIM('Enrollment Census'!S254&amp;""))</f>
        <v/>
      </c>
      <c r="T254" s="36">
        <f>IF('Enrollment Census'!T254="","",TRIM('Enrollment Census'!T254&amp;""))</f>
        <v/>
      </c>
      <c r="U254" s="39">
        <f>IF('Enrollment Census'!U254="","",'Enrollment Census'!U254)</f>
        <v/>
      </c>
    </row>
    <row r="255">
      <c r="A255" s="36">
        <f>IF('Enrollment Census'!A255="","",TRIM('Enrollment Census'!A255&amp;""))</f>
        <v/>
      </c>
      <c r="B255" s="36">
        <f>IF('Enrollment Census'!B255="","",TRIM('Enrollment Census'!B255&amp;""))</f>
        <v/>
      </c>
      <c r="C255" s="37">
        <f>IF('Enrollment Census'!C255="","",TRIM('Enrollment Census'!C255&amp;""))</f>
        <v/>
      </c>
      <c r="D255" s="37">
        <f>IF('Enrollment Census'!D255="","",TRIM('Enrollment Census'!D255&amp;""))</f>
        <v/>
      </c>
      <c r="E255" s="36">
        <f>IF('Enrollment Census'!E255="","",TRIM('Enrollment Census'!E255&amp;""))</f>
        <v/>
      </c>
      <c r="F255" s="37">
        <f>IF('Enrollment Census'!F255="","",TRIM('Enrollment Census'!F255&amp;""))</f>
        <v/>
      </c>
      <c r="G255" s="37">
        <f>IF('Enrollment Census'!G255="","",TRIM('Enrollment Census'!G255&amp;""))</f>
        <v/>
      </c>
      <c r="H255" s="37">
        <f>IF('Enrollment Census'!H255="","",TRIM('Enrollment Census'!H255&amp;""))</f>
        <v/>
      </c>
      <c r="I255" s="36">
        <f>IF('Enrollment Census'!I255="","",TRIM('Enrollment Census'!I255&amp;""))</f>
        <v/>
      </c>
      <c r="J255" s="36">
        <f>IF('Enrollment Census'!J255="","",TRIM('Enrollment Census'!J255&amp;""))</f>
        <v/>
      </c>
      <c r="K255" s="36">
        <f>IF('Enrollment Census'!K255="","",TRIM('Enrollment Census'!K255&amp;""))</f>
        <v/>
      </c>
      <c r="L255" s="38">
        <f>IF('Enrollment Census'!L255="","",'Enrollment Census'!L255)</f>
        <v/>
      </c>
      <c r="M255" s="36">
        <f>IF('Enrollment Census'!M255="","",TRIM('Enrollment Census'!M255&amp;""))</f>
        <v/>
      </c>
      <c r="N255" s="36">
        <f>IF('Enrollment Census'!N255="","",LOWER(TRIM('Enrollment Census'!N255&amp;"")))</f>
        <v/>
      </c>
      <c r="O255" s="36">
        <f>IF('Enrollment Census'!O255="","",TRIM('Enrollment Census'!O255&amp;""))</f>
        <v/>
      </c>
      <c r="P255" s="38">
        <f>IF('Enrollment Census'!P255="","",'Enrollment Census'!P255)</f>
        <v/>
      </c>
      <c r="Q255" s="38">
        <f>IF('Enrollment Census'!Q255="","",'Enrollment Census'!Q255)</f>
        <v/>
      </c>
      <c r="R255" s="36">
        <f>IF('Enrollment Census'!R255="","",TRIM('Enrollment Census'!R255&amp;""))</f>
        <v/>
      </c>
      <c r="S255" s="36">
        <f>IF('Enrollment Census'!S255="","",TRIM('Enrollment Census'!S255&amp;""))</f>
        <v/>
      </c>
      <c r="T255" s="36">
        <f>IF('Enrollment Census'!T255="","",TRIM('Enrollment Census'!T255&amp;""))</f>
        <v/>
      </c>
      <c r="U255" s="39">
        <f>IF('Enrollment Census'!U255="","",'Enrollment Census'!U255)</f>
        <v/>
      </c>
    </row>
    <row r="256">
      <c r="A256" s="36">
        <f>IF('Enrollment Census'!A256="","",TRIM('Enrollment Census'!A256&amp;""))</f>
        <v/>
      </c>
      <c r="B256" s="36">
        <f>IF('Enrollment Census'!B256="","",TRIM('Enrollment Census'!B256&amp;""))</f>
        <v/>
      </c>
      <c r="C256" s="37">
        <f>IF('Enrollment Census'!C256="","",TRIM('Enrollment Census'!C256&amp;""))</f>
        <v/>
      </c>
      <c r="D256" s="37">
        <f>IF('Enrollment Census'!D256="","",TRIM('Enrollment Census'!D256&amp;""))</f>
        <v/>
      </c>
      <c r="E256" s="36">
        <f>IF('Enrollment Census'!E256="","",TRIM('Enrollment Census'!E256&amp;""))</f>
        <v/>
      </c>
      <c r="F256" s="37">
        <f>IF('Enrollment Census'!F256="","",TRIM('Enrollment Census'!F256&amp;""))</f>
        <v/>
      </c>
      <c r="G256" s="37">
        <f>IF('Enrollment Census'!G256="","",TRIM('Enrollment Census'!G256&amp;""))</f>
        <v/>
      </c>
      <c r="H256" s="37">
        <f>IF('Enrollment Census'!H256="","",TRIM('Enrollment Census'!H256&amp;""))</f>
        <v/>
      </c>
      <c r="I256" s="36">
        <f>IF('Enrollment Census'!I256="","",TRIM('Enrollment Census'!I256&amp;""))</f>
        <v/>
      </c>
      <c r="J256" s="36">
        <f>IF('Enrollment Census'!J256="","",TRIM('Enrollment Census'!J256&amp;""))</f>
        <v/>
      </c>
      <c r="K256" s="36">
        <f>IF('Enrollment Census'!K256="","",TRIM('Enrollment Census'!K256&amp;""))</f>
        <v/>
      </c>
      <c r="L256" s="38">
        <f>IF('Enrollment Census'!L256="","",'Enrollment Census'!L256)</f>
        <v/>
      </c>
      <c r="M256" s="36">
        <f>IF('Enrollment Census'!M256="","",TRIM('Enrollment Census'!M256&amp;""))</f>
        <v/>
      </c>
      <c r="N256" s="36">
        <f>IF('Enrollment Census'!N256="","",LOWER(TRIM('Enrollment Census'!N256&amp;"")))</f>
        <v/>
      </c>
      <c r="O256" s="36">
        <f>IF('Enrollment Census'!O256="","",TRIM('Enrollment Census'!O256&amp;""))</f>
        <v/>
      </c>
      <c r="P256" s="38">
        <f>IF('Enrollment Census'!P256="","",'Enrollment Census'!P256)</f>
        <v/>
      </c>
      <c r="Q256" s="38">
        <f>IF('Enrollment Census'!Q256="","",'Enrollment Census'!Q256)</f>
        <v/>
      </c>
      <c r="R256" s="36">
        <f>IF('Enrollment Census'!R256="","",TRIM('Enrollment Census'!R256&amp;""))</f>
        <v/>
      </c>
      <c r="S256" s="36">
        <f>IF('Enrollment Census'!S256="","",TRIM('Enrollment Census'!S256&amp;""))</f>
        <v/>
      </c>
      <c r="T256" s="36">
        <f>IF('Enrollment Census'!T256="","",TRIM('Enrollment Census'!T256&amp;""))</f>
        <v/>
      </c>
      <c r="U256" s="39">
        <f>IF('Enrollment Census'!U256="","",'Enrollment Census'!U256)</f>
        <v/>
      </c>
    </row>
    <row r="257">
      <c r="A257" s="36">
        <f>IF('Enrollment Census'!A257="","",TRIM('Enrollment Census'!A257&amp;""))</f>
        <v/>
      </c>
      <c r="B257" s="36">
        <f>IF('Enrollment Census'!B257="","",TRIM('Enrollment Census'!B257&amp;""))</f>
        <v/>
      </c>
      <c r="C257" s="37">
        <f>IF('Enrollment Census'!C257="","",TRIM('Enrollment Census'!C257&amp;""))</f>
        <v/>
      </c>
      <c r="D257" s="37">
        <f>IF('Enrollment Census'!D257="","",TRIM('Enrollment Census'!D257&amp;""))</f>
        <v/>
      </c>
      <c r="E257" s="36">
        <f>IF('Enrollment Census'!E257="","",TRIM('Enrollment Census'!E257&amp;""))</f>
        <v/>
      </c>
      <c r="F257" s="37">
        <f>IF('Enrollment Census'!F257="","",TRIM('Enrollment Census'!F257&amp;""))</f>
        <v/>
      </c>
      <c r="G257" s="37">
        <f>IF('Enrollment Census'!G257="","",TRIM('Enrollment Census'!G257&amp;""))</f>
        <v/>
      </c>
      <c r="H257" s="37">
        <f>IF('Enrollment Census'!H257="","",TRIM('Enrollment Census'!H257&amp;""))</f>
        <v/>
      </c>
      <c r="I257" s="36">
        <f>IF('Enrollment Census'!I257="","",TRIM('Enrollment Census'!I257&amp;""))</f>
        <v/>
      </c>
      <c r="J257" s="36">
        <f>IF('Enrollment Census'!J257="","",TRIM('Enrollment Census'!J257&amp;""))</f>
        <v/>
      </c>
      <c r="K257" s="36">
        <f>IF('Enrollment Census'!K257="","",TRIM('Enrollment Census'!K257&amp;""))</f>
        <v/>
      </c>
      <c r="L257" s="38">
        <f>IF('Enrollment Census'!L257="","",'Enrollment Census'!L257)</f>
        <v/>
      </c>
      <c r="M257" s="36">
        <f>IF('Enrollment Census'!M257="","",TRIM('Enrollment Census'!M257&amp;""))</f>
        <v/>
      </c>
      <c r="N257" s="36">
        <f>IF('Enrollment Census'!N257="","",LOWER(TRIM('Enrollment Census'!N257&amp;"")))</f>
        <v/>
      </c>
      <c r="O257" s="36">
        <f>IF('Enrollment Census'!O257="","",TRIM('Enrollment Census'!O257&amp;""))</f>
        <v/>
      </c>
      <c r="P257" s="38">
        <f>IF('Enrollment Census'!P257="","",'Enrollment Census'!P257)</f>
        <v/>
      </c>
      <c r="Q257" s="38">
        <f>IF('Enrollment Census'!Q257="","",'Enrollment Census'!Q257)</f>
        <v/>
      </c>
      <c r="R257" s="36">
        <f>IF('Enrollment Census'!R257="","",TRIM('Enrollment Census'!R257&amp;""))</f>
        <v/>
      </c>
      <c r="S257" s="36">
        <f>IF('Enrollment Census'!S257="","",TRIM('Enrollment Census'!S257&amp;""))</f>
        <v/>
      </c>
      <c r="T257" s="36">
        <f>IF('Enrollment Census'!T257="","",TRIM('Enrollment Census'!T257&amp;""))</f>
        <v/>
      </c>
      <c r="U257" s="39">
        <f>IF('Enrollment Census'!U257="","",'Enrollment Census'!U257)</f>
        <v/>
      </c>
    </row>
    <row r="258">
      <c r="A258" s="36">
        <f>IF('Enrollment Census'!A258="","",TRIM('Enrollment Census'!A258&amp;""))</f>
        <v/>
      </c>
      <c r="B258" s="36">
        <f>IF('Enrollment Census'!B258="","",TRIM('Enrollment Census'!B258&amp;""))</f>
        <v/>
      </c>
      <c r="C258" s="37">
        <f>IF('Enrollment Census'!C258="","",TRIM('Enrollment Census'!C258&amp;""))</f>
        <v/>
      </c>
      <c r="D258" s="37">
        <f>IF('Enrollment Census'!D258="","",TRIM('Enrollment Census'!D258&amp;""))</f>
        <v/>
      </c>
      <c r="E258" s="36">
        <f>IF('Enrollment Census'!E258="","",TRIM('Enrollment Census'!E258&amp;""))</f>
        <v/>
      </c>
      <c r="F258" s="37">
        <f>IF('Enrollment Census'!F258="","",TRIM('Enrollment Census'!F258&amp;""))</f>
        <v/>
      </c>
      <c r="G258" s="37">
        <f>IF('Enrollment Census'!G258="","",TRIM('Enrollment Census'!G258&amp;""))</f>
        <v/>
      </c>
      <c r="H258" s="37">
        <f>IF('Enrollment Census'!H258="","",TRIM('Enrollment Census'!H258&amp;""))</f>
        <v/>
      </c>
      <c r="I258" s="36">
        <f>IF('Enrollment Census'!I258="","",TRIM('Enrollment Census'!I258&amp;""))</f>
        <v/>
      </c>
      <c r="J258" s="36">
        <f>IF('Enrollment Census'!J258="","",TRIM('Enrollment Census'!J258&amp;""))</f>
        <v/>
      </c>
      <c r="K258" s="36">
        <f>IF('Enrollment Census'!K258="","",TRIM('Enrollment Census'!K258&amp;""))</f>
        <v/>
      </c>
      <c r="L258" s="38">
        <f>IF('Enrollment Census'!L258="","",'Enrollment Census'!L258)</f>
        <v/>
      </c>
      <c r="M258" s="36">
        <f>IF('Enrollment Census'!M258="","",TRIM('Enrollment Census'!M258&amp;""))</f>
        <v/>
      </c>
      <c r="N258" s="36">
        <f>IF('Enrollment Census'!N258="","",LOWER(TRIM('Enrollment Census'!N258&amp;"")))</f>
        <v/>
      </c>
      <c r="O258" s="36">
        <f>IF('Enrollment Census'!O258="","",TRIM('Enrollment Census'!O258&amp;""))</f>
        <v/>
      </c>
      <c r="P258" s="38">
        <f>IF('Enrollment Census'!P258="","",'Enrollment Census'!P258)</f>
        <v/>
      </c>
      <c r="Q258" s="38">
        <f>IF('Enrollment Census'!Q258="","",'Enrollment Census'!Q258)</f>
        <v/>
      </c>
      <c r="R258" s="36">
        <f>IF('Enrollment Census'!R258="","",TRIM('Enrollment Census'!R258&amp;""))</f>
        <v/>
      </c>
      <c r="S258" s="36">
        <f>IF('Enrollment Census'!S258="","",TRIM('Enrollment Census'!S258&amp;""))</f>
        <v/>
      </c>
      <c r="T258" s="36">
        <f>IF('Enrollment Census'!T258="","",TRIM('Enrollment Census'!T258&amp;""))</f>
        <v/>
      </c>
      <c r="U258" s="39">
        <f>IF('Enrollment Census'!U258="","",'Enrollment Census'!U258)</f>
        <v/>
      </c>
    </row>
    <row r="259">
      <c r="A259" s="36">
        <f>IF('Enrollment Census'!A259="","",TRIM('Enrollment Census'!A259&amp;""))</f>
        <v/>
      </c>
      <c r="B259" s="36">
        <f>IF('Enrollment Census'!B259="","",TRIM('Enrollment Census'!B259&amp;""))</f>
        <v/>
      </c>
      <c r="C259" s="37">
        <f>IF('Enrollment Census'!C259="","",TRIM('Enrollment Census'!C259&amp;""))</f>
        <v/>
      </c>
      <c r="D259" s="37">
        <f>IF('Enrollment Census'!D259="","",TRIM('Enrollment Census'!D259&amp;""))</f>
        <v/>
      </c>
      <c r="E259" s="36">
        <f>IF('Enrollment Census'!E259="","",TRIM('Enrollment Census'!E259&amp;""))</f>
        <v/>
      </c>
      <c r="F259" s="37">
        <f>IF('Enrollment Census'!F259="","",TRIM('Enrollment Census'!F259&amp;""))</f>
        <v/>
      </c>
      <c r="G259" s="37">
        <f>IF('Enrollment Census'!G259="","",TRIM('Enrollment Census'!G259&amp;""))</f>
        <v/>
      </c>
      <c r="H259" s="37">
        <f>IF('Enrollment Census'!H259="","",TRIM('Enrollment Census'!H259&amp;""))</f>
        <v/>
      </c>
      <c r="I259" s="36">
        <f>IF('Enrollment Census'!I259="","",TRIM('Enrollment Census'!I259&amp;""))</f>
        <v/>
      </c>
      <c r="J259" s="36">
        <f>IF('Enrollment Census'!J259="","",TRIM('Enrollment Census'!J259&amp;""))</f>
        <v/>
      </c>
      <c r="K259" s="36">
        <f>IF('Enrollment Census'!K259="","",TRIM('Enrollment Census'!K259&amp;""))</f>
        <v/>
      </c>
      <c r="L259" s="38">
        <f>IF('Enrollment Census'!L259="","",'Enrollment Census'!L259)</f>
        <v/>
      </c>
      <c r="M259" s="36">
        <f>IF('Enrollment Census'!M259="","",TRIM('Enrollment Census'!M259&amp;""))</f>
        <v/>
      </c>
      <c r="N259" s="36">
        <f>IF('Enrollment Census'!N259="","",LOWER(TRIM('Enrollment Census'!N259&amp;"")))</f>
        <v/>
      </c>
      <c r="O259" s="36">
        <f>IF('Enrollment Census'!O259="","",TRIM('Enrollment Census'!O259&amp;""))</f>
        <v/>
      </c>
      <c r="P259" s="38">
        <f>IF('Enrollment Census'!P259="","",'Enrollment Census'!P259)</f>
        <v/>
      </c>
      <c r="Q259" s="38">
        <f>IF('Enrollment Census'!Q259="","",'Enrollment Census'!Q259)</f>
        <v/>
      </c>
      <c r="R259" s="36">
        <f>IF('Enrollment Census'!R259="","",TRIM('Enrollment Census'!R259&amp;""))</f>
        <v/>
      </c>
      <c r="S259" s="36">
        <f>IF('Enrollment Census'!S259="","",TRIM('Enrollment Census'!S259&amp;""))</f>
        <v/>
      </c>
      <c r="T259" s="36">
        <f>IF('Enrollment Census'!T259="","",TRIM('Enrollment Census'!T259&amp;""))</f>
        <v/>
      </c>
      <c r="U259" s="39">
        <f>IF('Enrollment Census'!U259="","",'Enrollment Census'!U259)</f>
        <v/>
      </c>
    </row>
    <row r="260">
      <c r="A260" s="36">
        <f>IF('Enrollment Census'!A260="","",TRIM('Enrollment Census'!A260&amp;""))</f>
        <v/>
      </c>
      <c r="B260" s="36">
        <f>IF('Enrollment Census'!B260="","",TRIM('Enrollment Census'!B260&amp;""))</f>
        <v/>
      </c>
      <c r="C260" s="37">
        <f>IF('Enrollment Census'!C260="","",TRIM('Enrollment Census'!C260&amp;""))</f>
        <v/>
      </c>
      <c r="D260" s="37">
        <f>IF('Enrollment Census'!D260="","",TRIM('Enrollment Census'!D260&amp;""))</f>
        <v/>
      </c>
      <c r="E260" s="36">
        <f>IF('Enrollment Census'!E260="","",TRIM('Enrollment Census'!E260&amp;""))</f>
        <v/>
      </c>
      <c r="F260" s="37">
        <f>IF('Enrollment Census'!F260="","",TRIM('Enrollment Census'!F260&amp;""))</f>
        <v/>
      </c>
      <c r="G260" s="37">
        <f>IF('Enrollment Census'!G260="","",TRIM('Enrollment Census'!G260&amp;""))</f>
        <v/>
      </c>
      <c r="H260" s="37">
        <f>IF('Enrollment Census'!H260="","",TRIM('Enrollment Census'!H260&amp;""))</f>
        <v/>
      </c>
      <c r="I260" s="36">
        <f>IF('Enrollment Census'!I260="","",TRIM('Enrollment Census'!I260&amp;""))</f>
        <v/>
      </c>
      <c r="J260" s="36">
        <f>IF('Enrollment Census'!J260="","",TRIM('Enrollment Census'!J260&amp;""))</f>
        <v/>
      </c>
      <c r="K260" s="36">
        <f>IF('Enrollment Census'!K260="","",TRIM('Enrollment Census'!K260&amp;""))</f>
        <v/>
      </c>
      <c r="L260" s="38">
        <f>IF('Enrollment Census'!L260="","",'Enrollment Census'!L260)</f>
        <v/>
      </c>
      <c r="M260" s="36">
        <f>IF('Enrollment Census'!M260="","",TRIM('Enrollment Census'!M260&amp;""))</f>
        <v/>
      </c>
      <c r="N260" s="36">
        <f>IF('Enrollment Census'!N260="","",LOWER(TRIM('Enrollment Census'!N260&amp;"")))</f>
        <v/>
      </c>
      <c r="O260" s="36">
        <f>IF('Enrollment Census'!O260="","",TRIM('Enrollment Census'!O260&amp;""))</f>
        <v/>
      </c>
      <c r="P260" s="38">
        <f>IF('Enrollment Census'!P260="","",'Enrollment Census'!P260)</f>
        <v/>
      </c>
      <c r="Q260" s="38">
        <f>IF('Enrollment Census'!Q260="","",'Enrollment Census'!Q260)</f>
        <v/>
      </c>
      <c r="R260" s="36">
        <f>IF('Enrollment Census'!R260="","",TRIM('Enrollment Census'!R260&amp;""))</f>
        <v/>
      </c>
      <c r="S260" s="36">
        <f>IF('Enrollment Census'!S260="","",TRIM('Enrollment Census'!S260&amp;""))</f>
        <v/>
      </c>
      <c r="T260" s="36">
        <f>IF('Enrollment Census'!T260="","",TRIM('Enrollment Census'!T260&amp;""))</f>
        <v/>
      </c>
      <c r="U260" s="39">
        <f>IF('Enrollment Census'!U260="","",'Enrollment Census'!U260)</f>
        <v/>
      </c>
    </row>
    <row r="261">
      <c r="A261" s="36">
        <f>IF('Enrollment Census'!A261="","",TRIM('Enrollment Census'!A261&amp;""))</f>
        <v/>
      </c>
      <c r="B261" s="36">
        <f>IF('Enrollment Census'!B261="","",TRIM('Enrollment Census'!B261&amp;""))</f>
        <v/>
      </c>
      <c r="C261" s="37">
        <f>IF('Enrollment Census'!C261="","",TRIM('Enrollment Census'!C261&amp;""))</f>
        <v/>
      </c>
      <c r="D261" s="37">
        <f>IF('Enrollment Census'!D261="","",TRIM('Enrollment Census'!D261&amp;""))</f>
        <v/>
      </c>
      <c r="E261" s="36">
        <f>IF('Enrollment Census'!E261="","",TRIM('Enrollment Census'!E261&amp;""))</f>
        <v/>
      </c>
      <c r="F261" s="37">
        <f>IF('Enrollment Census'!F261="","",TRIM('Enrollment Census'!F261&amp;""))</f>
        <v/>
      </c>
      <c r="G261" s="37">
        <f>IF('Enrollment Census'!G261="","",TRIM('Enrollment Census'!G261&amp;""))</f>
        <v/>
      </c>
      <c r="H261" s="37">
        <f>IF('Enrollment Census'!H261="","",TRIM('Enrollment Census'!H261&amp;""))</f>
        <v/>
      </c>
      <c r="I261" s="36">
        <f>IF('Enrollment Census'!I261="","",TRIM('Enrollment Census'!I261&amp;""))</f>
        <v/>
      </c>
      <c r="J261" s="36">
        <f>IF('Enrollment Census'!J261="","",TRIM('Enrollment Census'!J261&amp;""))</f>
        <v/>
      </c>
      <c r="K261" s="36">
        <f>IF('Enrollment Census'!K261="","",TRIM('Enrollment Census'!K261&amp;""))</f>
        <v/>
      </c>
      <c r="L261" s="38">
        <f>IF('Enrollment Census'!L261="","",'Enrollment Census'!L261)</f>
        <v/>
      </c>
      <c r="M261" s="36">
        <f>IF('Enrollment Census'!M261="","",TRIM('Enrollment Census'!M261&amp;""))</f>
        <v/>
      </c>
      <c r="N261" s="36">
        <f>IF('Enrollment Census'!N261="","",LOWER(TRIM('Enrollment Census'!N261&amp;"")))</f>
        <v/>
      </c>
      <c r="O261" s="36">
        <f>IF('Enrollment Census'!O261="","",TRIM('Enrollment Census'!O261&amp;""))</f>
        <v/>
      </c>
      <c r="P261" s="38">
        <f>IF('Enrollment Census'!P261="","",'Enrollment Census'!P261)</f>
        <v/>
      </c>
      <c r="Q261" s="38">
        <f>IF('Enrollment Census'!Q261="","",'Enrollment Census'!Q261)</f>
        <v/>
      </c>
      <c r="R261" s="36">
        <f>IF('Enrollment Census'!R261="","",TRIM('Enrollment Census'!R261&amp;""))</f>
        <v/>
      </c>
      <c r="S261" s="36">
        <f>IF('Enrollment Census'!S261="","",TRIM('Enrollment Census'!S261&amp;""))</f>
        <v/>
      </c>
      <c r="T261" s="36">
        <f>IF('Enrollment Census'!T261="","",TRIM('Enrollment Census'!T261&amp;""))</f>
        <v/>
      </c>
      <c r="U261" s="39">
        <f>IF('Enrollment Census'!U261="","",'Enrollment Census'!U261)</f>
        <v/>
      </c>
    </row>
    <row r="262">
      <c r="A262" s="36">
        <f>IF('Enrollment Census'!A262="","",TRIM('Enrollment Census'!A262&amp;""))</f>
        <v/>
      </c>
      <c r="B262" s="36">
        <f>IF('Enrollment Census'!B262="","",TRIM('Enrollment Census'!B262&amp;""))</f>
        <v/>
      </c>
      <c r="C262" s="37">
        <f>IF('Enrollment Census'!C262="","",TRIM('Enrollment Census'!C262&amp;""))</f>
        <v/>
      </c>
      <c r="D262" s="37">
        <f>IF('Enrollment Census'!D262="","",TRIM('Enrollment Census'!D262&amp;""))</f>
        <v/>
      </c>
      <c r="E262" s="36">
        <f>IF('Enrollment Census'!E262="","",TRIM('Enrollment Census'!E262&amp;""))</f>
        <v/>
      </c>
      <c r="F262" s="37">
        <f>IF('Enrollment Census'!F262="","",TRIM('Enrollment Census'!F262&amp;""))</f>
        <v/>
      </c>
      <c r="G262" s="37">
        <f>IF('Enrollment Census'!G262="","",TRIM('Enrollment Census'!G262&amp;""))</f>
        <v/>
      </c>
      <c r="H262" s="37">
        <f>IF('Enrollment Census'!H262="","",TRIM('Enrollment Census'!H262&amp;""))</f>
        <v/>
      </c>
      <c r="I262" s="36">
        <f>IF('Enrollment Census'!I262="","",TRIM('Enrollment Census'!I262&amp;""))</f>
        <v/>
      </c>
      <c r="J262" s="36">
        <f>IF('Enrollment Census'!J262="","",TRIM('Enrollment Census'!J262&amp;""))</f>
        <v/>
      </c>
      <c r="K262" s="36">
        <f>IF('Enrollment Census'!K262="","",TRIM('Enrollment Census'!K262&amp;""))</f>
        <v/>
      </c>
      <c r="L262" s="38">
        <f>IF('Enrollment Census'!L262="","",'Enrollment Census'!L262)</f>
        <v/>
      </c>
      <c r="M262" s="36">
        <f>IF('Enrollment Census'!M262="","",TRIM('Enrollment Census'!M262&amp;""))</f>
        <v/>
      </c>
      <c r="N262" s="36">
        <f>IF('Enrollment Census'!N262="","",LOWER(TRIM('Enrollment Census'!N262&amp;"")))</f>
        <v/>
      </c>
      <c r="O262" s="36">
        <f>IF('Enrollment Census'!O262="","",TRIM('Enrollment Census'!O262&amp;""))</f>
        <v/>
      </c>
      <c r="P262" s="38">
        <f>IF('Enrollment Census'!P262="","",'Enrollment Census'!P262)</f>
        <v/>
      </c>
      <c r="Q262" s="38">
        <f>IF('Enrollment Census'!Q262="","",'Enrollment Census'!Q262)</f>
        <v/>
      </c>
      <c r="R262" s="36">
        <f>IF('Enrollment Census'!R262="","",TRIM('Enrollment Census'!R262&amp;""))</f>
        <v/>
      </c>
      <c r="S262" s="36">
        <f>IF('Enrollment Census'!S262="","",TRIM('Enrollment Census'!S262&amp;""))</f>
        <v/>
      </c>
      <c r="T262" s="36">
        <f>IF('Enrollment Census'!T262="","",TRIM('Enrollment Census'!T262&amp;""))</f>
        <v/>
      </c>
      <c r="U262" s="39">
        <f>IF('Enrollment Census'!U262="","",'Enrollment Census'!U262)</f>
        <v/>
      </c>
    </row>
    <row r="263">
      <c r="A263" s="36">
        <f>IF('Enrollment Census'!A263="","",TRIM('Enrollment Census'!A263&amp;""))</f>
        <v/>
      </c>
      <c r="B263" s="36">
        <f>IF('Enrollment Census'!B263="","",TRIM('Enrollment Census'!B263&amp;""))</f>
        <v/>
      </c>
      <c r="C263" s="37">
        <f>IF('Enrollment Census'!C263="","",TRIM('Enrollment Census'!C263&amp;""))</f>
        <v/>
      </c>
      <c r="D263" s="37">
        <f>IF('Enrollment Census'!D263="","",TRIM('Enrollment Census'!D263&amp;""))</f>
        <v/>
      </c>
      <c r="E263" s="36">
        <f>IF('Enrollment Census'!E263="","",TRIM('Enrollment Census'!E263&amp;""))</f>
        <v/>
      </c>
      <c r="F263" s="37">
        <f>IF('Enrollment Census'!F263="","",TRIM('Enrollment Census'!F263&amp;""))</f>
        <v/>
      </c>
      <c r="G263" s="37">
        <f>IF('Enrollment Census'!G263="","",TRIM('Enrollment Census'!G263&amp;""))</f>
        <v/>
      </c>
      <c r="H263" s="37">
        <f>IF('Enrollment Census'!H263="","",TRIM('Enrollment Census'!H263&amp;""))</f>
        <v/>
      </c>
      <c r="I263" s="36">
        <f>IF('Enrollment Census'!I263="","",TRIM('Enrollment Census'!I263&amp;""))</f>
        <v/>
      </c>
      <c r="J263" s="36">
        <f>IF('Enrollment Census'!J263="","",TRIM('Enrollment Census'!J263&amp;""))</f>
        <v/>
      </c>
      <c r="K263" s="36">
        <f>IF('Enrollment Census'!K263="","",TRIM('Enrollment Census'!K263&amp;""))</f>
        <v/>
      </c>
      <c r="L263" s="38">
        <f>IF('Enrollment Census'!L263="","",'Enrollment Census'!L263)</f>
        <v/>
      </c>
      <c r="M263" s="36">
        <f>IF('Enrollment Census'!M263="","",TRIM('Enrollment Census'!M263&amp;""))</f>
        <v/>
      </c>
      <c r="N263" s="36">
        <f>IF('Enrollment Census'!N263="","",LOWER(TRIM('Enrollment Census'!N263&amp;"")))</f>
        <v/>
      </c>
      <c r="O263" s="36">
        <f>IF('Enrollment Census'!O263="","",TRIM('Enrollment Census'!O263&amp;""))</f>
        <v/>
      </c>
      <c r="P263" s="38">
        <f>IF('Enrollment Census'!P263="","",'Enrollment Census'!P263)</f>
        <v/>
      </c>
      <c r="Q263" s="38">
        <f>IF('Enrollment Census'!Q263="","",'Enrollment Census'!Q263)</f>
        <v/>
      </c>
      <c r="R263" s="36">
        <f>IF('Enrollment Census'!R263="","",TRIM('Enrollment Census'!R263&amp;""))</f>
        <v/>
      </c>
      <c r="S263" s="36">
        <f>IF('Enrollment Census'!S263="","",TRIM('Enrollment Census'!S263&amp;""))</f>
        <v/>
      </c>
      <c r="T263" s="36">
        <f>IF('Enrollment Census'!T263="","",TRIM('Enrollment Census'!T263&amp;""))</f>
        <v/>
      </c>
      <c r="U263" s="39">
        <f>IF('Enrollment Census'!U263="","",'Enrollment Census'!U263)</f>
        <v/>
      </c>
    </row>
    <row r="264">
      <c r="A264" s="36">
        <f>IF('Enrollment Census'!A264="","",TRIM('Enrollment Census'!A264&amp;""))</f>
        <v/>
      </c>
      <c r="B264" s="36">
        <f>IF('Enrollment Census'!B264="","",TRIM('Enrollment Census'!B264&amp;""))</f>
        <v/>
      </c>
      <c r="C264" s="37">
        <f>IF('Enrollment Census'!C264="","",TRIM('Enrollment Census'!C264&amp;""))</f>
        <v/>
      </c>
      <c r="D264" s="37">
        <f>IF('Enrollment Census'!D264="","",TRIM('Enrollment Census'!D264&amp;""))</f>
        <v/>
      </c>
      <c r="E264" s="36">
        <f>IF('Enrollment Census'!E264="","",TRIM('Enrollment Census'!E264&amp;""))</f>
        <v/>
      </c>
      <c r="F264" s="37">
        <f>IF('Enrollment Census'!F264="","",TRIM('Enrollment Census'!F264&amp;""))</f>
        <v/>
      </c>
      <c r="G264" s="37">
        <f>IF('Enrollment Census'!G264="","",TRIM('Enrollment Census'!G264&amp;""))</f>
        <v/>
      </c>
      <c r="H264" s="37">
        <f>IF('Enrollment Census'!H264="","",TRIM('Enrollment Census'!H264&amp;""))</f>
        <v/>
      </c>
      <c r="I264" s="36">
        <f>IF('Enrollment Census'!I264="","",TRIM('Enrollment Census'!I264&amp;""))</f>
        <v/>
      </c>
      <c r="J264" s="36">
        <f>IF('Enrollment Census'!J264="","",TRIM('Enrollment Census'!J264&amp;""))</f>
        <v/>
      </c>
      <c r="K264" s="36">
        <f>IF('Enrollment Census'!K264="","",TRIM('Enrollment Census'!K264&amp;""))</f>
        <v/>
      </c>
      <c r="L264" s="38">
        <f>IF('Enrollment Census'!L264="","",'Enrollment Census'!L264)</f>
        <v/>
      </c>
      <c r="M264" s="36">
        <f>IF('Enrollment Census'!M264="","",TRIM('Enrollment Census'!M264&amp;""))</f>
        <v/>
      </c>
      <c r="N264" s="36">
        <f>IF('Enrollment Census'!N264="","",LOWER(TRIM('Enrollment Census'!N264&amp;"")))</f>
        <v/>
      </c>
      <c r="O264" s="36">
        <f>IF('Enrollment Census'!O264="","",TRIM('Enrollment Census'!O264&amp;""))</f>
        <v/>
      </c>
      <c r="P264" s="38">
        <f>IF('Enrollment Census'!P264="","",'Enrollment Census'!P264)</f>
        <v/>
      </c>
      <c r="Q264" s="38">
        <f>IF('Enrollment Census'!Q264="","",'Enrollment Census'!Q264)</f>
        <v/>
      </c>
      <c r="R264" s="36">
        <f>IF('Enrollment Census'!R264="","",TRIM('Enrollment Census'!R264&amp;""))</f>
        <v/>
      </c>
      <c r="S264" s="36">
        <f>IF('Enrollment Census'!S264="","",TRIM('Enrollment Census'!S264&amp;""))</f>
        <v/>
      </c>
      <c r="T264" s="36">
        <f>IF('Enrollment Census'!T264="","",TRIM('Enrollment Census'!T264&amp;""))</f>
        <v/>
      </c>
      <c r="U264" s="39">
        <f>IF('Enrollment Census'!U264="","",'Enrollment Census'!U264)</f>
        <v/>
      </c>
    </row>
    <row r="265">
      <c r="A265" s="36">
        <f>IF('Enrollment Census'!A265="","",TRIM('Enrollment Census'!A265&amp;""))</f>
        <v/>
      </c>
      <c r="B265" s="36">
        <f>IF('Enrollment Census'!B265="","",TRIM('Enrollment Census'!B265&amp;""))</f>
        <v/>
      </c>
      <c r="C265" s="37">
        <f>IF('Enrollment Census'!C265="","",TRIM('Enrollment Census'!C265&amp;""))</f>
        <v/>
      </c>
      <c r="D265" s="37">
        <f>IF('Enrollment Census'!D265="","",TRIM('Enrollment Census'!D265&amp;""))</f>
        <v/>
      </c>
      <c r="E265" s="36">
        <f>IF('Enrollment Census'!E265="","",TRIM('Enrollment Census'!E265&amp;""))</f>
        <v/>
      </c>
      <c r="F265" s="37">
        <f>IF('Enrollment Census'!F265="","",TRIM('Enrollment Census'!F265&amp;""))</f>
        <v/>
      </c>
      <c r="G265" s="37">
        <f>IF('Enrollment Census'!G265="","",TRIM('Enrollment Census'!G265&amp;""))</f>
        <v/>
      </c>
      <c r="H265" s="37">
        <f>IF('Enrollment Census'!H265="","",TRIM('Enrollment Census'!H265&amp;""))</f>
        <v/>
      </c>
      <c r="I265" s="36">
        <f>IF('Enrollment Census'!I265="","",TRIM('Enrollment Census'!I265&amp;""))</f>
        <v/>
      </c>
      <c r="J265" s="36">
        <f>IF('Enrollment Census'!J265="","",TRIM('Enrollment Census'!J265&amp;""))</f>
        <v/>
      </c>
      <c r="K265" s="36">
        <f>IF('Enrollment Census'!K265="","",TRIM('Enrollment Census'!K265&amp;""))</f>
        <v/>
      </c>
      <c r="L265" s="38">
        <f>IF('Enrollment Census'!L265="","",'Enrollment Census'!L265)</f>
        <v/>
      </c>
      <c r="M265" s="36">
        <f>IF('Enrollment Census'!M265="","",TRIM('Enrollment Census'!M265&amp;""))</f>
        <v/>
      </c>
      <c r="N265" s="36">
        <f>IF('Enrollment Census'!N265="","",LOWER(TRIM('Enrollment Census'!N265&amp;"")))</f>
        <v/>
      </c>
      <c r="O265" s="36">
        <f>IF('Enrollment Census'!O265="","",TRIM('Enrollment Census'!O265&amp;""))</f>
        <v/>
      </c>
      <c r="P265" s="38">
        <f>IF('Enrollment Census'!P265="","",'Enrollment Census'!P265)</f>
        <v/>
      </c>
      <c r="Q265" s="38">
        <f>IF('Enrollment Census'!Q265="","",'Enrollment Census'!Q265)</f>
        <v/>
      </c>
      <c r="R265" s="36">
        <f>IF('Enrollment Census'!R265="","",TRIM('Enrollment Census'!R265&amp;""))</f>
        <v/>
      </c>
      <c r="S265" s="36">
        <f>IF('Enrollment Census'!S265="","",TRIM('Enrollment Census'!S265&amp;""))</f>
        <v/>
      </c>
      <c r="T265" s="36">
        <f>IF('Enrollment Census'!T265="","",TRIM('Enrollment Census'!T265&amp;""))</f>
        <v/>
      </c>
      <c r="U265" s="39">
        <f>IF('Enrollment Census'!U265="","",'Enrollment Census'!U265)</f>
        <v/>
      </c>
    </row>
    <row r="266">
      <c r="A266" s="36">
        <f>IF('Enrollment Census'!A266="","",TRIM('Enrollment Census'!A266&amp;""))</f>
        <v/>
      </c>
      <c r="B266" s="36">
        <f>IF('Enrollment Census'!B266="","",TRIM('Enrollment Census'!B266&amp;""))</f>
        <v/>
      </c>
      <c r="C266" s="37">
        <f>IF('Enrollment Census'!C266="","",TRIM('Enrollment Census'!C266&amp;""))</f>
        <v/>
      </c>
      <c r="D266" s="37">
        <f>IF('Enrollment Census'!D266="","",TRIM('Enrollment Census'!D266&amp;""))</f>
        <v/>
      </c>
      <c r="E266" s="36">
        <f>IF('Enrollment Census'!E266="","",TRIM('Enrollment Census'!E266&amp;""))</f>
        <v/>
      </c>
      <c r="F266" s="37">
        <f>IF('Enrollment Census'!F266="","",TRIM('Enrollment Census'!F266&amp;""))</f>
        <v/>
      </c>
      <c r="G266" s="37">
        <f>IF('Enrollment Census'!G266="","",TRIM('Enrollment Census'!G266&amp;""))</f>
        <v/>
      </c>
      <c r="H266" s="37">
        <f>IF('Enrollment Census'!H266="","",TRIM('Enrollment Census'!H266&amp;""))</f>
        <v/>
      </c>
      <c r="I266" s="36">
        <f>IF('Enrollment Census'!I266="","",TRIM('Enrollment Census'!I266&amp;""))</f>
        <v/>
      </c>
      <c r="J266" s="36">
        <f>IF('Enrollment Census'!J266="","",TRIM('Enrollment Census'!J266&amp;""))</f>
        <v/>
      </c>
      <c r="K266" s="36">
        <f>IF('Enrollment Census'!K266="","",TRIM('Enrollment Census'!K266&amp;""))</f>
        <v/>
      </c>
      <c r="L266" s="38">
        <f>IF('Enrollment Census'!L266="","",'Enrollment Census'!L266)</f>
        <v/>
      </c>
      <c r="M266" s="36">
        <f>IF('Enrollment Census'!M266="","",TRIM('Enrollment Census'!M266&amp;""))</f>
        <v/>
      </c>
      <c r="N266" s="36">
        <f>IF('Enrollment Census'!N266="","",LOWER(TRIM('Enrollment Census'!N266&amp;"")))</f>
        <v/>
      </c>
      <c r="O266" s="36">
        <f>IF('Enrollment Census'!O266="","",TRIM('Enrollment Census'!O266&amp;""))</f>
        <v/>
      </c>
      <c r="P266" s="38">
        <f>IF('Enrollment Census'!P266="","",'Enrollment Census'!P266)</f>
        <v/>
      </c>
      <c r="Q266" s="38">
        <f>IF('Enrollment Census'!Q266="","",'Enrollment Census'!Q266)</f>
        <v/>
      </c>
      <c r="R266" s="36">
        <f>IF('Enrollment Census'!R266="","",TRIM('Enrollment Census'!R266&amp;""))</f>
        <v/>
      </c>
      <c r="S266" s="36">
        <f>IF('Enrollment Census'!S266="","",TRIM('Enrollment Census'!S266&amp;""))</f>
        <v/>
      </c>
      <c r="T266" s="36">
        <f>IF('Enrollment Census'!T266="","",TRIM('Enrollment Census'!T266&amp;""))</f>
        <v/>
      </c>
      <c r="U266" s="39">
        <f>IF('Enrollment Census'!U266="","",'Enrollment Census'!U266)</f>
        <v/>
      </c>
    </row>
    <row r="267">
      <c r="A267" s="36">
        <f>IF('Enrollment Census'!A267="","",TRIM('Enrollment Census'!A267&amp;""))</f>
        <v/>
      </c>
      <c r="B267" s="36">
        <f>IF('Enrollment Census'!B267="","",TRIM('Enrollment Census'!B267&amp;""))</f>
        <v/>
      </c>
      <c r="C267" s="37">
        <f>IF('Enrollment Census'!C267="","",TRIM('Enrollment Census'!C267&amp;""))</f>
        <v/>
      </c>
      <c r="D267" s="37">
        <f>IF('Enrollment Census'!D267="","",TRIM('Enrollment Census'!D267&amp;""))</f>
        <v/>
      </c>
      <c r="E267" s="36">
        <f>IF('Enrollment Census'!E267="","",TRIM('Enrollment Census'!E267&amp;""))</f>
        <v/>
      </c>
      <c r="F267" s="37">
        <f>IF('Enrollment Census'!F267="","",TRIM('Enrollment Census'!F267&amp;""))</f>
        <v/>
      </c>
      <c r="G267" s="37">
        <f>IF('Enrollment Census'!G267="","",TRIM('Enrollment Census'!G267&amp;""))</f>
        <v/>
      </c>
      <c r="H267" s="37">
        <f>IF('Enrollment Census'!H267="","",TRIM('Enrollment Census'!H267&amp;""))</f>
        <v/>
      </c>
      <c r="I267" s="36">
        <f>IF('Enrollment Census'!I267="","",TRIM('Enrollment Census'!I267&amp;""))</f>
        <v/>
      </c>
      <c r="J267" s="36">
        <f>IF('Enrollment Census'!J267="","",TRIM('Enrollment Census'!J267&amp;""))</f>
        <v/>
      </c>
      <c r="K267" s="36">
        <f>IF('Enrollment Census'!K267="","",TRIM('Enrollment Census'!K267&amp;""))</f>
        <v/>
      </c>
      <c r="L267" s="38">
        <f>IF('Enrollment Census'!L267="","",'Enrollment Census'!L267)</f>
        <v/>
      </c>
      <c r="M267" s="36">
        <f>IF('Enrollment Census'!M267="","",TRIM('Enrollment Census'!M267&amp;""))</f>
        <v/>
      </c>
      <c r="N267" s="36">
        <f>IF('Enrollment Census'!N267="","",LOWER(TRIM('Enrollment Census'!N267&amp;"")))</f>
        <v/>
      </c>
      <c r="O267" s="36">
        <f>IF('Enrollment Census'!O267="","",TRIM('Enrollment Census'!O267&amp;""))</f>
        <v/>
      </c>
      <c r="P267" s="38">
        <f>IF('Enrollment Census'!P267="","",'Enrollment Census'!P267)</f>
        <v/>
      </c>
      <c r="Q267" s="38">
        <f>IF('Enrollment Census'!Q267="","",'Enrollment Census'!Q267)</f>
        <v/>
      </c>
      <c r="R267" s="36">
        <f>IF('Enrollment Census'!R267="","",TRIM('Enrollment Census'!R267&amp;""))</f>
        <v/>
      </c>
      <c r="S267" s="36">
        <f>IF('Enrollment Census'!S267="","",TRIM('Enrollment Census'!S267&amp;""))</f>
        <v/>
      </c>
      <c r="T267" s="36">
        <f>IF('Enrollment Census'!T267="","",TRIM('Enrollment Census'!T267&amp;""))</f>
        <v/>
      </c>
      <c r="U267" s="39">
        <f>IF('Enrollment Census'!U267="","",'Enrollment Census'!U267)</f>
        <v/>
      </c>
    </row>
    <row r="268">
      <c r="A268" s="36">
        <f>IF('Enrollment Census'!A268="","",TRIM('Enrollment Census'!A268&amp;""))</f>
        <v/>
      </c>
      <c r="B268" s="36">
        <f>IF('Enrollment Census'!B268="","",TRIM('Enrollment Census'!B268&amp;""))</f>
        <v/>
      </c>
      <c r="C268" s="37">
        <f>IF('Enrollment Census'!C268="","",TRIM('Enrollment Census'!C268&amp;""))</f>
        <v/>
      </c>
      <c r="D268" s="37">
        <f>IF('Enrollment Census'!D268="","",TRIM('Enrollment Census'!D268&amp;""))</f>
        <v/>
      </c>
      <c r="E268" s="36">
        <f>IF('Enrollment Census'!E268="","",TRIM('Enrollment Census'!E268&amp;""))</f>
        <v/>
      </c>
      <c r="F268" s="37">
        <f>IF('Enrollment Census'!F268="","",TRIM('Enrollment Census'!F268&amp;""))</f>
        <v/>
      </c>
      <c r="G268" s="37">
        <f>IF('Enrollment Census'!G268="","",TRIM('Enrollment Census'!G268&amp;""))</f>
        <v/>
      </c>
      <c r="H268" s="37">
        <f>IF('Enrollment Census'!H268="","",TRIM('Enrollment Census'!H268&amp;""))</f>
        <v/>
      </c>
      <c r="I268" s="36">
        <f>IF('Enrollment Census'!I268="","",TRIM('Enrollment Census'!I268&amp;""))</f>
        <v/>
      </c>
      <c r="J268" s="36">
        <f>IF('Enrollment Census'!J268="","",TRIM('Enrollment Census'!J268&amp;""))</f>
        <v/>
      </c>
      <c r="K268" s="36">
        <f>IF('Enrollment Census'!K268="","",TRIM('Enrollment Census'!K268&amp;""))</f>
        <v/>
      </c>
      <c r="L268" s="38">
        <f>IF('Enrollment Census'!L268="","",'Enrollment Census'!L268)</f>
        <v/>
      </c>
      <c r="M268" s="36">
        <f>IF('Enrollment Census'!M268="","",TRIM('Enrollment Census'!M268&amp;""))</f>
        <v/>
      </c>
      <c r="N268" s="36">
        <f>IF('Enrollment Census'!N268="","",LOWER(TRIM('Enrollment Census'!N268&amp;"")))</f>
        <v/>
      </c>
      <c r="O268" s="36">
        <f>IF('Enrollment Census'!O268="","",TRIM('Enrollment Census'!O268&amp;""))</f>
        <v/>
      </c>
      <c r="P268" s="38">
        <f>IF('Enrollment Census'!P268="","",'Enrollment Census'!P268)</f>
        <v/>
      </c>
      <c r="Q268" s="38">
        <f>IF('Enrollment Census'!Q268="","",'Enrollment Census'!Q268)</f>
        <v/>
      </c>
      <c r="R268" s="36">
        <f>IF('Enrollment Census'!R268="","",TRIM('Enrollment Census'!R268&amp;""))</f>
        <v/>
      </c>
      <c r="S268" s="36">
        <f>IF('Enrollment Census'!S268="","",TRIM('Enrollment Census'!S268&amp;""))</f>
        <v/>
      </c>
      <c r="T268" s="36">
        <f>IF('Enrollment Census'!T268="","",TRIM('Enrollment Census'!T268&amp;""))</f>
        <v/>
      </c>
      <c r="U268" s="39">
        <f>IF('Enrollment Census'!U268="","",'Enrollment Census'!U268)</f>
        <v/>
      </c>
    </row>
    <row r="269">
      <c r="A269" s="36">
        <f>IF('Enrollment Census'!A269="","",TRIM('Enrollment Census'!A269&amp;""))</f>
        <v/>
      </c>
      <c r="B269" s="36">
        <f>IF('Enrollment Census'!B269="","",TRIM('Enrollment Census'!B269&amp;""))</f>
        <v/>
      </c>
      <c r="C269" s="37">
        <f>IF('Enrollment Census'!C269="","",TRIM('Enrollment Census'!C269&amp;""))</f>
        <v/>
      </c>
      <c r="D269" s="37">
        <f>IF('Enrollment Census'!D269="","",TRIM('Enrollment Census'!D269&amp;""))</f>
        <v/>
      </c>
      <c r="E269" s="36">
        <f>IF('Enrollment Census'!E269="","",TRIM('Enrollment Census'!E269&amp;""))</f>
        <v/>
      </c>
      <c r="F269" s="37">
        <f>IF('Enrollment Census'!F269="","",TRIM('Enrollment Census'!F269&amp;""))</f>
        <v/>
      </c>
      <c r="G269" s="37">
        <f>IF('Enrollment Census'!G269="","",TRIM('Enrollment Census'!G269&amp;""))</f>
        <v/>
      </c>
      <c r="H269" s="37">
        <f>IF('Enrollment Census'!H269="","",TRIM('Enrollment Census'!H269&amp;""))</f>
        <v/>
      </c>
      <c r="I269" s="36">
        <f>IF('Enrollment Census'!I269="","",TRIM('Enrollment Census'!I269&amp;""))</f>
        <v/>
      </c>
      <c r="J269" s="36">
        <f>IF('Enrollment Census'!J269="","",TRIM('Enrollment Census'!J269&amp;""))</f>
        <v/>
      </c>
      <c r="K269" s="36">
        <f>IF('Enrollment Census'!K269="","",TRIM('Enrollment Census'!K269&amp;""))</f>
        <v/>
      </c>
      <c r="L269" s="38">
        <f>IF('Enrollment Census'!L269="","",'Enrollment Census'!L269)</f>
        <v/>
      </c>
      <c r="M269" s="36">
        <f>IF('Enrollment Census'!M269="","",TRIM('Enrollment Census'!M269&amp;""))</f>
        <v/>
      </c>
      <c r="N269" s="36">
        <f>IF('Enrollment Census'!N269="","",LOWER(TRIM('Enrollment Census'!N269&amp;"")))</f>
        <v/>
      </c>
      <c r="O269" s="36">
        <f>IF('Enrollment Census'!O269="","",TRIM('Enrollment Census'!O269&amp;""))</f>
        <v/>
      </c>
      <c r="P269" s="38">
        <f>IF('Enrollment Census'!P269="","",'Enrollment Census'!P269)</f>
        <v/>
      </c>
      <c r="Q269" s="38">
        <f>IF('Enrollment Census'!Q269="","",'Enrollment Census'!Q269)</f>
        <v/>
      </c>
      <c r="R269" s="36">
        <f>IF('Enrollment Census'!R269="","",TRIM('Enrollment Census'!R269&amp;""))</f>
        <v/>
      </c>
      <c r="S269" s="36">
        <f>IF('Enrollment Census'!S269="","",TRIM('Enrollment Census'!S269&amp;""))</f>
        <v/>
      </c>
      <c r="T269" s="36">
        <f>IF('Enrollment Census'!T269="","",TRIM('Enrollment Census'!T269&amp;""))</f>
        <v/>
      </c>
      <c r="U269" s="39">
        <f>IF('Enrollment Census'!U269="","",'Enrollment Census'!U269)</f>
        <v/>
      </c>
    </row>
    <row r="270">
      <c r="A270" s="36">
        <f>IF('Enrollment Census'!A270="","",TRIM('Enrollment Census'!A270&amp;""))</f>
        <v/>
      </c>
      <c r="B270" s="36">
        <f>IF('Enrollment Census'!B270="","",TRIM('Enrollment Census'!B270&amp;""))</f>
        <v/>
      </c>
      <c r="C270" s="37">
        <f>IF('Enrollment Census'!C270="","",TRIM('Enrollment Census'!C270&amp;""))</f>
        <v/>
      </c>
      <c r="D270" s="37">
        <f>IF('Enrollment Census'!D270="","",TRIM('Enrollment Census'!D270&amp;""))</f>
        <v/>
      </c>
      <c r="E270" s="36">
        <f>IF('Enrollment Census'!E270="","",TRIM('Enrollment Census'!E270&amp;""))</f>
        <v/>
      </c>
      <c r="F270" s="37">
        <f>IF('Enrollment Census'!F270="","",TRIM('Enrollment Census'!F270&amp;""))</f>
        <v/>
      </c>
      <c r="G270" s="37">
        <f>IF('Enrollment Census'!G270="","",TRIM('Enrollment Census'!G270&amp;""))</f>
        <v/>
      </c>
      <c r="H270" s="37">
        <f>IF('Enrollment Census'!H270="","",TRIM('Enrollment Census'!H270&amp;""))</f>
        <v/>
      </c>
      <c r="I270" s="36">
        <f>IF('Enrollment Census'!I270="","",TRIM('Enrollment Census'!I270&amp;""))</f>
        <v/>
      </c>
      <c r="J270" s="36">
        <f>IF('Enrollment Census'!J270="","",TRIM('Enrollment Census'!J270&amp;""))</f>
        <v/>
      </c>
      <c r="K270" s="36">
        <f>IF('Enrollment Census'!K270="","",TRIM('Enrollment Census'!K270&amp;""))</f>
        <v/>
      </c>
      <c r="L270" s="38">
        <f>IF('Enrollment Census'!L270="","",'Enrollment Census'!L270)</f>
        <v/>
      </c>
      <c r="M270" s="36">
        <f>IF('Enrollment Census'!M270="","",TRIM('Enrollment Census'!M270&amp;""))</f>
        <v/>
      </c>
      <c r="N270" s="36">
        <f>IF('Enrollment Census'!N270="","",LOWER(TRIM('Enrollment Census'!N270&amp;"")))</f>
        <v/>
      </c>
      <c r="O270" s="36">
        <f>IF('Enrollment Census'!O270="","",TRIM('Enrollment Census'!O270&amp;""))</f>
        <v/>
      </c>
      <c r="P270" s="38">
        <f>IF('Enrollment Census'!P270="","",'Enrollment Census'!P270)</f>
        <v/>
      </c>
      <c r="Q270" s="38">
        <f>IF('Enrollment Census'!Q270="","",'Enrollment Census'!Q270)</f>
        <v/>
      </c>
      <c r="R270" s="36">
        <f>IF('Enrollment Census'!R270="","",TRIM('Enrollment Census'!R270&amp;""))</f>
        <v/>
      </c>
      <c r="S270" s="36">
        <f>IF('Enrollment Census'!S270="","",TRIM('Enrollment Census'!S270&amp;""))</f>
        <v/>
      </c>
      <c r="T270" s="36">
        <f>IF('Enrollment Census'!T270="","",TRIM('Enrollment Census'!T270&amp;""))</f>
        <v/>
      </c>
      <c r="U270" s="39">
        <f>IF('Enrollment Census'!U270="","",'Enrollment Census'!U270)</f>
        <v/>
      </c>
    </row>
    <row r="271">
      <c r="A271" s="36">
        <f>IF('Enrollment Census'!A271="","",TRIM('Enrollment Census'!A271&amp;""))</f>
        <v/>
      </c>
      <c r="B271" s="36">
        <f>IF('Enrollment Census'!B271="","",TRIM('Enrollment Census'!B271&amp;""))</f>
        <v/>
      </c>
      <c r="C271" s="37">
        <f>IF('Enrollment Census'!C271="","",TRIM('Enrollment Census'!C271&amp;""))</f>
        <v/>
      </c>
      <c r="D271" s="37">
        <f>IF('Enrollment Census'!D271="","",TRIM('Enrollment Census'!D271&amp;""))</f>
        <v/>
      </c>
      <c r="E271" s="36">
        <f>IF('Enrollment Census'!E271="","",TRIM('Enrollment Census'!E271&amp;""))</f>
        <v/>
      </c>
      <c r="F271" s="37">
        <f>IF('Enrollment Census'!F271="","",TRIM('Enrollment Census'!F271&amp;""))</f>
        <v/>
      </c>
      <c r="G271" s="37">
        <f>IF('Enrollment Census'!G271="","",TRIM('Enrollment Census'!G271&amp;""))</f>
        <v/>
      </c>
      <c r="H271" s="37">
        <f>IF('Enrollment Census'!H271="","",TRIM('Enrollment Census'!H271&amp;""))</f>
        <v/>
      </c>
      <c r="I271" s="36">
        <f>IF('Enrollment Census'!I271="","",TRIM('Enrollment Census'!I271&amp;""))</f>
        <v/>
      </c>
      <c r="J271" s="36">
        <f>IF('Enrollment Census'!J271="","",TRIM('Enrollment Census'!J271&amp;""))</f>
        <v/>
      </c>
      <c r="K271" s="36">
        <f>IF('Enrollment Census'!K271="","",TRIM('Enrollment Census'!K271&amp;""))</f>
        <v/>
      </c>
      <c r="L271" s="38">
        <f>IF('Enrollment Census'!L271="","",'Enrollment Census'!L271)</f>
        <v/>
      </c>
      <c r="M271" s="36">
        <f>IF('Enrollment Census'!M271="","",TRIM('Enrollment Census'!M271&amp;""))</f>
        <v/>
      </c>
      <c r="N271" s="36">
        <f>IF('Enrollment Census'!N271="","",LOWER(TRIM('Enrollment Census'!N271&amp;"")))</f>
        <v/>
      </c>
      <c r="O271" s="36">
        <f>IF('Enrollment Census'!O271="","",TRIM('Enrollment Census'!O271&amp;""))</f>
        <v/>
      </c>
      <c r="P271" s="38">
        <f>IF('Enrollment Census'!P271="","",'Enrollment Census'!P271)</f>
        <v/>
      </c>
      <c r="Q271" s="38">
        <f>IF('Enrollment Census'!Q271="","",'Enrollment Census'!Q271)</f>
        <v/>
      </c>
      <c r="R271" s="36">
        <f>IF('Enrollment Census'!R271="","",TRIM('Enrollment Census'!R271&amp;""))</f>
        <v/>
      </c>
      <c r="S271" s="36">
        <f>IF('Enrollment Census'!S271="","",TRIM('Enrollment Census'!S271&amp;""))</f>
        <v/>
      </c>
      <c r="T271" s="36">
        <f>IF('Enrollment Census'!T271="","",TRIM('Enrollment Census'!T271&amp;""))</f>
        <v/>
      </c>
      <c r="U271" s="39">
        <f>IF('Enrollment Census'!U271="","",'Enrollment Census'!U271)</f>
        <v/>
      </c>
    </row>
    <row r="272">
      <c r="A272" s="36">
        <f>IF('Enrollment Census'!A272="","",TRIM('Enrollment Census'!A272&amp;""))</f>
        <v/>
      </c>
      <c r="B272" s="36">
        <f>IF('Enrollment Census'!B272="","",TRIM('Enrollment Census'!B272&amp;""))</f>
        <v/>
      </c>
      <c r="C272" s="37">
        <f>IF('Enrollment Census'!C272="","",TRIM('Enrollment Census'!C272&amp;""))</f>
        <v/>
      </c>
      <c r="D272" s="37">
        <f>IF('Enrollment Census'!D272="","",TRIM('Enrollment Census'!D272&amp;""))</f>
        <v/>
      </c>
      <c r="E272" s="36">
        <f>IF('Enrollment Census'!E272="","",TRIM('Enrollment Census'!E272&amp;""))</f>
        <v/>
      </c>
      <c r="F272" s="37">
        <f>IF('Enrollment Census'!F272="","",TRIM('Enrollment Census'!F272&amp;""))</f>
        <v/>
      </c>
      <c r="G272" s="37">
        <f>IF('Enrollment Census'!G272="","",TRIM('Enrollment Census'!G272&amp;""))</f>
        <v/>
      </c>
      <c r="H272" s="37">
        <f>IF('Enrollment Census'!H272="","",TRIM('Enrollment Census'!H272&amp;""))</f>
        <v/>
      </c>
      <c r="I272" s="36">
        <f>IF('Enrollment Census'!I272="","",TRIM('Enrollment Census'!I272&amp;""))</f>
        <v/>
      </c>
      <c r="J272" s="36">
        <f>IF('Enrollment Census'!J272="","",TRIM('Enrollment Census'!J272&amp;""))</f>
        <v/>
      </c>
      <c r="K272" s="36">
        <f>IF('Enrollment Census'!K272="","",TRIM('Enrollment Census'!K272&amp;""))</f>
        <v/>
      </c>
      <c r="L272" s="38">
        <f>IF('Enrollment Census'!L272="","",'Enrollment Census'!L272)</f>
        <v/>
      </c>
      <c r="M272" s="36">
        <f>IF('Enrollment Census'!M272="","",TRIM('Enrollment Census'!M272&amp;""))</f>
        <v/>
      </c>
      <c r="N272" s="36">
        <f>IF('Enrollment Census'!N272="","",LOWER(TRIM('Enrollment Census'!N272&amp;"")))</f>
        <v/>
      </c>
      <c r="O272" s="36">
        <f>IF('Enrollment Census'!O272="","",TRIM('Enrollment Census'!O272&amp;""))</f>
        <v/>
      </c>
      <c r="P272" s="38">
        <f>IF('Enrollment Census'!P272="","",'Enrollment Census'!P272)</f>
        <v/>
      </c>
      <c r="Q272" s="38">
        <f>IF('Enrollment Census'!Q272="","",'Enrollment Census'!Q272)</f>
        <v/>
      </c>
      <c r="R272" s="36">
        <f>IF('Enrollment Census'!R272="","",TRIM('Enrollment Census'!R272&amp;""))</f>
        <v/>
      </c>
      <c r="S272" s="36">
        <f>IF('Enrollment Census'!S272="","",TRIM('Enrollment Census'!S272&amp;""))</f>
        <v/>
      </c>
      <c r="T272" s="36">
        <f>IF('Enrollment Census'!T272="","",TRIM('Enrollment Census'!T272&amp;""))</f>
        <v/>
      </c>
      <c r="U272" s="39">
        <f>IF('Enrollment Census'!U272="","",'Enrollment Census'!U272)</f>
        <v/>
      </c>
    </row>
    <row r="273">
      <c r="A273" s="36">
        <f>IF('Enrollment Census'!A273="","",TRIM('Enrollment Census'!A273&amp;""))</f>
        <v/>
      </c>
      <c r="B273" s="36">
        <f>IF('Enrollment Census'!B273="","",TRIM('Enrollment Census'!B273&amp;""))</f>
        <v/>
      </c>
      <c r="C273" s="37">
        <f>IF('Enrollment Census'!C273="","",TRIM('Enrollment Census'!C273&amp;""))</f>
        <v/>
      </c>
      <c r="D273" s="37">
        <f>IF('Enrollment Census'!D273="","",TRIM('Enrollment Census'!D273&amp;""))</f>
        <v/>
      </c>
      <c r="E273" s="36">
        <f>IF('Enrollment Census'!E273="","",TRIM('Enrollment Census'!E273&amp;""))</f>
        <v/>
      </c>
      <c r="F273" s="37">
        <f>IF('Enrollment Census'!F273="","",TRIM('Enrollment Census'!F273&amp;""))</f>
        <v/>
      </c>
      <c r="G273" s="37">
        <f>IF('Enrollment Census'!G273="","",TRIM('Enrollment Census'!G273&amp;""))</f>
        <v/>
      </c>
      <c r="H273" s="37">
        <f>IF('Enrollment Census'!H273="","",TRIM('Enrollment Census'!H273&amp;""))</f>
        <v/>
      </c>
      <c r="I273" s="36">
        <f>IF('Enrollment Census'!I273="","",TRIM('Enrollment Census'!I273&amp;""))</f>
        <v/>
      </c>
      <c r="J273" s="36">
        <f>IF('Enrollment Census'!J273="","",TRIM('Enrollment Census'!J273&amp;""))</f>
        <v/>
      </c>
      <c r="K273" s="36">
        <f>IF('Enrollment Census'!K273="","",TRIM('Enrollment Census'!K273&amp;""))</f>
        <v/>
      </c>
      <c r="L273" s="38">
        <f>IF('Enrollment Census'!L273="","",'Enrollment Census'!L273)</f>
        <v/>
      </c>
      <c r="M273" s="36">
        <f>IF('Enrollment Census'!M273="","",TRIM('Enrollment Census'!M273&amp;""))</f>
        <v/>
      </c>
      <c r="N273" s="36">
        <f>IF('Enrollment Census'!N273="","",LOWER(TRIM('Enrollment Census'!N273&amp;"")))</f>
        <v/>
      </c>
      <c r="O273" s="36">
        <f>IF('Enrollment Census'!O273="","",TRIM('Enrollment Census'!O273&amp;""))</f>
        <v/>
      </c>
      <c r="P273" s="38">
        <f>IF('Enrollment Census'!P273="","",'Enrollment Census'!P273)</f>
        <v/>
      </c>
      <c r="Q273" s="38">
        <f>IF('Enrollment Census'!Q273="","",'Enrollment Census'!Q273)</f>
        <v/>
      </c>
      <c r="R273" s="36">
        <f>IF('Enrollment Census'!R273="","",TRIM('Enrollment Census'!R273&amp;""))</f>
        <v/>
      </c>
      <c r="S273" s="36">
        <f>IF('Enrollment Census'!S273="","",TRIM('Enrollment Census'!S273&amp;""))</f>
        <v/>
      </c>
      <c r="T273" s="36">
        <f>IF('Enrollment Census'!T273="","",TRIM('Enrollment Census'!T273&amp;""))</f>
        <v/>
      </c>
      <c r="U273" s="39">
        <f>IF('Enrollment Census'!U273="","",'Enrollment Census'!U273)</f>
        <v/>
      </c>
    </row>
    <row r="274">
      <c r="A274" s="36">
        <f>IF('Enrollment Census'!A274="","",TRIM('Enrollment Census'!A274&amp;""))</f>
        <v/>
      </c>
      <c r="B274" s="36">
        <f>IF('Enrollment Census'!B274="","",TRIM('Enrollment Census'!B274&amp;""))</f>
        <v/>
      </c>
      <c r="C274" s="37">
        <f>IF('Enrollment Census'!C274="","",TRIM('Enrollment Census'!C274&amp;""))</f>
        <v/>
      </c>
      <c r="D274" s="37">
        <f>IF('Enrollment Census'!D274="","",TRIM('Enrollment Census'!D274&amp;""))</f>
        <v/>
      </c>
      <c r="E274" s="36">
        <f>IF('Enrollment Census'!E274="","",TRIM('Enrollment Census'!E274&amp;""))</f>
        <v/>
      </c>
      <c r="F274" s="37">
        <f>IF('Enrollment Census'!F274="","",TRIM('Enrollment Census'!F274&amp;""))</f>
        <v/>
      </c>
      <c r="G274" s="37">
        <f>IF('Enrollment Census'!G274="","",TRIM('Enrollment Census'!G274&amp;""))</f>
        <v/>
      </c>
      <c r="H274" s="37">
        <f>IF('Enrollment Census'!H274="","",TRIM('Enrollment Census'!H274&amp;""))</f>
        <v/>
      </c>
      <c r="I274" s="36">
        <f>IF('Enrollment Census'!I274="","",TRIM('Enrollment Census'!I274&amp;""))</f>
        <v/>
      </c>
      <c r="J274" s="36">
        <f>IF('Enrollment Census'!J274="","",TRIM('Enrollment Census'!J274&amp;""))</f>
        <v/>
      </c>
      <c r="K274" s="36">
        <f>IF('Enrollment Census'!K274="","",TRIM('Enrollment Census'!K274&amp;""))</f>
        <v/>
      </c>
      <c r="L274" s="38">
        <f>IF('Enrollment Census'!L274="","",'Enrollment Census'!L274)</f>
        <v/>
      </c>
      <c r="M274" s="36">
        <f>IF('Enrollment Census'!M274="","",TRIM('Enrollment Census'!M274&amp;""))</f>
        <v/>
      </c>
      <c r="N274" s="36">
        <f>IF('Enrollment Census'!N274="","",LOWER(TRIM('Enrollment Census'!N274&amp;"")))</f>
        <v/>
      </c>
      <c r="O274" s="36">
        <f>IF('Enrollment Census'!O274="","",TRIM('Enrollment Census'!O274&amp;""))</f>
        <v/>
      </c>
      <c r="P274" s="38">
        <f>IF('Enrollment Census'!P274="","",'Enrollment Census'!P274)</f>
        <v/>
      </c>
      <c r="Q274" s="38">
        <f>IF('Enrollment Census'!Q274="","",'Enrollment Census'!Q274)</f>
        <v/>
      </c>
      <c r="R274" s="36">
        <f>IF('Enrollment Census'!R274="","",TRIM('Enrollment Census'!R274&amp;""))</f>
        <v/>
      </c>
      <c r="S274" s="36">
        <f>IF('Enrollment Census'!S274="","",TRIM('Enrollment Census'!S274&amp;""))</f>
        <v/>
      </c>
      <c r="T274" s="36">
        <f>IF('Enrollment Census'!T274="","",TRIM('Enrollment Census'!T274&amp;""))</f>
        <v/>
      </c>
      <c r="U274" s="39">
        <f>IF('Enrollment Census'!U274="","",'Enrollment Census'!U274)</f>
        <v/>
      </c>
    </row>
    <row r="275">
      <c r="A275" s="36">
        <f>IF('Enrollment Census'!A275="","",TRIM('Enrollment Census'!A275&amp;""))</f>
        <v/>
      </c>
      <c r="B275" s="36">
        <f>IF('Enrollment Census'!B275="","",TRIM('Enrollment Census'!B275&amp;""))</f>
        <v/>
      </c>
      <c r="C275" s="37">
        <f>IF('Enrollment Census'!C275="","",TRIM('Enrollment Census'!C275&amp;""))</f>
        <v/>
      </c>
      <c r="D275" s="37">
        <f>IF('Enrollment Census'!D275="","",TRIM('Enrollment Census'!D275&amp;""))</f>
        <v/>
      </c>
      <c r="E275" s="36">
        <f>IF('Enrollment Census'!E275="","",TRIM('Enrollment Census'!E275&amp;""))</f>
        <v/>
      </c>
      <c r="F275" s="37">
        <f>IF('Enrollment Census'!F275="","",TRIM('Enrollment Census'!F275&amp;""))</f>
        <v/>
      </c>
      <c r="G275" s="37">
        <f>IF('Enrollment Census'!G275="","",TRIM('Enrollment Census'!G275&amp;""))</f>
        <v/>
      </c>
      <c r="H275" s="37">
        <f>IF('Enrollment Census'!H275="","",TRIM('Enrollment Census'!H275&amp;""))</f>
        <v/>
      </c>
      <c r="I275" s="36">
        <f>IF('Enrollment Census'!I275="","",TRIM('Enrollment Census'!I275&amp;""))</f>
        <v/>
      </c>
      <c r="J275" s="36">
        <f>IF('Enrollment Census'!J275="","",TRIM('Enrollment Census'!J275&amp;""))</f>
        <v/>
      </c>
      <c r="K275" s="36">
        <f>IF('Enrollment Census'!K275="","",TRIM('Enrollment Census'!K275&amp;""))</f>
        <v/>
      </c>
      <c r="L275" s="38">
        <f>IF('Enrollment Census'!L275="","",'Enrollment Census'!L275)</f>
        <v/>
      </c>
      <c r="M275" s="36">
        <f>IF('Enrollment Census'!M275="","",TRIM('Enrollment Census'!M275&amp;""))</f>
        <v/>
      </c>
      <c r="N275" s="36">
        <f>IF('Enrollment Census'!N275="","",LOWER(TRIM('Enrollment Census'!N275&amp;"")))</f>
        <v/>
      </c>
      <c r="O275" s="36">
        <f>IF('Enrollment Census'!O275="","",TRIM('Enrollment Census'!O275&amp;""))</f>
        <v/>
      </c>
      <c r="P275" s="38">
        <f>IF('Enrollment Census'!P275="","",'Enrollment Census'!P275)</f>
        <v/>
      </c>
      <c r="Q275" s="38">
        <f>IF('Enrollment Census'!Q275="","",'Enrollment Census'!Q275)</f>
        <v/>
      </c>
      <c r="R275" s="36">
        <f>IF('Enrollment Census'!R275="","",TRIM('Enrollment Census'!R275&amp;""))</f>
        <v/>
      </c>
      <c r="S275" s="36">
        <f>IF('Enrollment Census'!S275="","",TRIM('Enrollment Census'!S275&amp;""))</f>
        <v/>
      </c>
      <c r="T275" s="36">
        <f>IF('Enrollment Census'!T275="","",TRIM('Enrollment Census'!T275&amp;""))</f>
        <v/>
      </c>
      <c r="U275" s="39">
        <f>IF('Enrollment Census'!U275="","",'Enrollment Census'!U275)</f>
        <v/>
      </c>
    </row>
    <row r="276">
      <c r="A276" s="36">
        <f>IF('Enrollment Census'!A276="","",TRIM('Enrollment Census'!A276&amp;""))</f>
        <v/>
      </c>
      <c r="B276" s="36">
        <f>IF('Enrollment Census'!B276="","",TRIM('Enrollment Census'!B276&amp;""))</f>
        <v/>
      </c>
      <c r="C276" s="37">
        <f>IF('Enrollment Census'!C276="","",TRIM('Enrollment Census'!C276&amp;""))</f>
        <v/>
      </c>
      <c r="D276" s="37">
        <f>IF('Enrollment Census'!D276="","",TRIM('Enrollment Census'!D276&amp;""))</f>
        <v/>
      </c>
      <c r="E276" s="36">
        <f>IF('Enrollment Census'!E276="","",TRIM('Enrollment Census'!E276&amp;""))</f>
        <v/>
      </c>
      <c r="F276" s="37">
        <f>IF('Enrollment Census'!F276="","",TRIM('Enrollment Census'!F276&amp;""))</f>
        <v/>
      </c>
      <c r="G276" s="37">
        <f>IF('Enrollment Census'!G276="","",TRIM('Enrollment Census'!G276&amp;""))</f>
        <v/>
      </c>
      <c r="H276" s="37">
        <f>IF('Enrollment Census'!H276="","",TRIM('Enrollment Census'!H276&amp;""))</f>
        <v/>
      </c>
      <c r="I276" s="36">
        <f>IF('Enrollment Census'!I276="","",TRIM('Enrollment Census'!I276&amp;""))</f>
        <v/>
      </c>
      <c r="J276" s="36">
        <f>IF('Enrollment Census'!J276="","",TRIM('Enrollment Census'!J276&amp;""))</f>
        <v/>
      </c>
      <c r="K276" s="36">
        <f>IF('Enrollment Census'!K276="","",TRIM('Enrollment Census'!K276&amp;""))</f>
        <v/>
      </c>
      <c r="L276" s="38">
        <f>IF('Enrollment Census'!L276="","",'Enrollment Census'!L276)</f>
        <v/>
      </c>
      <c r="M276" s="36">
        <f>IF('Enrollment Census'!M276="","",TRIM('Enrollment Census'!M276&amp;""))</f>
        <v/>
      </c>
      <c r="N276" s="36">
        <f>IF('Enrollment Census'!N276="","",LOWER(TRIM('Enrollment Census'!N276&amp;"")))</f>
        <v/>
      </c>
      <c r="O276" s="36">
        <f>IF('Enrollment Census'!O276="","",TRIM('Enrollment Census'!O276&amp;""))</f>
        <v/>
      </c>
      <c r="P276" s="38">
        <f>IF('Enrollment Census'!P276="","",'Enrollment Census'!P276)</f>
        <v/>
      </c>
      <c r="Q276" s="38">
        <f>IF('Enrollment Census'!Q276="","",'Enrollment Census'!Q276)</f>
        <v/>
      </c>
      <c r="R276" s="36">
        <f>IF('Enrollment Census'!R276="","",TRIM('Enrollment Census'!R276&amp;""))</f>
        <v/>
      </c>
      <c r="S276" s="36">
        <f>IF('Enrollment Census'!S276="","",TRIM('Enrollment Census'!S276&amp;""))</f>
        <v/>
      </c>
      <c r="T276" s="36">
        <f>IF('Enrollment Census'!T276="","",TRIM('Enrollment Census'!T276&amp;""))</f>
        <v/>
      </c>
      <c r="U276" s="39">
        <f>IF('Enrollment Census'!U276="","",'Enrollment Census'!U276)</f>
        <v/>
      </c>
    </row>
    <row r="277">
      <c r="A277" s="36">
        <f>IF('Enrollment Census'!A277="","",TRIM('Enrollment Census'!A277&amp;""))</f>
        <v/>
      </c>
      <c r="B277" s="36">
        <f>IF('Enrollment Census'!B277="","",TRIM('Enrollment Census'!B277&amp;""))</f>
        <v/>
      </c>
      <c r="C277" s="37">
        <f>IF('Enrollment Census'!C277="","",TRIM('Enrollment Census'!C277&amp;""))</f>
        <v/>
      </c>
      <c r="D277" s="37">
        <f>IF('Enrollment Census'!D277="","",TRIM('Enrollment Census'!D277&amp;""))</f>
        <v/>
      </c>
      <c r="E277" s="36">
        <f>IF('Enrollment Census'!E277="","",TRIM('Enrollment Census'!E277&amp;""))</f>
        <v/>
      </c>
      <c r="F277" s="37">
        <f>IF('Enrollment Census'!F277="","",TRIM('Enrollment Census'!F277&amp;""))</f>
        <v/>
      </c>
      <c r="G277" s="37">
        <f>IF('Enrollment Census'!G277="","",TRIM('Enrollment Census'!G277&amp;""))</f>
        <v/>
      </c>
      <c r="H277" s="37">
        <f>IF('Enrollment Census'!H277="","",TRIM('Enrollment Census'!H277&amp;""))</f>
        <v/>
      </c>
      <c r="I277" s="36">
        <f>IF('Enrollment Census'!I277="","",TRIM('Enrollment Census'!I277&amp;""))</f>
        <v/>
      </c>
      <c r="J277" s="36">
        <f>IF('Enrollment Census'!J277="","",TRIM('Enrollment Census'!J277&amp;""))</f>
        <v/>
      </c>
      <c r="K277" s="36">
        <f>IF('Enrollment Census'!K277="","",TRIM('Enrollment Census'!K277&amp;""))</f>
        <v/>
      </c>
      <c r="L277" s="38">
        <f>IF('Enrollment Census'!L277="","",'Enrollment Census'!L277)</f>
        <v/>
      </c>
      <c r="M277" s="36">
        <f>IF('Enrollment Census'!M277="","",TRIM('Enrollment Census'!M277&amp;""))</f>
        <v/>
      </c>
      <c r="N277" s="36">
        <f>IF('Enrollment Census'!N277="","",LOWER(TRIM('Enrollment Census'!N277&amp;"")))</f>
        <v/>
      </c>
      <c r="O277" s="36">
        <f>IF('Enrollment Census'!O277="","",TRIM('Enrollment Census'!O277&amp;""))</f>
        <v/>
      </c>
      <c r="P277" s="38">
        <f>IF('Enrollment Census'!P277="","",'Enrollment Census'!P277)</f>
        <v/>
      </c>
      <c r="Q277" s="38">
        <f>IF('Enrollment Census'!Q277="","",'Enrollment Census'!Q277)</f>
        <v/>
      </c>
      <c r="R277" s="36">
        <f>IF('Enrollment Census'!R277="","",TRIM('Enrollment Census'!R277&amp;""))</f>
        <v/>
      </c>
      <c r="S277" s="36">
        <f>IF('Enrollment Census'!S277="","",TRIM('Enrollment Census'!S277&amp;""))</f>
        <v/>
      </c>
      <c r="T277" s="36">
        <f>IF('Enrollment Census'!T277="","",TRIM('Enrollment Census'!T277&amp;""))</f>
        <v/>
      </c>
      <c r="U277" s="39">
        <f>IF('Enrollment Census'!U277="","",'Enrollment Census'!U277)</f>
        <v/>
      </c>
    </row>
    <row r="278">
      <c r="A278" s="36">
        <f>IF('Enrollment Census'!A278="","",TRIM('Enrollment Census'!A278&amp;""))</f>
        <v/>
      </c>
      <c r="B278" s="36">
        <f>IF('Enrollment Census'!B278="","",TRIM('Enrollment Census'!B278&amp;""))</f>
        <v/>
      </c>
      <c r="C278" s="37">
        <f>IF('Enrollment Census'!C278="","",TRIM('Enrollment Census'!C278&amp;""))</f>
        <v/>
      </c>
      <c r="D278" s="37">
        <f>IF('Enrollment Census'!D278="","",TRIM('Enrollment Census'!D278&amp;""))</f>
        <v/>
      </c>
      <c r="E278" s="36">
        <f>IF('Enrollment Census'!E278="","",TRIM('Enrollment Census'!E278&amp;""))</f>
        <v/>
      </c>
      <c r="F278" s="37">
        <f>IF('Enrollment Census'!F278="","",TRIM('Enrollment Census'!F278&amp;""))</f>
        <v/>
      </c>
      <c r="G278" s="37">
        <f>IF('Enrollment Census'!G278="","",TRIM('Enrollment Census'!G278&amp;""))</f>
        <v/>
      </c>
      <c r="H278" s="37">
        <f>IF('Enrollment Census'!H278="","",TRIM('Enrollment Census'!H278&amp;""))</f>
        <v/>
      </c>
      <c r="I278" s="36">
        <f>IF('Enrollment Census'!I278="","",TRIM('Enrollment Census'!I278&amp;""))</f>
        <v/>
      </c>
      <c r="J278" s="36">
        <f>IF('Enrollment Census'!J278="","",TRIM('Enrollment Census'!J278&amp;""))</f>
        <v/>
      </c>
      <c r="K278" s="36">
        <f>IF('Enrollment Census'!K278="","",TRIM('Enrollment Census'!K278&amp;""))</f>
        <v/>
      </c>
      <c r="L278" s="38">
        <f>IF('Enrollment Census'!L278="","",'Enrollment Census'!L278)</f>
        <v/>
      </c>
      <c r="M278" s="36">
        <f>IF('Enrollment Census'!M278="","",TRIM('Enrollment Census'!M278&amp;""))</f>
        <v/>
      </c>
      <c r="N278" s="36">
        <f>IF('Enrollment Census'!N278="","",LOWER(TRIM('Enrollment Census'!N278&amp;"")))</f>
        <v/>
      </c>
      <c r="O278" s="36">
        <f>IF('Enrollment Census'!O278="","",TRIM('Enrollment Census'!O278&amp;""))</f>
        <v/>
      </c>
      <c r="P278" s="38">
        <f>IF('Enrollment Census'!P278="","",'Enrollment Census'!P278)</f>
        <v/>
      </c>
      <c r="Q278" s="38">
        <f>IF('Enrollment Census'!Q278="","",'Enrollment Census'!Q278)</f>
        <v/>
      </c>
      <c r="R278" s="36">
        <f>IF('Enrollment Census'!R278="","",TRIM('Enrollment Census'!R278&amp;""))</f>
        <v/>
      </c>
      <c r="S278" s="36">
        <f>IF('Enrollment Census'!S278="","",TRIM('Enrollment Census'!S278&amp;""))</f>
        <v/>
      </c>
      <c r="T278" s="36">
        <f>IF('Enrollment Census'!T278="","",TRIM('Enrollment Census'!T278&amp;""))</f>
        <v/>
      </c>
      <c r="U278" s="39">
        <f>IF('Enrollment Census'!U278="","",'Enrollment Census'!U278)</f>
        <v/>
      </c>
    </row>
    <row r="279">
      <c r="A279" s="36">
        <f>IF('Enrollment Census'!A279="","",TRIM('Enrollment Census'!A279&amp;""))</f>
        <v/>
      </c>
      <c r="B279" s="36">
        <f>IF('Enrollment Census'!B279="","",TRIM('Enrollment Census'!B279&amp;""))</f>
        <v/>
      </c>
      <c r="C279" s="37">
        <f>IF('Enrollment Census'!C279="","",TRIM('Enrollment Census'!C279&amp;""))</f>
        <v/>
      </c>
      <c r="D279" s="37">
        <f>IF('Enrollment Census'!D279="","",TRIM('Enrollment Census'!D279&amp;""))</f>
        <v/>
      </c>
      <c r="E279" s="36">
        <f>IF('Enrollment Census'!E279="","",TRIM('Enrollment Census'!E279&amp;""))</f>
        <v/>
      </c>
      <c r="F279" s="37">
        <f>IF('Enrollment Census'!F279="","",TRIM('Enrollment Census'!F279&amp;""))</f>
        <v/>
      </c>
      <c r="G279" s="37">
        <f>IF('Enrollment Census'!G279="","",TRIM('Enrollment Census'!G279&amp;""))</f>
        <v/>
      </c>
      <c r="H279" s="37">
        <f>IF('Enrollment Census'!H279="","",TRIM('Enrollment Census'!H279&amp;""))</f>
        <v/>
      </c>
      <c r="I279" s="36">
        <f>IF('Enrollment Census'!I279="","",TRIM('Enrollment Census'!I279&amp;""))</f>
        <v/>
      </c>
      <c r="J279" s="36">
        <f>IF('Enrollment Census'!J279="","",TRIM('Enrollment Census'!J279&amp;""))</f>
        <v/>
      </c>
      <c r="K279" s="36">
        <f>IF('Enrollment Census'!K279="","",TRIM('Enrollment Census'!K279&amp;""))</f>
        <v/>
      </c>
      <c r="L279" s="38">
        <f>IF('Enrollment Census'!L279="","",'Enrollment Census'!L279)</f>
        <v/>
      </c>
      <c r="M279" s="36">
        <f>IF('Enrollment Census'!M279="","",TRIM('Enrollment Census'!M279&amp;""))</f>
        <v/>
      </c>
      <c r="N279" s="36">
        <f>IF('Enrollment Census'!N279="","",LOWER(TRIM('Enrollment Census'!N279&amp;"")))</f>
        <v/>
      </c>
      <c r="O279" s="36">
        <f>IF('Enrollment Census'!O279="","",TRIM('Enrollment Census'!O279&amp;""))</f>
        <v/>
      </c>
      <c r="P279" s="38">
        <f>IF('Enrollment Census'!P279="","",'Enrollment Census'!P279)</f>
        <v/>
      </c>
      <c r="Q279" s="38">
        <f>IF('Enrollment Census'!Q279="","",'Enrollment Census'!Q279)</f>
        <v/>
      </c>
      <c r="R279" s="36">
        <f>IF('Enrollment Census'!R279="","",TRIM('Enrollment Census'!R279&amp;""))</f>
        <v/>
      </c>
      <c r="S279" s="36">
        <f>IF('Enrollment Census'!S279="","",TRIM('Enrollment Census'!S279&amp;""))</f>
        <v/>
      </c>
      <c r="T279" s="36">
        <f>IF('Enrollment Census'!T279="","",TRIM('Enrollment Census'!T279&amp;""))</f>
        <v/>
      </c>
      <c r="U279" s="39">
        <f>IF('Enrollment Census'!U279="","",'Enrollment Census'!U279)</f>
        <v/>
      </c>
    </row>
    <row r="280">
      <c r="A280" s="36">
        <f>IF('Enrollment Census'!A280="","",TRIM('Enrollment Census'!A280&amp;""))</f>
        <v/>
      </c>
      <c r="B280" s="36">
        <f>IF('Enrollment Census'!B280="","",TRIM('Enrollment Census'!B280&amp;""))</f>
        <v/>
      </c>
      <c r="C280" s="37">
        <f>IF('Enrollment Census'!C280="","",TRIM('Enrollment Census'!C280&amp;""))</f>
        <v/>
      </c>
      <c r="D280" s="37">
        <f>IF('Enrollment Census'!D280="","",TRIM('Enrollment Census'!D280&amp;""))</f>
        <v/>
      </c>
      <c r="E280" s="36">
        <f>IF('Enrollment Census'!E280="","",TRIM('Enrollment Census'!E280&amp;""))</f>
        <v/>
      </c>
      <c r="F280" s="37">
        <f>IF('Enrollment Census'!F280="","",TRIM('Enrollment Census'!F280&amp;""))</f>
        <v/>
      </c>
      <c r="G280" s="37">
        <f>IF('Enrollment Census'!G280="","",TRIM('Enrollment Census'!G280&amp;""))</f>
        <v/>
      </c>
      <c r="H280" s="37">
        <f>IF('Enrollment Census'!H280="","",TRIM('Enrollment Census'!H280&amp;""))</f>
        <v/>
      </c>
      <c r="I280" s="36">
        <f>IF('Enrollment Census'!I280="","",TRIM('Enrollment Census'!I280&amp;""))</f>
        <v/>
      </c>
      <c r="J280" s="36">
        <f>IF('Enrollment Census'!J280="","",TRIM('Enrollment Census'!J280&amp;""))</f>
        <v/>
      </c>
      <c r="K280" s="36">
        <f>IF('Enrollment Census'!K280="","",TRIM('Enrollment Census'!K280&amp;""))</f>
        <v/>
      </c>
      <c r="L280" s="38">
        <f>IF('Enrollment Census'!L280="","",'Enrollment Census'!L280)</f>
        <v/>
      </c>
      <c r="M280" s="36">
        <f>IF('Enrollment Census'!M280="","",TRIM('Enrollment Census'!M280&amp;""))</f>
        <v/>
      </c>
      <c r="N280" s="36">
        <f>IF('Enrollment Census'!N280="","",LOWER(TRIM('Enrollment Census'!N280&amp;"")))</f>
        <v/>
      </c>
      <c r="O280" s="36">
        <f>IF('Enrollment Census'!O280="","",TRIM('Enrollment Census'!O280&amp;""))</f>
        <v/>
      </c>
      <c r="P280" s="38">
        <f>IF('Enrollment Census'!P280="","",'Enrollment Census'!P280)</f>
        <v/>
      </c>
      <c r="Q280" s="38">
        <f>IF('Enrollment Census'!Q280="","",'Enrollment Census'!Q280)</f>
        <v/>
      </c>
      <c r="R280" s="36">
        <f>IF('Enrollment Census'!R280="","",TRIM('Enrollment Census'!R280&amp;""))</f>
        <v/>
      </c>
      <c r="S280" s="36">
        <f>IF('Enrollment Census'!S280="","",TRIM('Enrollment Census'!S280&amp;""))</f>
        <v/>
      </c>
      <c r="T280" s="36">
        <f>IF('Enrollment Census'!T280="","",TRIM('Enrollment Census'!T280&amp;""))</f>
        <v/>
      </c>
      <c r="U280" s="39">
        <f>IF('Enrollment Census'!U280="","",'Enrollment Census'!U280)</f>
        <v/>
      </c>
    </row>
    <row r="281">
      <c r="A281" s="36">
        <f>IF('Enrollment Census'!A281="","",TRIM('Enrollment Census'!A281&amp;""))</f>
        <v/>
      </c>
      <c r="B281" s="36">
        <f>IF('Enrollment Census'!B281="","",TRIM('Enrollment Census'!B281&amp;""))</f>
        <v/>
      </c>
      <c r="C281" s="37">
        <f>IF('Enrollment Census'!C281="","",TRIM('Enrollment Census'!C281&amp;""))</f>
        <v/>
      </c>
      <c r="D281" s="37">
        <f>IF('Enrollment Census'!D281="","",TRIM('Enrollment Census'!D281&amp;""))</f>
        <v/>
      </c>
      <c r="E281" s="36">
        <f>IF('Enrollment Census'!E281="","",TRIM('Enrollment Census'!E281&amp;""))</f>
        <v/>
      </c>
      <c r="F281" s="37">
        <f>IF('Enrollment Census'!F281="","",TRIM('Enrollment Census'!F281&amp;""))</f>
        <v/>
      </c>
      <c r="G281" s="37">
        <f>IF('Enrollment Census'!G281="","",TRIM('Enrollment Census'!G281&amp;""))</f>
        <v/>
      </c>
      <c r="H281" s="37">
        <f>IF('Enrollment Census'!H281="","",TRIM('Enrollment Census'!H281&amp;""))</f>
        <v/>
      </c>
      <c r="I281" s="36">
        <f>IF('Enrollment Census'!I281="","",TRIM('Enrollment Census'!I281&amp;""))</f>
        <v/>
      </c>
      <c r="J281" s="36">
        <f>IF('Enrollment Census'!J281="","",TRIM('Enrollment Census'!J281&amp;""))</f>
        <v/>
      </c>
      <c r="K281" s="36">
        <f>IF('Enrollment Census'!K281="","",TRIM('Enrollment Census'!K281&amp;""))</f>
        <v/>
      </c>
      <c r="L281" s="38">
        <f>IF('Enrollment Census'!L281="","",'Enrollment Census'!L281)</f>
        <v/>
      </c>
      <c r="M281" s="36">
        <f>IF('Enrollment Census'!M281="","",TRIM('Enrollment Census'!M281&amp;""))</f>
        <v/>
      </c>
      <c r="N281" s="36">
        <f>IF('Enrollment Census'!N281="","",LOWER(TRIM('Enrollment Census'!N281&amp;"")))</f>
        <v/>
      </c>
      <c r="O281" s="36">
        <f>IF('Enrollment Census'!O281="","",TRIM('Enrollment Census'!O281&amp;""))</f>
        <v/>
      </c>
      <c r="P281" s="38">
        <f>IF('Enrollment Census'!P281="","",'Enrollment Census'!P281)</f>
        <v/>
      </c>
      <c r="Q281" s="38">
        <f>IF('Enrollment Census'!Q281="","",'Enrollment Census'!Q281)</f>
        <v/>
      </c>
      <c r="R281" s="36">
        <f>IF('Enrollment Census'!R281="","",TRIM('Enrollment Census'!R281&amp;""))</f>
        <v/>
      </c>
      <c r="S281" s="36">
        <f>IF('Enrollment Census'!S281="","",TRIM('Enrollment Census'!S281&amp;""))</f>
        <v/>
      </c>
      <c r="T281" s="36">
        <f>IF('Enrollment Census'!T281="","",TRIM('Enrollment Census'!T281&amp;""))</f>
        <v/>
      </c>
      <c r="U281" s="39">
        <f>IF('Enrollment Census'!U281="","",'Enrollment Census'!U281)</f>
        <v/>
      </c>
    </row>
    <row r="282">
      <c r="A282" s="36">
        <f>IF('Enrollment Census'!A282="","",TRIM('Enrollment Census'!A282&amp;""))</f>
        <v/>
      </c>
      <c r="B282" s="36">
        <f>IF('Enrollment Census'!B282="","",TRIM('Enrollment Census'!B282&amp;""))</f>
        <v/>
      </c>
      <c r="C282" s="37">
        <f>IF('Enrollment Census'!C282="","",TRIM('Enrollment Census'!C282&amp;""))</f>
        <v/>
      </c>
      <c r="D282" s="37">
        <f>IF('Enrollment Census'!D282="","",TRIM('Enrollment Census'!D282&amp;""))</f>
        <v/>
      </c>
      <c r="E282" s="36">
        <f>IF('Enrollment Census'!E282="","",TRIM('Enrollment Census'!E282&amp;""))</f>
        <v/>
      </c>
      <c r="F282" s="37">
        <f>IF('Enrollment Census'!F282="","",TRIM('Enrollment Census'!F282&amp;""))</f>
        <v/>
      </c>
      <c r="G282" s="37">
        <f>IF('Enrollment Census'!G282="","",TRIM('Enrollment Census'!G282&amp;""))</f>
        <v/>
      </c>
      <c r="H282" s="37">
        <f>IF('Enrollment Census'!H282="","",TRIM('Enrollment Census'!H282&amp;""))</f>
        <v/>
      </c>
      <c r="I282" s="36">
        <f>IF('Enrollment Census'!I282="","",TRIM('Enrollment Census'!I282&amp;""))</f>
        <v/>
      </c>
      <c r="J282" s="36">
        <f>IF('Enrollment Census'!J282="","",TRIM('Enrollment Census'!J282&amp;""))</f>
        <v/>
      </c>
      <c r="K282" s="36">
        <f>IF('Enrollment Census'!K282="","",TRIM('Enrollment Census'!K282&amp;""))</f>
        <v/>
      </c>
      <c r="L282" s="38">
        <f>IF('Enrollment Census'!L282="","",'Enrollment Census'!L282)</f>
        <v/>
      </c>
      <c r="M282" s="36">
        <f>IF('Enrollment Census'!M282="","",TRIM('Enrollment Census'!M282&amp;""))</f>
        <v/>
      </c>
      <c r="N282" s="36">
        <f>IF('Enrollment Census'!N282="","",LOWER(TRIM('Enrollment Census'!N282&amp;"")))</f>
        <v/>
      </c>
      <c r="O282" s="36">
        <f>IF('Enrollment Census'!O282="","",TRIM('Enrollment Census'!O282&amp;""))</f>
        <v/>
      </c>
      <c r="P282" s="38">
        <f>IF('Enrollment Census'!P282="","",'Enrollment Census'!P282)</f>
        <v/>
      </c>
      <c r="Q282" s="38">
        <f>IF('Enrollment Census'!Q282="","",'Enrollment Census'!Q282)</f>
        <v/>
      </c>
      <c r="R282" s="36">
        <f>IF('Enrollment Census'!R282="","",TRIM('Enrollment Census'!R282&amp;""))</f>
        <v/>
      </c>
      <c r="S282" s="36">
        <f>IF('Enrollment Census'!S282="","",TRIM('Enrollment Census'!S282&amp;""))</f>
        <v/>
      </c>
      <c r="T282" s="36">
        <f>IF('Enrollment Census'!T282="","",TRIM('Enrollment Census'!T282&amp;""))</f>
        <v/>
      </c>
      <c r="U282" s="39">
        <f>IF('Enrollment Census'!U282="","",'Enrollment Census'!U282)</f>
        <v/>
      </c>
    </row>
    <row r="283">
      <c r="A283" s="36">
        <f>IF('Enrollment Census'!A283="","",TRIM('Enrollment Census'!A283&amp;""))</f>
        <v/>
      </c>
      <c r="B283" s="36">
        <f>IF('Enrollment Census'!B283="","",TRIM('Enrollment Census'!B283&amp;""))</f>
        <v/>
      </c>
      <c r="C283" s="37">
        <f>IF('Enrollment Census'!C283="","",TRIM('Enrollment Census'!C283&amp;""))</f>
        <v/>
      </c>
      <c r="D283" s="37">
        <f>IF('Enrollment Census'!D283="","",TRIM('Enrollment Census'!D283&amp;""))</f>
        <v/>
      </c>
      <c r="E283" s="36">
        <f>IF('Enrollment Census'!E283="","",TRIM('Enrollment Census'!E283&amp;""))</f>
        <v/>
      </c>
      <c r="F283" s="37">
        <f>IF('Enrollment Census'!F283="","",TRIM('Enrollment Census'!F283&amp;""))</f>
        <v/>
      </c>
      <c r="G283" s="37">
        <f>IF('Enrollment Census'!G283="","",TRIM('Enrollment Census'!G283&amp;""))</f>
        <v/>
      </c>
      <c r="H283" s="37">
        <f>IF('Enrollment Census'!H283="","",TRIM('Enrollment Census'!H283&amp;""))</f>
        <v/>
      </c>
      <c r="I283" s="36">
        <f>IF('Enrollment Census'!I283="","",TRIM('Enrollment Census'!I283&amp;""))</f>
        <v/>
      </c>
      <c r="J283" s="36">
        <f>IF('Enrollment Census'!J283="","",TRIM('Enrollment Census'!J283&amp;""))</f>
        <v/>
      </c>
      <c r="K283" s="36">
        <f>IF('Enrollment Census'!K283="","",TRIM('Enrollment Census'!K283&amp;""))</f>
        <v/>
      </c>
      <c r="L283" s="38">
        <f>IF('Enrollment Census'!L283="","",'Enrollment Census'!L283)</f>
        <v/>
      </c>
      <c r="M283" s="36">
        <f>IF('Enrollment Census'!M283="","",TRIM('Enrollment Census'!M283&amp;""))</f>
        <v/>
      </c>
      <c r="N283" s="36">
        <f>IF('Enrollment Census'!N283="","",LOWER(TRIM('Enrollment Census'!N283&amp;"")))</f>
        <v/>
      </c>
      <c r="O283" s="36">
        <f>IF('Enrollment Census'!O283="","",TRIM('Enrollment Census'!O283&amp;""))</f>
        <v/>
      </c>
      <c r="P283" s="38">
        <f>IF('Enrollment Census'!P283="","",'Enrollment Census'!P283)</f>
        <v/>
      </c>
      <c r="Q283" s="38">
        <f>IF('Enrollment Census'!Q283="","",'Enrollment Census'!Q283)</f>
        <v/>
      </c>
      <c r="R283" s="36">
        <f>IF('Enrollment Census'!R283="","",TRIM('Enrollment Census'!R283&amp;""))</f>
        <v/>
      </c>
      <c r="S283" s="36">
        <f>IF('Enrollment Census'!S283="","",TRIM('Enrollment Census'!S283&amp;""))</f>
        <v/>
      </c>
      <c r="T283" s="36">
        <f>IF('Enrollment Census'!T283="","",TRIM('Enrollment Census'!T283&amp;""))</f>
        <v/>
      </c>
      <c r="U283" s="39">
        <f>IF('Enrollment Census'!U283="","",'Enrollment Census'!U283)</f>
        <v/>
      </c>
    </row>
    <row r="284">
      <c r="A284" s="36">
        <f>IF('Enrollment Census'!A284="","",TRIM('Enrollment Census'!A284&amp;""))</f>
        <v/>
      </c>
      <c r="B284" s="36">
        <f>IF('Enrollment Census'!B284="","",TRIM('Enrollment Census'!B284&amp;""))</f>
        <v/>
      </c>
      <c r="C284" s="37">
        <f>IF('Enrollment Census'!C284="","",TRIM('Enrollment Census'!C284&amp;""))</f>
        <v/>
      </c>
      <c r="D284" s="37">
        <f>IF('Enrollment Census'!D284="","",TRIM('Enrollment Census'!D284&amp;""))</f>
        <v/>
      </c>
      <c r="E284" s="36">
        <f>IF('Enrollment Census'!E284="","",TRIM('Enrollment Census'!E284&amp;""))</f>
        <v/>
      </c>
      <c r="F284" s="37">
        <f>IF('Enrollment Census'!F284="","",TRIM('Enrollment Census'!F284&amp;""))</f>
        <v/>
      </c>
      <c r="G284" s="37">
        <f>IF('Enrollment Census'!G284="","",TRIM('Enrollment Census'!G284&amp;""))</f>
        <v/>
      </c>
      <c r="H284" s="37">
        <f>IF('Enrollment Census'!H284="","",TRIM('Enrollment Census'!H284&amp;""))</f>
        <v/>
      </c>
      <c r="I284" s="36">
        <f>IF('Enrollment Census'!I284="","",TRIM('Enrollment Census'!I284&amp;""))</f>
        <v/>
      </c>
      <c r="J284" s="36">
        <f>IF('Enrollment Census'!J284="","",TRIM('Enrollment Census'!J284&amp;""))</f>
        <v/>
      </c>
      <c r="K284" s="36">
        <f>IF('Enrollment Census'!K284="","",TRIM('Enrollment Census'!K284&amp;""))</f>
        <v/>
      </c>
      <c r="L284" s="38">
        <f>IF('Enrollment Census'!L284="","",'Enrollment Census'!L284)</f>
        <v/>
      </c>
      <c r="M284" s="36">
        <f>IF('Enrollment Census'!M284="","",TRIM('Enrollment Census'!M284&amp;""))</f>
        <v/>
      </c>
      <c r="N284" s="36">
        <f>IF('Enrollment Census'!N284="","",LOWER(TRIM('Enrollment Census'!N284&amp;"")))</f>
        <v/>
      </c>
      <c r="O284" s="36">
        <f>IF('Enrollment Census'!O284="","",TRIM('Enrollment Census'!O284&amp;""))</f>
        <v/>
      </c>
      <c r="P284" s="38">
        <f>IF('Enrollment Census'!P284="","",'Enrollment Census'!P284)</f>
        <v/>
      </c>
      <c r="Q284" s="38">
        <f>IF('Enrollment Census'!Q284="","",'Enrollment Census'!Q284)</f>
        <v/>
      </c>
      <c r="R284" s="36">
        <f>IF('Enrollment Census'!R284="","",TRIM('Enrollment Census'!R284&amp;""))</f>
        <v/>
      </c>
      <c r="S284" s="36">
        <f>IF('Enrollment Census'!S284="","",TRIM('Enrollment Census'!S284&amp;""))</f>
        <v/>
      </c>
      <c r="T284" s="36">
        <f>IF('Enrollment Census'!T284="","",TRIM('Enrollment Census'!T284&amp;""))</f>
        <v/>
      </c>
      <c r="U284" s="39">
        <f>IF('Enrollment Census'!U284="","",'Enrollment Census'!U284)</f>
        <v/>
      </c>
    </row>
    <row r="285">
      <c r="A285" s="36">
        <f>IF('Enrollment Census'!A285="","",TRIM('Enrollment Census'!A285&amp;""))</f>
        <v/>
      </c>
      <c r="B285" s="36">
        <f>IF('Enrollment Census'!B285="","",TRIM('Enrollment Census'!B285&amp;""))</f>
        <v/>
      </c>
      <c r="C285" s="37">
        <f>IF('Enrollment Census'!C285="","",TRIM('Enrollment Census'!C285&amp;""))</f>
        <v/>
      </c>
      <c r="D285" s="37">
        <f>IF('Enrollment Census'!D285="","",TRIM('Enrollment Census'!D285&amp;""))</f>
        <v/>
      </c>
      <c r="E285" s="36">
        <f>IF('Enrollment Census'!E285="","",TRIM('Enrollment Census'!E285&amp;""))</f>
        <v/>
      </c>
      <c r="F285" s="37">
        <f>IF('Enrollment Census'!F285="","",TRIM('Enrollment Census'!F285&amp;""))</f>
        <v/>
      </c>
      <c r="G285" s="37">
        <f>IF('Enrollment Census'!G285="","",TRIM('Enrollment Census'!G285&amp;""))</f>
        <v/>
      </c>
      <c r="H285" s="37">
        <f>IF('Enrollment Census'!H285="","",TRIM('Enrollment Census'!H285&amp;""))</f>
        <v/>
      </c>
      <c r="I285" s="36">
        <f>IF('Enrollment Census'!I285="","",TRIM('Enrollment Census'!I285&amp;""))</f>
        <v/>
      </c>
      <c r="J285" s="36">
        <f>IF('Enrollment Census'!J285="","",TRIM('Enrollment Census'!J285&amp;""))</f>
        <v/>
      </c>
      <c r="K285" s="36">
        <f>IF('Enrollment Census'!K285="","",TRIM('Enrollment Census'!K285&amp;""))</f>
        <v/>
      </c>
      <c r="L285" s="38">
        <f>IF('Enrollment Census'!L285="","",'Enrollment Census'!L285)</f>
        <v/>
      </c>
      <c r="M285" s="36">
        <f>IF('Enrollment Census'!M285="","",TRIM('Enrollment Census'!M285&amp;""))</f>
        <v/>
      </c>
      <c r="N285" s="36">
        <f>IF('Enrollment Census'!N285="","",LOWER(TRIM('Enrollment Census'!N285&amp;"")))</f>
        <v/>
      </c>
      <c r="O285" s="36">
        <f>IF('Enrollment Census'!O285="","",TRIM('Enrollment Census'!O285&amp;""))</f>
        <v/>
      </c>
      <c r="P285" s="38">
        <f>IF('Enrollment Census'!P285="","",'Enrollment Census'!P285)</f>
        <v/>
      </c>
      <c r="Q285" s="38">
        <f>IF('Enrollment Census'!Q285="","",'Enrollment Census'!Q285)</f>
        <v/>
      </c>
      <c r="R285" s="36">
        <f>IF('Enrollment Census'!R285="","",TRIM('Enrollment Census'!R285&amp;""))</f>
        <v/>
      </c>
      <c r="S285" s="36">
        <f>IF('Enrollment Census'!S285="","",TRIM('Enrollment Census'!S285&amp;""))</f>
        <v/>
      </c>
      <c r="T285" s="36">
        <f>IF('Enrollment Census'!T285="","",TRIM('Enrollment Census'!T285&amp;""))</f>
        <v/>
      </c>
      <c r="U285" s="39">
        <f>IF('Enrollment Census'!U285="","",'Enrollment Census'!U285)</f>
        <v/>
      </c>
    </row>
    <row r="286">
      <c r="A286" s="36">
        <f>IF('Enrollment Census'!A286="","",TRIM('Enrollment Census'!A286&amp;""))</f>
        <v/>
      </c>
      <c r="B286" s="36">
        <f>IF('Enrollment Census'!B286="","",TRIM('Enrollment Census'!B286&amp;""))</f>
        <v/>
      </c>
      <c r="C286" s="37">
        <f>IF('Enrollment Census'!C286="","",TRIM('Enrollment Census'!C286&amp;""))</f>
        <v/>
      </c>
      <c r="D286" s="37">
        <f>IF('Enrollment Census'!D286="","",TRIM('Enrollment Census'!D286&amp;""))</f>
        <v/>
      </c>
      <c r="E286" s="36">
        <f>IF('Enrollment Census'!E286="","",TRIM('Enrollment Census'!E286&amp;""))</f>
        <v/>
      </c>
      <c r="F286" s="37">
        <f>IF('Enrollment Census'!F286="","",TRIM('Enrollment Census'!F286&amp;""))</f>
        <v/>
      </c>
      <c r="G286" s="37">
        <f>IF('Enrollment Census'!G286="","",TRIM('Enrollment Census'!G286&amp;""))</f>
        <v/>
      </c>
      <c r="H286" s="37">
        <f>IF('Enrollment Census'!H286="","",TRIM('Enrollment Census'!H286&amp;""))</f>
        <v/>
      </c>
      <c r="I286" s="36">
        <f>IF('Enrollment Census'!I286="","",TRIM('Enrollment Census'!I286&amp;""))</f>
        <v/>
      </c>
      <c r="J286" s="36">
        <f>IF('Enrollment Census'!J286="","",TRIM('Enrollment Census'!J286&amp;""))</f>
        <v/>
      </c>
      <c r="K286" s="36">
        <f>IF('Enrollment Census'!K286="","",TRIM('Enrollment Census'!K286&amp;""))</f>
        <v/>
      </c>
      <c r="L286" s="38">
        <f>IF('Enrollment Census'!L286="","",'Enrollment Census'!L286)</f>
        <v/>
      </c>
      <c r="M286" s="36">
        <f>IF('Enrollment Census'!M286="","",TRIM('Enrollment Census'!M286&amp;""))</f>
        <v/>
      </c>
      <c r="N286" s="36">
        <f>IF('Enrollment Census'!N286="","",LOWER(TRIM('Enrollment Census'!N286&amp;"")))</f>
        <v/>
      </c>
      <c r="O286" s="36">
        <f>IF('Enrollment Census'!O286="","",TRIM('Enrollment Census'!O286&amp;""))</f>
        <v/>
      </c>
      <c r="P286" s="38">
        <f>IF('Enrollment Census'!P286="","",'Enrollment Census'!P286)</f>
        <v/>
      </c>
      <c r="Q286" s="38">
        <f>IF('Enrollment Census'!Q286="","",'Enrollment Census'!Q286)</f>
        <v/>
      </c>
      <c r="R286" s="36">
        <f>IF('Enrollment Census'!R286="","",TRIM('Enrollment Census'!R286&amp;""))</f>
        <v/>
      </c>
      <c r="S286" s="36">
        <f>IF('Enrollment Census'!S286="","",TRIM('Enrollment Census'!S286&amp;""))</f>
        <v/>
      </c>
      <c r="T286" s="36">
        <f>IF('Enrollment Census'!T286="","",TRIM('Enrollment Census'!T286&amp;""))</f>
        <v/>
      </c>
      <c r="U286" s="39">
        <f>IF('Enrollment Census'!U286="","",'Enrollment Census'!U286)</f>
        <v/>
      </c>
    </row>
    <row r="287">
      <c r="A287" s="36">
        <f>IF('Enrollment Census'!A287="","",TRIM('Enrollment Census'!A287&amp;""))</f>
        <v/>
      </c>
      <c r="B287" s="36">
        <f>IF('Enrollment Census'!B287="","",TRIM('Enrollment Census'!B287&amp;""))</f>
        <v/>
      </c>
      <c r="C287" s="37">
        <f>IF('Enrollment Census'!C287="","",TRIM('Enrollment Census'!C287&amp;""))</f>
        <v/>
      </c>
      <c r="D287" s="37">
        <f>IF('Enrollment Census'!D287="","",TRIM('Enrollment Census'!D287&amp;""))</f>
        <v/>
      </c>
      <c r="E287" s="36">
        <f>IF('Enrollment Census'!E287="","",TRIM('Enrollment Census'!E287&amp;""))</f>
        <v/>
      </c>
      <c r="F287" s="37">
        <f>IF('Enrollment Census'!F287="","",TRIM('Enrollment Census'!F287&amp;""))</f>
        <v/>
      </c>
      <c r="G287" s="37">
        <f>IF('Enrollment Census'!G287="","",TRIM('Enrollment Census'!G287&amp;""))</f>
        <v/>
      </c>
      <c r="H287" s="37">
        <f>IF('Enrollment Census'!H287="","",TRIM('Enrollment Census'!H287&amp;""))</f>
        <v/>
      </c>
      <c r="I287" s="36">
        <f>IF('Enrollment Census'!I287="","",TRIM('Enrollment Census'!I287&amp;""))</f>
        <v/>
      </c>
      <c r="J287" s="36">
        <f>IF('Enrollment Census'!J287="","",TRIM('Enrollment Census'!J287&amp;""))</f>
        <v/>
      </c>
      <c r="K287" s="36">
        <f>IF('Enrollment Census'!K287="","",TRIM('Enrollment Census'!K287&amp;""))</f>
        <v/>
      </c>
      <c r="L287" s="38">
        <f>IF('Enrollment Census'!L287="","",'Enrollment Census'!L287)</f>
        <v/>
      </c>
      <c r="M287" s="36">
        <f>IF('Enrollment Census'!M287="","",TRIM('Enrollment Census'!M287&amp;""))</f>
        <v/>
      </c>
      <c r="N287" s="36">
        <f>IF('Enrollment Census'!N287="","",LOWER(TRIM('Enrollment Census'!N287&amp;"")))</f>
        <v/>
      </c>
      <c r="O287" s="36">
        <f>IF('Enrollment Census'!O287="","",TRIM('Enrollment Census'!O287&amp;""))</f>
        <v/>
      </c>
      <c r="P287" s="38">
        <f>IF('Enrollment Census'!P287="","",'Enrollment Census'!P287)</f>
        <v/>
      </c>
      <c r="Q287" s="38">
        <f>IF('Enrollment Census'!Q287="","",'Enrollment Census'!Q287)</f>
        <v/>
      </c>
      <c r="R287" s="36">
        <f>IF('Enrollment Census'!R287="","",TRIM('Enrollment Census'!R287&amp;""))</f>
        <v/>
      </c>
      <c r="S287" s="36">
        <f>IF('Enrollment Census'!S287="","",TRIM('Enrollment Census'!S287&amp;""))</f>
        <v/>
      </c>
      <c r="T287" s="36">
        <f>IF('Enrollment Census'!T287="","",TRIM('Enrollment Census'!T287&amp;""))</f>
        <v/>
      </c>
      <c r="U287" s="39">
        <f>IF('Enrollment Census'!U287="","",'Enrollment Census'!U287)</f>
        <v/>
      </c>
    </row>
    <row r="288">
      <c r="A288" s="36">
        <f>IF('Enrollment Census'!A288="","",TRIM('Enrollment Census'!A288&amp;""))</f>
        <v/>
      </c>
      <c r="B288" s="36">
        <f>IF('Enrollment Census'!B288="","",TRIM('Enrollment Census'!B288&amp;""))</f>
        <v/>
      </c>
      <c r="C288" s="37">
        <f>IF('Enrollment Census'!C288="","",TRIM('Enrollment Census'!C288&amp;""))</f>
        <v/>
      </c>
      <c r="D288" s="37">
        <f>IF('Enrollment Census'!D288="","",TRIM('Enrollment Census'!D288&amp;""))</f>
        <v/>
      </c>
      <c r="E288" s="36">
        <f>IF('Enrollment Census'!E288="","",TRIM('Enrollment Census'!E288&amp;""))</f>
        <v/>
      </c>
      <c r="F288" s="37">
        <f>IF('Enrollment Census'!F288="","",TRIM('Enrollment Census'!F288&amp;""))</f>
        <v/>
      </c>
      <c r="G288" s="37">
        <f>IF('Enrollment Census'!G288="","",TRIM('Enrollment Census'!G288&amp;""))</f>
        <v/>
      </c>
      <c r="H288" s="37">
        <f>IF('Enrollment Census'!H288="","",TRIM('Enrollment Census'!H288&amp;""))</f>
        <v/>
      </c>
      <c r="I288" s="36">
        <f>IF('Enrollment Census'!I288="","",TRIM('Enrollment Census'!I288&amp;""))</f>
        <v/>
      </c>
      <c r="J288" s="36">
        <f>IF('Enrollment Census'!J288="","",TRIM('Enrollment Census'!J288&amp;""))</f>
        <v/>
      </c>
      <c r="K288" s="36">
        <f>IF('Enrollment Census'!K288="","",TRIM('Enrollment Census'!K288&amp;""))</f>
        <v/>
      </c>
      <c r="L288" s="38">
        <f>IF('Enrollment Census'!L288="","",'Enrollment Census'!L288)</f>
        <v/>
      </c>
      <c r="M288" s="36">
        <f>IF('Enrollment Census'!M288="","",TRIM('Enrollment Census'!M288&amp;""))</f>
        <v/>
      </c>
      <c r="N288" s="36">
        <f>IF('Enrollment Census'!N288="","",LOWER(TRIM('Enrollment Census'!N288&amp;"")))</f>
        <v/>
      </c>
      <c r="O288" s="36">
        <f>IF('Enrollment Census'!O288="","",TRIM('Enrollment Census'!O288&amp;""))</f>
        <v/>
      </c>
      <c r="P288" s="38">
        <f>IF('Enrollment Census'!P288="","",'Enrollment Census'!P288)</f>
        <v/>
      </c>
      <c r="Q288" s="38">
        <f>IF('Enrollment Census'!Q288="","",'Enrollment Census'!Q288)</f>
        <v/>
      </c>
      <c r="R288" s="36">
        <f>IF('Enrollment Census'!R288="","",TRIM('Enrollment Census'!R288&amp;""))</f>
        <v/>
      </c>
      <c r="S288" s="36">
        <f>IF('Enrollment Census'!S288="","",TRIM('Enrollment Census'!S288&amp;""))</f>
        <v/>
      </c>
      <c r="T288" s="36">
        <f>IF('Enrollment Census'!T288="","",TRIM('Enrollment Census'!T288&amp;""))</f>
        <v/>
      </c>
      <c r="U288" s="39">
        <f>IF('Enrollment Census'!U288="","",'Enrollment Census'!U288)</f>
        <v/>
      </c>
    </row>
    <row r="289">
      <c r="A289" s="36">
        <f>IF('Enrollment Census'!A289="","",TRIM('Enrollment Census'!A289&amp;""))</f>
        <v/>
      </c>
      <c r="B289" s="36">
        <f>IF('Enrollment Census'!B289="","",TRIM('Enrollment Census'!B289&amp;""))</f>
        <v/>
      </c>
      <c r="C289" s="37">
        <f>IF('Enrollment Census'!C289="","",TRIM('Enrollment Census'!C289&amp;""))</f>
        <v/>
      </c>
      <c r="D289" s="37">
        <f>IF('Enrollment Census'!D289="","",TRIM('Enrollment Census'!D289&amp;""))</f>
        <v/>
      </c>
      <c r="E289" s="36">
        <f>IF('Enrollment Census'!E289="","",TRIM('Enrollment Census'!E289&amp;""))</f>
        <v/>
      </c>
      <c r="F289" s="37">
        <f>IF('Enrollment Census'!F289="","",TRIM('Enrollment Census'!F289&amp;""))</f>
        <v/>
      </c>
      <c r="G289" s="37">
        <f>IF('Enrollment Census'!G289="","",TRIM('Enrollment Census'!G289&amp;""))</f>
        <v/>
      </c>
      <c r="H289" s="37">
        <f>IF('Enrollment Census'!H289="","",TRIM('Enrollment Census'!H289&amp;""))</f>
        <v/>
      </c>
      <c r="I289" s="36">
        <f>IF('Enrollment Census'!I289="","",TRIM('Enrollment Census'!I289&amp;""))</f>
        <v/>
      </c>
      <c r="J289" s="36">
        <f>IF('Enrollment Census'!J289="","",TRIM('Enrollment Census'!J289&amp;""))</f>
        <v/>
      </c>
      <c r="K289" s="36">
        <f>IF('Enrollment Census'!K289="","",TRIM('Enrollment Census'!K289&amp;""))</f>
        <v/>
      </c>
      <c r="L289" s="38">
        <f>IF('Enrollment Census'!L289="","",'Enrollment Census'!L289)</f>
        <v/>
      </c>
      <c r="M289" s="36">
        <f>IF('Enrollment Census'!M289="","",TRIM('Enrollment Census'!M289&amp;""))</f>
        <v/>
      </c>
      <c r="N289" s="36">
        <f>IF('Enrollment Census'!N289="","",LOWER(TRIM('Enrollment Census'!N289&amp;"")))</f>
        <v/>
      </c>
      <c r="O289" s="36">
        <f>IF('Enrollment Census'!O289="","",TRIM('Enrollment Census'!O289&amp;""))</f>
        <v/>
      </c>
      <c r="P289" s="38">
        <f>IF('Enrollment Census'!P289="","",'Enrollment Census'!P289)</f>
        <v/>
      </c>
      <c r="Q289" s="38">
        <f>IF('Enrollment Census'!Q289="","",'Enrollment Census'!Q289)</f>
        <v/>
      </c>
      <c r="R289" s="36">
        <f>IF('Enrollment Census'!R289="","",TRIM('Enrollment Census'!R289&amp;""))</f>
        <v/>
      </c>
      <c r="S289" s="36">
        <f>IF('Enrollment Census'!S289="","",TRIM('Enrollment Census'!S289&amp;""))</f>
        <v/>
      </c>
      <c r="T289" s="36">
        <f>IF('Enrollment Census'!T289="","",TRIM('Enrollment Census'!T289&amp;""))</f>
        <v/>
      </c>
      <c r="U289" s="39">
        <f>IF('Enrollment Census'!U289="","",'Enrollment Census'!U289)</f>
        <v/>
      </c>
    </row>
    <row r="290">
      <c r="A290" s="36">
        <f>IF('Enrollment Census'!A290="","",TRIM('Enrollment Census'!A290&amp;""))</f>
        <v/>
      </c>
      <c r="B290" s="36">
        <f>IF('Enrollment Census'!B290="","",TRIM('Enrollment Census'!B290&amp;""))</f>
        <v/>
      </c>
      <c r="C290" s="37">
        <f>IF('Enrollment Census'!C290="","",TRIM('Enrollment Census'!C290&amp;""))</f>
        <v/>
      </c>
      <c r="D290" s="37">
        <f>IF('Enrollment Census'!D290="","",TRIM('Enrollment Census'!D290&amp;""))</f>
        <v/>
      </c>
      <c r="E290" s="36">
        <f>IF('Enrollment Census'!E290="","",TRIM('Enrollment Census'!E290&amp;""))</f>
        <v/>
      </c>
      <c r="F290" s="37">
        <f>IF('Enrollment Census'!F290="","",TRIM('Enrollment Census'!F290&amp;""))</f>
        <v/>
      </c>
      <c r="G290" s="37">
        <f>IF('Enrollment Census'!G290="","",TRIM('Enrollment Census'!G290&amp;""))</f>
        <v/>
      </c>
      <c r="H290" s="37">
        <f>IF('Enrollment Census'!H290="","",TRIM('Enrollment Census'!H290&amp;""))</f>
        <v/>
      </c>
      <c r="I290" s="36">
        <f>IF('Enrollment Census'!I290="","",TRIM('Enrollment Census'!I290&amp;""))</f>
        <v/>
      </c>
      <c r="J290" s="36">
        <f>IF('Enrollment Census'!J290="","",TRIM('Enrollment Census'!J290&amp;""))</f>
        <v/>
      </c>
      <c r="K290" s="36">
        <f>IF('Enrollment Census'!K290="","",TRIM('Enrollment Census'!K290&amp;""))</f>
        <v/>
      </c>
      <c r="L290" s="38">
        <f>IF('Enrollment Census'!L290="","",'Enrollment Census'!L290)</f>
        <v/>
      </c>
      <c r="M290" s="36">
        <f>IF('Enrollment Census'!M290="","",TRIM('Enrollment Census'!M290&amp;""))</f>
        <v/>
      </c>
      <c r="N290" s="36">
        <f>IF('Enrollment Census'!N290="","",LOWER(TRIM('Enrollment Census'!N290&amp;"")))</f>
        <v/>
      </c>
      <c r="O290" s="36">
        <f>IF('Enrollment Census'!O290="","",TRIM('Enrollment Census'!O290&amp;""))</f>
        <v/>
      </c>
      <c r="P290" s="38">
        <f>IF('Enrollment Census'!P290="","",'Enrollment Census'!P290)</f>
        <v/>
      </c>
      <c r="Q290" s="38">
        <f>IF('Enrollment Census'!Q290="","",'Enrollment Census'!Q290)</f>
        <v/>
      </c>
      <c r="R290" s="36">
        <f>IF('Enrollment Census'!R290="","",TRIM('Enrollment Census'!R290&amp;""))</f>
        <v/>
      </c>
      <c r="S290" s="36">
        <f>IF('Enrollment Census'!S290="","",TRIM('Enrollment Census'!S290&amp;""))</f>
        <v/>
      </c>
      <c r="T290" s="36">
        <f>IF('Enrollment Census'!T290="","",TRIM('Enrollment Census'!T290&amp;""))</f>
        <v/>
      </c>
      <c r="U290" s="39">
        <f>IF('Enrollment Census'!U290="","",'Enrollment Census'!U290)</f>
        <v/>
      </c>
    </row>
    <row r="291">
      <c r="A291" s="36">
        <f>IF('Enrollment Census'!A291="","",TRIM('Enrollment Census'!A291&amp;""))</f>
        <v/>
      </c>
      <c r="B291" s="36">
        <f>IF('Enrollment Census'!B291="","",TRIM('Enrollment Census'!B291&amp;""))</f>
        <v/>
      </c>
      <c r="C291" s="37">
        <f>IF('Enrollment Census'!C291="","",TRIM('Enrollment Census'!C291&amp;""))</f>
        <v/>
      </c>
      <c r="D291" s="37">
        <f>IF('Enrollment Census'!D291="","",TRIM('Enrollment Census'!D291&amp;""))</f>
        <v/>
      </c>
      <c r="E291" s="36">
        <f>IF('Enrollment Census'!E291="","",TRIM('Enrollment Census'!E291&amp;""))</f>
        <v/>
      </c>
      <c r="F291" s="37">
        <f>IF('Enrollment Census'!F291="","",TRIM('Enrollment Census'!F291&amp;""))</f>
        <v/>
      </c>
      <c r="G291" s="37">
        <f>IF('Enrollment Census'!G291="","",TRIM('Enrollment Census'!G291&amp;""))</f>
        <v/>
      </c>
      <c r="H291" s="37">
        <f>IF('Enrollment Census'!H291="","",TRIM('Enrollment Census'!H291&amp;""))</f>
        <v/>
      </c>
      <c r="I291" s="36">
        <f>IF('Enrollment Census'!I291="","",TRIM('Enrollment Census'!I291&amp;""))</f>
        <v/>
      </c>
      <c r="J291" s="36">
        <f>IF('Enrollment Census'!J291="","",TRIM('Enrollment Census'!J291&amp;""))</f>
        <v/>
      </c>
      <c r="K291" s="36">
        <f>IF('Enrollment Census'!K291="","",TRIM('Enrollment Census'!K291&amp;""))</f>
        <v/>
      </c>
      <c r="L291" s="38">
        <f>IF('Enrollment Census'!L291="","",'Enrollment Census'!L291)</f>
        <v/>
      </c>
      <c r="M291" s="36">
        <f>IF('Enrollment Census'!M291="","",TRIM('Enrollment Census'!M291&amp;""))</f>
        <v/>
      </c>
      <c r="N291" s="36">
        <f>IF('Enrollment Census'!N291="","",LOWER(TRIM('Enrollment Census'!N291&amp;"")))</f>
        <v/>
      </c>
      <c r="O291" s="36">
        <f>IF('Enrollment Census'!O291="","",TRIM('Enrollment Census'!O291&amp;""))</f>
        <v/>
      </c>
      <c r="P291" s="38">
        <f>IF('Enrollment Census'!P291="","",'Enrollment Census'!P291)</f>
        <v/>
      </c>
      <c r="Q291" s="38">
        <f>IF('Enrollment Census'!Q291="","",'Enrollment Census'!Q291)</f>
        <v/>
      </c>
      <c r="R291" s="36">
        <f>IF('Enrollment Census'!R291="","",TRIM('Enrollment Census'!R291&amp;""))</f>
        <v/>
      </c>
      <c r="S291" s="36">
        <f>IF('Enrollment Census'!S291="","",TRIM('Enrollment Census'!S291&amp;""))</f>
        <v/>
      </c>
      <c r="T291" s="36">
        <f>IF('Enrollment Census'!T291="","",TRIM('Enrollment Census'!T291&amp;""))</f>
        <v/>
      </c>
      <c r="U291" s="39">
        <f>IF('Enrollment Census'!U291="","",'Enrollment Census'!U291)</f>
        <v/>
      </c>
    </row>
    <row r="292">
      <c r="A292" s="36">
        <f>IF('Enrollment Census'!A292="","",TRIM('Enrollment Census'!A292&amp;""))</f>
        <v/>
      </c>
      <c r="B292" s="36">
        <f>IF('Enrollment Census'!B292="","",TRIM('Enrollment Census'!B292&amp;""))</f>
        <v/>
      </c>
      <c r="C292" s="37">
        <f>IF('Enrollment Census'!C292="","",TRIM('Enrollment Census'!C292&amp;""))</f>
        <v/>
      </c>
      <c r="D292" s="37">
        <f>IF('Enrollment Census'!D292="","",TRIM('Enrollment Census'!D292&amp;""))</f>
        <v/>
      </c>
      <c r="E292" s="36">
        <f>IF('Enrollment Census'!E292="","",TRIM('Enrollment Census'!E292&amp;""))</f>
        <v/>
      </c>
      <c r="F292" s="37">
        <f>IF('Enrollment Census'!F292="","",TRIM('Enrollment Census'!F292&amp;""))</f>
        <v/>
      </c>
      <c r="G292" s="37">
        <f>IF('Enrollment Census'!G292="","",TRIM('Enrollment Census'!G292&amp;""))</f>
        <v/>
      </c>
      <c r="H292" s="37">
        <f>IF('Enrollment Census'!H292="","",TRIM('Enrollment Census'!H292&amp;""))</f>
        <v/>
      </c>
      <c r="I292" s="36">
        <f>IF('Enrollment Census'!I292="","",TRIM('Enrollment Census'!I292&amp;""))</f>
        <v/>
      </c>
      <c r="J292" s="36">
        <f>IF('Enrollment Census'!J292="","",TRIM('Enrollment Census'!J292&amp;""))</f>
        <v/>
      </c>
      <c r="K292" s="36">
        <f>IF('Enrollment Census'!K292="","",TRIM('Enrollment Census'!K292&amp;""))</f>
        <v/>
      </c>
      <c r="L292" s="38">
        <f>IF('Enrollment Census'!L292="","",'Enrollment Census'!L292)</f>
        <v/>
      </c>
      <c r="M292" s="36">
        <f>IF('Enrollment Census'!M292="","",TRIM('Enrollment Census'!M292&amp;""))</f>
        <v/>
      </c>
      <c r="N292" s="36">
        <f>IF('Enrollment Census'!N292="","",LOWER(TRIM('Enrollment Census'!N292&amp;"")))</f>
        <v/>
      </c>
      <c r="O292" s="36">
        <f>IF('Enrollment Census'!O292="","",TRIM('Enrollment Census'!O292&amp;""))</f>
        <v/>
      </c>
      <c r="P292" s="38">
        <f>IF('Enrollment Census'!P292="","",'Enrollment Census'!P292)</f>
        <v/>
      </c>
      <c r="Q292" s="38">
        <f>IF('Enrollment Census'!Q292="","",'Enrollment Census'!Q292)</f>
        <v/>
      </c>
      <c r="R292" s="36">
        <f>IF('Enrollment Census'!R292="","",TRIM('Enrollment Census'!R292&amp;""))</f>
        <v/>
      </c>
      <c r="S292" s="36">
        <f>IF('Enrollment Census'!S292="","",TRIM('Enrollment Census'!S292&amp;""))</f>
        <v/>
      </c>
      <c r="T292" s="36">
        <f>IF('Enrollment Census'!T292="","",TRIM('Enrollment Census'!T292&amp;""))</f>
        <v/>
      </c>
      <c r="U292" s="39">
        <f>IF('Enrollment Census'!U292="","",'Enrollment Census'!U292)</f>
        <v/>
      </c>
    </row>
    <row r="293">
      <c r="A293" s="36">
        <f>IF('Enrollment Census'!A293="","",TRIM('Enrollment Census'!A293&amp;""))</f>
        <v/>
      </c>
      <c r="B293" s="36">
        <f>IF('Enrollment Census'!B293="","",TRIM('Enrollment Census'!B293&amp;""))</f>
        <v/>
      </c>
      <c r="C293" s="37">
        <f>IF('Enrollment Census'!C293="","",TRIM('Enrollment Census'!C293&amp;""))</f>
        <v/>
      </c>
      <c r="D293" s="37">
        <f>IF('Enrollment Census'!D293="","",TRIM('Enrollment Census'!D293&amp;""))</f>
        <v/>
      </c>
      <c r="E293" s="36">
        <f>IF('Enrollment Census'!E293="","",TRIM('Enrollment Census'!E293&amp;""))</f>
        <v/>
      </c>
      <c r="F293" s="37">
        <f>IF('Enrollment Census'!F293="","",TRIM('Enrollment Census'!F293&amp;""))</f>
        <v/>
      </c>
      <c r="G293" s="37">
        <f>IF('Enrollment Census'!G293="","",TRIM('Enrollment Census'!G293&amp;""))</f>
        <v/>
      </c>
      <c r="H293" s="37">
        <f>IF('Enrollment Census'!H293="","",TRIM('Enrollment Census'!H293&amp;""))</f>
        <v/>
      </c>
      <c r="I293" s="36">
        <f>IF('Enrollment Census'!I293="","",TRIM('Enrollment Census'!I293&amp;""))</f>
        <v/>
      </c>
      <c r="J293" s="36">
        <f>IF('Enrollment Census'!J293="","",TRIM('Enrollment Census'!J293&amp;""))</f>
        <v/>
      </c>
      <c r="K293" s="36">
        <f>IF('Enrollment Census'!K293="","",TRIM('Enrollment Census'!K293&amp;""))</f>
        <v/>
      </c>
      <c r="L293" s="38">
        <f>IF('Enrollment Census'!L293="","",'Enrollment Census'!L293)</f>
        <v/>
      </c>
      <c r="M293" s="36">
        <f>IF('Enrollment Census'!M293="","",TRIM('Enrollment Census'!M293&amp;""))</f>
        <v/>
      </c>
      <c r="N293" s="36">
        <f>IF('Enrollment Census'!N293="","",LOWER(TRIM('Enrollment Census'!N293&amp;"")))</f>
        <v/>
      </c>
      <c r="O293" s="36">
        <f>IF('Enrollment Census'!O293="","",TRIM('Enrollment Census'!O293&amp;""))</f>
        <v/>
      </c>
      <c r="P293" s="38">
        <f>IF('Enrollment Census'!P293="","",'Enrollment Census'!P293)</f>
        <v/>
      </c>
      <c r="Q293" s="38">
        <f>IF('Enrollment Census'!Q293="","",'Enrollment Census'!Q293)</f>
        <v/>
      </c>
      <c r="R293" s="36">
        <f>IF('Enrollment Census'!R293="","",TRIM('Enrollment Census'!R293&amp;""))</f>
        <v/>
      </c>
      <c r="S293" s="36">
        <f>IF('Enrollment Census'!S293="","",TRIM('Enrollment Census'!S293&amp;""))</f>
        <v/>
      </c>
      <c r="T293" s="36">
        <f>IF('Enrollment Census'!T293="","",TRIM('Enrollment Census'!T293&amp;""))</f>
        <v/>
      </c>
      <c r="U293" s="39">
        <f>IF('Enrollment Census'!U293="","",'Enrollment Census'!U293)</f>
        <v/>
      </c>
    </row>
    <row r="294">
      <c r="A294" s="36">
        <f>IF('Enrollment Census'!A294="","",TRIM('Enrollment Census'!A294&amp;""))</f>
        <v/>
      </c>
      <c r="B294" s="36">
        <f>IF('Enrollment Census'!B294="","",TRIM('Enrollment Census'!B294&amp;""))</f>
        <v/>
      </c>
      <c r="C294" s="37">
        <f>IF('Enrollment Census'!C294="","",TRIM('Enrollment Census'!C294&amp;""))</f>
        <v/>
      </c>
      <c r="D294" s="37">
        <f>IF('Enrollment Census'!D294="","",TRIM('Enrollment Census'!D294&amp;""))</f>
        <v/>
      </c>
      <c r="E294" s="36">
        <f>IF('Enrollment Census'!E294="","",TRIM('Enrollment Census'!E294&amp;""))</f>
        <v/>
      </c>
      <c r="F294" s="37">
        <f>IF('Enrollment Census'!F294="","",TRIM('Enrollment Census'!F294&amp;""))</f>
        <v/>
      </c>
      <c r="G294" s="37">
        <f>IF('Enrollment Census'!G294="","",TRIM('Enrollment Census'!G294&amp;""))</f>
        <v/>
      </c>
      <c r="H294" s="37">
        <f>IF('Enrollment Census'!H294="","",TRIM('Enrollment Census'!H294&amp;""))</f>
        <v/>
      </c>
      <c r="I294" s="36">
        <f>IF('Enrollment Census'!I294="","",TRIM('Enrollment Census'!I294&amp;""))</f>
        <v/>
      </c>
      <c r="J294" s="36">
        <f>IF('Enrollment Census'!J294="","",TRIM('Enrollment Census'!J294&amp;""))</f>
        <v/>
      </c>
      <c r="K294" s="36">
        <f>IF('Enrollment Census'!K294="","",TRIM('Enrollment Census'!K294&amp;""))</f>
        <v/>
      </c>
      <c r="L294" s="38">
        <f>IF('Enrollment Census'!L294="","",'Enrollment Census'!L294)</f>
        <v/>
      </c>
      <c r="M294" s="36">
        <f>IF('Enrollment Census'!M294="","",TRIM('Enrollment Census'!M294&amp;""))</f>
        <v/>
      </c>
      <c r="N294" s="36">
        <f>IF('Enrollment Census'!N294="","",LOWER(TRIM('Enrollment Census'!N294&amp;"")))</f>
        <v/>
      </c>
      <c r="O294" s="36">
        <f>IF('Enrollment Census'!O294="","",TRIM('Enrollment Census'!O294&amp;""))</f>
        <v/>
      </c>
      <c r="P294" s="38">
        <f>IF('Enrollment Census'!P294="","",'Enrollment Census'!P294)</f>
        <v/>
      </c>
      <c r="Q294" s="38">
        <f>IF('Enrollment Census'!Q294="","",'Enrollment Census'!Q294)</f>
        <v/>
      </c>
      <c r="R294" s="36">
        <f>IF('Enrollment Census'!R294="","",TRIM('Enrollment Census'!R294&amp;""))</f>
        <v/>
      </c>
      <c r="S294" s="36">
        <f>IF('Enrollment Census'!S294="","",TRIM('Enrollment Census'!S294&amp;""))</f>
        <v/>
      </c>
      <c r="T294" s="36">
        <f>IF('Enrollment Census'!T294="","",TRIM('Enrollment Census'!T294&amp;""))</f>
        <v/>
      </c>
      <c r="U294" s="39">
        <f>IF('Enrollment Census'!U294="","",'Enrollment Census'!U294)</f>
        <v/>
      </c>
    </row>
    <row r="295">
      <c r="A295" s="36">
        <f>IF('Enrollment Census'!A295="","",TRIM('Enrollment Census'!A295&amp;""))</f>
        <v/>
      </c>
      <c r="B295" s="36">
        <f>IF('Enrollment Census'!B295="","",TRIM('Enrollment Census'!B295&amp;""))</f>
        <v/>
      </c>
      <c r="C295" s="37">
        <f>IF('Enrollment Census'!C295="","",TRIM('Enrollment Census'!C295&amp;""))</f>
        <v/>
      </c>
      <c r="D295" s="37">
        <f>IF('Enrollment Census'!D295="","",TRIM('Enrollment Census'!D295&amp;""))</f>
        <v/>
      </c>
      <c r="E295" s="36">
        <f>IF('Enrollment Census'!E295="","",TRIM('Enrollment Census'!E295&amp;""))</f>
        <v/>
      </c>
      <c r="F295" s="37">
        <f>IF('Enrollment Census'!F295="","",TRIM('Enrollment Census'!F295&amp;""))</f>
        <v/>
      </c>
      <c r="G295" s="37">
        <f>IF('Enrollment Census'!G295="","",TRIM('Enrollment Census'!G295&amp;""))</f>
        <v/>
      </c>
      <c r="H295" s="37">
        <f>IF('Enrollment Census'!H295="","",TRIM('Enrollment Census'!H295&amp;""))</f>
        <v/>
      </c>
      <c r="I295" s="36">
        <f>IF('Enrollment Census'!I295="","",TRIM('Enrollment Census'!I295&amp;""))</f>
        <v/>
      </c>
      <c r="J295" s="36">
        <f>IF('Enrollment Census'!J295="","",TRIM('Enrollment Census'!J295&amp;""))</f>
        <v/>
      </c>
      <c r="K295" s="36">
        <f>IF('Enrollment Census'!K295="","",TRIM('Enrollment Census'!K295&amp;""))</f>
        <v/>
      </c>
      <c r="L295" s="38">
        <f>IF('Enrollment Census'!L295="","",'Enrollment Census'!L295)</f>
        <v/>
      </c>
      <c r="M295" s="36">
        <f>IF('Enrollment Census'!M295="","",TRIM('Enrollment Census'!M295&amp;""))</f>
        <v/>
      </c>
      <c r="N295" s="36">
        <f>IF('Enrollment Census'!N295="","",LOWER(TRIM('Enrollment Census'!N295&amp;"")))</f>
        <v/>
      </c>
      <c r="O295" s="36">
        <f>IF('Enrollment Census'!O295="","",TRIM('Enrollment Census'!O295&amp;""))</f>
        <v/>
      </c>
      <c r="P295" s="38">
        <f>IF('Enrollment Census'!P295="","",'Enrollment Census'!P295)</f>
        <v/>
      </c>
      <c r="Q295" s="38">
        <f>IF('Enrollment Census'!Q295="","",'Enrollment Census'!Q295)</f>
        <v/>
      </c>
      <c r="R295" s="36">
        <f>IF('Enrollment Census'!R295="","",TRIM('Enrollment Census'!R295&amp;""))</f>
        <v/>
      </c>
      <c r="S295" s="36">
        <f>IF('Enrollment Census'!S295="","",TRIM('Enrollment Census'!S295&amp;""))</f>
        <v/>
      </c>
      <c r="T295" s="36">
        <f>IF('Enrollment Census'!T295="","",TRIM('Enrollment Census'!T295&amp;""))</f>
        <v/>
      </c>
      <c r="U295" s="39">
        <f>IF('Enrollment Census'!U295="","",'Enrollment Census'!U295)</f>
        <v/>
      </c>
    </row>
    <row r="296">
      <c r="A296" s="36">
        <f>IF('Enrollment Census'!A296="","",TRIM('Enrollment Census'!A296&amp;""))</f>
        <v/>
      </c>
      <c r="B296" s="36">
        <f>IF('Enrollment Census'!B296="","",TRIM('Enrollment Census'!B296&amp;""))</f>
        <v/>
      </c>
      <c r="C296" s="37">
        <f>IF('Enrollment Census'!C296="","",TRIM('Enrollment Census'!C296&amp;""))</f>
        <v/>
      </c>
      <c r="D296" s="37">
        <f>IF('Enrollment Census'!D296="","",TRIM('Enrollment Census'!D296&amp;""))</f>
        <v/>
      </c>
      <c r="E296" s="36">
        <f>IF('Enrollment Census'!E296="","",TRIM('Enrollment Census'!E296&amp;""))</f>
        <v/>
      </c>
      <c r="F296" s="37">
        <f>IF('Enrollment Census'!F296="","",TRIM('Enrollment Census'!F296&amp;""))</f>
        <v/>
      </c>
      <c r="G296" s="37">
        <f>IF('Enrollment Census'!G296="","",TRIM('Enrollment Census'!G296&amp;""))</f>
        <v/>
      </c>
      <c r="H296" s="37">
        <f>IF('Enrollment Census'!H296="","",TRIM('Enrollment Census'!H296&amp;""))</f>
        <v/>
      </c>
      <c r="I296" s="36">
        <f>IF('Enrollment Census'!I296="","",TRIM('Enrollment Census'!I296&amp;""))</f>
        <v/>
      </c>
      <c r="J296" s="36">
        <f>IF('Enrollment Census'!J296="","",TRIM('Enrollment Census'!J296&amp;""))</f>
        <v/>
      </c>
      <c r="K296" s="36">
        <f>IF('Enrollment Census'!K296="","",TRIM('Enrollment Census'!K296&amp;""))</f>
        <v/>
      </c>
      <c r="L296" s="38">
        <f>IF('Enrollment Census'!L296="","",'Enrollment Census'!L296)</f>
        <v/>
      </c>
      <c r="M296" s="36">
        <f>IF('Enrollment Census'!M296="","",TRIM('Enrollment Census'!M296&amp;""))</f>
        <v/>
      </c>
      <c r="N296" s="36">
        <f>IF('Enrollment Census'!N296="","",LOWER(TRIM('Enrollment Census'!N296&amp;"")))</f>
        <v/>
      </c>
      <c r="O296" s="36">
        <f>IF('Enrollment Census'!O296="","",TRIM('Enrollment Census'!O296&amp;""))</f>
        <v/>
      </c>
      <c r="P296" s="38">
        <f>IF('Enrollment Census'!P296="","",'Enrollment Census'!P296)</f>
        <v/>
      </c>
      <c r="Q296" s="38">
        <f>IF('Enrollment Census'!Q296="","",'Enrollment Census'!Q296)</f>
        <v/>
      </c>
      <c r="R296" s="36">
        <f>IF('Enrollment Census'!R296="","",TRIM('Enrollment Census'!R296&amp;""))</f>
        <v/>
      </c>
      <c r="S296" s="36">
        <f>IF('Enrollment Census'!S296="","",TRIM('Enrollment Census'!S296&amp;""))</f>
        <v/>
      </c>
      <c r="T296" s="36">
        <f>IF('Enrollment Census'!T296="","",TRIM('Enrollment Census'!T296&amp;""))</f>
        <v/>
      </c>
      <c r="U296" s="39">
        <f>IF('Enrollment Census'!U296="","",'Enrollment Census'!U296)</f>
        <v/>
      </c>
    </row>
    <row r="297">
      <c r="A297" s="36">
        <f>IF('Enrollment Census'!A297="","",TRIM('Enrollment Census'!A297&amp;""))</f>
        <v/>
      </c>
      <c r="B297" s="36">
        <f>IF('Enrollment Census'!B297="","",TRIM('Enrollment Census'!B297&amp;""))</f>
        <v/>
      </c>
      <c r="C297" s="37">
        <f>IF('Enrollment Census'!C297="","",TRIM('Enrollment Census'!C297&amp;""))</f>
        <v/>
      </c>
      <c r="D297" s="37">
        <f>IF('Enrollment Census'!D297="","",TRIM('Enrollment Census'!D297&amp;""))</f>
        <v/>
      </c>
      <c r="E297" s="36">
        <f>IF('Enrollment Census'!E297="","",TRIM('Enrollment Census'!E297&amp;""))</f>
        <v/>
      </c>
      <c r="F297" s="37">
        <f>IF('Enrollment Census'!F297="","",TRIM('Enrollment Census'!F297&amp;""))</f>
        <v/>
      </c>
      <c r="G297" s="37">
        <f>IF('Enrollment Census'!G297="","",TRIM('Enrollment Census'!G297&amp;""))</f>
        <v/>
      </c>
      <c r="H297" s="37">
        <f>IF('Enrollment Census'!H297="","",TRIM('Enrollment Census'!H297&amp;""))</f>
        <v/>
      </c>
      <c r="I297" s="36">
        <f>IF('Enrollment Census'!I297="","",TRIM('Enrollment Census'!I297&amp;""))</f>
        <v/>
      </c>
      <c r="J297" s="36">
        <f>IF('Enrollment Census'!J297="","",TRIM('Enrollment Census'!J297&amp;""))</f>
        <v/>
      </c>
      <c r="K297" s="36">
        <f>IF('Enrollment Census'!K297="","",TRIM('Enrollment Census'!K297&amp;""))</f>
        <v/>
      </c>
      <c r="L297" s="38">
        <f>IF('Enrollment Census'!L297="","",'Enrollment Census'!L297)</f>
        <v/>
      </c>
      <c r="M297" s="36">
        <f>IF('Enrollment Census'!M297="","",TRIM('Enrollment Census'!M297&amp;""))</f>
        <v/>
      </c>
      <c r="N297" s="36">
        <f>IF('Enrollment Census'!N297="","",LOWER(TRIM('Enrollment Census'!N297&amp;"")))</f>
        <v/>
      </c>
      <c r="O297" s="36">
        <f>IF('Enrollment Census'!O297="","",TRIM('Enrollment Census'!O297&amp;""))</f>
        <v/>
      </c>
      <c r="P297" s="38">
        <f>IF('Enrollment Census'!P297="","",'Enrollment Census'!P297)</f>
        <v/>
      </c>
      <c r="Q297" s="38">
        <f>IF('Enrollment Census'!Q297="","",'Enrollment Census'!Q297)</f>
        <v/>
      </c>
      <c r="R297" s="36">
        <f>IF('Enrollment Census'!R297="","",TRIM('Enrollment Census'!R297&amp;""))</f>
        <v/>
      </c>
      <c r="S297" s="36">
        <f>IF('Enrollment Census'!S297="","",TRIM('Enrollment Census'!S297&amp;""))</f>
        <v/>
      </c>
      <c r="T297" s="36">
        <f>IF('Enrollment Census'!T297="","",TRIM('Enrollment Census'!T297&amp;""))</f>
        <v/>
      </c>
      <c r="U297" s="39">
        <f>IF('Enrollment Census'!U297="","",'Enrollment Census'!U297)</f>
        <v/>
      </c>
    </row>
    <row r="298">
      <c r="A298" s="36">
        <f>IF('Enrollment Census'!A298="","",TRIM('Enrollment Census'!A298&amp;""))</f>
        <v/>
      </c>
      <c r="B298" s="36">
        <f>IF('Enrollment Census'!B298="","",TRIM('Enrollment Census'!B298&amp;""))</f>
        <v/>
      </c>
      <c r="C298" s="37">
        <f>IF('Enrollment Census'!C298="","",TRIM('Enrollment Census'!C298&amp;""))</f>
        <v/>
      </c>
      <c r="D298" s="37">
        <f>IF('Enrollment Census'!D298="","",TRIM('Enrollment Census'!D298&amp;""))</f>
        <v/>
      </c>
      <c r="E298" s="36">
        <f>IF('Enrollment Census'!E298="","",TRIM('Enrollment Census'!E298&amp;""))</f>
        <v/>
      </c>
      <c r="F298" s="37">
        <f>IF('Enrollment Census'!F298="","",TRIM('Enrollment Census'!F298&amp;""))</f>
        <v/>
      </c>
      <c r="G298" s="37">
        <f>IF('Enrollment Census'!G298="","",TRIM('Enrollment Census'!G298&amp;""))</f>
        <v/>
      </c>
      <c r="H298" s="37">
        <f>IF('Enrollment Census'!H298="","",TRIM('Enrollment Census'!H298&amp;""))</f>
        <v/>
      </c>
      <c r="I298" s="36">
        <f>IF('Enrollment Census'!I298="","",TRIM('Enrollment Census'!I298&amp;""))</f>
        <v/>
      </c>
      <c r="J298" s="36">
        <f>IF('Enrollment Census'!J298="","",TRIM('Enrollment Census'!J298&amp;""))</f>
        <v/>
      </c>
      <c r="K298" s="36">
        <f>IF('Enrollment Census'!K298="","",TRIM('Enrollment Census'!K298&amp;""))</f>
        <v/>
      </c>
      <c r="L298" s="38">
        <f>IF('Enrollment Census'!L298="","",'Enrollment Census'!L298)</f>
        <v/>
      </c>
      <c r="M298" s="36">
        <f>IF('Enrollment Census'!M298="","",TRIM('Enrollment Census'!M298&amp;""))</f>
        <v/>
      </c>
      <c r="N298" s="36">
        <f>IF('Enrollment Census'!N298="","",LOWER(TRIM('Enrollment Census'!N298&amp;"")))</f>
        <v/>
      </c>
      <c r="O298" s="36">
        <f>IF('Enrollment Census'!O298="","",TRIM('Enrollment Census'!O298&amp;""))</f>
        <v/>
      </c>
      <c r="P298" s="38">
        <f>IF('Enrollment Census'!P298="","",'Enrollment Census'!P298)</f>
        <v/>
      </c>
      <c r="Q298" s="38">
        <f>IF('Enrollment Census'!Q298="","",'Enrollment Census'!Q298)</f>
        <v/>
      </c>
      <c r="R298" s="36">
        <f>IF('Enrollment Census'!R298="","",TRIM('Enrollment Census'!R298&amp;""))</f>
        <v/>
      </c>
      <c r="S298" s="36">
        <f>IF('Enrollment Census'!S298="","",TRIM('Enrollment Census'!S298&amp;""))</f>
        <v/>
      </c>
      <c r="T298" s="36">
        <f>IF('Enrollment Census'!T298="","",TRIM('Enrollment Census'!T298&amp;""))</f>
        <v/>
      </c>
      <c r="U298" s="39">
        <f>IF('Enrollment Census'!U298="","",'Enrollment Census'!U298)</f>
        <v/>
      </c>
    </row>
    <row r="299">
      <c r="A299" s="36">
        <f>IF('Enrollment Census'!A299="","",TRIM('Enrollment Census'!A299&amp;""))</f>
        <v/>
      </c>
      <c r="B299" s="36">
        <f>IF('Enrollment Census'!B299="","",TRIM('Enrollment Census'!B299&amp;""))</f>
        <v/>
      </c>
      <c r="C299" s="37">
        <f>IF('Enrollment Census'!C299="","",TRIM('Enrollment Census'!C299&amp;""))</f>
        <v/>
      </c>
      <c r="D299" s="37">
        <f>IF('Enrollment Census'!D299="","",TRIM('Enrollment Census'!D299&amp;""))</f>
        <v/>
      </c>
      <c r="E299" s="36">
        <f>IF('Enrollment Census'!E299="","",TRIM('Enrollment Census'!E299&amp;""))</f>
        <v/>
      </c>
      <c r="F299" s="37">
        <f>IF('Enrollment Census'!F299="","",TRIM('Enrollment Census'!F299&amp;""))</f>
        <v/>
      </c>
      <c r="G299" s="37">
        <f>IF('Enrollment Census'!G299="","",TRIM('Enrollment Census'!G299&amp;""))</f>
        <v/>
      </c>
      <c r="H299" s="37">
        <f>IF('Enrollment Census'!H299="","",TRIM('Enrollment Census'!H299&amp;""))</f>
        <v/>
      </c>
      <c r="I299" s="36">
        <f>IF('Enrollment Census'!I299="","",TRIM('Enrollment Census'!I299&amp;""))</f>
        <v/>
      </c>
      <c r="J299" s="36">
        <f>IF('Enrollment Census'!J299="","",TRIM('Enrollment Census'!J299&amp;""))</f>
        <v/>
      </c>
      <c r="K299" s="36">
        <f>IF('Enrollment Census'!K299="","",TRIM('Enrollment Census'!K299&amp;""))</f>
        <v/>
      </c>
      <c r="L299" s="38">
        <f>IF('Enrollment Census'!L299="","",'Enrollment Census'!L299)</f>
        <v/>
      </c>
      <c r="M299" s="36">
        <f>IF('Enrollment Census'!M299="","",TRIM('Enrollment Census'!M299&amp;""))</f>
        <v/>
      </c>
      <c r="N299" s="36">
        <f>IF('Enrollment Census'!N299="","",LOWER(TRIM('Enrollment Census'!N299&amp;"")))</f>
        <v/>
      </c>
      <c r="O299" s="36">
        <f>IF('Enrollment Census'!O299="","",TRIM('Enrollment Census'!O299&amp;""))</f>
        <v/>
      </c>
      <c r="P299" s="38">
        <f>IF('Enrollment Census'!P299="","",'Enrollment Census'!P299)</f>
        <v/>
      </c>
      <c r="Q299" s="38">
        <f>IF('Enrollment Census'!Q299="","",'Enrollment Census'!Q299)</f>
        <v/>
      </c>
      <c r="R299" s="36">
        <f>IF('Enrollment Census'!R299="","",TRIM('Enrollment Census'!R299&amp;""))</f>
        <v/>
      </c>
      <c r="S299" s="36">
        <f>IF('Enrollment Census'!S299="","",TRIM('Enrollment Census'!S299&amp;""))</f>
        <v/>
      </c>
      <c r="T299" s="36">
        <f>IF('Enrollment Census'!T299="","",TRIM('Enrollment Census'!T299&amp;""))</f>
        <v/>
      </c>
      <c r="U299" s="39">
        <f>IF('Enrollment Census'!U299="","",'Enrollment Census'!U299)</f>
        <v/>
      </c>
    </row>
    <row r="300">
      <c r="A300" s="36">
        <f>IF('Enrollment Census'!A300="","",TRIM('Enrollment Census'!A300&amp;""))</f>
        <v/>
      </c>
      <c r="B300" s="36">
        <f>IF('Enrollment Census'!B300="","",TRIM('Enrollment Census'!B300&amp;""))</f>
        <v/>
      </c>
      <c r="C300" s="37">
        <f>IF('Enrollment Census'!C300="","",TRIM('Enrollment Census'!C300&amp;""))</f>
        <v/>
      </c>
      <c r="D300" s="37">
        <f>IF('Enrollment Census'!D300="","",TRIM('Enrollment Census'!D300&amp;""))</f>
        <v/>
      </c>
      <c r="E300" s="36">
        <f>IF('Enrollment Census'!E300="","",TRIM('Enrollment Census'!E300&amp;""))</f>
        <v/>
      </c>
      <c r="F300" s="37">
        <f>IF('Enrollment Census'!F300="","",TRIM('Enrollment Census'!F300&amp;""))</f>
        <v/>
      </c>
      <c r="G300" s="37">
        <f>IF('Enrollment Census'!G300="","",TRIM('Enrollment Census'!G300&amp;""))</f>
        <v/>
      </c>
      <c r="H300" s="37">
        <f>IF('Enrollment Census'!H300="","",TRIM('Enrollment Census'!H300&amp;""))</f>
        <v/>
      </c>
      <c r="I300" s="36">
        <f>IF('Enrollment Census'!I300="","",TRIM('Enrollment Census'!I300&amp;""))</f>
        <v/>
      </c>
      <c r="J300" s="36">
        <f>IF('Enrollment Census'!J300="","",TRIM('Enrollment Census'!J300&amp;""))</f>
        <v/>
      </c>
      <c r="K300" s="36">
        <f>IF('Enrollment Census'!K300="","",TRIM('Enrollment Census'!K300&amp;""))</f>
        <v/>
      </c>
      <c r="L300" s="38">
        <f>IF('Enrollment Census'!L300="","",'Enrollment Census'!L300)</f>
        <v/>
      </c>
      <c r="M300" s="36">
        <f>IF('Enrollment Census'!M300="","",TRIM('Enrollment Census'!M300&amp;""))</f>
        <v/>
      </c>
      <c r="N300" s="36">
        <f>IF('Enrollment Census'!N300="","",LOWER(TRIM('Enrollment Census'!N300&amp;"")))</f>
        <v/>
      </c>
      <c r="O300" s="36">
        <f>IF('Enrollment Census'!O300="","",TRIM('Enrollment Census'!O300&amp;""))</f>
        <v/>
      </c>
      <c r="P300" s="38">
        <f>IF('Enrollment Census'!P300="","",'Enrollment Census'!P300)</f>
        <v/>
      </c>
      <c r="Q300" s="38">
        <f>IF('Enrollment Census'!Q300="","",'Enrollment Census'!Q300)</f>
        <v/>
      </c>
      <c r="R300" s="36">
        <f>IF('Enrollment Census'!R300="","",TRIM('Enrollment Census'!R300&amp;""))</f>
        <v/>
      </c>
      <c r="S300" s="36">
        <f>IF('Enrollment Census'!S300="","",TRIM('Enrollment Census'!S300&amp;""))</f>
        <v/>
      </c>
      <c r="T300" s="36">
        <f>IF('Enrollment Census'!T300="","",TRIM('Enrollment Census'!T300&amp;""))</f>
        <v/>
      </c>
      <c r="U300" s="39">
        <f>IF('Enrollment Census'!U300="","",'Enrollment Census'!U300)</f>
        <v/>
      </c>
    </row>
    <row r="301">
      <c r="A301" s="36">
        <f>IF('Enrollment Census'!A301="","",TRIM('Enrollment Census'!A301&amp;""))</f>
        <v/>
      </c>
      <c r="B301" s="36">
        <f>IF('Enrollment Census'!B301="","",TRIM('Enrollment Census'!B301&amp;""))</f>
        <v/>
      </c>
      <c r="C301" s="37">
        <f>IF('Enrollment Census'!C301="","",TRIM('Enrollment Census'!C301&amp;""))</f>
        <v/>
      </c>
      <c r="D301" s="37">
        <f>IF('Enrollment Census'!D301="","",TRIM('Enrollment Census'!D301&amp;""))</f>
        <v/>
      </c>
      <c r="E301" s="36">
        <f>IF('Enrollment Census'!E301="","",TRIM('Enrollment Census'!E301&amp;""))</f>
        <v/>
      </c>
      <c r="F301" s="37">
        <f>IF('Enrollment Census'!F301="","",TRIM('Enrollment Census'!F301&amp;""))</f>
        <v/>
      </c>
      <c r="G301" s="37">
        <f>IF('Enrollment Census'!G301="","",TRIM('Enrollment Census'!G301&amp;""))</f>
        <v/>
      </c>
      <c r="H301" s="37">
        <f>IF('Enrollment Census'!H301="","",TRIM('Enrollment Census'!H301&amp;""))</f>
        <v/>
      </c>
      <c r="I301" s="36">
        <f>IF('Enrollment Census'!I301="","",TRIM('Enrollment Census'!I301&amp;""))</f>
        <v/>
      </c>
      <c r="J301" s="36">
        <f>IF('Enrollment Census'!J301="","",TRIM('Enrollment Census'!J301&amp;""))</f>
        <v/>
      </c>
      <c r="K301" s="36">
        <f>IF('Enrollment Census'!K301="","",TRIM('Enrollment Census'!K301&amp;""))</f>
        <v/>
      </c>
      <c r="L301" s="38">
        <f>IF('Enrollment Census'!L301="","",'Enrollment Census'!L301)</f>
        <v/>
      </c>
      <c r="M301" s="36">
        <f>IF('Enrollment Census'!M301="","",TRIM('Enrollment Census'!M301&amp;""))</f>
        <v/>
      </c>
      <c r="N301" s="36">
        <f>IF('Enrollment Census'!N301="","",LOWER(TRIM('Enrollment Census'!N301&amp;"")))</f>
        <v/>
      </c>
      <c r="O301" s="36">
        <f>IF('Enrollment Census'!O301="","",TRIM('Enrollment Census'!O301&amp;""))</f>
        <v/>
      </c>
      <c r="P301" s="38">
        <f>IF('Enrollment Census'!P301="","",'Enrollment Census'!P301)</f>
        <v/>
      </c>
      <c r="Q301" s="38">
        <f>IF('Enrollment Census'!Q301="","",'Enrollment Census'!Q301)</f>
        <v/>
      </c>
      <c r="R301" s="36">
        <f>IF('Enrollment Census'!R301="","",TRIM('Enrollment Census'!R301&amp;""))</f>
        <v/>
      </c>
      <c r="S301" s="36">
        <f>IF('Enrollment Census'!S301="","",TRIM('Enrollment Census'!S301&amp;""))</f>
        <v/>
      </c>
      <c r="T301" s="36">
        <f>IF('Enrollment Census'!T301="","",TRIM('Enrollment Census'!T301&amp;""))</f>
        <v/>
      </c>
      <c r="U301" s="39">
        <f>IF('Enrollment Census'!U301="","",'Enrollment Census'!U301)</f>
        <v/>
      </c>
    </row>
    <row r="302">
      <c r="A302" s="36">
        <f>IF('Enrollment Census'!A302="","",TRIM('Enrollment Census'!A302&amp;""))</f>
        <v/>
      </c>
      <c r="B302" s="36">
        <f>IF('Enrollment Census'!B302="","",TRIM('Enrollment Census'!B302&amp;""))</f>
        <v/>
      </c>
      <c r="C302" s="37">
        <f>IF('Enrollment Census'!C302="","",TRIM('Enrollment Census'!C302&amp;""))</f>
        <v/>
      </c>
      <c r="D302" s="37">
        <f>IF('Enrollment Census'!D302="","",TRIM('Enrollment Census'!D302&amp;""))</f>
        <v/>
      </c>
      <c r="E302" s="36">
        <f>IF('Enrollment Census'!E302="","",TRIM('Enrollment Census'!E302&amp;""))</f>
        <v/>
      </c>
      <c r="F302" s="37">
        <f>IF('Enrollment Census'!F302="","",TRIM('Enrollment Census'!F302&amp;""))</f>
        <v/>
      </c>
      <c r="G302" s="37">
        <f>IF('Enrollment Census'!G302="","",TRIM('Enrollment Census'!G302&amp;""))</f>
        <v/>
      </c>
      <c r="H302" s="37">
        <f>IF('Enrollment Census'!H302="","",TRIM('Enrollment Census'!H302&amp;""))</f>
        <v/>
      </c>
      <c r="I302" s="36">
        <f>IF('Enrollment Census'!I302="","",TRIM('Enrollment Census'!I302&amp;""))</f>
        <v/>
      </c>
      <c r="J302" s="36">
        <f>IF('Enrollment Census'!J302="","",TRIM('Enrollment Census'!J302&amp;""))</f>
        <v/>
      </c>
      <c r="K302" s="36">
        <f>IF('Enrollment Census'!K302="","",TRIM('Enrollment Census'!K302&amp;""))</f>
        <v/>
      </c>
      <c r="L302" s="38">
        <f>IF('Enrollment Census'!L302="","",'Enrollment Census'!L302)</f>
        <v/>
      </c>
      <c r="M302" s="36">
        <f>IF('Enrollment Census'!M302="","",TRIM('Enrollment Census'!M302&amp;""))</f>
        <v/>
      </c>
      <c r="N302" s="36">
        <f>IF('Enrollment Census'!N302="","",LOWER(TRIM('Enrollment Census'!N302&amp;"")))</f>
        <v/>
      </c>
      <c r="O302" s="36">
        <f>IF('Enrollment Census'!O302="","",TRIM('Enrollment Census'!O302&amp;""))</f>
        <v/>
      </c>
      <c r="P302" s="38">
        <f>IF('Enrollment Census'!P302="","",'Enrollment Census'!P302)</f>
        <v/>
      </c>
      <c r="Q302" s="38">
        <f>IF('Enrollment Census'!Q302="","",'Enrollment Census'!Q302)</f>
        <v/>
      </c>
      <c r="R302" s="36">
        <f>IF('Enrollment Census'!R302="","",TRIM('Enrollment Census'!R302&amp;""))</f>
        <v/>
      </c>
      <c r="S302" s="36">
        <f>IF('Enrollment Census'!S302="","",TRIM('Enrollment Census'!S302&amp;""))</f>
        <v/>
      </c>
      <c r="T302" s="36">
        <f>IF('Enrollment Census'!T302="","",TRIM('Enrollment Census'!T302&amp;""))</f>
        <v/>
      </c>
      <c r="U302" s="39">
        <f>IF('Enrollment Census'!U302="","",'Enrollment Census'!U302)</f>
        <v/>
      </c>
    </row>
    <row r="303">
      <c r="A303" s="36">
        <f>IF('Enrollment Census'!A303="","",TRIM('Enrollment Census'!A303&amp;""))</f>
        <v/>
      </c>
      <c r="B303" s="36">
        <f>IF('Enrollment Census'!B303="","",TRIM('Enrollment Census'!B303&amp;""))</f>
        <v/>
      </c>
      <c r="C303" s="37">
        <f>IF('Enrollment Census'!C303="","",TRIM('Enrollment Census'!C303&amp;""))</f>
        <v/>
      </c>
      <c r="D303" s="37">
        <f>IF('Enrollment Census'!D303="","",TRIM('Enrollment Census'!D303&amp;""))</f>
        <v/>
      </c>
      <c r="E303" s="36">
        <f>IF('Enrollment Census'!E303="","",TRIM('Enrollment Census'!E303&amp;""))</f>
        <v/>
      </c>
      <c r="F303" s="37">
        <f>IF('Enrollment Census'!F303="","",TRIM('Enrollment Census'!F303&amp;""))</f>
        <v/>
      </c>
      <c r="G303" s="37">
        <f>IF('Enrollment Census'!G303="","",TRIM('Enrollment Census'!G303&amp;""))</f>
        <v/>
      </c>
      <c r="H303" s="37">
        <f>IF('Enrollment Census'!H303="","",TRIM('Enrollment Census'!H303&amp;""))</f>
        <v/>
      </c>
      <c r="I303" s="36">
        <f>IF('Enrollment Census'!I303="","",TRIM('Enrollment Census'!I303&amp;""))</f>
        <v/>
      </c>
      <c r="J303" s="36">
        <f>IF('Enrollment Census'!J303="","",TRIM('Enrollment Census'!J303&amp;""))</f>
        <v/>
      </c>
      <c r="K303" s="36">
        <f>IF('Enrollment Census'!K303="","",TRIM('Enrollment Census'!K303&amp;""))</f>
        <v/>
      </c>
      <c r="L303" s="38">
        <f>IF('Enrollment Census'!L303="","",'Enrollment Census'!L303)</f>
        <v/>
      </c>
      <c r="M303" s="36">
        <f>IF('Enrollment Census'!M303="","",TRIM('Enrollment Census'!M303&amp;""))</f>
        <v/>
      </c>
      <c r="N303" s="36">
        <f>IF('Enrollment Census'!N303="","",LOWER(TRIM('Enrollment Census'!N303&amp;"")))</f>
        <v/>
      </c>
      <c r="O303" s="36">
        <f>IF('Enrollment Census'!O303="","",TRIM('Enrollment Census'!O303&amp;""))</f>
        <v/>
      </c>
      <c r="P303" s="38">
        <f>IF('Enrollment Census'!P303="","",'Enrollment Census'!P303)</f>
        <v/>
      </c>
      <c r="Q303" s="38">
        <f>IF('Enrollment Census'!Q303="","",'Enrollment Census'!Q303)</f>
        <v/>
      </c>
      <c r="R303" s="36">
        <f>IF('Enrollment Census'!R303="","",TRIM('Enrollment Census'!R303&amp;""))</f>
        <v/>
      </c>
      <c r="S303" s="36">
        <f>IF('Enrollment Census'!S303="","",TRIM('Enrollment Census'!S303&amp;""))</f>
        <v/>
      </c>
      <c r="T303" s="36">
        <f>IF('Enrollment Census'!T303="","",TRIM('Enrollment Census'!T303&amp;""))</f>
        <v/>
      </c>
      <c r="U303" s="39">
        <f>IF('Enrollment Census'!U303="","",'Enrollment Census'!U303)</f>
        <v/>
      </c>
    </row>
    <row r="304">
      <c r="A304" s="36">
        <f>IF('Enrollment Census'!A304="","",TRIM('Enrollment Census'!A304&amp;""))</f>
        <v/>
      </c>
      <c r="B304" s="36">
        <f>IF('Enrollment Census'!B304="","",TRIM('Enrollment Census'!B304&amp;""))</f>
        <v/>
      </c>
      <c r="C304" s="37">
        <f>IF('Enrollment Census'!C304="","",TRIM('Enrollment Census'!C304&amp;""))</f>
        <v/>
      </c>
      <c r="D304" s="37">
        <f>IF('Enrollment Census'!D304="","",TRIM('Enrollment Census'!D304&amp;""))</f>
        <v/>
      </c>
      <c r="E304" s="36">
        <f>IF('Enrollment Census'!E304="","",TRIM('Enrollment Census'!E304&amp;""))</f>
        <v/>
      </c>
      <c r="F304" s="37">
        <f>IF('Enrollment Census'!F304="","",TRIM('Enrollment Census'!F304&amp;""))</f>
        <v/>
      </c>
      <c r="G304" s="37">
        <f>IF('Enrollment Census'!G304="","",TRIM('Enrollment Census'!G304&amp;""))</f>
        <v/>
      </c>
      <c r="H304" s="37">
        <f>IF('Enrollment Census'!H304="","",TRIM('Enrollment Census'!H304&amp;""))</f>
        <v/>
      </c>
      <c r="I304" s="36">
        <f>IF('Enrollment Census'!I304="","",TRIM('Enrollment Census'!I304&amp;""))</f>
        <v/>
      </c>
      <c r="J304" s="36">
        <f>IF('Enrollment Census'!J304="","",TRIM('Enrollment Census'!J304&amp;""))</f>
        <v/>
      </c>
      <c r="K304" s="36">
        <f>IF('Enrollment Census'!K304="","",TRIM('Enrollment Census'!K304&amp;""))</f>
        <v/>
      </c>
      <c r="L304" s="38">
        <f>IF('Enrollment Census'!L304="","",'Enrollment Census'!L304)</f>
        <v/>
      </c>
      <c r="M304" s="36">
        <f>IF('Enrollment Census'!M304="","",TRIM('Enrollment Census'!M304&amp;""))</f>
        <v/>
      </c>
      <c r="N304" s="36">
        <f>IF('Enrollment Census'!N304="","",LOWER(TRIM('Enrollment Census'!N304&amp;"")))</f>
        <v/>
      </c>
      <c r="O304" s="36">
        <f>IF('Enrollment Census'!O304="","",TRIM('Enrollment Census'!O304&amp;""))</f>
        <v/>
      </c>
      <c r="P304" s="38">
        <f>IF('Enrollment Census'!P304="","",'Enrollment Census'!P304)</f>
        <v/>
      </c>
      <c r="Q304" s="38">
        <f>IF('Enrollment Census'!Q304="","",'Enrollment Census'!Q304)</f>
        <v/>
      </c>
      <c r="R304" s="36">
        <f>IF('Enrollment Census'!R304="","",TRIM('Enrollment Census'!R304&amp;""))</f>
        <v/>
      </c>
      <c r="S304" s="36">
        <f>IF('Enrollment Census'!S304="","",TRIM('Enrollment Census'!S304&amp;""))</f>
        <v/>
      </c>
      <c r="T304" s="36">
        <f>IF('Enrollment Census'!T304="","",TRIM('Enrollment Census'!T304&amp;""))</f>
        <v/>
      </c>
      <c r="U304" s="39">
        <f>IF('Enrollment Census'!U304="","",'Enrollment Census'!U304)</f>
        <v/>
      </c>
    </row>
    <row r="305">
      <c r="A305" s="36">
        <f>IF('Enrollment Census'!A305="","",TRIM('Enrollment Census'!A305&amp;""))</f>
        <v/>
      </c>
      <c r="B305" s="36">
        <f>IF('Enrollment Census'!B305="","",TRIM('Enrollment Census'!B305&amp;""))</f>
        <v/>
      </c>
      <c r="C305" s="37">
        <f>IF('Enrollment Census'!C305="","",TRIM('Enrollment Census'!C305&amp;""))</f>
        <v/>
      </c>
      <c r="D305" s="37">
        <f>IF('Enrollment Census'!D305="","",TRIM('Enrollment Census'!D305&amp;""))</f>
        <v/>
      </c>
      <c r="E305" s="36">
        <f>IF('Enrollment Census'!E305="","",TRIM('Enrollment Census'!E305&amp;""))</f>
        <v/>
      </c>
      <c r="F305" s="37">
        <f>IF('Enrollment Census'!F305="","",TRIM('Enrollment Census'!F305&amp;""))</f>
        <v/>
      </c>
      <c r="G305" s="37">
        <f>IF('Enrollment Census'!G305="","",TRIM('Enrollment Census'!G305&amp;""))</f>
        <v/>
      </c>
      <c r="H305" s="37">
        <f>IF('Enrollment Census'!H305="","",TRIM('Enrollment Census'!H305&amp;""))</f>
        <v/>
      </c>
      <c r="I305" s="36">
        <f>IF('Enrollment Census'!I305="","",TRIM('Enrollment Census'!I305&amp;""))</f>
        <v/>
      </c>
      <c r="J305" s="36">
        <f>IF('Enrollment Census'!J305="","",TRIM('Enrollment Census'!J305&amp;""))</f>
        <v/>
      </c>
      <c r="K305" s="36">
        <f>IF('Enrollment Census'!K305="","",TRIM('Enrollment Census'!K305&amp;""))</f>
        <v/>
      </c>
      <c r="L305" s="38">
        <f>IF('Enrollment Census'!L305="","",'Enrollment Census'!L305)</f>
        <v/>
      </c>
      <c r="M305" s="36">
        <f>IF('Enrollment Census'!M305="","",TRIM('Enrollment Census'!M305&amp;""))</f>
        <v/>
      </c>
      <c r="N305" s="36">
        <f>IF('Enrollment Census'!N305="","",LOWER(TRIM('Enrollment Census'!N305&amp;"")))</f>
        <v/>
      </c>
      <c r="O305" s="36">
        <f>IF('Enrollment Census'!O305="","",TRIM('Enrollment Census'!O305&amp;""))</f>
        <v/>
      </c>
      <c r="P305" s="38">
        <f>IF('Enrollment Census'!P305="","",'Enrollment Census'!P305)</f>
        <v/>
      </c>
      <c r="Q305" s="38">
        <f>IF('Enrollment Census'!Q305="","",'Enrollment Census'!Q305)</f>
        <v/>
      </c>
      <c r="R305" s="36">
        <f>IF('Enrollment Census'!R305="","",TRIM('Enrollment Census'!R305&amp;""))</f>
        <v/>
      </c>
      <c r="S305" s="36">
        <f>IF('Enrollment Census'!S305="","",TRIM('Enrollment Census'!S305&amp;""))</f>
        <v/>
      </c>
      <c r="T305" s="36">
        <f>IF('Enrollment Census'!T305="","",TRIM('Enrollment Census'!T305&amp;""))</f>
        <v/>
      </c>
      <c r="U305" s="39">
        <f>IF('Enrollment Census'!U305="","",'Enrollment Census'!U305)</f>
        <v/>
      </c>
    </row>
    <row r="306">
      <c r="A306" s="36">
        <f>IF('Enrollment Census'!A306="","",TRIM('Enrollment Census'!A306&amp;""))</f>
        <v/>
      </c>
      <c r="B306" s="36">
        <f>IF('Enrollment Census'!B306="","",TRIM('Enrollment Census'!B306&amp;""))</f>
        <v/>
      </c>
      <c r="C306" s="37">
        <f>IF('Enrollment Census'!C306="","",TRIM('Enrollment Census'!C306&amp;""))</f>
        <v/>
      </c>
      <c r="D306" s="37">
        <f>IF('Enrollment Census'!D306="","",TRIM('Enrollment Census'!D306&amp;""))</f>
        <v/>
      </c>
      <c r="E306" s="36">
        <f>IF('Enrollment Census'!E306="","",TRIM('Enrollment Census'!E306&amp;""))</f>
        <v/>
      </c>
      <c r="F306" s="37">
        <f>IF('Enrollment Census'!F306="","",TRIM('Enrollment Census'!F306&amp;""))</f>
        <v/>
      </c>
      <c r="G306" s="37">
        <f>IF('Enrollment Census'!G306="","",TRIM('Enrollment Census'!G306&amp;""))</f>
        <v/>
      </c>
      <c r="H306" s="37">
        <f>IF('Enrollment Census'!H306="","",TRIM('Enrollment Census'!H306&amp;""))</f>
        <v/>
      </c>
      <c r="I306" s="36">
        <f>IF('Enrollment Census'!I306="","",TRIM('Enrollment Census'!I306&amp;""))</f>
        <v/>
      </c>
      <c r="J306" s="36">
        <f>IF('Enrollment Census'!J306="","",TRIM('Enrollment Census'!J306&amp;""))</f>
        <v/>
      </c>
      <c r="K306" s="36">
        <f>IF('Enrollment Census'!K306="","",TRIM('Enrollment Census'!K306&amp;""))</f>
        <v/>
      </c>
      <c r="L306" s="38">
        <f>IF('Enrollment Census'!L306="","",'Enrollment Census'!L306)</f>
        <v/>
      </c>
      <c r="M306" s="36">
        <f>IF('Enrollment Census'!M306="","",TRIM('Enrollment Census'!M306&amp;""))</f>
        <v/>
      </c>
      <c r="N306" s="36">
        <f>IF('Enrollment Census'!N306="","",LOWER(TRIM('Enrollment Census'!N306&amp;"")))</f>
        <v/>
      </c>
      <c r="O306" s="36">
        <f>IF('Enrollment Census'!O306="","",TRIM('Enrollment Census'!O306&amp;""))</f>
        <v/>
      </c>
      <c r="P306" s="38">
        <f>IF('Enrollment Census'!P306="","",'Enrollment Census'!P306)</f>
        <v/>
      </c>
      <c r="Q306" s="38">
        <f>IF('Enrollment Census'!Q306="","",'Enrollment Census'!Q306)</f>
        <v/>
      </c>
      <c r="R306" s="36">
        <f>IF('Enrollment Census'!R306="","",TRIM('Enrollment Census'!R306&amp;""))</f>
        <v/>
      </c>
      <c r="S306" s="36">
        <f>IF('Enrollment Census'!S306="","",TRIM('Enrollment Census'!S306&amp;""))</f>
        <v/>
      </c>
      <c r="T306" s="36">
        <f>IF('Enrollment Census'!T306="","",TRIM('Enrollment Census'!T306&amp;""))</f>
        <v/>
      </c>
      <c r="U306" s="39">
        <f>IF('Enrollment Census'!U306="","",'Enrollment Census'!U306)</f>
        <v/>
      </c>
    </row>
    <row r="307">
      <c r="A307" s="36">
        <f>IF('Enrollment Census'!A307="","",TRIM('Enrollment Census'!A307&amp;""))</f>
        <v/>
      </c>
      <c r="B307" s="36">
        <f>IF('Enrollment Census'!B307="","",TRIM('Enrollment Census'!B307&amp;""))</f>
        <v/>
      </c>
      <c r="C307" s="37">
        <f>IF('Enrollment Census'!C307="","",TRIM('Enrollment Census'!C307&amp;""))</f>
        <v/>
      </c>
      <c r="D307" s="37">
        <f>IF('Enrollment Census'!D307="","",TRIM('Enrollment Census'!D307&amp;""))</f>
        <v/>
      </c>
      <c r="E307" s="36">
        <f>IF('Enrollment Census'!E307="","",TRIM('Enrollment Census'!E307&amp;""))</f>
        <v/>
      </c>
      <c r="F307" s="37">
        <f>IF('Enrollment Census'!F307="","",TRIM('Enrollment Census'!F307&amp;""))</f>
        <v/>
      </c>
      <c r="G307" s="37">
        <f>IF('Enrollment Census'!G307="","",TRIM('Enrollment Census'!G307&amp;""))</f>
        <v/>
      </c>
      <c r="H307" s="37">
        <f>IF('Enrollment Census'!H307="","",TRIM('Enrollment Census'!H307&amp;""))</f>
        <v/>
      </c>
      <c r="I307" s="36">
        <f>IF('Enrollment Census'!I307="","",TRIM('Enrollment Census'!I307&amp;""))</f>
        <v/>
      </c>
      <c r="J307" s="36">
        <f>IF('Enrollment Census'!J307="","",TRIM('Enrollment Census'!J307&amp;""))</f>
        <v/>
      </c>
      <c r="K307" s="36">
        <f>IF('Enrollment Census'!K307="","",TRIM('Enrollment Census'!K307&amp;""))</f>
        <v/>
      </c>
      <c r="L307" s="38">
        <f>IF('Enrollment Census'!L307="","",'Enrollment Census'!L307)</f>
        <v/>
      </c>
      <c r="M307" s="36">
        <f>IF('Enrollment Census'!M307="","",TRIM('Enrollment Census'!M307&amp;""))</f>
        <v/>
      </c>
      <c r="N307" s="36">
        <f>IF('Enrollment Census'!N307="","",LOWER(TRIM('Enrollment Census'!N307&amp;"")))</f>
        <v/>
      </c>
      <c r="O307" s="36">
        <f>IF('Enrollment Census'!O307="","",TRIM('Enrollment Census'!O307&amp;""))</f>
        <v/>
      </c>
      <c r="P307" s="38">
        <f>IF('Enrollment Census'!P307="","",'Enrollment Census'!P307)</f>
        <v/>
      </c>
      <c r="Q307" s="38">
        <f>IF('Enrollment Census'!Q307="","",'Enrollment Census'!Q307)</f>
        <v/>
      </c>
      <c r="R307" s="36">
        <f>IF('Enrollment Census'!R307="","",TRIM('Enrollment Census'!R307&amp;""))</f>
        <v/>
      </c>
      <c r="S307" s="36">
        <f>IF('Enrollment Census'!S307="","",TRIM('Enrollment Census'!S307&amp;""))</f>
        <v/>
      </c>
      <c r="T307" s="36">
        <f>IF('Enrollment Census'!T307="","",TRIM('Enrollment Census'!T307&amp;""))</f>
        <v/>
      </c>
      <c r="U307" s="39">
        <f>IF('Enrollment Census'!U307="","",'Enrollment Census'!U307)</f>
        <v/>
      </c>
    </row>
    <row r="308">
      <c r="A308" s="36">
        <f>IF('Enrollment Census'!A308="","",TRIM('Enrollment Census'!A308&amp;""))</f>
        <v/>
      </c>
      <c r="B308" s="36">
        <f>IF('Enrollment Census'!B308="","",TRIM('Enrollment Census'!B308&amp;""))</f>
        <v/>
      </c>
      <c r="C308" s="37">
        <f>IF('Enrollment Census'!C308="","",TRIM('Enrollment Census'!C308&amp;""))</f>
        <v/>
      </c>
      <c r="D308" s="37">
        <f>IF('Enrollment Census'!D308="","",TRIM('Enrollment Census'!D308&amp;""))</f>
        <v/>
      </c>
      <c r="E308" s="36">
        <f>IF('Enrollment Census'!E308="","",TRIM('Enrollment Census'!E308&amp;""))</f>
        <v/>
      </c>
      <c r="F308" s="37">
        <f>IF('Enrollment Census'!F308="","",TRIM('Enrollment Census'!F308&amp;""))</f>
        <v/>
      </c>
      <c r="G308" s="37">
        <f>IF('Enrollment Census'!G308="","",TRIM('Enrollment Census'!G308&amp;""))</f>
        <v/>
      </c>
      <c r="H308" s="37">
        <f>IF('Enrollment Census'!H308="","",TRIM('Enrollment Census'!H308&amp;""))</f>
        <v/>
      </c>
      <c r="I308" s="36">
        <f>IF('Enrollment Census'!I308="","",TRIM('Enrollment Census'!I308&amp;""))</f>
        <v/>
      </c>
      <c r="J308" s="36">
        <f>IF('Enrollment Census'!J308="","",TRIM('Enrollment Census'!J308&amp;""))</f>
        <v/>
      </c>
      <c r="K308" s="36">
        <f>IF('Enrollment Census'!K308="","",TRIM('Enrollment Census'!K308&amp;""))</f>
        <v/>
      </c>
      <c r="L308" s="38">
        <f>IF('Enrollment Census'!L308="","",'Enrollment Census'!L308)</f>
        <v/>
      </c>
      <c r="M308" s="36">
        <f>IF('Enrollment Census'!M308="","",TRIM('Enrollment Census'!M308&amp;""))</f>
        <v/>
      </c>
      <c r="N308" s="36">
        <f>IF('Enrollment Census'!N308="","",LOWER(TRIM('Enrollment Census'!N308&amp;"")))</f>
        <v/>
      </c>
      <c r="O308" s="36">
        <f>IF('Enrollment Census'!O308="","",TRIM('Enrollment Census'!O308&amp;""))</f>
        <v/>
      </c>
      <c r="P308" s="38">
        <f>IF('Enrollment Census'!P308="","",'Enrollment Census'!P308)</f>
        <v/>
      </c>
      <c r="Q308" s="38">
        <f>IF('Enrollment Census'!Q308="","",'Enrollment Census'!Q308)</f>
        <v/>
      </c>
      <c r="R308" s="36">
        <f>IF('Enrollment Census'!R308="","",TRIM('Enrollment Census'!R308&amp;""))</f>
        <v/>
      </c>
      <c r="S308" s="36">
        <f>IF('Enrollment Census'!S308="","",TRIM('Enrollment Census'!S308&amp;""))</f>
        <v/>
      </c>
      <c r="T308" s="36">
        <f>IF('Enrollment Census'!T308="","",TRIM('Enrollment Census'!T308&amp;""))</f>
        <v/>
      </c>
      <c r="U308" s="39">
        <f>IF('Enrollment Census'!U308="","",'Enrollment Census'!U308)</f>
        <v/>
      </c>
    </row>
    <row r="309">
      <c r="A309" s="36">
        <f>IF('Enrollment Census'!A309="","",TRIM('Enrollment Census'!A309&amp;""))</f>
        <v/>
      </c>
      <c r="B309" s="36">
        <f>IF('Enrollment Census'!B309="","",TRIM('Enrollment Census'!B309&amp;""))</f>
        <v/>
      </c>
      <c r="C309" s="37">
        <f>IF('Enrollment Census'!C309="","",TRIM('Enrollment Census'!C309&amp;""))</f>
        <v/>
      </c>
      <c r="D309" s="37">
        <f>IF('Enrollment Census'!D309="","",TRIM('Enrollment Census'!D309&amp;""))</f>
        <v/>
      </c>
      <c r="E309" s="36">
        <f>IF('Enrollment Census'!E309="","",TRIM('Enrollment Census'!E309&amp;""))</f>
        <v/>
      </c>
      <c r="F309" s="37">
        <f>IF('Enrollment Census'!F309="","",TRIM('Enrollment Census'!F309&amp;""))</f>
        <v/>
      </c>
      <c r="G309" s="37">
        <f>IF('Enrollment Census'!G309="","",TRIM('Enrollment Census'!G309&amp;""))</f>
        <v/>
      </c>
      <c r="H309" s="37">
        <f>IF('Enrollment Census'!H309="","",TRIM('Enrollment Census'!H309&amp;""))</f>
        <v/>
      </c>
      <c r="I309" s="36">
        <f>IF('Enrollment Census'!I309="","",TRIM('Enrollment Census'!I309&amp;""))</f>
        <v/>
      </c>
      <c r="J309" s="36">
        <f>IF('Enrollment Census'!J309="","",TRIM('Enrollment Census'!J309&amp;""))</f>
        <v/>
      </c>
      <c r="K309" s="36">
        <f>IF('Enrollment Census'!K309="","",TRIM('Enrollment Census'!K309&amp;""))</f>
        <v/>
      </c>
      <c r="L309" s="38">
        <f>IF('Enrollment Census'!L309="","",'Enrollment Census'!L309)</f>
        <v/>
      </c>
      <c r="M309" s="36">
        <f>IF('Enrollment Census'!M309="","",TRIM('Enrollment Census'!M309&amp;""))</f>
        <v/>
      </c>
      <c r="N309" s="36">
        <f>IF('Enrollment Census'!N309="","",LOWER(TRIM('Enrollment Census'!N309&amp;"")))</f>
        <v/>
      </c>
      <c r="O309" s="36">
        <f>IF('Enrollment Census'!O309="","",TRIM('Enrollment Census'!O309&amp;""))</f>
        <v/>
      </c>
      <c r="P309" s="38">
        <f>IF('Enrollment Census'!P309="","",'Enrollment Census'!P309)</f>
        <v/>
      </c>
      <c r="Q309" s="38">
        <f>IF('Enrollment Census'!Q309="","",'Enrollment Census'!Q309)</f>
        <v/>
      </c>
      <c r="R309" s="36">
        <f>IF('Enrollment Census'!R309="","",TRIM('Enrollment Census'!R309&amp;""))</f>
        <v/>
      </c>
      <c r="S309" s="36">
        <f>IF('Enrollment Census'!S309="","",TRIM('Enrollment Census'!S309&amp;""))</f>
        <v/>
      </c>
      <c r="T309" s="36">
        <f>IF('Enrollment Census'!T309="","",TRIM('Enrollment Census'!T309&amp;""))</f>
        <v/>
      </c>
      <c r="U309" s="39">
        <f>IF('Enrollment Census'!U309="","",'Enrollment Census'!U309)</f>
        <v/>
      </c>
    </row>
    <row r="310">
      <c r="A310" s="36">
        <f>IF('Enrollment Census'!A310="","",TRIM('Enrollment Census'!A310&amp;""))</f>
        <v/>
      </c>
      <c r="B310" s="36">
        <f>IF('Enrollment Census'!B310="","",TRIM('Enrollment Census'!B310&amp;""))</f>
        <v/>
      </c>
      <c r="C310" s="37">
        <f>IF('Enrollment Census'!C310="","",TRIM('Enrollment Census'!C310&amp;""))</f>
        <v/>
      </c>
      <c r="D310" s="37">
        <f>IF('Enrollment Census'!D310="","",TRIM('Enrollment Census'!D310&amp;""))</f>
        <v/>
      </c>
      <c r="E310" s="36">
        <f>IF('Enrollment Census'!E310="","",TRIM('Enrollment Census'!E310&amp;""))</f>
        <v/>
      </c>
      <c r="F310" s="37">
        <f>IF('Enrollment Census'!F310="","",TRIM('Enrollment Census'!F310&amp;""))</f>
        <v/>
      </c>
      <c r="G310" s="37">
        <f>IF('Enrollment Census'!G310="","",TRIM('Enrollment Census'!G310&amp;""))</f>
        <v/>
      </c>
      <c r="H310" s="37">
        <f>IF('Enrollment Census'!H310="","",TRIM('Enrollment Census'!H310&amp;""))</f>
        <v/>
      </c>
      <c r="I310" s="36">
        <f>IF('Enrollment Census'!I310="","",TRIM('Enrollment Census'!I310&amp;""))</f>
        <v/>
      </c>
      <c r="J310" s="36">
        <f>IF('Enrollment Census'!J310="","",TRIM('Enrollment Census'!J310&amp;""))</f>
        <v/>
      </c>
      <c r="K310" s="36">
        <f>IF('Enrollment Census'!K310="","",TRIM('Enrollment Census'!K310&amp;""))</f>
        <v/>
      </c>
      <c r="L310" s="38">
        <f>IF('Enrollment Census'!L310="","",'Enrollment Census'!L310)</f>
        <v/>
      </c>
      <c r="M310" s="36">
        <f>IF('Enrollment Census'!M310="","",TRIM('Enrollment Census'!M310&amp;""))</f>
        <v/>
      </c>
      <c r="N310" s="36">
        <f>IF('Enrollment Census'!N310="","",LOWER(TRIM('Enrollment Census'!N310&amp;"")))</f>
        <v/>
      </c>
      <c r="O310" s="36">
        <f>IF('Enrollment Census'!O310="","",TRIM('Enrollment Census'!O310&amp;""))</f>
        <v/>
      </c>
      <c r="P310" s="38">
        <f>IF('Enrollment Census'!P310="","",'Enrollment Census'!P310)</f>
        <v/>
      </c>
      <c r="Q310" s="38">
        <f>IF('Enrollment Census'!Q310="","",'Enrollment Census'!Q310)</f>
        <v/>
      </c>
      <c r="R310" s="36">
        <f>IF('Enrollment Census'!R310="","",TRIM('Enrollment Census'!R310&amp;""))</f>
        <v/>
      </c>
      <c r="S310" s="36">
        <f>IF('Enrollment Census'!S310="","",TRIM('Enrollment Census'!S310&amp;""))</f>
        <v/>
      </c>
      <c r="T310" s="36">
        <f>IF('Enrollment Census'!T310="","",TRIM('Enrollment Census'!T310&amp;""))</f>
        <v/>
      </c>
      <c r="U310" s="39">
        <f>IF('Enrollment Census'!U310="","",'Enrollment Census'!U310)</f>
        <v/>
      </c>
    </row>
    <row r="311">
      <c r="A311" s="36">
        <f>IF('Enrollment Census'!A311="","",TRIM('Enrollment Census'!A311&amp;""))</f>
        <v/>
      </c>
      <c r="B311" s="36">
        <f>IF('Enrollment Census'!B311="","",TRIM('Enrollment Census'!B311&amp;""))</f>
        <v/>
      </c>
      <c r="C311" s="37">
        <f>IF('Enrollment Census'!C311="","",TRIM('Enrollment Census'!C311&amp;""))</f>
        <v/>
      </c>
      <c r="D311" s="37">
        <f>IF('Enrollment Census'!D311="","",TRIM('Enrollment Census'!D311&amp;""))</f>
        <v/>
      </c>
      <c r="E311" s="36">
        <f>IF('Enrollment Census'!E311="","",TRIM('Enrollment Census'!E311&amp;""))</f>
        <v/>
      </c>
      <c r="F311" s="37">
        <f>IF('Enrollment Census'!F311="","",TRIM('Enrollment Census'!F311&amp;""))</f>
        <v/>
      </c>
      <c r="G311" s="37">
        <f>IF('Enrollment Census'!G311="","",TRIM('Enrollment Census'!G311&amp;""))</f>
        <v/>
      </c>
      <c r="H311" s="37">
        <f>IF('Enrollment Census'!H311="","",TRIM('Enrollment Census'!H311&amp;""))</f>
        <v/>
      </c>
      <c r="I311" s="36">
        <f>IF('Enrollment Census'!I311="","",TRIM('Enrollment Census'!I311&amp;""))</f>
        <v/>
      </c>
      <c r="J311" s="36">
        <f>IF('Enrollment Census'!J311="","",TRIM('Enrollment Census'!J311&amp;""))</f>
        <v/>
      </c>
      <c r="K311" s="36">
        <f>IF('Enrollment Census'!K311="","",TRIM('Enrollment Census'!K311&amp;""))</f>
        <v/>
      </c>
      <c r="L311" s="38">
        <f>IF('Enrollment Census'!L311="","",'Enrollment Census'!L311)</f>
        <v/>
      </c>
      <c r="M311" s="36">
        <f>IF('Enrollment Census'!M311="","",TRIM('Enrollment Census'!M311&amp;""))</f>
        <v/>
      </c>
      <c r="N311" s="36">
        <f>IF('Enrollment Census'!N311="","",LOWER(TRIM('Enrollment Census'!N311&amp;"")))</f>
        <v/>
      </c>
      <c r="O311" s="36">
        <f>IF('Enrollment Census'!O311="","",TRIM('Enrollment Census'!O311&amp;""))</f>
        <v/>
      </c>
      <c r="P311" s="38">
        <f>IF('Enrollment Census'!P311="","",'Enrollment Census'!P311)</f>
        <v/>
      </c>
      <c r="Q311" s="38">
        <f>IF('Enrollment Census'!Q311="","",'Enrollment Census'!Q311)</f>
        <v/>
      </c>
      <c r="R311" s="36">
        <f>IF('Enrollment Census'!R311="","",TRIM('Enrollment Census'!R311&amp;""))</f>
        <v/>
      </c>
      <c r="S311" s="36">
        <f>IF('Enrollment Census'!S311="","",TRIM('Enrollment Census'!S311&amp;""))</f>
        <v/>
      </c>
      <c r="T311" s="36">
        <f>IF('Enrollment Census'!T311="","",TRIM('Enrollment Census'!T311&amp;""))</f>
        <v/>
      </c>
      <c r="U311" s="39">
        <f>IF('Enrollment Census'!U311="","",'Enrollment Census'!U311)</f>
        <v/>
      </c>
    </row>
    <row r="312">
      <c r="A312" s="36">
        <f>IF('Enrollment Census'!A312="","",TRIM('Enrollment Census'!A312&amp;""))</f>
        <v/>
      </c>
      <c r="B312" s="36">
        <f>IF('Enrollment Census'!B312="","",TRIM('Enrollment Census'!B312&amp;""))</f>
        <v/>
      </c>
      <c r="C312" s="37">
        <f>IF('Enrollment Census'!C312="","",TRIM('Enrollment Census'!C312&amp;""))</f>
        <v/>
      </c>
      <c r="D312" s="37">
        <f>IF('Enrollment Census'!D312="","",TRIM('Enrollment Census'!D312&amp;""))</f>
        <v/>
      </c>
      <c r="E312" s="36">
        <f>IF('Enrollment Census'!E312="","",TRIM('Enrollment Census'!E312&amp;""))</f>
        <v/>
      </c>
      <c r="F312" s="37">
        <f>IF('Enrollment Census'!F312="","",TRIM('Enrollment Census'!F312&amp;""))</f>
        <v/>
      </c>
      <c r="G312" s="37">
        <f>IF('Enrollment Census'!G312="","",TRIM('Enrollment Census'!G312&amp;""))</f>
        <v/>
      </c>
      <c r="H312" s="37">
        <f>IF('Enrollment Census'!H312="","",TRIM('Enrollment Census'!H312&amp;""))</f>
        <v/>
      </c>
      <c r="I312" s="36">
        <f>IF('Enrollment Census'!I312="","",TRIM('Enrollment Census'!I312&amp;""))</f>
        <v/>
      </c>
      <c r="J312" s="36">
        <f>IF('Enrollment Census'!J312="","",TRIM('Enrollment Census'!J312&amp;""))</f>
        <v/>
      </c>
      <c r="K312" s="36">
        <f>IF('Enrollment Census'!K312="","",TRIM('Enrollment Census'!K312&amp;""))</f>
        <v/>
      </c>
      <c r="L312" s="38">
        <f>IF('Enrollment Census'!L312="","",'Enrollment Census'!L312)</f>
        <v/>
      </c>
      <c r="M312" s="36">
        <f>IF('Enrollment Census'!M312="","",TRIM('Enrollment Census'!M312&amp;""))</f>
        <v/>
      </c>
      <c r="N312" s="36">
        <f>IF('Enrollment Census'!N312="","",LOWER(TRIM('Enrollment Census'!N312&amp;"")))</f>
        <v/>
      </c>
      <c r="O312" s="36">
        <f>IF('Enrollment Census'!O312="","",TRIM('Enrollment Census'!O312&amp;""))</f>
        <v/>
      </c>
      <c r="P312" s="38">
        <f>IF('Enrollment Census'!P312="","",'Enrollment Census'!P312)</f>
        <v/>
      </c>
      <c r="Q312" s="38">
        <f>IF('Enrollment Census'!Q312="","",'Enrollment Census'!Q312)</f>
        <v/>
      </c>
      <c r="R312" s="36">
        <f>IF('Enrollment Census'!R312="","",TRIM('Enrollment Census'!R312&amp;""))</f>
        <v/>
      </c>
      <c r="S312" s="36">
        <f>IF('Enrollment Census'!S312="","",TRIM('Enrollment Census'!S312&amp;""))</f>
        <v/>
      </c>
      <c r="T312" s="36">
        <f>IF('Enrollment Census'!T312="","",TRIM('Enrollment Census'!T312&amp;""))</f>
        <v/>
      </c>
      <c r="U312" s="39">
        <f>IF('Enrollment Census'!U312="","",'Enrollment Census'!U312)</f>
        <v/>
      </c>
    </row>
    <row r="313">
      <c r="A313" s="36">
        <f>IF('Enrollment Census'!A313="","",TRIM('Enrollment Census'!A313&amp;""))</f>
        <v/>
      </c>
      <c r="B313" s="36">
        <f>IF('Enrollment Census'!B313="","",TRIM('Enrollment Census'!B313&amp;""))</f>
        <v/>
      </c>
      <c r="C313" s="37">
        <f>IF('Enrollment Census'!C313="","",TRIM('Enrollment Census'!C313&amp;""))</f>
        <v/>
      </c>
      <c r="D313" s="37">
        <f>IF('Enrollment Census'!D313="","",TRIM('Enrollment Census'!D313&amp;""))</f>
        <v/>
      </c>
      <c r="E313" s="36">
        <f>IF('Enrollment Census'!E313="","",TRIM('Enrollment Census'!E313&amp;""))</f>
        <v/>
      </c>
      <c r="F313" s="37">
        <f>IF('Enrollment Census'!F313="","",TRIM('Enrollment Census'!F313&amp;""))</f>
        <v/>
      </c>
      <c r="G313" s="37">
        <f>IF('Enrollment Census'!G313="","",TRIM('Enrollment Census'!G313&amp;""))</f>
        <v/>
      </c>
      <c r="H313" s="37">
        <f>IF('Enrollment Census'!H313="","",TRIM('Enrollment Census'!H313&amp;""))</f>
        <v/>
      </c>
      <c r="I313" s="36">
        <f>IF('Enrollment Census'!I313="","",TRIM('Enrollment Census'!I313&amp;""))</f>
        <v/>
      </c>
      <c r="J313" s="36">
        <f>IF('Enrollment Census'!J313="","",TRIM('Enrollment Census'!J313&amp;""))</f>
        <v/>
      </c>
      <c r="K313" s="36">
        <f>IF('Enrollment Census'!K313="","",TRIM('Enrollment Census'!K313&amp;""))</f>
        <v/>
      </c>
      <c r="L313" s="38">
        <f>IF('Enrollment Census'!L313="","",'Enrollment Census'!L313)</f>
        <v/>
      </c>
      <c r="M313" s="36">
        <f>IF('Enrollment Census'!M313="","",TRIM('Enrollment Census'!M313&amp;""))</f>
        <v/>
      </c>
      <c r="N313" s="36">
        <f>IF('Enrollment Census'!N313="","",LOWER(TRIM('Enrollment Census'!N313&amp;"")))</f>
        <v/>
      </c>
      <c r="O313" s="36">
        <f>IF('Enrollment Census'!O313="","",TRIM('Enrollment Census'!O313&amp;""))</f>
        <v/>
      </c>
      <c r="P313" s="38">
        <f>IF('Enrollment Census'!P313="","",'Enrollment Census'!P313)</f>
        <v/>
      </c>
      <c r="Q313" s="38">
        <f>IF('Enrollment Census'!Q313="","",'Enrollment Census'!Q313)</f>
        <v/>
      </c>
      <c r="R313" s="36">
        <f>IF('Enrollment Census'!R313="","",TRIM('Enrollment Census'!R313&amp;""))</f>
        <v/>
      </c>
      <c r="S313" s="36">
        <f>IF('Enrollment Census'!S313="","",TRIM('Enrollment Census'!S313&amp;""))</f>
        <v/>
      </c>
      <c r="T313" s="36">
        <f>IF('Enrollment Census'!T313="","",TRIM('Enrollment Census'!T313&amp;""))</f>
        <v/>
      </c>
      <c r="U313" s="39">
        <f>IF('Enrollment Census'!U313="","",'Enrollment Census'!U313)</f>
        <v/>
      </c>
    </row>
    <row r="314">
      <c r="A314" s="36">
        <f>IF('Enrollment Census'!A314="","",TRIM('Enrollment Census'!A314&amp;""))</f>
        <v/>
      </c>
      <c r="B314" s="36">
        <f>IF('Enrollment Census'!B314="","",TRIM('Enrollment Census'!B314&amp;""))</f>
        <v/>
      </c>
      <c r="C314" s="37">
        <f>IF('Enrollment Census'!C314="","",TRIM('Enrollment Census'!C314&amp;""))</f>
        <v/>
      </c>
      <c r="D314" s="37">
        <f>IF('Enrollment Census'!D314="","",TRIM('Enrollment Census'!D314&amp;""))</f>
        <v/>
      </c>
      <c r="E314" s="36">
        <f>IF('Enrollment Census'!E314="","",TRIM('Enrollment Census'!E314&amp;""))</f>
        <v/>
      </c>
      <c r="F314" s="37">
        <f>IF('Enrollment Census'!F314="","",TRIM('Enrollment Census'!F314&amp;""))</f>
        <v/>
      </c>
      <c r="G314" s="37">
        <f>IF('Enrollment Census'!G314="","",TRIM('Enrollment Census'!G314&amp;""))</f>
        <v/>
      </c>
      <c r="H314" s="37">
        <f>IF('Enrollment Census'!H314="","",TRIM('Enrollment Census'!H314&amp;""))</f>
        <v/>
      </c>
      <c r="I314" s="36">
        <f>IF('Enrollment Census'!I314="","",TRIM('Enrollment Census'!I314&amp;""))</f>
        <v/>
      </c>
      <c r="J314" s="36">
        <f>IF('Enrollment Census'!J314="","",TRIM('Enrollment Census'!J314&amp;""))</f>
        <v/>
      </c>
      <c r="K314" s="36">
        <f>IF('Enrollment Census'!K314="","",TRIM('Enrollment Census'!K314&amp;""))</f>
        <v/>
      </c>
      <c r="L314" s="38">
        <f>IF('Enrollment Census'!L314="","",'Enrollment Census'!L314)</f>
        <v/>
      </c>
      <c r="M314" s="36">
        <f>IF('Enrollment Census'!M314="","",TRIM('Enrollment Census'!M314&amp;""))</f>
        <v/>
      </c>
      <c r="N314" s="36">
        <f>IF('Enrollment Census'!N314="","",LOWER(TRIM('Enrollment Census'!N314&amp;"")))</f>
        <v/>
      </c>
      <c r="O314" s="36">
        <f>IF('Enrollment Census'!O314="","",TRIM('Enrollment Census'!O314&amp;""))</f>
        <v/>
      </c>
      <c r="P314" s="38">
        <f>IF('Enrollment Census'!P314="","",'Enrollment Census'!P314)</f>
        <v/>
      </c>
      <c r="Q314" s="38">
        <f>IF('Enrollment Census'!Q314="","",'Enrollment Census'!Q314)</f>
        <v/>
      </c>
      <c r="R314" s="36">
        <f>IF('Enrollment Census'!R314="","",TRIM('Enrollment Census'!R314&amp;""))</f>
        <v/>
      </c>
      <c r="S314" s="36">
        <f>IF('Enrollment Census'!S314="","",TRIM('Enrollment Census'!S314&amp;""))</f>
        <v/>
      </c>
      <c r="T314" s="36">
        <f>IF('Enrollment Census'!T314="","",TRIM('Enrollment Census'!T314&amp;""))</f>
        <v/>
      </c>
      <c r="U314" s="39">
        <f>IF('Enrollment Census'!U314="","",'Enrollment Census'!U314)</f>
        <v/>
      </c>
    </row>
    <row r="315">
      <c r="A315" s="36">
        <f>IF('Enrollment Census'!A315="","",TRIM('Enrollment Census'!A315&amp;""))</f>
        <v/>
      </c>
      <c r="B315" s="36">
        <f>IF('Enrollment Census'!B315="","",TRIM('Enrollment Census'!B315&amp;""))</f>
        <v/>
      </c>
      <c r="C315" s="37">
        <f>IF('Enrollment Census'!C315="","",TRIM('Enrollment Census'!C315&amp;""))</f>
        <v/>
      </c>
      <c r="D315" s="37">
        <f>IF('Enrollment Census'!D315="","",TRIM('Enrollment Census'!D315&amp;""))</f>
        <v/>
      </c>
      <c r="E315" s="36">
        <f>IF('Enrollment Census'!E315="","",TRIM('Enrollment Census'!E315&amp;""))</f>
        <v/>
      </c>
      <c r="F315" s="37">
        <f>IF('Enrollment Census'!F315="","",TRIM('Enrollment Census'!F315&amp;""))</f>
        <v/>
      </c>
      <c r="G315" s="37">
        <f>IF('Enrollment Census'!G315="","",TRIM('Enrollment Census'!G315&amp;""))</f>
        <v/>
      </c>
      <c r="H315" s="37">
        <f>IF('Enrollment Census'!H315="","",TRIM('Enrollment Census'!H315&amp;""))</f>
        <v/>
      </c>
      <c r="I315" s="36">
        <f>IF('Enrollment Census'!I315="","",TRIM('Enrollment Census'!I315&amp;""))</f>
        <v/>
      </c>
      <c r="J315" s="36">
        <f>IF('Enrollment Census'!J315="","",TRIM('Enrollment Census'!J315&amp;""))</f>
        <v/>
      </c>
      <c r="K315" s="36">
        <f>IF('Enrollment Census'!K315="","",TRIM('Enrollment Census'!K315&amp;""))</f>
        <v/>
      </c>
      <c r="L315" s="38">
        <f>IF('Enrollment Census'!L315="","",'Enrollment Census'!L315)</f>
        <v/>
      </c>
      <c r="M315" s="36">
        <f>IF('Enrollment Census'!M315="","",TRIM('Enrollment Census'!M315&amp;""))</f>
        <v/>
      </c>
      <c r="N315" s="36">
        <f>IF('Enrollment Census'!N315="","",LOWER(TRIM('Enrollment Census'!N315&amp;"")))</f>
        <v/>
      </c>
      <c r="O315" s="36">
        <f>IF('Enrollment Census'!O315="","",TRIM('Enrollment Census'!O315&amp;""))</f>
        <v/>
      </c>
      <c r="P315" s="38">
        <f>IF('Enrollment Census'!P315="","",'Enrollment Census'!P315)</f>
        <v/>
      </c>
      <c r="Q315" s="38">
        <f>IF('Enrollment Census'!Q315="","",'Enrollment Census'!Q315)</f>
        <v/>
      </c>
      <c r="R315" s="36">
        <f>IF('Enrollment Census'!R315="","",TRIM('Enrollment Census'!R315&amp;""))</f>
        <v/>
      </c>
      <c r="S315" s="36">
        <f>IF('Enrollment Census'!S315="","",TRIM('Enrollment Census'!S315&amp;""))</f>
        <v/>
      </c>
      <c r="T315" s="36">
        <f>IF('Enrollment Census'!T315="","",TRIM('Enrollment Census'!T315&amp;""))</f>
        <v/>
      </c>
      <c r="U315" s="39">
        <f>IF('Enrollment Census'!U315="","",'Enrollment Census'!U315)</f>
        <v/>
      </c>
    </row>
    <row r="316">
      <c r="A316" s="36">
        <f>IF('Enrollment Census'!A316="","",TRIM('Enrollment Census'!A316&amp;""))</f>
        <v/>
      </c>
      <c r="B316" s="36">
        <f>IF('Enrollment Census'!B316="","",TRIM('Enrollment Census'!B316&amp;""))</f>
        <v/>
      </c>
      <c r="C316" s="37">
        <f>IF('Enrollment Census'!C316="","",TRIM('Enrollment Census'!C316&amp;""))</f>
        <v/>
      </c>
      <c r="D316" s="37">
        <f>IF('Enrollment Census'!D316="","",TRIM('Enrollment Census'!D316&amp;""))</f>
        <v/>
      </c>
      <c r="E316" s="36">
        <f>IF('Enrollment Census'!E316="","",TRIM('Enrollment Census'!E316&amp;""))</f>
        <v/>
      </c>
      <c r="F316" s="37">
        <f>IF('Enrollment Census'!F316="","",TRIM('Enrollment Census'!F316&amp;""))</f>
        <v/>
      </c>
      <c r="G316" s="37">
        <f>IF('Enrollment Census'!G316="","",TRIM('Enrollment Census'!G316&amp;""))</f>
        <v/>
      </c>
      <c r="H316" s="37">
        <f>IF('Enrollment Census'!H316="","",TRIM('Enrollment Census'!H316&amp;""))</f>
        <v/>
      </c>
      <c r="I316" s="36">
        <f>IF('Enrollment Census'!I316="","",TRIM('Enrollment Census'!I316&amp;""))</f>
        <v/>
      </c>
      <c r="J316" s="36">
        <f>IF('Enrollment Census'!J316="","",TRIM('Enrollment Census'!J316&amp;""))</f>
        <v/>
      </c>
      <c r="K316" s="36">
        <f>IF('Enrollment Census'!K316="","",TRIM('Enrollment Census'!K316&amp;""))</f>
        <v/>
      </c>
      <c r="L316" s="38">
        <f>IF('Enrollment Census'!L316="","",'Enrollment Census'!L316)</f>
        <v/>
      </c>
      <c r="M316" s="36">
        <f>IF('Enrollment Census'!M316="","",TRIM('Enrollment Census'!M316&amp;""))</f>
        <v/>
      </c>
      <c r="N316" s="36">
        <f>IF('Enrollment Census'!N316="","",LOWER(TRIM('Enrollment Census'!N316&amp;"")))</f>
        <v/>
      </c>
      <c r="O316" s="36">
        <f>IF('Enrollment Census'!O316="","",TRIM('Enrollment Census'!O316&amp;""))</f>
        <v/>
      </c>
      <c r="P316" s="38">
        <f>IF('Enrollment Census'!P316="","",'Enrollment Census'!P316)</f>
        <v/>
      </c>
      <c r="Q316" s="38">
        <f>IF('Enrollment Census'!Q316="","",'Enrollment Census'!Q316)</f>
        <v/>
      </c>
      <c r="R316" s="36">
        <f>IF('Enrollment Census'!R316="","",TRIM('Enrollment Census'!R316&amp;""))</f>
        <v/>
      </c>
      <c r="S316" s="36">
        <f>IF('Enrollment Census'!S316="","",TRIM('Enrollment Census'!S316&amp;""))</f>
        <v/>
      </c>
      <c r="T316" s="36">
        <f>IF('Enrollment Census'!T316="","",TRIM('Enrollment Census'!T316&amp;""))</f>
        <v/>
      </c>
      <c r="U316" s="39">
        <f>IF('Enrollment Census'!U316="","",'Enrollment Census'!U316)</f>
        <v/>
      </c>
    </row>
    <row r="317">
      <c r="A317" s="36">
        <f>IF('Enrollment Census'!A317="","",TRIM('Enrollment Census'!A317&amp;""))</f>
        <v/>
      </c>
      <c r="B317" s="36">
        <f>IF('Enrollment Census'!B317="","",TRIM('Enrollment Census'!B317&amp;""))</f>
        <v/>
      </c>
      <c r="C317" s="37">
        <f>IF('Enrollment Census'!C317="","",TRIM('Enrollment Census'!C317&amp;""))</f>
        <v/>
      </c>
      <c r="D317" s="37">
        <f>IF('Enrollment Census'!D317="","",TRIM('Enrollment Census'!D317&amp;""))</f>
        <v/>
      </c>
      <c r="E317" s="36">
        <f>IF('Enrollment Census'!E317="","",TRIM('Enrollment Census'!E317&amp;""))</f>
        <v/>
      </c>
      <c r="F317" s="37">
        <f>IF('Enrollment Census'!F317="","",TRIM('Enrollment Census'!F317&amp;""))</f>
        <v/>
      </c>
      <c r="G317" s="37">
        <f>IF('Enrollment Census'!G317="","",TRIM('Enrollment Census'!G317&amp;""))</f>
        <v/>
      </c>
      <c r="H317" s="37">
        <f>IF('Enrollment Census'!H317="","",TRIM('Enrollment Census'!H317&amp;""))</f>
        <v/>
      </c>
      <c r="I317" s="36">
        <f>IF('Enrollment Census'!I317="","",TRIM('Enrollment Census'!I317&amp;""))</f>
        <v/>
      </c>
      <c r="J317" s="36">
        <f>IF('Enrollment Census'!J317="","",TRIM('Enrollment Census'!J317&amp;""))</f>
        <v/>
      </c>
      <c r="K317" s="36">
        <f>IF('Enrollment Census'!K317="","",TRIM('Enrollment Census'!K317&amp;""))</f>
        <v/>
      </c>
      <c r="L317" s="38">
        <f>IF('Enrollment Census'!L317="","",'Enrollment Census'!L317)</f>
        <v/>
      </c>
      <c r="M317" s="36">
        <f>IF('Enrollment Census'!M317="","",TRIM('Enrollment Census'!M317&amp;""))</f>
        <v/>
      </c>
      <c r="N317" s="36">
        <f>IF('Enrollment Census'!N317="","",LOWER(TRIM('Enrollment Census'!N317&amp;"")))</f>
        <v/>
      </c>
      <c r="O317" s="36">
        <f>IF('Enrollment Census'!O317="","",TRIM('Enrollment Census'!O317&amp;""))</f>
        <v/>
      </c>
      <c r="P317" s="38">
        <f>IF('Enrollment Census'!P317="","",'Enrollment Census'!P317)</f>
        <v/>
      </c>
      <c r="Q317" s="38">
        <f>IF('Enrollment Census'!Q317="","",'Enrollment Census'!Q317)</f>
        <v/>
      </c>
      <c r="R317" s="36">
        <f>IF('Enrollment Census'!R317="","",TRIM('Enrollment Census'!R317&amp;""))</f>
        <v/>
      </c>
      <c r="S317" s="36">
        <f>IF('Enrollment Census'!S317="","",TRIM('Enrollment Census'!S317&amp;""))</f>
        <v/>
      </c>
      <c r="T317" s="36">
        <f>IF('Enrollment Census'!T317="","",TRIM('Enrollment Census'!T317&amp;""))</f>
        <v/>
      </c>
      <c r="U317" s="39">
        <f>IF('Enrollment Census'!U317="","",'Enrollment Census'!U317)</f>
        <v/>
      </c>
    </row>
    <row r="318">
      <c r="A318" s="36">
        <f>IF('Enrollment Census'!A318="","",TRIM('Enrollment Census'!A318&amp;""))</f>
        <v/>
      </c>
      <c r="B318" s="36">
        <f>IF('Enrollment Census'!B318="","",TRIM('Enrollment Census'!B318&amp;""))</f>
        <v/>
      </c>
      <c r="C318" s="37">
        <f>IF('Enrollment Census'!C318="","",TRIM('Enrollment Census'!C318&amp;""))</f>
        <v/>
      </c>
      <c r="D318" s="37">
        <f>IF('Enrollment Census'!D318="","",TRIM('Enrollment Census'!D318&amp;""))</f>
        <v/>
      </c>
      <c r="E318" s="36">
        <f>IF('Enrollment Census'!E318="","",TRIM('Enrollment Census'!E318&amp;""))</f>
        <v/>
      </c>
      <c r="F318" s="37">
        <f>IF('Enrollment Census'!F318="","",TRIM('Enrollment Census'!F318&amp;""))</f>
        <v/>
      </c>
      <c r="G318" s="37">
        <f>IF('Enrollment Census'!G318="","",TRIM('Enrollment Census'!G318&amp;""))</f>
        <v/>
      </c>
      <c r="H318" s="37">
        <f>IF('Enrollment Census'!H318="","",TRIM('Enrollment Census'!H318&amp;""))</f>
        <v/>
      </c>
      <c r="I318" s="36">
        <f>IF('Enrollment Census'!I318="","",TRIM('Enrollment Census'!I318&amp;""))</f>
        <v/>
      </c>
      <c r="J318" s="36">
        <f>IF('Enrollment Census'!J318="","",TRIM('Enrollment Census'!J318&amp;""))</f>
        <v/>
      </c>
      <c r="K318" s="36">
        <f>IF('Enrollment Census'!K318="","",TRIM('Enrollment Census'!K318&amp;""))</f>
        <v/>
      </c>
      <c r="L318" s="38">
        <f>IF('Enrollment Census'!L318="","",'Enrollment Census'!L318)</f>
        <v/>
      </c>
      <c r="M318" s="36">
        <f>IF('Enrollment Census'!M318="","",TRIM('Enrollment Census'!M318&amp;""))</f>
        <v/>
      </c>
      <c r="N318" s="36">
        <f>IF('Enrollment Census'!N318="","",LOWER(TRIM('Enrollment Census'!N318&amp;"")))</f>
        <v/>
      </c>
      <c r="O318" s="36">
        <f>IF('Enrollment Census'!O318="","",TRIM('Enrollment Census'!O318&amp;""))</f>
        <v/>
      </c>
      <c r="P318" s="38">
        <f>IF('Enrollment Census'!P318="","",'Enrollment Census'!P318)</f>
        <v/>
      </c>
      <c r="Q318" s="38">
        <f>IF('Enrollment Census'!Q318="","",'Enrollment Census'!Q318)</f>
        <v/>
      </c>
      <c r="R318" s="36">
        <f>IF('Enrollment Census'!R318="","",TRIM('Enrollment Census'!R318&amp;""))</f>
        <v/>
      </c>
      <c r="S318" s="36">
        <f>IF('Enrollment Census'!S318="","",TRIM('Enrollment Census'!S318&amp;""))</f>
        <v/>
      </c>
      <c r="T318" s="36">
        <f>IF('Enrollment Census'!T318="","",TRIM('Enrollment Census'!T318&amp;""))</f>
        <v/>
      </c>
      <c r="U318" s="39">
        <f>IF('Enrollment Census'!U318="","",'Enrollment Census'!U318)</f>
        <v/>
      </c>
    </row>
    <row r="319">
      <c r="A319" s="36">
        <f>IF('Enrollment Census'!A319="","",TRIM('Enrollment Census'!A319&amp;""))</f>
        <v/>
      </c>
      <c r="B319" s="36">
        <f>IF('Enrollment Census'!B319="","",TRIM('Enrollment Census'!B319&amp;""))</f>
        <v/>
      </c>
      <c r="C319" s="37">
        <f>IF('Enrollment Census'!C319="","",TRIM('Enrollment Census'!C319&amp;""))</f>
        <v/>
      </c>
      <c r="D319" s="37">
        <f>IF('Enrollment Census'!D319="","",TRIM('Enrollment Census'!D319&amp;""))</f>
        <v/>
      </c>
      <c r="E319" s="36">
        <f>IF('Enrollment Census'!E319="","",TRIM('Enrollment Census'!E319&amp;""))</f>
        <v/>
      </c>
      <c r="F319" s="37">
        <f>IF('Enrollment Census'!F319="","",TRIM('Enrollment Census'!F319&amp;""))</f>
        <v/>
      </c>
      <c r="G319" s="37">
        <f>IF('Enrollment Census'!G319="","",TRIM('Enrollment Census'!G319&amp;""))</f>
        <v/>
      </c>
      <c r="H319" s="37">
        <f>IF('Enrollment Census'!H319="","",TRIM('Enrollment Census'!H319&amp;""))</f>
        <v/>
      </c>
      <c r="I319" s="36">
        <f>IF('Enrollment Census'!I319="","",TRIM('Enrollment Census'!I319&amp;""))</f>
        <v/>
      </c>
      <c r="J319" s="36">
        <f>IF('Enrollment Census'!J319="","",TRIM('Enrollment Census'!J319&amp;""))</f>
        <v/>
      </c>
      <c r="K319" s="36">
        <f>IF('Enrollment Census'!K319="","",TRIM('Enrollment Census'!K319&amp;""))</f>
        <v/>
      </c>
      <c r="L319" s="38">
        <f>IF('Enrollment Census'!L319="","",'Enrollment Census'!L319)</f>
        <v/>
      </c>
      <c r="M319" s="36">
        <f>IF('Enrollment Census'!M319="","",TRIM('Enrollment Census'!M319&amp;""))</f>
        <v/>
      </c>
      <c r="N319" s="36">
        <f>IF('Enrollment Census'!N319="","",LOWER(TRIM('Enrollment Census'!N319&amp;"")))</f>
        <v/>
      </c>
      <c r="O319" s="36">
        <f>IF('Enrollment Census'!O319="","",TRIM('Enrollment Census'!O319&amp;""))</f>
        <v/>
      </c>
      <c r="P319" s="38">
        <f>IF('Enrollment Census'!P319="","",'Enrollment Census'!P319)</f>
        <v/>
      </c>
      <c r="Q319" s="38">
        <f>IF('Enrollment Census'!Q319="","",'Enrollment Census'!Q319)</f>
        <v/>
      </c>
      <c r="R319" s="36">
        <f>IF('Enrollment Census'!R319="","",TRIM('Enrollment Census'!R319&amp;""))</f>
        <v/>
      </c>
      <c r="S319" s="36">
        <f>IF('Enrollment Census'!S319="","",TRIM('Enrollment Census'!S319&amp;""))</f>
        <v/>
      </c>
      <c r="T319" s="36">
        <f>IF('Enrollment Census'!T319="","",TRIM('Enrollment Census'!T319&amp;""))</f>
        <v/>
      </c>
      <c r="U319" s="39">
        <f>IF('Enrollment Census'!U319="","",'Enrollment Census'!U319)</f>
        <v/>
      </c>
    </row>
    <row r="320">
      <c r="A320" s="36">
        <f>IF('Enrollment Census'!A320="","",TRIM('Enrollment Census'!A320&amp;""))</f>
        <v/>
      </c>
      <c r="B320" s="36">
        <f>IF('Enrollment Census'!B320="","",TRIM('Enrollment Census'!B320&amp;""))</f>
        <v/>
      </c>
      <c r="C320" s="37">
        <f>IF('Enrollment Census'!C320="","",TRIM('Enrollment Census'!C320&amp;""))</f>
        <v/>
      </c>
      <c r="D320" s="37">
        <f>IF('Enrollment Census'!D320="","",TRIM('Enrollment Census'!D320&amp;""))</f>
        <v/>
      </c>
      <c r="E320" s="36">
        <f>IF('Enrollment Census'!E320="","",TRIM('Enrollment Census'!E320&amp;""))</f>
        <v/>
      </c>
      <c r="F320" s="37">
        <f>IF('Enrollment Census'!F320="","",TRIM('Enrollment Census'!F320&amp;""))</f>
        <v/>
      </c>
      <c r="G320" s="37">
        <f>IF('Enrollment Census'!G320="","",TRIM('Enrollment Census'!G320&amp;""))</f>
        <v/>
      </c>
      <c r="H320" s="37">
        <f>IF('Enrollment Census'!H320="","",TRIM('Enrollment Census'!H320&amp;""))</f>
        <v/>
      </c>
      <c r="I320" s="36">
        <f>IF('Enrollment Census'!I320="","",TRIM('Enrollment Census'!I320&amp;""))</f>
        <v/>
      </c>
      <c r="J320" s="36">
        <f>IF('Enrollment Census'!J320="","",TRIM('Enrollment Census'!J320&amp;""))</f>
        <v/>
      </c>
      <c r="K320" s="36">
        <f>IF('Enrollment Census'!K320="","",TRIM('Enrollment Census'!K320&amp;""))</f>
        <v/>
      </c>
      <c r="L320" s="38">
        <f>IF('Enrollment Census'!L320="","",'Enrollment Census'!L320)</f>
        <v/>
      </c>
      <c r="M320" s="36">
        <f>IF('Enrollment Census'!M320="","",TRIM('Enrollment Census'!M320&amp;""))</f>
        <v/>
      </c>
      <c r="N320" s="36">
        <f>IF('Enrollment Census'!N320="","",LOWER(TRIM('Enrollment Census'!N320&amp;"")))</f>
        <v/>
      </c>
      <c r="O320" s="36">
        <f>IF('Enrollment Census'!O320="","",TRIM('Enrollment Census'!O320&amp;""))</f>
        <v/>
      </c>
      <c r="P320" s="38">
        <f>IF('Enrollment Census'!P320="","",'Enrollment Census'!P320)</f>
        <v/>
      </c>
      <c r="Q320" s="38">
        <f>IF('Enrollment Census'!Q320="","",'Enrollment Census'!Q320)</f>
        <v/>
      </c>
      <c r="R320" s="36">
        <f>IF('Enrollment Census'!R320="","",TRIM('Enrollment Census'!R320&amp;""))</f>
        <v/>
      </c>
      <c r="S320" s="36">
        <f>IF('Enrollment Census'!S320="","",TRIM('Enrollment Census'!S320&amp;""))</f>
        <v/>
      </c>
      <c r="T320" s="36">
        <f>IF('Enrollment Census'!T320="","",TRIM('Enrollment Census'!T320&amp;""))</f>
        <v/>
      </c>
      <c r="U320" s="39">
        <f>IF('Enrollment Census'!U320="","",'Enrollment Census'!U320)</f>
        <v/>
      </c>
    </row>
    <row r="321">
      <c r="A321" s="36">
        <f>IF('Enrollment Census'!A321="","",TRIM('Enrollment Census'!A321&amp;""))</f>
        <v/>
      </c>
      <c r="B321" s="36">
        <f>IF('Enrollment Census'!B321="","",TRIM('Enrollment Census'!B321&amp;""))</f>
        <v/>
      </c>
      <c r="C321" s="37">
        <f>IF('Enrollment Census'!C321="","",TRIM('Enrollment Census'!C321&amp;""))</f>
        <v/>
      </c>
      <c r="D321" s="37">
        <f>IF('Enrollment Census'!D321="","",TRIM('Enrollment Census'!D321&amp;""))</f>
        <v/>
      </c>
      <c r="E321" s="36">
        <f>IF('Enrollment Census'!E321="","",TRIM('Enrollment Census'!E321&amp;""))</f>
        <v/>
      </c>
      <c r="F321" s="37">
        <f>IF('Enrollment Census'!F321="","",TRIM('Enrollment Census'!F321&amp;""))</f>
        <v/>
      </c>
      <c r="G321" s="37">
        <f>IF('Enrollment Census'!G321="","",TRIM('Enrollment Census'!G321&amp;""))</f>
        <v/>
      </c>
      <c r="H321" s="37">
        <f>IF('Enrollment Census'!H321="","",TRIM('Enrollment Census'!H321&amp;""))</f>
        <v/>
      </c>
      <c r="I321" s="36">
        <f>IF('Enrollment Census'!I321="","",TRIM('Enrollment Census'!I321&amp;""))</f>
        <v/>
      </c>
      <c r="J321" s="36">
        <f>IF('Enrollment Census'!J321="","",TRIM('Enrollment Census'!J321&amp;""))</f>
        <v/>
      </c>
      <c r="K321" s="36">
        <f>IF('Enrollment Census'!K321="","",TRIM('Enrollment Census'!K321&amp;""))</f>
        <v/>
      </c>
      <c r="L321" s="38">
        <f>IF('Enrollment Census'!L321="","",'Enrollment Census'!L321)</f>
        <v/>
      </c>
      <c r="M321" s="36">
        <f>IF('Enrollment Census'!M321="","",TRIM('Enrollment Census'!M321&amp;""))</f>
        <v/>
      </c>
      <c r="N321" s="36">
        <f>IF('Enrollment Census'!N321="","",LOWER(TRIM('Enrollment Census'!N321&amp;"")))</f>
        <v/>
      </c>
      <c r="O321" s="36">
        <f>IF('Enrollment Census'!O321="","",TRIM('Enrollment Census'!O321&amp;""))</f>
        <v/>
      </c>
      <c r="P321" s="38">
        <f>IF('Enrollment Census'!P321="","",'Enrollment Census'!P321)</f>
        <v/>
      </c>
      <c r="Q321" s="38">
        <f>IF('Enrollment Census'!Q321="","",'Enrollment Census'!Q321)</f>
        <v/>
      </c>
      <c r="R321" s="36">
        <f>IF('Enrollment Census'!R321="","",TRIM('Enrollment Census'!R321&amp;""))</f>
        <v/>
      </c>
      <c r="S321" s="36">
        <f>IF('Enrollment Census'!S321="","",TRIM('Enrollment Census'!S321&amp;""))</f>
        <v/>
      </c>
      <c r="T321" s="36">
        <f>IF('Enrollment Census'!T321="","",TRIM('Enrollment Census'!T321&amp;""))</f>
        <v/>
      </c>
      <c r="U321" s="39">
        <f>IF('Enrollment Census'!U321="","",'Enrollment Census'!U321)</f>
        <v/>
      </c>
    </row>
    <row r="322">
      <c r="A322" s="36">
        <f>IF('Enrollment Census'!A322="","",TRIM('Enrollment Census'!A322&amp;""))</f>
        <v/>
      </c>
      <c r="B322" s="36">
        <f>IF('Enrollment Census'!B322="","",TRIM('Enrollment Census'!B322&amp;""))</f>
        <v/>
      </c>
      <c r="C322" s="37">
        <f>IF('Enrollment Census'!C322="","",TRIM('Enrollment Census'!C322&amp;""))</f>
        <v/>
      </c>
      <c r="D322" s="37">
        <f>IF('Enrollment Census'!D322="","",TRIM('Enrollment Census'!D322&amp;""))</f>
        <v/>
      </c>
      <c r="E322" s="36">
        <f>IF('Enrollment Census'!E322="","",TRIM('Enrollment Census'!E322&amp;""))</f>
        <v/>
      </c>
      <c r="F322" s="37">
        <f>IF('Enrollment Census'!F322="","",TRIM('Enrollment Census'!F322&amp;""))</f>
        <v/>
      </c>
      <c r="G322" s="37">
        <f>IF('Enrollment Census'!G322="","",TRIM('Enrollment Census'!G322&amp;""))</f>
        <v/>
      </c>
      <c r="H322" s="37">
        <f>IF('Enrollment Census'!H322="","",TRIM('Enrollment Census'!H322&amp;""))</f>
        <v/>
      </c>
      <c r="I322" s="36">
        <f>IF('Enrollment Census'!I322="","",TRIM('Enrollment Census'!I322&amp;""))</f>
        <v/>
      </c>
      <c r="J322" s="36">
        <f>IF('Enrollment Census'!J322="","",TRIM('Enrollment Census'!J322&amp;""))</f>
        <v/>
      </c>
      <c r="K322" s="36">
        <f>IF('Enrollment Census'!K322="","",TRIM('Enrollment Census'!K322&amp;""))</f>
        <v/>
      </c>
      <c r="L322" s="38">
        <f>IF('Enrollment Census'!L322="","",'Enrollment Census'!L322)</f>
        <v/>
      </c>
      <c r="M322" s="36">
        <f>IF('Enrollment Census'!M322="","",TRIM('Enrollment Census'!M322&amp;""))</f>
        <v/>
      </c>
      <c r="N322" s="36">
        <f>IF('Enrollment Census'!N322="","",LOWER(TRIM('Enrollment Census'!N322&amp;"")))</f>
        <v/>
      </c>
      <c r="O322" s="36">
        <f>IF('Enrollment Census'!O322="","",TRIM('Enrollment Census'!O322&amp;""))</f>
        <v/>
      </c>
      <c r="P322" s="38">
        <f>IF('Enrollment Census'!P322="","",'Enrollment Census'!P322)</f>
        <v/>
      </c>
      <c r="Q322" s="38">
        <f>IF('Enrollment Census'!Q322="","",'Enrollment Census'!Q322)</f>
        <v/>
      </c>
      <c r="R322" s="36">
        <f>IF('Enrollment Census'!R322="","",TRIM('Enrollment Census'!R322&amp;""))</f>
        <v/>
      </c>
      <c r="S322" s="36">
        <f>IF('Enrollment Census'!S322="","",TRIM('Enrollment Census'!S322&amp;""))</f>
        <v/>
      </c>
      <c r="T322" s="36">
        <f>IF('Enrollment Census'!T322="","",TRIM('Enrollment Census'!T322&amp;""))</f>
        <v/>
      </c>
      <c r="U322" s="39">
        <f>IF('Enrollment Census'!U322="","",'Enrollment Census'!U322)</f>
        <v/>
      </c>
    </row>
    <row r="323">
      <c r="A323" s="36">
        <f>IF('Enrollment Census'!A323="","",TRIM('Enrollment Census'!A323&amp;""))</f>
        <v/>
      </c>
      <c r="B323" s="36">
        <f>IF('Enrollment Census'!B323="","",TRIM('Enrollment Census'!B323&amp;""))</f>
        <v/>
      </c>
      <c r="C323" s="37">
        <f>IF('Enrollment Census'!C323="","",TRIM('Enrollment Census'!C323&amp;""))</f>
        <v/>
      </c>
      <c r="D323" s="37">
        <f>IF('Enrollment Census'!D323="","",TRIM('Enrollment Census'!D323&amp;""))</f>
        <v/>
      </c>
      <c r="E323" s="36">
        <f>IF('Enrollment Census'!E323="","",TRIM('Enrollment Census'!E323&amp;""))</f>
        <v/>
      </c>
      <c r="F323" s="37">
        <f>IF('Enrollment Census'!F323="","",TRIM('Enrollment Census'!F323&amp;""))</f>
        <v/>
      </c>
      <c r="G323" s="37">
        <f>IF('Enrollment Census'!G323="","",TRIM('Enrollment Census'!G323&amp;""))</f>
        <v/>
      </c>
      <c r="H323" s="37">
        <f>IF('Enrollment Census'!H323="","",TRIM('Enrollment Census'!H323&amp;""))</f>
        <v/>
      </c>
      <c r="I323" s="36">
        <f>IF('Enrollment Census'!I323="","",TRIM('Enrollment Census'!I323&amp;""))</f>
        <v/>
      </c>
      <c r="J323" s="36">
        <f>IF('Enrollment Census'!J323="","",TRIM('Enrollment Census'!J323&amp;""))</f>
        <v/>
      </c>
      <c r="K323" s="36">
        <f>IF('Enrollment Census'!K323="","",TRIM('Enrollment Census'!K323&amp;""))</f>
        <v/>
      </c>
      <c r="L323" s="38">
        <f>IF('Enrollment Census'!L323="","",'Enrollment Census'!L323)</f>
        <v/>
      </c>
      <c r="M323" s="36">
        <f>IF('Enrollment Census'!M323="","",TRIM('Enrollment Census'!M323&amp;""))</f>
        <v/>
      </c>
      <c r="N323" s="36">
        <f>IF('Enrollment Census'!N323="","",LOWER(TRIM('Enrollment Census'!N323&amp;"")))</f>
        <v/>
      </c>
      <c r="O323" s="36">
        <f>IF('Enrollment Census'!O323="","",TRIM('Enrollment Census'!O323&amp;""))</f>
        <v/>
      </c>
      <c r="P323" s="38">
        <f>IF('Enrollment Census'!P323="","",'Enrollment Census'!P323)</f>
        <v/>
      </c>
      <c r="Q323" s="38">
        <f>IF('Enrollment Census'!Q323="","",'Enrollment Census'!Q323)</f>
        <v/>
      </c>
      <c r="R323" s="36">
        <f>IF('Enrollment Census'!R323="","",TRIM('Enrollment Census'!R323&amp;""))</f>
        <v/>
      </c>
      <c r="S323" s="36">
        <f>IF('Enrollment Census'!S323="","",TRIM('Enrollment Census'!S323&amp;""))</f>
        <v/>
      </c>
      <c r="T323" s="36">
        <f>IF('Enrollment Census'!T323="","",TRIM('Enrollment Census'!T323&amp;""))</f>
        <v/>
      </c>
      <c r="U323" s="39">
        <f>IF('Enrollment Census'!U323="","",'Enrollment Census'!U323)</f>
        <v/>
      </c>
    </row>
    <row r="324">
      <c r="A324" s="36">
        <f>IF('Enrollment Census'!A324="","",TRIM('Enrollment Census'!A324&amp;""))</f>
        <v/>
      </c>
      <c r="B324" s="36">
        <f>IF('Enrollment Census'!B324="","",TRIM('Enrollment Census'!B324&amp;""))</f>
        <v/>
      </c>
      <c r="C324" s="37">
        <f>IF('Enrollment Census'!C324="","",TRIM('Enrollment Census'!C324&amp;""))</f>
        <v/>
      </c>
      <c r="D324" s="37">
        <f>IF('Enrollment Census'!D324="","",TRIM('Enrollment Census'!D324&amp;""))</f>
        <v/>
      </c>
      <c r="E324" s="36">
        <f>IF('Enrollment Census'!E324="","",TRIM('Enrollment Census'!E324&amp;""))</f>
        <v/>
      </c>
      <c r="F324" s="37">
        <f>IF('Enrollment Census'!F324="","",TRIM('Enrollment Census'!F324&amp;""))</f>
        <v/>
      </c>
      <c r="G324" s="37">
        <f>IF('Enrollment Census'!G324="","",TRIM('Enrollment Census'!G324&amp;""))</f>
        <v/>
      </c>
      <c r="H324" s="37">
        <f>IF('Enrollment Census'!H324="","",TRIM('Enrollment Census'!H324&amp;""))</f>
        <v/>
      </c>
      <c r="I324" s="36">
        <f>IF('Enrollment Census'!I324="","",TRIM('Enrollment Census'!I324&amp;""))</f>
        <v/>
      </c>
      <c r="J324" s="36">
        <f>IF('Enrollment Census'!J324="","",TRIM('Enrollment Census'!J324&amp;""))</f>
        <v/>
      </c>
      <c r="K324" s="36">
        <f>IF('Enrollment Census'!K324="","",TRIM('Enrollment Census'!K324&amp;""))</f>
        <v/>
      </c>
      <c r="L324" s="38">
        <f>IF('Enrollment Census'!L324="","",'Enrollment Census'!L324)</f>
        <v/>
      </c>
      <c r="M324" s="36">
        <f>IF('Enrollment Census'!M324="","",TRIM('Enrollment Census'!M324&amp;""))</f>
        <v/>
      </c>
      <c r="N324" s="36">
        <f>IF('Enrollment Census'!N324="","",LOWER(TRIM('Enrollment Census'!N324&amp;"")))</f>
        <v/>
      </c>
      <c r="O324" s="36">
        <f>IF('Enrollment Census'!O324="","",TRIM('Enrollment Census'!O324&amp;""))</f>
        <v/>
      </c>
      <c r="P324" s="38">
        <f>IF('Enrollment Census'!P324="","",'Enrollment Census'!P324)</f>
        <v/>
      </c>
      <c r="Q324" s="38">
        <f>IF('Enrollment Census'!Q324="","",'Enrollment Census'!Q324)</f>
        <v/>
      </c>
      <c r="R324" s="36">
        <f>IF('Enrollment Census'!R324="","",TRIM('Enrollment Census'!R324&amp;""))</f>
        <v/>
      </c>
      <c r="S324" s="36">
        <f>IF('Enrollment Census'!S324="","",TRIM('Enrollment Census'!S324&amp;""))</f>
        <v/>
      </c>
      <c r="T324" s="36">
        <f>IF('Enrollment Census'!T324="","",TRIM('Enrollment Census'!T324&amp;""))</f>
        <v/>
      </c>
      <c r="U324" s="39">
        <f>IF('Enrollment Census'!U324="","",'Enrollment Census'!U324)</f>
        <v/>
      </c>
    </row>
    <row r="325">
      <c r="A325" s="36">
        <f>IF('Enrollment Census'!A325="","",TRIM('Enrollment Census'!A325&amp;""))</f>
        <v/>
      </c>
      <c r="B325" s="36">
        <f>IF('Enrollment Census'!B325="","",TRIM('Enrollment Census'!B325&amp;""))</f>
        <v/>
      </c>
      <c r="C325" s="37">
        <f>IF('Enrollment Census'!C325="","",TRIM('Enrollment Census'!C325&amp;""))</f>
        <v/>
      </c>
      <c r="D325" s="37">
        <f>IF('Enrollment Census'!D325="","",TRIM('Enrollment Census'!D325&amp;""))</f>
        <v/>
      </c>
      <c r="E325" s="36">
        <f>IF('Enrollment Census'!E325="","",TRIM('Enrollment Census'!E325&amp;""))</f>
        <v/>
      </c>
      <c r="F325" s="37">
        <f>IF('Enrollment Census'!F325="","",TRIM('Enrollment Census'!F325&amp;""))</f>
        <v/>
      </c>
      <c r="G325" s="37">
        <f>IF('Enrollment Census'!G325="","",TRIM('Enrollment Census'!G325&amp;""))</f>
        <v/>
      </c>
      <c r="H325" s="37">
        <f>IF('Enrollment Census'!H325="","",TRIM('Enrollment Census'!H325&amp;""))</f>
        <v/>
      </c>
      <c r="I325" s="36">
        <f>IF('Enrollment Census'!I325="","",TRIM('Enrollment Census'!I325&amp;""))</f>
        <v/>
      </c>
      <c r="J325" s="36">
        <f>IF('Enrollment Census'!J325="","",TRIM('Enrollment Census'!J325&amp;""))</f>
        <v/>
      </c>
      <c r="K325" s="36">
        <f>IF('Enrollment Census'!K325="","",TRIM('Enrollment Census'!K325&amp;""))</f>
        <v/>
      </c>
      <c r="L325" s="38">
        <f>IF('Enrollment Census'!L325="","",'Enrollment Census'!L325)</f>
        <v/>
      </c>
      <c r="M325" s="36">
        <f>IF('Enrollment Census'!M325="","",TRIM('Enrollment Census'!M325&amp;""))</f>
        <v/>
      </c>
      <c r="N325" s="36">
        <f>IF('Enrollment Census'!N325="","",LOWER(TRIM('Enrollment Census'!N325&amp;"")))</f>
        <v/>
      </c>
      <c r="O325" s="36">
        <f>IF('Enrollment Census'!O325="","",TRIM('Enrollment Census'!O325&amp;""))</f>
        <v/>
      </c>
      <c r="P325" s="38">
        <f>IF('Enrollment Census'!P325="","",'Enrollment Census'!P325)</f>
        <v/>
      </c>
      <c r="Q325" s="38">
        <f>IF('Enrollment Census'!Q325="","",'Enrollment Census'!Q325)</f>
        <v/>
      </c>
      <c r="R325" s="36">
        <f>IF('Enrollment Census'!R325="","",TRIM('Enrollment Census'!R325&amp;""))</f>
        <v/>
      </c>
      <c r="S325" s="36">
        <f>IF('Enrollment Census'!S325="","",TRIM('Enrollment Census'!S325&amp;""))</f>
        <v/>
      </c>
      <c r="T325" s="36">
        <f>IF('Enrollment Census'!T325="","",TRIM('Enrollment Census'!T325&amp;""))</f>
        <v/>
      </c>
      <c r="U325" s="39">
        <f>IF('Enrollment Census'!U325="","",'Enrollment Census'!U325)</f>
        <v/>
      </c>
    </row>
    <row r="326">
      <c r="A326" s="36">
        <f>IF('Enrollment Census'!A326="","",TRIM('Enrollment Census'!A326&amp;""))</f>
        <v/>
      </c>
      <c r="B326" s="36">
        <f>IF('Enrollment Census'!B326="","",TRIM('Enrollment Census'!B326&amp;""))</f>
        <v/>
      </c>
      <c r="C326" s="37">
        <f>IF('Enrollment Census'!C326="","",TRIM('Enrollment Census'!C326&amp;""))</f>
        <v/>
      </c>
      <c r="D326" s="37">
        <f>IF('Enrollment Census'!D326="","",TRIM('Enrollment Census'!D326&amp;""))</f>
        <v/>
      </c>
      <c r="E326" s="36">
        <f>IF('Enrollment Census'!E326="","",TRIM('Enrollment Census'!E326&amp;""))</f>
        <v/>
      </c>
      <c r="F326" s="37">
        <f>IF('Enrollment Census'!F326="","",TRIM('Enrollment Census'!F326&amp;""))</f>
        <v/>
      </c>
      <c r="G326" s="37">
        <f>IF('Enrollment Census'!G326="","",TRIM('Enrollment Census'!G326&amp;""))</f>
        <v/>
      </c>
      <c r="H326" s="37">
        <f>IF('Enrollment Census'!H326="","",TRIM('Enrollment Census'!H326&amp;""))</f>
        <v/>
      </c>
      <c r="I326" s="36">
        <f>IF('Enrollment Census'!I326="","",TRIM('Enrollment Census'!I326&amp;""))</f>
        <v/>
      </c>
      <c r="J326" s="36">
        <f>IF('Enrollment Census'!J326="","",TRIM('Enrollment Census'!J326&amp;""))</f>
        <v/>
      </c>
      <c r="K326" s="36">
        <f>IF('Enrollment Census'!K326="","",TRIM('Enrollment Census'!K326&amp;""))</f>
        <v/>
      </c>
      <c r="L326" s="38">
        <f>IF('Enrollment Census'!L326="","",'Enrollment Census'!L326)</f>
        <v/>
      </c>
      <c r="M326" s="36">
        <f>IF('Enrollment Census'!M326="","",TRIM('Enrollment Census'!M326&amp;""))</f>
        <v/>
      </c>
      <c r="N326" s="36">
        <f>IF('Enrollment Census'!N326="","",LOWER(TRIM('Enrollment Census'!N326&amp;"")))</f>
        <v/>
      </c>
      <c r="O326" s="36">
        <f>IF('Enrollment Census'!O326="","",TRIM('Enrollment Census'!O326&amp;""))</f>
        <v/>
      </c>
      <c r="P326" s="38">
        <f>IF('Enrollment Census'!P326="","",'Enrollment Census'!P326)</f>
        <v/>
      </c>
      <c r="Q326" s="38">
        <f>IF('Enrollment Census'!Q326="","",'Enrollment Census'!Q326)</f>
        <v/>
      </c>
      <c r="R326" s="36">
        <f>IF('Enrollment Census'!R326="","",TRIM('Enrollment Census'!R326&amp;""))</f>
        <v/>
      </c>
      <c r="S326" s="36">
        <f>IF('Enrollment Census'!S326="","",TRIM('Enrollment Census'!S326&amp;""))</f>
        <v/>
      </c>
      <c r="T326" s="36">
        <f>IF('Enrollment Census'!T326="","",TRIM('Enrollment Census'!T326&amp;""))</f>
        <v/>
      </c>
      <c r="U326" s="39">
        <f>IF('Enrollment Census'!U326="","",'Enrollment Census'!U326)</f>
        <v/>
      </c>
    </row>
    <row r="327">
      <c r="A327" s="36">
        <f>IF('Enrollment Census'!A327="","",TRIM('Enrollment Census'!A327&amp;""))</f>
        <v/>
      </c>
      <c r="B327" s="36">
        <f>IF('Enrollment Census'!B327="","",TRIM('Enrollment Census'!B327&amp;""))</f>
        <v/>
      </c>
      <c r="C327" s="37">
        <f>IF('Enrollment Census'!C327="","",TRIM('Enrollment Census'!C327&amp;""))</f>
        <v/>
      </c>
      <c r="D327" s="37">
        <f>IF('Enrollment Census'!D327="","",TRIM('Enrollment Census'!D327&amp;""))</f>
        <v/>
      </c>
      <c r="E327" s="36">
        <f>IF('Enrollment Census'!E327="","",TRIM('Enrollment Census'!E327&amp;""))</f>
        <v/>
      </c>
      <c r="F327" s="37">
        <f>IF('Enrollment Census'!F327="","",TRIM('Enrollment Census'!F327&amp;""))</f>
        <v/>
      </c>
      <c r="G327" s="37">
        <f>IF('Enrollment Census'!G327="","",TRIM('Enrollment Census'!G327&amp;""))</f>
        <v/>
      </c>
      <c r="H327" s="37">
        <f>IF('Enrollment Census'!H327="","",TRIM('Enrollment Census'!H327&amp;""))</f>
        <v/>
      </c>
      <c r="I327" s="36">
        <f>IF('Enrollment Census'!I327="","",TRIM('Enrollment Census'!I327&amp;""))</f>
        <v/>
      </c>
      <c r="J327" s="36">
        <f>IF('Enrollment Census'!J327="","",TRIM('Enrollment Census'!J327&amp;""))</f>
        <v/>
      </c>
      <c r="K327" s="36">
        <f>IF('Enrollment Census'!K327="","",TRIM('Enrollment Census'!K327&amp;""))</f>
        <v/>
      </c>
      <c r="L327" s="38">
        <f>IF('Enrollment Census'!L327="","",'Enrollment Census'!L327)</f>
        <v/>
      </c>
      <c r="M327" s="36">
        <f>IF('Enrollment Census'!M327="","",TRIM('Enrollment Census'!M327&amp;""))</f>
        <v/>
      </c>
      <c r="N327" s="36">
        <f>IF('Enrollment Census'!N327="","",LOWER(TRIM('Enrollment Census'!N327&amp;"")))</f>
        <v/>
      </c>
      <c r="O327" s="36">
        <f>IF('Enrollment Census'!O327="","",TRIM('Enrollment Census'!O327&amp;""))</f>
        <v/>
      </c>
      <c r="P327" s="38">
        <f>IF('Enrollment Census'!P327="","",'Enrollment Census'!P327)</f>
        <v/>
      </c>
      <c r="Q327" s="38">
        <f>IF('Enrollment Census'!Q327="","",'Enrollment Census'!Q327)</f>
        <v/>
      </c>
      <c r="R327" s="36">
        <f>IF('Enrollment Census'!R327="","",TRIM('Enrollment Census'!R327&amp;""))</f>
        <v/>
      </c>
      <c r="S327" s="36">
        <f>IF('Enrollment Census'!S327="","",TRIM('Enrollment Census'!S327&amp;""))</f>
        <v/>
      </c>
      <c r="T327" s="36">
        <f>IF('Enrollment Census'!T327="","",TRIM('Enrollment Census'!T327&amp;""))</f>
        <v/>
      </c>
      <c r="U327" s="39">
        <f>IF('Enrollment Census'!U327="","",'Enrollment Census'!U327)</f>
        <v/>
      </c>
    </row>
    <row r="328">
      <c r="A328" s="36">
        <f>IF('Enrollment Census'!A328="","",TRIM('Enrollment Census'!A328&amp;""))</f>
        <v/>
      </c>
      <c r="B328" s="36">
        <f>IF('Enrollment Census'!B328="","",TRIM('Enrollment Census'!B328&amp;""))</f>
        <v/>
      </c>
      <c r="C328" s="37">
        <f>IF('Enrollment Census'!C328="","",TRIM('Enrollment Census'!C328&amp;""))</f>
        <v/>
      </c>
      <c r="D328" s="37">
        <f>IF('Enrollment Census'!D328="","",TRIM('Enrollment Census'!D328&amp;""))</f>
        <v/>
      </c>
      <c r="E328" s="36">
        <f>IF('Enrollment Census'!E328="","",TRIM('Enrollment Census'!E328&amp;""))</f>
        <v/>
      </c>
      <c r="F328" s="37">
        <f>IF('Enrollment Census'!F328="","",TRIM('Enrollment Census'!F328&amp;""))</f>
        <v/>
      </c>
      <c r="G328" s="37">
        <f>IF('Enrollment Census'!G328="","",TRIM('Enrollment Census'!G328&amp;""))</f>
        <v/>
      </c>
      <c r="H328" s="37">
        <f>IF('Enrollment Census'!H328="","",TRIM('Enrollment Census'!H328&amp;""))</f>
        <v/>
      </c>
      <c r="I328" s="36">
        <f>IF('Enrollment Census'!I328="","",TRIM('Enrollment Census'!I328&amp;""))</f>
        <v/>
      </c>
      <c r="J328" s="36">
        <f>IF('Enrollment Census'!J328="","",TRIM('Enrollment Census'!J328&amp;""))</f>
        <v/>
      </c>
      <c r="K328" s="36">
        <f>IF('Enrollment Census'!K328="","",TRIM('Enrollment Census'!K328&amp;""))</f>
        <v/>
      </c>
      <c r="L328" s="38">
        <f>IF('Enrollment Census'!L328="","",'Enrollment Census'!L328)</f>
        <v/>
      </c>
      <c r="M328" s="36">
        <f>IF('Enrollment Census'!M328="","",TRIM('Enrollment Census'!M328&amp;""))</f>
        <v/>
      </c>
      <c r="N328" s="36">
        <f>IF('Enrollment Census'!N328="","",LOWER(TRIM('Enrollment Census'!N328&amp;"")))</f>
        <v/>
      </c>
      <c r="O328" s="36">
        <f>IF('Enrollment Census'!O328="","",TRIM('Enrollment Census'!O328&amp;""))</f>
        <v/>
      </c>
      <c r="P328" s="38">
        <f>IF('Enrollment Census'!P328="","",'Enrollment Census'!P328)</f>
        <v/>
      </c>
      <c r="Q328" s="38">
        <f>IF('Enrollment Census'!Q328="","",'Enrollment Census'!Q328)</f>
        <v/>
      </c>
      <c r="R328" s="36">
        <f>IF('Enrollment Census'!R328="","",TRIM('Enrollment Census'!R328&amp;""))</f>
        <v/>
      </c>
      <c r="S328" s="36">
        <f>IF('Enrollment Census'!S328="","",TRIM('Enrollment Census'!S328&amp;""))</f>
        <v/>
      </c>
      <c r="T328" s="36">
        <f>IF('Enrollment Census'!T328="","",TRIM('Enrollment Census'!T328&amp;""))</f>
        <v/>
      </c>
      <c r="U328" s="39">
        <f>IF('Enrollment Census'!U328="","",'Enrollment Census'!U328)</f>
        <v/>
      </c>
    </row>
    <row r="329">
      <c r="A329" s="36">
        <f>IF('Enrollment Census'!A329="","",TRIM('Enrollment Census'!A329&amp;""))</f>
        <v/>
      </c>
      <c r="B329" s="36">
        <f>IF('Enrollment Census'!B329="","",TRIM('Enrollment Census'!B329&amp;""))</f>
        <v/>
      </c>
      <c r="C329" s="37">
        <f>IF('Enrollment Census'!C329="","",TRIM('Enrollment Census'!C329&amp;""))</f>
        <v/>
      </c>
      <c r="D329" s="37">
        <f>IF('Enrollment Census'!D329="","",TRIM('Enrollment Census'!D329&amp;""))</f>
        <v/>
      </c>
      <c r="E329" s="36">
        <f>IF('Enrollment Census'!E329="","",TRIM('Enrollment Census'!E329&amp;""))</f>
        <v/>
      </c>
      <c r="F329" s="37">
        <f>IF('Enrollment Census'!F329="","",TRIM('Enrollment Census'!F329&amp;""))</f>
        <v/>
      </c>
      <c r="G329" s="37">
        <f>IF('Enrollment Census'!G329="","",TRIM('Enrollment Census'!G329&amp;""))</f>
        <v/>
      </c>
      <c r="H329" s="37">
        <f>IF('Enrollment Census'!H329="","",TRIM('Enrollment Census'!H329&amp;""))</f>
        <v/>
      </c>
      <c r="I329" s="36">
        <f>IF('Enrollment Census'!I329="","",TRIM('Enrollment Census'!I329&amp;""))</f>
        <v/>
      </c>
      <c r="J329" s="36">
        <f>IF('Enrollment Census'!J329="","",TRIM('Enrollment Census'!J329&amp;""))</f>
        <v/>
      </c>
      <c r="K329" s="36">
        <f>IF('Enrollment Census'!K329="","",TRIM('Enrollment Census'!K329&amp;""))</f>
        <v/>
      </c>
      <c r="L329" s="38">
        <f>IF('Enrollment Census'!L329="","",'Enrollment Census'!L329)</f>
        <v/>
      </c>
      <c r="M329" s="36">
        <f>IF('Enrollment Census'!M329="","",TRIM('Enrollment Census'!M329&amp;""))</f>
        <v/>
      </c>
      <c r="N329" s="36">
        <f>IF('Enrollment Census'!N329="","",LOWER(TRIM('Enrollment Census'!N329&amp;"")))</f>
        <v/>
      </c>
      <c r="O329" s="36">
        <f>IF('Enrollment Census'!O329="","",TRIM('Enrollment Census'!O329&amp;""))</f>
        <v/>
      </c>
      <c r="P329" s="38">
        <f>IF('Enrollment Census'!P329="","",'Enrollment Census'!P329)</f>
        <v/>
      </c>
      <c r="Q329" s="38">
        <f>IF('Enrollment Census'!Q329="","",'Enrollment Census'!Q329)</f>
        <v/>
      </c>
      <c r="R329" s="36">
        <f>IF('Enrollment Census'!R329="","",TRIM('Enrollment Census'!R329&amp;""))</f>
        <v/>
      </c>
      <c r="S329" s="36">
        <f>IF('Enrollment Census'!S329="","",TRIM('Enrollment Census'!S329&amp;""))</f>
        <v/>
      </c>
      <c r="T329" s="36">
        <f>IF('Enrollment Census'!T329="","",TRIM('Enrollment Census'!T329&amp;""))</f>
        <v/>
      </c>
      <c r="U329" s="39">
        <f>IF('Enrollment Census'!U329="","",'Enrollment Census'!U329)</f>
        <v/>
      </c>
    </row>
    <row r="330">
      <c r="A330" s="36">
        <f>IF('Enrollment Census'!A330="","",TRIM('Enrollment Census'!A330&amp;""))</f>
        <v/>
      </c>
      <c r="B330" s="36">
        <f>IF('Enrollment Census'!B330="","",TRIM('Enrollment Census'!B330&amp;""))</f>
        <v/>
      </c>
      <c r="C330" s="37">
        <f>IF('Enrollment Census'!C330="","",TRIM('Enrollment Census'!C330&amp;""))</f>
        <v/>
      </c>
      <c r="D330" s="37">
        <f>IF('Enrollment Census'!D330="","",TRIM('Enrollment Census'!D330&amp;""))</f>
        <v/>
      </c>
      <c r="E330" s="36">
        <f>IF('Enrollment Census'!E330="","",TRIM('Enrollment Census'!E330&amp;""))</f>
        <v/>
      </c>
      <c r="F330" s="37">
        <f>IF('Enrollment Census'!F330="","",TRIM('Enrollment Census'!F330&amp;""))</f>
        <v/>
      </c>
      <c r="G330" s="37">
        <f>IF('Enrollment Census'!G330="","",TRIM('Enrollment Census'!G330&amp;""))</f>
        <v/>
      </c>
      <c r="H330" s="37">
        <f>IF('Enrollment Census'!H330="","",TRIM('Enrollment Census'!H330&amp;""))</f>
        <v/>
      </c>
      <c r="I330" s="36">
        <f>IF('Enrollment Census'!I330="","",TRIM('Enrollment Census'!I330&amp;""))</f>
        <v/>
      </c>
      <c r="J330" s="36">
        <f>IF('Enrollment Census'!J330="","",TRIM('Enrollment Census'!J330&amp;""))</f>
        <v/>
      </c>
      <c r="K330" s="36">
        <f>IF('Enrollment Census'!K330="","",TRIM('Enrollment Census'!K330&amp;""))</f>
        <v/>
      </c>
      <c r="L330" s="38">
        <f>IF('Enrollment Census'!L330="","",'Enrollment Census'!L330)</f>
        <v/>
      </c>
      <c r="M330" s="36">
        <f>IF('Enrollment Census'!M330="","",TRIM('Enrollment Census'!M330&amp;""))</f>
        <v/>
      </c>
      <c r="N330" s="36">
        <f>IF('Enrollment Census'!N330="","",LOWER(TRIM('Enrollment Census'!N330&amp;"")))</f>
        <v/>
      </c>
      <c r="O330" s="36">
        <f>IF('Enrollment Census'!O330="","",TRIM('Enrollment Census'!O330&amp;""))</f>
        <v/>
      </c>
      <c r="P330" s="38">
        <f>IF('Enrollment Census'!P330="","",'Enrollment Census'!P330)</f>
        <v/>
      </c>
      <c r="Q330" s="38">
        <f>IF('Enrollment Census'!Q330="","",'Enrollment Census'!Q330)</f>
        <v/>
      </c>
      <c r="R330" s="36">
        <f>IF('Enrollment Census'!R330="","",TRIM('Enrollment Census'!R330&amp;""))</f>
        <v/>
      </c>
      <c r="S330" s="36">
        <f>IF('Enrollment Census'!S330="","",TRIM('Enrollment Census'!S330&amp;""))</f>
        <v/>
      </c>
      <c r="T330" s="36">
        <f>IF('Enrollment Census'!T330="","",TRIM('Enrollment Census'!T330&amp;""))</f>
        <v/>
      </c>
      <c r="U330" s="39">
        <f>IF('Enrollment Census'!U330="","",'Enrollment Census'!U330)</f>
        <v/>
      </c>
    </row>
    <row r="331">
      <c r="A331" s="36">
        <f>IF('Enrollment Census'!A331="","",TRIM('Enrollment Census'!A331&amp;""))</f>
        <v/>
      </c>
      <c r="B331" s="36">
        <f>IF('Enrollment Census'!B331="","",TRIM('Enrollment Census'!B331&amp;""))</f>
        <v/>
      </c>
      <c r="C331" s="37">
        <f>IF('Enrollment Census'!C331="","",TRIM('Enrollment Census'!C331&amp;""))</f>
        <v/>
      </c>
      <c r="D331" s="37">
        <f>IF('Enrollment Census'!D331="","",TRIM('Enrollment Census'!D331&amp;""))</f>
        <v/>
      </c>
      <c r="E331" s="36">
        <f>IF('Enrollment Census'!E331="","",TRIM('Enrollment Census'!E331&amp;""))</f>
        <v/>
      </c>
      <c r="F331" s="37">
        <f>IF('Enrollment Census'!F331="","",TRIM('Enrollment Census'!F331&amp;""))</f>
        <v/>
      </c>
      <c r="G331" s="37">
        <f>IF('Enrollment Census'!G331="","",TRIM('Enrollment Census'!G331&amp;""))</f>
        <v/>
      </c>
      <c r="H331" s="37">
        <f>IF('Enrollment Census'!H331="","",TRIM('Enrollment Census'!H331&amp;""))</f>
        <v/>
      </c>
      <c r="I331" s="36">
        <f>IF('Enrollment Census'!I331="","",TRIM('Enrollment Census'!I331&amp;""))</f>
        <v/>
      </c>
      <c r="J331" s="36">
        <f>IF('Enrollment Census'!J331="","",TRIM('Enrollment Census'!J331&amp;""))</f>
        <v/>
      </c>
      <c r="K331" s="36">
        <f>IF('Enrollment Census'!K331="","",TRIM('Enrollment Census'!K331&amp;""))</f>
        <v/>
      </c>
      <c r="L331" s="38">
        <f>IF('Enrollment Census'!L331="","",'Enrollment Census'!L331)</f>
        <v/>
      </c>
      <c r="M331" s="36">
        <f>IF('Enrollment Census'!M331="","",TRIM('Enrollment Census'!M331&amp;""))</f>
        <v/>
      </c>
      <c r="N331" s="36">
        <f>IF('Enrollment Census'!N331="","",LOWER(TRIM('Enrollment Census'!N331&amp;"")))</f>
        <v/>
      </c>
      <c r="O331" s="36">
        <f>IF('Enrollment Census'!O331="","",TRIM('Enrollment Census'!O331&amp;""))</f>
        <v/>
      </c>
      <c r="P331" s="38">
        <f>IF('Enrollment Census'!P331="","",'Enrollment Census'!P331)</f>
        <v/>
      </c>
      <c r="Q331" s="38">
        <f>IF('Enrollment Census'!Q331="","",'Enrollment Census'!Q331)</f>
        <v/>
      </c>
      <c r="R331" s="36">
        <f>IF('Enrollment Census'!R331="","",TRIM('Enrollment Census'!R331&amp;""))</f>
        <v/>
      </c>
      <c r="S331" s="36">
        <f>IF('Enrollment Census'!S331="","",TRIM('Enrollment Census'!S331&amp;""))</f>
        <v/>
      </c>
      <c r="T331" s="36">
        <f>IF('Enrollment Census'!T331="","",TRIM('Enrollment Census'!T331&amp;""))</f>
        <v/>
      </c>
      <c r="U331" s="39">
        <f>IF('Enrollment Census'!U331="","",'Enrollment Census'!U331)</f>
        <v/>
      </c>
    </row>
    <row r="332">
      <c r="A332" s="36">
        <f>IF('Enrollment Census'!A332="","",TRIM('Enrollment Census'!A332&amp;""))</f>
        <v/>
      </c>
      <c r="B332" s="36">
        <f>IF('Enrollment Census'!B332="","",TRIM('Enrollment Census'!B332&amp;""))</f>
        <v/>
      </c>
      <c r="C332" s="37">
        <f>IF('Enrollment Census'!C332="","",TRIM('Enrollment Census'!C332&amp;""))</f>
        <v/>
      </c>
      <c r="D332" s="37">
        <f>IF('Enrollment Census'!D332="","",TRIM('Enrollment Census'!D332&amp;""))</f>
        <v/>
      </c>
      <c r="E332" s="36">
        <f>IF('Enrollment Census'!E332="","",TRIM('Enrollment Census'!E332&amp;""))</f>
        <v/>
      </c>
      <c r="F332" s="37">
        <f>IF('Enrollment Census'!F332="","",TRIM('Enrollment Census'!F332&amp;""))</f>
        <v/>
      </c>
      <c r="G332" s="37">
        <f>IF('Enrollment Census'!G332="","",TRIM('Enrollment Census'!G332&amp;""))</f>
        <v/>
      </c>
      <c r="H332" s="37">
        <f>IF('Enrollment Census'!H332="","",TRIM('Enrollment Census'!H332&amp;""))</f>
        <v/>
      </c>
      <c r="I332" s="36">
        <f>IF('Enrollment Census'!I332="","",TRIM('Enrollment Census'!I332&amp;""))</f>
        <v/>
      </c>
      <c r="J332" s="36">
        <f>IF('Enrollment Census'!J332="","",TRIM('Enrollment Census'!J332&amp;""))</f>
        <v/>
      </c>
      <c r="K332" s="36">
        <f>IF('Enrollment Census'!K332="","",TRIM('Enrollment Census'!K332&amp;""))</f>
        <v/>
      </c>
      <c r="L332" s="38">
        <f>IF('Enrollment Census'!L332="","",'Enrollment Census'!L332)</f>
        <v/>
      </c>
      <c r="M332" s="36">
        <f>IF('Enrollment Census'!M332="","",TRIM('Enrollment Census'!M332&amp;""))</f>
        <v/>
      </c>
      <c r="N332" s="36">
        <f>IF('Enrollment Census'!N332="","",LOWER(TRIM('Enrollment Census'!N332&amp;"")))</f>
        <v/>
      </c>
      <c r="O332" s="36">
        <f>IF('Enrollment Census'!O332="","",TRIM('Enrollment Census'!O332&amp;""))</f>
        <v/>
      </c>
      <c r="P332" s="38">
        <f>IF('Enrollment Census'!P332="","",'Enrollment Census'!P332)</f>
        <v/>
      </c>
      <c r="Q332" s="38">
        <f>IF('Enrollment Census'!Q332="","",'Enrollment Census'!Q332)</f>
        <v/>
      </c>
      <c r="R332" s="36">
        <f>IF('Enrollment Census'!R332="","",TRIM('Enrollment Census'!R332&amp;""))</f>
        <v/>
      </c>
      <c r="S332" s="36">
        <f>IF('Enrollment Census'!S332="","",TRIM('Enrollment Census'!S332&amp;""))</f>
        <v/>
      </c>
      <c r="T332" s="36">
        <f>IF('Enrollment Census'!T332="","",TRIM('Enrollment Census'!T332&amp;""))</f>
        <v/>
      </c>
      <c r="U332" s="39">
        <f>IF('Enrollment Census'!U332="","",'Enrollment Census'!U332)</f>
        <v/>
      </c>
    </row>
    <row r="333">
      <c r="A333" s="36">
        <f>IF('Enrollment Census'!A333="","",TRIM('Enrollment Census'!A333&amp;""))</f>
        <v/>
      </c>
      <c r="B333" s="36">
        <f>IF('Enrollment Census'!B333="","",TRIM('Enrollment Census'!B333&amp;""))</f>
        <v/>
      </c>
      <c r="C333" s="37">
        <f>IF('Enrollment Census'!C333="","",TRIM('Enrollment Census'!C333&amp;""))</f>
        <v/>
      </c>
      <c r="D333" s="37">
        <f>IF('Enrollment Census'!D333="","",TRIM('Enrollment Census'!D333&amp;""))</f>
        <v/>
      </c>
      <c r="E333" s="36">
        <f>IF('Enrollment Census'!E333="","",TRIM('Enrollment Census'!E333&amp;""))</f>
        <v/>
      </c>
      <c r="F333" s="37">
        <f>IF('Enrollment Census'!F333="","",TRIM('Enrollment Census'!F333&amp;""))</f>
        <v/>
      </c>
      <c r="G333" s="37">
        <f>IF('Enrollment Census'!G333="","",TRIM('Enrollment Census'!G333&amp;""))</f>
        <v/>
      </c>
      <c r="H333" s="37">
        <f>IF('Enrollment Census'!H333="","",TRIM('Enrollment Census'!H333&amp;""))</f>
        <v/>
      </c>
      <c r="I333" s="36">
        <f>IF('Enrollment Census'!I333="","",TRIM('Enrollment Census'!I333&amp;""))</f>
        <v/>
      </c>
      <c r="J333" s="36">
        <f>IF('Enrollment Census'!J333="","",TRIM('Enrollment Census'!J333&amp;""))</f>
        <v/>
      </c>
      <c r="K333" s="36">
        <f>IF('Enrollment Census'!K333="","",TRIM('Enrollment Census'!K333&amp;""))</f>
        <v/>
      </c>
      <c r="L333" s="38">
        <f>IF('Enrollment Census'!L333="","",'Enrollment Census'!L333)</f>
        <v/>
      </c>
      <c r="M333" s="36">
        <f>IF('Enrollment Census'!M333="","",TRIM('Enrollment Census'!M333&amp;""))</f>
        <v/>
      </c>
      <c r="N333" s="36">
        <f>IF('Enrollment Census'!N333="","",LOWER(TRIM('Enrollment Census'!N333&amp;"")))</f>
        <v/>
      </c>
      <c r="O333" s="36">
        <f>IF('Enrollment Census'!O333="","",TRIM('Enrollment Census'!O333&amp;""))</f>
        <v/>
      </c>
      <c r="P333" s="38">
        <f>IF('Enrollment Census'!P333="","",'Enrollment Census'!P333)</f>
        <v/>
      </c>
      <c r="Q333" s="38">
        <f>IF('Enrollment Census'!Q333="","",'Enrollment Census'!Q333)</f>
        <v/>
      </c>
      <c r="R333" s="36">
        <f>IF('Enrollment Census'!R333="","",TRIM('Enrollment Census'!R333&amp;""))</f>
        <v/>
      </c>
      <c r="S333" s="36">
        <f>IF('Enrollment Census'!S333="","",TRIM('Enrollment Census'!S333&amp;""))</f>
        <v/>
      </c>
      <c r="T333" s="36">
        <f>IF('Enrollment Census'!T333="","",TRIM('Enrollment Census'!T333&amp;""))</f>
        <v/>
      </c>
      <c r="U333" s="39">
        <f>IF('Enrollment Census'!U333="","",'Enrollment Census'!U333)</f>
        <v/>
      </c>
    </row>
    <row r="334">
      <c r="A334" s="36">
        <f>IF('Enrollment Census'!A334="","",TRIM('Enrollment Census'!A334&amp;""))</f>
        <v/>
      </c>
      <c r="B334" s="36">
        <f>IF('Enrollment Census'!B334="","",TRIM('Enrollment Census'!B334&amp;""))</f>
        <v/>
      </c>
      <c r="C334" s="37">
        <f>IF('Enrollment Census'!C334="","",TRIM('Enrollment Census'!C334&amp;""))</f>
        <v/>
      </c>
      <c r="D334" s="37">
        <f>IF('Enrollment Census'!D334="","",TRIM('Enrollment Census'!D334&amp;""))</f>
        <v/>
      </c>
      <c r="E334" s="36">
        <f>IF('Enrollment Census'!E334="","",TRIM('Enrollment Census'!E334&amp;""))</f>
        <v/>
      </c>
      <c r="F334" s="37">
        <f>IF('Enrollment Census'!F334="","",TRIM('Enrollment Census'!F334&amp;""))</f>
        <v/>
      </c>
      <c r="G334" s="37">
        <f>IF('Enrollment Census'!G334="","",TRIM('Enrollment Census'!G334&amp;""))</f>
        <v/>
      </c>
      <c r="H334" s="37">
        <f>IF('Enrollment Census'!H334="","",TRIM('Enrollment Census'!H334&amp;""))</f>
        <v/>
      </c>
      <c r="I334" s="36">
        <f>IF('Enrollment Census'!I334="","",TRIM('Enrollment Census'!I334&amp;""))</f>
        <v/>
      </c>
      <c r="J334" s="36">
        <f>IF('Enrollment Census'!J334="","",TRIM('Enrollment Census'!J334&amp;""))</f>
        <v/>
      </c>
      <c r="K334" s="36">
        <f>IF('Enrollment Census'!K334="","",TRIM('Enrollment Census'!K334&amp;""))</f>
        <v/>
      </c>
      <c r="L334" s="38">
        <f>IF('Enrollment Census'!L334="","",'Enrollment Census'!L334)</f>
        <v/>
      </c>
      <c r="M334" s="36">
        <f>IF('Enrollment Census'!M334="","",TRIM('Enrollment Census'!M334&amp;""))</f>
        <v/>
      </c>
      <c r="N334" s="36">
        <f>IF('Enrollment Census'!N334="","",LOWER(TRIM('Enrollment Census'!N334&amp;"")))</f>
        <v/>
      </c>
      <c r="O334" s="36">
        <f>IF('Enrollment Census'!O334="","",TRIM('Enrollment Census'!O334&amp;""))</f>
        <v/>
      </c>
      <c r="P334" s="38">
        <f>IF('Enrollment Census'!P334="","",'Enrollment Census'!P334)</f>
        <v/>
      </c>
      <c r="Q334" s="38">
        <f>IF('Enrollment Census'!Q334="","",'Enrollment Census'!Q334)</f>
        <v/>
      </c>
      <c r="R334" s="36">
        <f>IF('Enrollment Census'!R334="","",TRIM('Enrollment Census'!R334&amp;""))</f>
        <v/>
      </c>
      <c r="S334" s="36">
        <f>IF('Enrollment Census'!S334="","",TRIM('Enrollment Census'!S334&amp;""))</f>
        <v/>
      </c>
      <c r="T334" s="36">
        <f>IF('Enrollment Census'!T334="","",TRIM('Enrollment Census'!T334&amp;""))</f>
        <v/>
      </c>
      <c r="U334" s="39">
        <f>IF('Enrollment Census'!U334="","",'Enrollment Census'!U334)</f>
        <v/>
      </c>
    </row>
    <row r="335">
      <c r="A335" s="36">
        <f>IF('Enrollment Census'!A335="","",TRIM('Enrollment Census'!A335&amp;""))</f>
        <v/>
      </c>
      <c r="B335" s="36">
        <f>IF('Enrollment Census'!B335="","",TRIM('Enrollment Census'!B335&amp;""))</f>
        <v/>
      </c>
      <c r="C335" s="37">
        <f>IF('Enrollment Census'!C335="","",TRIM('Enrollment Census'!C335&amp;""))</f>
        <v/>
      </c>
      <c r="D335" s="37">
        <f>IF('Enrollment Census'!D335="","",TRIM('Enrollment Census'!D335&amp;""))</f>
        <v/>
      </c>
      <c r="E335" s="36">
        <f>IF('Enrollment Census'!E335="","",TRIM('Enrollment Census'!E335&amp;""))</f>
        <v/>
      </c>
      <c r="F335" s="37">
        <f>IF('Enrollment Census'!F335="","",TRIM('Enrollment Census'!F335&amp;""))</f>
        <v/>
      </c>
      <c r="G335" s="37">
        <f>IF('Enrollment Census'!G335="","",TRIM('Enrollment Census'!G335&amp;""))</f>
        <v/>
      </c>
      <c r="H335" s="37">
        <f>IF('Enrollment Census'!H335="","",TRIM('Enrollment Census'!H335&amp;""))</f>
        <v/>
      </c>
      <c r="I335" s="36">
        <f>IF('Enrollment Census'!I335="","",TRIM('Enrollment Census'!I335&amp;""))</f>
        <v/>
      </c>
      <c r="J335" s="36">
        <f>IF('Enrollment Census'!J335="","",TRIM('Enrollment Census'!J335&amp;""))</f>
        <v/>
      </c>
      <c r="K335" s="36">
        <f>IF('Enrollment Census'!K335="","",TRIM('Enrollment Census'!K335&amp;""))</f>
        <v/>
      </c>
      <c r="L335" s="38">
        <f>IF('Enrollment Census'!L335="","",'Enrollment Census'!L335)</f>
        <v/>
      </c>
      <c r="M335" s="36">
        <f>IF('Enrollment Census'!M335="","",TRIM('Enrollment Census'!M335&amp;""))</f>
        <v/>
      </c>
      <c r="N335" s="36">
        <f>IF('Enrollment Census'!N335="","",LOWER(TRIM('Enrollment Census'!N335&amp;"")))</f>
        <v/>
      </c>
      <c r="O335" s="36">
        <f>IF('Enrollment Census'!O335="","",TRIM('Enrollment Census'!O335&amp;""))</f>
        <v/>
      </c>
      <c r="P335" s="38">
        <f>IF('Enrollment Census'!P335="","",'Enrollment Census'!P335)</f>
        <v/>
      </c>
      <c r="Q335" s="38">
        <f>IF('Enrollment Census'!Q335="","",'Enrollment Census'!Q335)</f>
        <v/>
      </c>
      <c r="R335" s="36">
        <f>IF('Enrollment Census'!R335="","",TRIM('Enrollment Census'!R335&amp;""))</f>
        <v/>
      </c>
      <c r="S335" s="36">
        <f>IF('Enrollment Census'!S335="","",TRIM('Enrollment Census'!S335&amp;""))</f>
        <v/>
      </c>
      <c r="T335" s="36">
        <f>IF('Enrollment Census'!T335="","",TRIM('Enrollment Census'!T335&amp;""))</f>
        <v/>
      </c>
      <c r="U335" s="39">
        <f>IF('Enrollment Census'!U335="","",'Enrollment Census'!U335)</f>
        <v/>
      </c>
    </row>
    <row r="336">
      <c r="A336" s="36">
        <f>IF('Enrollment Census'!A336="","",TRIM('Enrollment Census'!A336&amp;""))</f>
        <v/>
      </c>
      <c r="B336" s="36">
        <f>IF('Enrollment Census'!B336="","",TRIM('Enrollment Census'!B336&amp;""))</f>
        <v/>
      </c>
      <c r="C336" s="37">
        <f>IF('Enrollment Census'!C336="","",TRIM('Enrollment Census'!C336&amp;""))</f>
        <v/>
      </c>
      <c r="D336" s="37">
        <f>IF('Enrollment Census'!D336="","",TRIM('Enrollment Census'!D336&amp;""))</f>
        <v/>
      </c>
      <c r="E336" s="36">
        <f>IF('Enrollment Census'!E336="","",TRIM('Enrollment Census'!E336&amp;""))</f>
        <v/>
      </c>
      <c r="F336" s="37">
        <f>IF('Enrollment Census'!F336="","",TRIM('Enrollment Census'!F336&amp;""))</f>
        <v/>
      </c>
      <c r="G336" s="37">
        <f>IF('Enrollment Census'!G336="","",TRIM('Enrollment Census'!G336&amp;""))</f>
        <v/>
      </c>
      <c r="H336" s="37">
        <f>IF('Enrollment Census'!H336="","",TRIM('Enrollment Census'!H336&amp;""))</f>
        <v/>
      </c>
      <c r="I336" s="36">
        <f>IF('Enrollment Census'!I336="","",TRIM('Enrollment Census'!I336&amp;""))</f>
        <v/>
      </c>
      <c r="J336" s="36">
        <f>IF('Enrollment Census'!J336="","",TRIM('Enrollment Census'!J336&amp;""))</f>
        <v/>
      </c>
      <c r="K336" s="36">
        <f>IF('Enrollment Census'!K336="","",TRIM('Enrollment Census'!K336&amp;""))</f>
        <v/>
      </c>
      <c r="L336" s="38">
        <f>IF('Enrollment Census'!L336="","",'Enrollment Census'!L336)</f>
        <v/>
      </c>
      <c r="M336" s="36">
        <f>IF('Enrollment Census'!M336="","",TRIM('Enrollment Census'!M336&amp;""))</f>
        <v/>
      </c>
      <c r="N336" s="36">
        <f>IF('Enrollment Census'!N336="","",LOWER(TRIM('Enrollment Census'!N336&amp;"")))</f>
        <v/>
      </c>
      <c r="O336" s="36">
        <f>IF('Enrollment Census'!O336="","",TRIM('Enrollment Census'!O336&amp;""))</f>
        <v/>
      </c>
      <c r="P336" s="38">
        <f>IF('Enrollment Census'!P336="","",'Enrollment Census'!P336)</f>
        <v/>
      </c>
      <c r="Q336" s="38">
        <f>IF('Enrollment Census'!Q336="","",'Enrollment Census'!Q336)</f>
        <v/>
      </c>
      <c r="R336" s="36">
        <f>IF('Enrollment Census'!R336="","",TRIM('Enrollment Census'!R336&amp;""))</f>
        <v/>
      </c>
      <c r="S336" s="36">
        <f>IF('Enrollment Census'!S336="","",TRIM('Enrollment Census'!S336&amp;""))</f>
        <v/>
      </c>
      <c r="T336" s="36">
        <f>IF('Enrollment Census'!T336="","",TRIM('Enrollment Census'!T336&amp;""))</f>
        <v/>
      </c>
      <c r="U336" s="39">
        <f>IF('Enrollment Census'!U336="","",'Enrollment Census'!U336)</f>
        <v/>
      </c>
    </row>
    <row r="337">
      <c r="A337" s="36">
        <f>IF('Enrollment Census'!A337="","",TRIM('Enrollment Census'!A337&amp;""))</f>
        <v/>
      </c>
      <c r="B337" s="36">
        <f>IF('Enrollment Census'!B337="","",TRIM('Enrollment Census'!B337&amp;""))</f>
        <v/>
      </c>
      <c r="C337" s="37">
        <f>IF('Enrollment Census'!C337="","",TRIM('Enrollment Census'!C337&amp;""))</f>
        <v/>
      </c>
      <c r="D337" s="37">
        <f>IF('Enrollment Census'!D337="","",TRIM('Enrollment Census'!D337&amp;""))</f>
        <v/>
      </c>
      <c r="E337" s="36">
        <f>IF('Enrollment Census'!E337="","",TRIM('Enrollment Census'!E337&amp;""))</f>
        <v/>
      </c>
      <c r="F337" s="37">
        <f>IF('Enrollment Census'!F337="","",TRIM('Enrollment Census'!F337&amp;""))</f>
        <v/>
      </c>
      <c r="G337" s="37">
        <f>IF('Enrollment Census'!G337="","",TRIM('Enrollment Census'!G337&amp;""))</f>
        <v/>
      </c>
      <c r="H337" s="37">
        <f>IF('Enrollment Census'!H337="","",TRIM('Enrollment Census'!H337&amp;""))</f>
        <v/>
      </c>
      <c r="I337" s="36">
        <f>IF('Enrollment Census'!I337="","",TRIM('Enrollment Census'!I337&amp;""))</f>
        <v/>
      </c>
      <c r="J337" s="36">
        <f>IF('Enrollment Census'!J337="","",TRIM('Enrollment Census'!J337&amp;""))</f>
        <v/>
      </c>
      <c r="K337" s="36">
        <f>IF('Enrollment Census'!K337="","",TRIM('Enrollment Census'!K337&amp;""))</f>
        <v/>
      </c>
      <c r="L337" s="38">
        <f>IF('Enrollment Census'!L337="","",'Enrollment Census'!L337)</f>
        <v/>
      </c>
      <c r="M337" s="36">
        <f>IF('Enrollment Census'!M337="","",TRIM('Enrollment Census'!M337&amp;""))</f>
        <v/>
      </c>
      <c r="N337" s="36">
        <f>IF('Enrollment Census'!N337="","",LOWER(TRIM('Enrollment Census'!N337&amp;"")))</f>
        <v/>
      </c>
      <c r="O337" s="36">
        <f>IF('Enrollment Census'!O337="","",TRIM('Enrollment Census'!O337&amp;""))</f>
        <v/>
      </c>
      <c r="P337" s="38">
        <f>IF('Enrollment Census'!P337="","",'Enrollment Census'!P337)</f>
        <v/>
      </c>
      <c r="Q337" s="38">
        <f>IF('Enrollment Census'!Q337="","",'Enrollment Census'!Q337)</f>
        <v/>
      </c>
      <c r="R337" s="36">
        <f>IF('Enrollment Census'!R337="","",TRIM('Enrollment Census'!R337&amp;""))</f>
        <v/>
      </c>
      <c r="S337" s="36">
        <f>IF('Enrollment Census'!S337="","",TRIM('Enrollment Census'!S337&amp;""))</f>
        <v/>
      </c>
      <c r="T337" s="36">
        <f>IF('Enrollment Census'!T337="","",TRIM('Enrollment Census'!T337&amp;""))</f>
        <v/>
      </c>
      <c r="U337" s="39">
        <f>IF('Enrollment Census'!U337="","",'Enrollment Census'!U337)</f>
        <v/>
      </c>
    </row>
    <row r="338">
      <c r="A338" s="36">
        <f>IF('Enrollment Census'!A338="","",TRIM('Enrollment Census'!A338&amp;""))</f>
        <v/>
      </c>
      <c r="B338" s="36">
        <f>IF('Enrollment Census'!B338="","",TRIM('Enrollment Census'!B338&amp;""))</f>
        <v/>
      </c>
      <c r="C338" s="37">
        <f>IF('Enrollment Census'!C338="","",TRIM('Enrollment Census'!C338&amp;""))</f>
        <v/>
      </c>
      <c r="D338" s="37">
        <f>IF('Enrollment Census'!D338="","",TRIM('Enrollment Census'!D338&amp;""))</f>
        <v/>
      </c>
      <c r="E338" s="36">
        <f>IF('Enrollment Census'!E338="","",TRIM('Enrollment Census'!E338&amp;""))</f>
        <v/>
      </c>
      <c r="F338" s="37">
        <f>IF('Enrollment Census'!F338="","",TRIM('Enrollment Census'!F338&amp;""))</f>
        <v/>
      </c>
      <c r="G338" s="37">
        <f>IF('Enrollment Census'!G338="","",TRIM('Enrollment Census'!G338&amp;""))</f>
        <v/>
      </c>
      <c r="H338" s="37">
        <f>IF('Enrollment Census'!H338="","",TRIM('Enrollment Census'!H338&amp;""))</f>
        <v/>
      </c>
      <c r="I338" s="36">
        <f>IF('Enrollment Census'!I338="","",TRIM('Enrollment Census'!I338&amp;""))</f>
        <v/>
      </c>
      <c r="J338" s="36">
        <f>IF('Enrollment Census'!J338="","",TRIM('Enrollment Census'!J338&amp;""))</f>
        <v/>
      </c>
      <c r="K338" s="36">
        <f>IF('Enrollment Census'!K338="","",TRIM('Enrollment Census'!K338&amp;""))</f>
        <v/>
      </c>
      <c r="L338" s="38">
        <f>IF('Enrollment Census'!L338="","",'Enrollment Census'!L338)</f>
        <v/>
      </c>
      <c r="M338" s="36">
        <f>IF('Enrollment Census'!M338="","",TRIM('Enrollment Census'!M338&amp;""))</f>
        <v/>
      </c>
      <c r="N338" s="36">
        <f>IF('Enrollment Census'!N338="","",LOWER(TRIM('Enrollment Census'!N338&amp;"")))</f>
        <v/>
      </c>
      <c r="O338" s="36">
        <f>IF('Enrollment Census'!O338="","",TRIM('Enrollment Census'!O338&amp;""))</f>
        <v/>
      </c>
      <c r="P338" s="38">
        <f>IF('Enrollment Census'!P338="","",'Enrollment Census'!P338)</f>
        <v/>
      </c>
      <c r="Q338" s="38">
        <f>IF('Enrollment Census'!Q338="","",'Enrollment Census'!Q338)</f>
        <v/>
      </c>
      <c r="R338" s="36">
        <f>IF('Enrollment Census'!R338="","",TRIM('Enrollment Census'!R338&amp;""))</f>
        <v/>
      </c>
      <c r="S338" s="36">
        <f>IF('Enrollment Census'!S338="","",TRIM('Enrollment Census'!S338&amp;""))</f>
        <v/>
      </c>
      <c r="T338" s="36">
        <f>IF('Enrollment Census'!T338="","",TRIM('Enrollment Census'!T338&amp;""))</f>
        <v/>
      </c>
      <c r="U338" s="39">
        <f>IF('Enrollment Census'!U338="","",'Enrollment Census'!U338)</f>
        <v/>
      </c>
    </row>
    <row r="339">
      <c r="A339" s="36">
        <f>IF('Enrollment Census'!A339="","",TRIM('Enrollment Census'!A339&amp;""))</f>
        <v/>
      </c>
      <c r="B339" s="36">
        <f>IF('Enrollment Census'!B339="","",TRIM('Enrollment Census'!B339&amp;""))</f>
        <v/>
      </c>
      <c r="C339" s="37">
        <f>IF('Enrollment Census'!C339="","",TRIM('Enrollment Census'!C339&amp;""))</f>
        <v/>
      </c>
      <c r="D339" s="37">
        <f>IF('Enrollment Census'!D339="","",TRIM('Enrollment Census'!D339&amp;""))</f>
        <v/>
      </c>
      <c r="E339" s="36">
        <f>IF('Enrollment Census'!E339="","",TRIM('Enrollment Census'!E339&amp;""))</f>
        <v/>
      </c>
      <c r="F339" s="37">
        <f>IF('Enrollment Census'!F339="","",TRIM('Enrollment Census'!F339&amp;""))</f>
        <v/>
      </c>
      <c r="G339" s="37">
        <f>IF('Enrollment Census'!G339="","",TRIM('Enrollment Census'!G339&amp;""))</f>
        <v/>
      </c>
      <c r="H339" s="37">
        <f>IF('Enrollment Census'!H339="","",TRIM('Enrollment Census'!H339&amp;""))</f>
        <v/>
      </c>
      <c r="I339" s="36">
        <f>IF('Enrollment Census'!I339="","",TRIM('Enrollment Census'!I339&amp;""))</f>
        <v/>
      </c>
      <c r="J339" s="36">
        <f>IF('Enrollment Census'!J339="","",TRIM('Enrollment Census'!J339&amp;""))</f>
        <v/>
      </c>
      <c r="K339" s="36">
        <f>IF('Enrollment Census'!K339="","",TRIM('Enrollment Census'!K339&amp;""))</f>
        <v/>
      </c>
      <c r="L339" s="38">
        <f>IF('Enrollment Census'!L339="","",'Enrollment Census'!L339)</f>
        <v/>
      </c>
      <c r="M339" s="36">
        <f>IF('Enrollment Census'!M339="","",TRIM('Enrollment Census'!M339&amp;""))</f>
        <v/>
      </c>
      <c r="N339" s="36">
        <f>IF('Enrollment Census'!N339="","",LOWER(TRIM('Enrollment Census'!N339&amp;"")))</f>
        <v/>
      </c>
      <c r="O339" s="36">
        <f>IF('Enrollment Census'!O339="","",TRIM('Enrollment Census'!O339&amp;""))</f>
        <v/>
      </c>
      <c r="P339" s="38">
        <f>IF('Enrollment Census'!P339="","",'Enrollment Census'!P339)</f>
        <v/>
      </c>
      <c r="Q339" s="38">
        <f>IF('Enrollment Census'!Q339="","",'Enrollment Census'!Q339)</f>
        <v/>
      </c>
      <c r="R339" s="36">
        <f>IF('Enrollment Census'!R339="","",TRIM('Enrollment Census'!R339&amp;""))</f>
        <v/>
      </c>
      <c r="S339" s="36">
        <f>IF('Enrollment Census'!S339="","",TRIM('Enrollment Census'!S339&amp;""))</f>
        <v/>
      </c>
      <c r="T339" s="36">
        <f>IF('Enrollment Census'!T339="","",TRIM('Enrollment Census'!T339&amp;""))</f>
        <v/>
      </c>
      <c r="U339" s="39">
        <f>IF('Enrollment Census'!U339="","",'Enrollment Census'!U339)</f>
        <v/>
      </c>
    </row>
    <row r="340">
      <c r="A340" s="36">
        <f>IF('Enrollment Census'!A340="","",TRIM('Enrollment Census'!A340&amp;""))</f>
        <v/>
      </c>
      <c r="B340" s="36">
        <f>IF('Enrollment Census'!B340="","",TRIM('Enrollment Census'!B340&amp;""))</f>
        <v/>
      </c>
      <c r="C340" s="37">
        <f>IF('Enrollment Census'!C340="","",TRIM('Enrollment Census'!C340&amp;""))</f>
        <v/>
      </c>
      <c r="D340" s="37">
        <f>IF('Enrollment Census'!D340="","",TRIM('Enrollment Census'!D340&amp;""))</f>
        <v/>
      </c>
      <c r="E340" s="36">
        <f>IF('Enrollment Census'!E340="","",TRIM('Enrollment Census'!E340&amp;""))</f>
        <v/>
      </c>
      <c r="F340" s="37">
        <f>IF('Enrollment Census'!F340="","",TRIM('Enrollment Census'!F340&amp;""))</f>
        <v/>
      </c>
      <c r="G340" s="37">
        <f>IF('Enrollment Census'!G340="","",TRIM('Enrollment Census'!G340&amp;""))</f>
        <v/>
      </c>
      <c r="H340" s="37">
        <f>IF('Enrollment Census'!H340="","",TRIM('Enrollment Census'!H340&amp;""))</f>
        <v/>
      </c>
      <c r="I340" s="36">
        <f>IF('Enrollment Census'!I340="","",TRIM('Enrollment Census'!I340&amp;""))</f>
        <v/>
      </c>
      <c r="J340" s="36">
        <f>IF('Enrollment Census'!J340="","",TRIM('Enrollment Census'!J340&amp;""))</f>
        <v/>
      </c>
      <c r="K340" s="36">
        <f>IF('Enrollment Census'!K340="","",TRIM('Enrollment Census'!K340&amp;""))</f>
        <v/>
      </c>
      <c r="L340" s="38">
        <f>IF('Enrollment Census'!L340="","",'Enrollment Census'!L340)</f>
        <v/>
      </c>
      <c r="M340" s="36">
        <f>IF('Enrollment Census'!M340="","",TRIM('Enrollment Census'!M340&amp;""))</f>
        <v/>
      </c>
      <c r="N340" s="36">
        <f>IF('Enrollment Census'!N340="","",LOWER(TRIM('Enrollment Census'!N340&amp;"")))</f>
        <v/>
      </c>
      <c r="O340" s="36">
        <f>IF('Enrollment Census'!O340="","",TRIM('Enrollment Census'!O340&amp;""))</f>
        <v/>
      </c>
      <c r="P340" s="38">
        <f>IF('Enrollment Census'!P340="","",'Enrollment Census'!P340)</f>
        <v/>
      </c>
      <c r="Q340" s="38">
        <f>IF('Enrollment Census'!Q340="","",'Enrollment Census'!Q340)</f>
        <v/>
      </c>
      <c r="R340" s="36">
        <f>IF('Enrollment Census'!R340="","",TRIM('Enrollment Census'!R340&amp;""))</f>
        <v/>
      </c>
      <c r="S340" s="36">
        <f>IF('Enrollment Census'!S340="","",TRIM('Enrollment Census'!S340&amp;""))</f>
        <v/>
      </c>
      <c r="T340" s="36">
        <f>IF('Enrollment Census'!T340="","",TRIM('Enrollment Census'!T340&amp;""))</f>
        <v/>
      </c>
      <c r="U340" s="39">
        <f>IF('Enrollment Census'!U340="","",'Enrollment Census'!U340)</f>
        <v/>
      </c>
    </row>
    <row r="341">
      <c r="A341" s="36">
        <f>IF('Enrollment Census'!A341="","",TRIM('Enrollment Census'!A341&amp;""))</f>
        <v/>
      </c>
      <c r="B341" s="36">
        <f>IF('Enrollment Census'!B341="","",TRIM('Enrollment Census'!B341&amp;""))</f>
        <v/>
      </c>
      <c r="C341" s="37">
        <f>IF('Enrollment Census'!C341="","",TRIM('Enrollment Census'!C341&amp;""))</f>
        <v/>
      </c>
      <c r="D341" s="37">
        <f>IF('Enrollment Census'!D341="","",TRIM('Enrollment Census'!D341&amp;""))</f>
        <v/>
      </c>
      <c r="E341" s="36">
        <f>IF('Enrollment Census'!E341="","",TRIM('Enrollment Census'!E341&amp;""))</f>
        <v/>
      </c>
      <c r="F341" s="37">
        <f>IF('Enrollment Census'!F341="","",TRIM('Enrollment Census'!F341&amp;""))</f>
        <v/>
      </c>
      <c r="G341" s="37">
        <f>IF('Enrollment Census'!G341="","",TRIM('Enrollment Census'!G341&amp;""))</f>
        <v/>
      </c>
      <c r="H341" s="37">
        <f>IF('Enrollment Census'!H341="","",TRIM('Enrollment Census'!H341&amp;""))</f>
        <v/>
      </c>
      <c r="I341" s="36">
        <f>IF('Enrollment Census'!I341="","",TRIM('Enrollment Census'!I341&amp;""))</f>
        <v/>
      </c>
      <c r="J341" s="36">
        <f>IF('Enrollment Census'!J341="","",TRIM('Enrollment Census'!J341&amp;""))</f>
        <v/>
      </c>
      <c r="K341" s="36">
        <f>IF('Enrollment Census'!K341="","",TRIM('Enrollment Census'!K341&amp;""))</f>
        <v/>
      </c>
      <c r="L341" s="38">
        <f>IF('Enrollment Census'!L341="","",'Enrollment Census'!L341)</f>
        <v/>
      </c>
      <c r="M341" s="36">
        <f>IF('Enrollment Census'!M341="","",TRIM('Enrollment Census'!M341&amp;""))</f>
        <v/>
      </c>
      <c r="N341" s="36">
        <f>IF('Enrollment Census'!N341="","",LOWER(TRIM('Enrollment Census'!N341&amp;"")))</f>
        <v/>
      </c>
      <c r="O341" s="36">
        <f>IF('Enrollment Census'!O341="","",TRIM('Enrollment Census'!O341&amp;""))</f>
        <v/>
      </c>
      <c r="P341" s="38">
        <f>IF('Enrollment Census'!P341="","",'Enrollment Census'!P341)</f>
        <v/>
      </c>
      <c r="Q341" s="38">
        <f>IF('Enrollment Census'!Q341="","",'Enrollment Census'!Q341)</f>
        <v/>
      </c>
      <c r="R341" s="36">
        <f>IF('Enrollment Census'!R341="","",TRIM('Enrollment Census'!R341&amp;""))</f>
        <v/>
      </c>
      <c r="S341" s="36">
        <f>IF('Enrollment Census'!S341="","",TRIM('Enrollment Census'!S341&amp;""))</f>
        <v/>
      </c>
      <c r="T341" s="36">
        <f>IF('Enrollment Census'!T341="","",TRIM('Enrollment Census'!T341&amp;""))</f>
        <v/>
      </c>
      <c r="U341" s="39">
        <f>IF('Enrollment Census'!U341="","",'Enrollment Census'!U341)</f>
        <v/>
      </c>
    </row>
    <row r="342">
      <c r="A342" s="36">
        <f>IF('Enrollment Census'!A342="","",TRIM('Enrollment Census'!A342&amp;""))</f>
        <v/>
      </c>
      <c r="B342" s="36">
        <f>IF('Enrollment Census'!B342="","",TRIM('Enrollment Census'!B342&amp;""))</f>
        <v/>
      </c>
      <c r="C342" s="37">
        <f>IF('Enrollment Census'!C342="","",TRIM('Enrollment Census'!C342&amp;""))</f>
        <v/>
      </c>
      <c r="D342" s="37">
        <f>IF('Enrollment Census'!D342="","",TRIM('Enrollment Census'!D342&amp;""))</f>
        <v/>
      </c>
      <c r="E342" s="36">
        <f>IF('Enrollment Census'!E342="","",TRIM('Enrollment Census'!E342&amp;""))</f>
        <v/>
      </c>
      <c r="F342" s="37">
        <f>IF('Enrollment Census'!F342="","",TRIM('Enrollment Census'!F342&amp;""))</f>
        <v/>
      </c>
      <c r="G342" s="37">
        <f>IF('Enrollment Census'!G342="","",TRIM('Enrollment Census'!G342&amp;""))</f>
        <v/>
      </c>
      <c r="H342" s="37">
        <f>IF('Enrollment Census'!H342="","",TRIM('Enrollment Census'!H342&amp;""))</f>
        <v/>
      </c>
      <c r="I342" s="36">
        <f>IF('Enrollment Census'!I342="","",TRIM('Enrollment Census'!I342&amp;""))</f>
        <v/>
      </c>
      <c r="J342" s="36">
        <f>IF('Enrollment Census'!J342="","",TRIM('Enrollment Census'!J342&amp;""))</f>
        <v/>
      </c>
      <c r="K342" s="36">
        <f>IF('Enrollment Census'!K342="","",TRIM('Enrollment Census'!K342&amp;""))</f>
        <v/>
      </c>
      <c r="L342" s="38">
        <f>IF('Enrollment Census'!L342="","",'Enrollment Census'!L342)</f>
        <v/>
      </c>
      <c r="M342" s="36">
        <f>IF('Enrollment Census'!M342="","",TRIM('Enrollment Census'!M342&amp;""))</f>
        <v/>
      </c>
      <c r="N342" s="36">
        <f>IF('Enrollment Census'!N342="","",LOWER(TRIM('Enrollment Census'!N342&amp;"")))</f>
        <v/>
      </c>
      <c r="O342" s="36">
        <f>IF('Enrollment Census'!O342="","",TRIM('Enrollment Census'!O342&amp;""))</f>
        <v/>
      </c>
      <c r="P342" s="38">
        <f>IF('Enrollment Census'!P342="","",'Enrollment Census'!P342)</f>
        <v/>
      </c>
      <c r="Q342" s="38">
        <f>IF('Enrollment Census'!Q342="","",'Enrollment Census'!Q342)</f>
        <v/>
      </c>
      <c r="R342" s="36">
        <f>IF('Enrollment Census'!R342="","",TRIM('Enrollment Census'!R342&amp;""))</f>
        <v/>
      </c>
      <c r="S342" s="36">
        <f>IF('Enrollment Census'!S342="","",TRIM('Enrollment Census'!S342&amp;""))</f>
        <v/>
      </c>
      <c r="T342" s="36">
        <f>IF('Enrollment Census'!T342="","",TRIM('Enrollment Census'!T342&amp;""))</f>
        <v/>
      </c>
      <c r="U342" s="39">
        <f>IF('Enrollment Census'!U342="","",'Enrollment Census'!U342)</f>
        <v/>
      </c>
    </row>
    <row r="343">
      <c r="A343" s="36">
        <f>IF('Enrollment Census'!A343="","",TRIM('Enrollment Census'!A343&amp;""))</f>
        <v/>
      </c>
      <c r="B343" s="36">
        <f>IF('Enrollment Census'!B343="","",TRIM('Enrollment Census'!B343&amp;""))</f>
        <v/>
      </c>
      <c r="C343" s="37">
        <f>IF('Enrollment Census'!C343="","",TRIM('Enrollment Census'!C343&amp;""))</f>
        <v/>
      </c>
      <c r="D343" s="37">
        <f>IF('Enrollment Census'!D343="","",TRIM('Enrollment Census'!D343&amp;""))</f>
        <v/>
      </c>
      <c r="E343" s="36">
        <f>IF('Enrollment Census'!E343="","",TRIM('Enrollment Census'!E343&amp;""))</f>
        <v/>
      </c>
      <c r="F343" s="37">
        <f>IF('Enrollment Census'!F343="","",TRIM('Enrollment Census'!F343&amp;""))</f>
        <v/>
      </c>
      <c r="G343" s="37">
        <f>IF('Enrollment Census'!G343="","",TRIM('Enrollment Census'!G343&amp;""))</f>
        <v/>
      </c>
      <c r="H343" s="37">
        <f>IF('Enrollment Census'!H343="","",TRIM('Enrollment Census'!H343&amp;""))</f>
        <v/>
      </c>
      <c r="I343" s="36">
        <f>IF('Enrollment Census'!I343="","",TRIM('Enrollment Census'!I343&amp;""))</f>
        <v/>
      </c>
      <c r="J343" s="36">
        <f>IF('Enrollment Census'!J343="","",TRIM('Enrollment Census'!J343&amp;""))</f>
        <v/>
      </c>
      <c r="K343" s="36">
        <f>IF('Enrollment Census'!K343="","",TRIM('Enrollment Census'!K343&amp;""))</f>
        <v/>
      </c>
      <c r="L343" s="38">
        <f>IF('Enrollment Census'!L343="","",'Enrollment Census'!L343)</f>
        <v/>
      </c>
      <c r="M343" s="36">
        <f>IF('Enrollment Census'!M343="","",TRIM('Enrollment Census'!M343&amp;""))</f>
        <v/>
      </c>
      <c r="N343" s="36">
        <f>IF('Enrollment Census'!N343="","",LOWER(TRIM('Enrollment Census'!N343&amp;"")))</f>
        <v/>
      </c>
      <c r="O343" s="36">
        <f>IF('Enrollment Census'!O343="","",TRIM('Enrollment Census'!O343&amp;""))</f>
        <v/>
      </c>
      <c r="P343" s="38">
        <f>IF('Enrollment Census'!P343="","",'Enrollment Census'!P343)</f>
        <v/>
      </c>
      <c r="Q343" s="38">
        <f>IF('Enrollment Census'!Q343="","",'Enrollment Census'!Q343)</f>
        <v/>
      </c>
      <c r="R343" s="36">
        <f>IF('Enrollment Census'!R343="","",TRIM('Enrollment Census'!R343&amp;""))</f>
        <v/>
      </c>
      <c r="S343" s="36">
        <f>IF('Enrollment Census'!S343="","",TRIM('Enrollment Census'!S343&amp;""))</f>
        <v/>
      </c>
      <c r="T343" s="36">
        <f>IF('Enrollment Census'!T343="","",TRIM('Enrollment Census'!T343&amp;""))</f>
        <v/>
      </c>
      <c r="U343" s="39">
        <f>IF('Enrollment Census'!U343="","",'Enrollment Census'!U343)</f>
        <v/>
      </c>
    </row>
    <row r="344">
      <c r="A344" s="36">
        <f>IF('Enrollment Census'!A344="","",TRIM('Enrollment Census'!A344&amp;""))</f>
        <v/>
      </c>
      <c r="B344" s="36">
        <f>IF('Enrollment Census'!B344="","",TRIM('Enrollment Census'!B344&amp;""))</f>
        <v/>
      </c>
      <c r="C344" s="37">
        <f>IF('Enrollment Census'!C344="","",TRIM('Enrollment Census'!C344&amp;""))</f>
        <v/>
      </c>
      <c r="D344" s="37">
        <f>IF('Enrollment Census'!D344="","",TRIM('Enrollment Census'!D344&amp;""))</f>
        <v/>
      </c>
      <c r="E344" s="36">
        <f>IF('Enrollment Census'!E344="","",TRIM('Enrollment Census'!E344&amp;""))</f>
        <v/>
      </c>
      <c r="F344" s="37">
        <f>IF('Enrollment Census'!F344="","",TRIM('Enrollment Census'!F344&amp;""))</f>
        <v/>
      </c>
      <c r="G344" s="37">
        <f>IF('Enrollment Census'!G344="","",TRIM('Enrollment Census'!G344&amp;""))</f>
        <v/>
      </c>
      <c r="H344" s="37">
        <f>IF('Enrollment Census'!H344="","",TRIM('Enrollment Census'!H344&amp;""))</f>
        <v/>
      </c>
      <c r="I344" s="36">
        <f>IF('Enrollment Census'!I344="","",TRIM('Enrollment Census'!I344&amp;""))</f>
        <v/>
      </c>
      <c r="J344" s="36">
        <f>IF('Enrollment Census'!J344="","",TRIM('Enrollment Census'!J344&amp;""))</f>
        <v/>
      </c>
      <c r="K344" s="36">
        <f>IF('Enrollment Census'!K344="","",TRIM('Enrollment Census'!K344&amp;""))</f>
        <v/>
      </c>
      <c r="L344" s="38">
        <f>IF('Enrollment Census'!L344="","",'Enrollment Census'!L344)</f>
        <v/>
      </c>
      <c r="M344" s="36">
        <f>IF('Enrollment Census'!M344="","",TRIM('Enrollment Census'!M344&amp;""))</f>
        <v/>
      </c>
      <c r="N344" s="36">
        <f>IF('Enrollment Census'!N344="","",LOWER(TRIM('Enrollment Census'!N344&amp;"")))</f>
        <v/>
      </c>
      <c r="O344" s="36">
        <f>IF('Enrollment Census'!O344="","",TRIM('Enrollment Census'!O344&amp;""))</f>
        <v/>
      </c>
      <c r="P344" s="38">
        <f>IF('Enrollment Census'!P344="","",'Enrollment Census'!P344)</f>
        <v/>
      </c>
      <c r="Q344" s="38">
        <f>IF('Enrollment Census'!Q344="","",'Enrollment Census'!Q344)</f>
        <v/>
      </c>
      <c r="R344" s="36">
        <f>IF('Enrollment Census'!R344="","",TRIM('Enrollment Census'!R344&amp;""))</f>
        <v/>
      </c>
      <c r="S344" s="36">
        <f>IF('Enrollment Census'!S344="","",TRIM('Enrollment Census'!S344&amp;""))</f>
        <v/>
      </c>
      <c r="T344" s="36">
        <f>IF('Enrollment Census'!T344="","",TRIM('Enrollment Census'!T344&amp;""))</f>
        <v/>
      </c>
      <c r="U344" s="39">
        <f>IF('Enrollment Census'!U344="","",'Enrollment Census'!U344)</f>
        <v/>
      </c>
    </row>
    <row r="345">
      <c r="A345" s="36">
        <f>IF('Enrollment Census'!A345="","",TRIM('Enrollment Census'!A345&amp;""))</f>
        <v/>
      </c>
      <c r="B345" s="36">
        <f>IF('Enrollment Census'!B345="","",TRIM('Enrollment Census'!B345&amp;""))</f>
        <v/>
      </c>
      <c r="C345" s="37">
        <f>IF('Enrollment Census'!C345="","",TRIM('Enrollment Census'!C345&amp;""))</f>
        <v/>
      </c>
      <c r="D345" s="37">
        <f>IF('Enrollment Census'!D345="","",TRIM('Enrollment Census'!D345&amp;""))</f>
        <v/>
      </c>
      <c r="E345" s="36">
        <f>IF('Enrollment Census'!E345="","",TRIM('Enrollment Census'!E345&amp;""))</f>
        <v/>
      </c>
      <c r="F345" s="37">
        <f>IF('Enrollment Census'!F345="","",TRIM('Enrollment Census'!F345&amp;""))</f>
        <v/>
      </c>
      <c r="G345" s="37">
        <f>IF('Enrollment Census'!G345="","",TRIM('Enrollment Census'!G345&amp;""))</f>
        <v/>
      </c>
      <c r="H345" s="37">
        <f>IF('Enrollment Census'!H345="","",TRIM('Enrollment Census'!H345&amp;""))</f>
        <v/>
      </c>
      <c r="I345" s="36">
        <f>IF('Enrollment Census'!I345="","",TRIM('Enrollment Census'!I345&amp;""))</f>
        <v/>
      </c>
      <c r="J345" s="36">
        <f>IF('Enrollment Census'!J345="","",TRIM('Enrollment Census'!J345&amp;""))</f>
        <v/>
      </c>
      <c r="K345" s="36">
        <f>IF('Enrollment Census'!K345="","",TRIM('Enrollment Census'!K345&amp;""))</f>
        <v/>
      </c>
      <c r="L345" s="38">
        <f>IF('Enrollment Census'!L345="","",'Enrollment Census'!L345)</f>
        <v/>
      </c>
      <c r="M345" s="36">
        <f>IF('Enrollment Census'!M345="","",TRIM('Enrollment Census'!M345&amp;""))</f>
        <v/>
      </c>
      <c r="N345" s="36">
        <f>IF('Enrollment Census'!N345="","",LOWER(TRIM('Enrollment Census'!N345&amp;"")))</f>
        <v/>
      </c>
      <c r="O345" s="36">
        <f>IF('Enrollment Census'!O345="","",TRIM('Enrollment Census'!O345&amp;""))</f>
        <v/>
      </c>
      <c r="P345" s="38">
        <f>IF('Enrollment Census'!P345="","",'Enrollment Census'!P345)</f>
        <v/>
      </c>
      <c r="Q345" s="38">
        <f>IF('Enrollment Census'!Q345="","",'Enrollment Census'!Q345)</f>
        <v/>
      </c>
      <c r="R345" s="36">
        <f>IF('Enrollment Census'!R345="","",TRIM('Enrollment Census'!R345&amp;""))</f>
        <v/>
      </c>
      <c r="S345" s="36">
        <f>IF('Enrollment Census'!S345="","",TRIM('Enrollment Census'!S345&amp;""))</f>
        <v/>
      </c>
      <c r="T345" s="36">
        <f>IF('Enrollment Census'!T345="","",TRIM('Enrollment Census'!T345&amp;""))</f>
        <v/>
      </c>
      <c r="U345" s="39">
        <f>IF('Enrollment Census'!U345="","",'Enrollment Census'!U345)</f>
        <v/>
      </c>
    </row>
    <row r="346">
      <c r="A346" s="36">
        <f>IF('Enrollment Census'!A346="","",TRIM('Enrollment Census'!A346&amp;""))</f>
        <v/>
      </c>
      <c r="B346" s="36">
        <f>IF('Enrollment Census'!B346="","",TRIM('Enrollment Census'!B346&amp;""))</f>
        <v/>
      </c>
      <c r="C346" s="37">
        <f>IF('Enrollment Census'!C346="","",TRIM('Enrollment Census'!C346&amp;""))</f>
        <v/>
      </c>
      <c r="D346" s="37">
        <f>IF('Enrollment Census'!D346="","",TRIM('Enrollment Census'!D346&amp;""))</f>
        <v/>
      </c>
      <c r="E346" s="36">
        <f>IF('Enrollment Census'!E346="","",TRIM('Enrollment Census'!E346&amp;""))</f>
        <v/>
      </c>
      <c r="F346" s="37">
        <f>IF('Enrollment Census'!F346="","",TRIM('Enrollment Census'!F346&amp;""))</f>
        <v/>
      </c>
      <c r="G346" s="37">
        <f>IF('Enrollment Census'!G346="","",TRIM('Enrollment Census'!G346&amp;""))</f>
        <v/>
      </c>
      <c r="H346" s="37">
        <f>IF('Enrollment Census'!H346="","",TRIM('Enrollment Census'!H346&amp;""))</f>
        <v/>
      </c>
      <c r="I346" s="36">
        <f>IF('Enrollment Census'!I346="","",TRIM('Enrollment Census'!I346&amp;""))</f>
        <v/>
      </c>
      <c r="J346" s="36">
        <f>IF('Enrollment Census'!J346="","",TRIM('Enrollment Census'!J346&amp;""))</f>
        <v/>
      </c>
      <c r="K346" s="36">
        <f>IF('Enrollment Census'!K346="","",TRIM('Enrollment Census'!K346&amp;""))</f>
        <v/>
      </c>
      <c r="L346" s="38">
        <f>IF('Enrollment Census'!L346="","",'Enrollment Census'!L346)</f>
        <v/>
      </c>
      <c r="M346" s="36">
        <f>IF('Enrollment Census'!M346="","",TRIM('Enrollment Census'!M346&amp;""))</f>
        <v/>
      </c>
      <c r="N346" s="36">
        <f>IF('Enrollment Census'!N346="","",LOWER(TRIM('Enrollment Census'!N346&amp;"")))</f>
        <v/>
      </c>
      <c r="O346" s="36">
        <f>IF('Enrollment Census'!O346="","",TRIM('Enrollment Census'!O346&amp;""))</f>
        <v/>
      </c>
      <c r="P346" s="38">
        <f>IF('Enrollment Census'!P346="","",'Enrollment Census'!P346)</f>
        <v/>
      </c>
      <c r="Q346" s="38">
        <f>IF('Enrollment Census'!Q346="","",'Enrollment Census'!Q346)</f>
        <v/>
      </c>
      <c r="R346" s="36">
        <f>IF('Enrollment Census'!R346="","",TRIM('Enrollment Census'!R346&amp;""))</f>
        <v/>
      </c>
      <c r="S346" s="36">
        <f>IF('Enrollment Census'!S346="","",TRIM('Enrollment Census'!S346&amp;""))</f>
        <v/>
      </c>
      <c r="T346" s="36">
        <f>IF('Enrollment Census'!T346="","",TRIM('Enrollment Census'!T346&amp;""))</f>
        <v/>
      </c>
      <c r="U346" s="39">
        <f>IF('Enrollment Census'!U346="","",'Enrollment Census'!U346)</f>
        <v/>
      </c>
    </row>
    <row r="347">
      <c r="A347" s="36">
        <f>IF('Enrollment Census'!A347="","",TRIM('Enrollment Census'!A347&amp;""))</f>
        <v/>
      </c>
      <c r="B347" s="36">
        <f>IF('Enrollment Census'!B347="","",TRIM('Enrollment Census'!B347&amp;""))</f>
        <v/>
      </c>
      <c r="C347" s="37">
        <f>IF('Enrollment Census'!C347="","",TRIM('Enrollment Census'!C347&amp;""))</f>
        <v/>
      </c>
      <c r="D347" s="37">
        <f>IF('Enrollment Census'!D347="","",TRIM('Enrollment Census'!D347&amp;""))</f>
        <v/>
      </c>
      <c r="E347" s="36">
        <f>IF('Enrollment Census'!E347="","",TRIM('Enrollment Census'!E347&amp;""))</f>
        <v/>
      </c>
      <c r="F347" s="37">
        <f>IF('Enrollment Census'!F347="","",TRIM('Enrollment Census'!F347&amp;""))</f>
        <v/>
      </c>
      <c r="G347" s="37">
        <f>IF('Enrollment Census'!G347="","",TRIM('Enrollment Census'!G347&amp;""))</f>
        <v/>
      </c>
      <c r="H347" s="37">
        <f>IF('Enrollment Census'!H347="","",TRIM('Enrollment Census'!H347&amp;""))</f>
        <v/>
      </c>
      <c r="I347" s="36">
        <f>IF('Enrollment Census'!I347="","",TRIM('Enrollment Census'!I347&amp;""))</f>
        <v/>
      </c>
      <c r="J347" s="36">
        <f>IF('Enrollment Census'!J347="","",TRIM('Enrollment Census'!J347&amp;""))</f>
        <v/>
      </c>
      <c r="K347" s="36">
        <f>IF('Enrollment Census'!K347="","",TRIM('Enrollment Census'!K347&amp;""))</f>
        <v/>
      </c>
      <c r="L347" s="38">
        <f>IF('Enrollment Census'!L347="","",'Enrollment Census'!L347)</f>
        <v/>
      </c>
      <c r="M347" s="36">
        <f>IF('Enrollment Census'!M347="","",TRIM('Enrollment Census'!M347&amp;""))</f>
        <v/>
      </c>
      <c r="N347" s="36">
        <f>IF('Enrollment Census'!N347="","",LOWER(TRIM('Enrollment Census'!N347&amp;"")))</f>
        <v/>
      </c>
      <c r="O347" s="36">
        <f>IF('Enrollment Census'!O347="","",TRIM('Enrollment Census'!O347&amp;""))</f>
        <v/>
      </c>
      <c r="P347" s="38">
        <f>IF('Enrollment Census'!P347="","",'Enrollment Census'!P347)</f>
        <v/>
      </c>
      <c r="Q347" s="38">
        <f>IF('Enrollment Census'!Q347="","",'Enrollment Census'!Q347)</f>
        <v/>
      </c>
      <c r="R347" s="36">
        <f>IF('Enrollment Census'!R347="","",TRIM('Enrollment Census'!R347&amp;""))</f>
        <v/>
      </c>
      <c r="S347" s="36">
        <f>IF('Enrollment Census'!S347="","",TRIM('Enrollment Census'!S347&amp;""))</f>
        <v/>
      </c>
      <c r="T347" s="36">
        <f>IF('Enrollment Census'!T347="","",TRIM('Enrollment Census'!T347&amp;""))</f>
        <v/>
      </c>
      <c r="U347" s="39">
        <f>IF('Enrollment Census'!U347="","",'Enrollment Census'!U347)</f>
        <v/>
      </c>
    </row>
    <row r="348">
      <c r="A348" s="36">
        <f>IF('Enrollment Census'!A348="","",TRIM('Enrollment Census'!A348&amp;""))</f>
        <v/>
      </c>
      <c r="B348" s="36">
        <f>IF('Enrollment Census'!B348="","",TRIM('Enrollment Census'!B348&amp;""))</f>
        <v/>
      </c>
      <c r="C348" s="37">
        <f>IF('Enrollment Census'!C348="","",TRIM('Enrollment Census'!C348&amp;""))</f>
        <v/>
      </c>
      <c r="D348" s="37">
        <f>IF('Enrollment Census'!D348="","",TRIM('Enrollment Census'!D348&amp;""))</f>
        <v/>
      </c>
      <c r="E348" s="36">
        <f>IF('Enrollment Census'!E348="","",TRIM('Enrollment Census'!E348&amp;""))</f>
        <v/>
      </c>
      <c r="F348" s="37">
        <f>IF('Enrollment Census'!F348="","",TRIM('Enrollment Census'!F348&amp;""))</f>
        <v/>
      </c>
      <c r="G348" s="37">
        <f>IF('Enrollment Census'!G348="","",TRIM('Enrollment Census'!G348&amp;""))</f>
        <v/>
      </c>
      <c r="H348" s="37">
        <f>IF('Enrollment Census'!H348="","",TRIM('Enrollment Census'!H348&amp;""))</f>
        <v/>
      </c>
      <c r="I348" s="36">
        <f>IF('Enrollment Census'!I348="","",TRIM('Enrollment Census'!I348&amp;""))</f>
        <v/>
      </c>
      <c r="J348" s="36">
        <f>IF('Enrollment Census'!J348="","",TRIM('Enrollment Census'!J348&amp;""))</f>
        <v/>
      </c>
      <c r="K348" s="36">
        <f>IF('Enrollment Census'!K348="","",TRIM('Enrollment Census'!K348&amp;""))</f>
        <v/>
      </c>
      <c r="L348" s="38">
        <f>IF('Enrollment Census'!L348="","",'Enrollment Census'!L348)</f>
        <v/>
      </c>
      <c r="M348" s="36">
        <f>IF('Enrollment Census'!M348="","",TRIM('Enrollment Census'!M348&amp;""))</f>
        <v/>
      </c>
      <c r="N348" s="36">
        <f>IF('Enrollment Census'!N348="","",LOWER(TRIM('Enrollment Census'!N348&amp;"")))</f>
        <v/>
      </c>
      <c r="O348" s="36">
        <f>IF('Enrollment Census'!O348="","",TRIM('Enrollment Census'!O348&amp;""))</f>
        <v/>
      </c>
      <c r="P348" s="38">
        <f>IF('Enrollment Census'!P348="","",'Enrollment Census'!P348)</f>
        <v/>
      </c>
      <c r="Q348" s="38">
        <f>IF('Enrollment Census'!Q348="","",'Enrollment Census'!Q348)</f>
        <v/>
      </c>
      <c r="R348" s="36">
        <f>IF('Enrollment Census'!R348="","",TRIM('Enrollment Census'!R348&amp;""))</f>
        <v/>
      </c>
      <c r="S348" s="36">
        <f>IF('Enrollment Census'!S348="","",TRIM('Enrollment Census'!S348&amp;""))</f>
        <v/>
      </c>
      <c r="T348" s="36">
        <f>IF('Enrollment Census'!T348="","",TRIM('Enrollment Census'!T348&amp;""))</f>
        <v/>
      </c>
      <c r="U348" s="39">
        <f>IF('Enrollment Census'!U348="","",'Enrollment Census'!U348)</f>
        <v/>
      </c>
    </row>
    <row r="349">
      <c r="A349" s="36">
        <f>IF('Enrollment Census'!A349="","",TRIM('Enrollment Census'!A349&amp;""))</f>
        <v/>
      </c>
      <c r="B349" s="36">
        <f>IF('Enrollment Census'!B349="","",TRIM('Enrollment Census'!B349&amp;""))</f>
        <v/>
      </c>
      <c r="C349" s="37">
        <f>IF('Enrollment Census'!C349="","",TRIM('Enrollment Census'!C349&amp;""))</f>
        <v/>
      </c>
      <c r="D349" s="37">
        <f>IF('Enrollment Census'!D349="","",TRIM('Enrollment Census'!D349&amp;""))</f>
        <v/>
      </c>
      <c r="E349" s="36">
        <f>IF('Enrollment Census'!E349="","",TRIM('Enrollment Census'!E349&amp;""))</f>
        <v/>
      </c>
      <c r="F349" s="37">
        <f>IF('Enrollment Census'!F349="","",TRIM('Enrollment Census'!F349&amp;""))</f>
        <v/>
      </c>
      <c r="G349" s="37">
        <f>IF('Enrollment Census'!G349="","",TRIM('Enrollment Census'!G349&amp;""))</f>
        <v/>
      </c>
      <c r="H349" s="37">
        <f>IF('Enrollment Census'!H349="","",TRIM('Enrollment Census'!H349&amp;""))</f>
        <v/>
      </c>
      <c r="I349" s="36">
        <f>IF('Enrollment Census'!I349="","",TRIM('Enrollment Census'!I349&amp;""))</f>
        <v/>
      </c>
      <c r="J349" s="36">
        <f>IF('Enrollment Census'!J349="","",TRIM('Enrollment Census'!J349&amp;""))</f>
        <v/>
      </c>
      <c r="K349" s="36">
        <f>IF('Enrollment Census'!K349="","",TRIM('Enrollment Census'!K349&amp;""))</f>
        <v/>
      </c>
      <c r="L349" s="38">
        <f>IF('Enrollment Census'!L349="","",'Enrollment Census'!L349)</f>
        <v/>
      </c>
      <c r="M349" s="36">
        <f>IF('Enrollment Census'!M349="","",TRIM('Enrollment Census'!M349&amp;""))</f>
        <v/>
      </c>
      <c r="N349" s="36">
        <f>IF('Enrollment Census'!N349="","",LOWER(TRIM('Enrollment Census'!N349&amp;"")))</f>
        <v/>
      </c>
      <c r="O349" s="36">
        <f>IF('Enrollment Census'!O349="","",TRIM('Enrollment Census'!O349&amp;""))</f>
        <v/>
      </c>
      <c r="P349" s="38">
        <f>IF('Enrollment Census'!P349="","",'Enrollment Census'!P349)</f>
        <v/>
      </c>
      <c r="Q349" s="38">
        <f>IF('Enrollment Census'!Q349="","",'Enrollment Census'!Q349)</f>
        <v/>
      </c>
      <c r="R349" s="36">
        <f>IF('Enrollment Census'!R349="","",TRIM('Enrollment Census'!R349&amp;""))</f>
        <v/>
      </c>
      <c r="S349" s="36">
        <f>IF('Enrollment Census'!S349="","",TRIM('Enrollment Census'!S349&amp;""))</f>
        <v/>
      </c>
      <c r="T349" s="36">
        <f>IF('Enrollment Census'!T349="","",TRIM('Enrollment Census'!T349&amp;""))</f>
        <v/>
      </c>
      <c r="U349" s="39">
        <f>IF('Enrollment Census'!U349="","",'Enrollment Census'!U349)</f>
        <v/>
      </c>
    </row>
    <row r="350">
      <c r="A350" s="36">
        <f>IF('Enrollment Census'!A350="","",TRIM('Enrollment Census'!A350&amp;""))</f>
        <v/>
      </c>
      <c r="B350" s="36">
        <f>IF('Enrollment Census'!B350="","",TRIM('Enrollment Census'!B350&amp;""))</f>
        <v/>
      </c>
      <c r="C350" s="37">
        <f>IF('Enrollment Census'!C350="","",TRIM('Enrollment Census'!C350&amp;""))</f>
        <v/>
      </c>
      <c r="D350" s="37">
        <f>IF('Enrollment Census'!D350="","",TRIM('Enrollment Census'!D350&amp;""))</f>
        <v/>
      </c>
      <c r="E350" s="36">
        <f>IF('Enrollment Census'!E350="","",TRIM('Enrollment Census'!E350&amp;""))</f>
        <v/>
      </c>
      <c r="F350" s="37">
        <f>IF('Enrollment Census'!F350="","",TRIM('Enrollment Census'!F350&amp;""))</f>
        <v/>
      </c>
      <c r="G350" s="37">
        <f>IF('Enrollment Census'!G350="","",TRIM('Enrollment Census'!G350&amp;""))</f>
        <v/>
      </c>
      <c r="H350" s="37">
        <f>IF('Enrollment Census'!H350="","",TRIM('Enrollment Census'!H350&amp;""))</f>
        <v/>
      </c>
      <c r="I350" s="36">
        <f>IF('Enrollment Census'!I350="","",TRIM('Enrollment Census'!I350&amp;""))</f>
        <v/>
      </c>
      <c r="J350" s="36">
        <f>IF('Enrollment Census'!J350="","",TRIM('Enrollment Census'!J350&amp;""))</f>
        <v/>
      </c>
      <c r="K350" s="36">
        <f>IF('Enrollment Census'!K350="","",TRIM('Enrollment Census'!K350&amp;""))</f>
        <v/>
      </c>
      <c r="L350" s="38">
        <f>IF('Enrollment Census'!L350="","",'Enrollment Census'!L350)</f>
        <v/>
      </c>
      <c r="M350" s="36">
        <f>IF('Enrollment Census'!M350="","",TRIM('Enrollment Census'!M350&amp;""))</f>
        <v/>
      </c>
      <c r="N350" s="36">
        <f>IF('Enrollment Census'!N350="","",LOWER(TRIM('Enrollment Census'!N350&amp;"")))</f>
        <v/>
      </c>
      <c r="O350" s="36">
        <f>IF('Enrollment Census'!O350="","",TRIM('Enrollment Census'!O350&amp;""))</f>
        <v/>
      </c>
      <c r="P350" s="38">
        <f>IF('Enrollment Census'!P350="","",'Enrollment Census'!P350)</f>
        <v/>
      </c>
      <c r="Q350" s="38">
        <f>IF('Enrollment Census'!Q350="","",'Enrollment Census'!Q350)</f>
        <v/>
      </c>
      <c r="R350" s="36">
        <f>IF('Enrollment Census'!R350="","",TRIM('Enrollment Census'!R350&amp;""))</f>
        <v/>
      </c>
      <c r="S350" s="36">
        <f>IF('Enrollment Census'!S350="","",TRIM('Enrollment Census'!S350&amp;""))</f>
        <v/>
      </c>
      <c r="T350" s="36">
        <f>IF('Enrollment Census'!T350="","",TRIM('Enrollment Census'!T350&amp;""))</f>
        <v/>
      </c>
      <c r="U350" s="39">
        <f>IF('Enrollment Census'!U350="","",'Enrollment Census'!U350)</f>
        <v/>
      </c>
    </row>
    <row r="351">
      <c r="A351" s="36">
        <f>IF('Enrollment Census'!A351="","",TRIM('Enrollment Census'!A351&amp;""))</f>
        <v/>
      </c>
      <c r="B351" s="36">
        <f>IF('Enrollment Census'!B351="","",TRIM('Enrollment Census'!B351&amp;""))</f>
        <v/>
      </c>
      <c r="C351" s="37">
        <f>IF('Enrollment Census'!C351="","",TRIM('Enrollment Census'!C351&amp;""))</f>
        <v/>
      </c>
      <c r="D351" s="37">
        <f>IF('Enrollment Census'!D351="","",TRIM('Enrollment Census'!D351&amp;""))</f>
        <v/>
      </c>
      <c r="E351" s="36">
        <f>IF('Enrollment Census'!E351="","",TRIM('Enrollment Census'!E351&amp;""))</f>
        <v/>
      </c>
      <c r="F351" s="37">
        <f>IF('Enrollment Census'!F351="","",TRIM('Enrollment Census'!F351&amp;""))</f>
        <v/>
      </c>
      <c r="G351" s="37">
        <f>IF('Enrollment Census'!G351="","",TRIM('Enrollment Census'!G351&amp;""))</f>
        <v/>
      </c>
      <c r="H351" s="37">
        <f>IF('Enrollment Census'!H351="","",TRIM('Enrollment Census'!H351&amp;""))</f>
        <v/>
      </c>
      <c r="I351" s="36">
        <f>IF('Enrollment Census'!I351="","",TRIM('Enrollment Census'!I351&amp;""))</f>
        <v/>
      </c>
      <c r="J351" s="36">
        <f>IF('Enrollment Census'!J351="","",TRIM('Enrollment Census'!J351&amp;""))</f>
        <v/>
      </c>
      <c r="K351" s="36">
        <f>IF('Enrollment Census'!K351="","",TRIM('Enrollment Census'!K351&amp;""))</f>
        <v/>
      </c>
      <c r="L351" s="38">
        <f>IF('Enrollment Census'!L351="","",'Enrollment Census'!L351)</f>
        <v/>
      </c>
      <c r="M351" s="36">
        <f>IF('Enrollment Census'!M351="","",TRIM('Enrollment Census'!M351&amp;""))</f>
        <v/>
      </c>
      <c r="N351" s="36">
        <f>IF('Enrollment Census'!N351="","",LOWER(TRIM('Enrollment Census'!N351&amp;"")))</f>
        <v/>
      </c>
      <c r="O351" s="36">
        <f>IF('Enrollment Census'!O351="","",TRIM('Enrollment Census'!O351&amp;""))</f>
        <v/>
      </c>
      <c r="P351" s="38">
        <f>IF('Enrollment Census'!P351="","",'Enrollment Census'!P351)</f>
        <v/>
      </c>
      <c r="Q351" s="38">
        <f>IF('Enrollment Census'!Q351="","",'Enrollment Census'!Q351)</f>
        <v/>
      </c>
      <c r="R351" s="36">
        <f>IF('Enrollment Census'!R351="","",TRIM('Enrollment Census'!R351&amp;""))</f>
        <v/>
      </c>
      <c r="S351" s="36">
        <f>IF('Enrollment Census'!S351="","",TRIM('Enrollment Census'!S351&amp;""))</f>
        <v/>
      </c>
      <c r="T351" s="36">
        <f>IF('Enrollment Census'!T351="","",TRIM('Enrollment Census'!T351&amp;""))</f>
        <v/>
      </c>
      <c r="U351" s="39">
        <f>IF('Enrollment Census'!U351="","",'Enrollment Census'!U351)</f>
        <v/>
      </c>
    </row>
    <row r="352">
      <c r="A352" s="36">
        <f>IF('Enrollment Census'!A352="","",TRIM('Enrollment Census'!A352&amp;""))</f>
        <v/>
      </c>
      <c r="B352" s="36">
        <f>IF('Enrollment Census'!B352="","",TRIM('Enrollment Census'!B352&amp;""))</f>
        <v/>
      </c>
      <c r="C352" s="37">
        <f>IF('Enrollment Census'!C352="","",TRIM('Enrollment Census'!C352&amp;""))</f>
        <v/>
      </c>
      <c r="D352" s="37">
        <f>IF('Enrollment Census'!D352="","",TRIM('Enrollment Census'!D352&amp;""))</f>
        <v/>
      </c>
      <c r="E352" s="36">
        <f>IF('Enrollment Census'!E352="","",TRIM('Enrollment Census'!E352&amp;""))</f>
        <v/>
      </c>
      <c r="F352" s="37">
        <f>IF('Enrollment Census'!F352="","",TRIM('Enrollment Census'!F352&amp;""))</f>
        <v/>
      </c>
      <c r="G352" s="37">
        <f>IF('Enrollment Census'!G352="","",TRIM('Enrollment Census'!G352&amp;""))</f>
        <v/>
      </c>
      <c r="H352" s="37">
        <f>IF('Enrollment Census'!H352="","",TRIM('Enrollment Census'!H352&amp;""))</f>
        <v/>
      </c>
      <c r="I352" s="36">
        <f>IF('Enrollment Census'!I352="","",TRIM('Enrollment Census'!I352&amp;""))</f>
        <v/>
      </c>
      <c r="J352" s="36">
        <f>IF('Enrollment Census'!J352="","",TRIM('Enrollment Census'!J352&amp;""))</f>
        <v/>
      </c>
      <c r="K352" s="36">
        <f>IF('Enrollment Census'!K352="","",TRIM('Enrollment Census'!K352&amp;""))</f>
        <v/>
      </c>
      <c r="L352" s="38">
        <f>IF('Enrollment Census'!L352="","",'Enrollment Census'!L352)</f>
        <v/>
      </c>
      <c r="M352" s="36">
        <f>IF('Enrollment Census'!M352="","",TRIM('Enrollment Census'!M352&amp;""))</f>
        <v/>
      </c>
      <c r="N352" s="36">
        <f>IF('Enrollment Census'!N352="","",LOWER(TRIM('Enrollment Census'!N352&amp;"")))</f>
        <v/>
      </c>
      <c r="O352" s="36">
        <f>IF('Enrollment Census'!O352="","",TRIM('Enrollment Census'!O352&amp;""))</f>
        <v/>
      </c>
      <c r="P352" s="38">
        <f>IF('Enrollment Census'!P352="","",'Enrollment Census'!P352)</f>
        <v/>
      </c>
      <c r="Q352" s="38">
        <f>IF('Enrollment Census'!Q352="","",'Enrollment Census'!Q352)</f>
        <v/>
      </c>
      <c r="R352" s="36">
        <f>IF('Enrollment Census'!R352="","",TRIM('Enrollment Census'!R352&amp;""))</f>
        <v/>
      </c>
      <c r="S352" s="36">
        <f>IF('Enrollment Census'!S352="","",TRIM('Enrollment Census'!S352&amp;""))</f>
        <v/>
      </c>
      <c r="T352" s="36">
        <f>IF('Enrollment Census'!T352="","",TRIM('Enrollment Census'!T352&amp;""))</f>
        <v/>
      </c>
      <c r="U352" s="39">
        <f>IF('Enrollment Census'!U352="","",'Enrollment Census'!U352)</f>
        <v/>
      </c>
    </row>
    <row r="353">
      <c r="A353" s="36">
        <f>IF('Enrollment Census'!A353="","",TRIM('Enrollment Census'!A353&amp;""))</f>
        <v/>
      </c>
      <c r="B353" s="36">
        <f>IF('Enrollment Census'!B353="","",TRIM('Enrollment Census'!B353&amp;""))</f>
        <v/>
      </c>
      <c r="C353" s="37">
        <f>IF('Enrollment Census'!C353="","",TRIM('Enrollment Census'!C353&amp;""))</f>
        <v/>
      </c>
      <c r="D353" s="37">
        <f>IF('Enrollment Census'!D353="","",TRIM('Enrollment Census'!D353&amp;""))</f>
        <v/>
      </c>
      <c r="E353" s="36">
        <f>IF('Enrollment Census'!E353="","",TRIM('Enrollment Census'!E353&amp;""))</f>
        <v/>
      </c>
      <c r="F353" s="37">
        <f>IF('Enrollment Census'!F353="","",TRIM('Enrollment Census'!F353&amp;""))</f>
        <v/>
      </c>
      <c r="G353" s="37">
        <f>IF('Enrollment Census'!G353="","",TRIM('Enrollment Census'!G353&amp;""))</f>
        <v/>
      </c>
      <c r="H353" s="37">
        <f>IF('Enrollment Census'!H353="","",TRIM('Enrollment Census'!H353&amp;""))</f>
        <v/>
      </c>
      <c r="I353" s="36">
        <f>IF('Enrollment Census'!I353="","",TRIM('Enrollment Census'!I353&amp;""))</f>
        <v/>
      </c>
      <c r="J353" s="36">
        <f>IF('Enrollment Census'!J353="","",TRIM('Enrollment Census'!J353&amp;""))</f>
        <v/>
      </c>
      <c r="K353" s="36">
        <f>IF('Enrollment Census'!K353="","",TRIM('Enrollment Census'!K353&amp;""))</f>
        <v/>
      </c>
      <c r="L353" s="38">
        <f>IF('Enrollment Census'!L353="","",'Enrollment Census'!L353)</f>
        <v/>
      </c>
      <c r="M353" s="36">
        <f>IF('Enrollment Census'!M353="","",TRIM('Enrollment Census'!M353&amp;""))</f>
        <v/>
      </c>
      <c r="N353" s="36">
        <f>IF('Enrollment Census'!N353="","",LOWER(TRIM('Enrollment Census'!N353&amp;"")))</f>
        <v/>
      </c>
      <c r="O353" s="36">
        <f>IF('Enrollment Census'!O353="","",TRIM('Enrollment Census'!O353&amp;""))</f>
        <v/>
      </c>
      <c r="P353" s="38">
        <f>IF('Enrollment Census'!P353="","",'Enrollment Census'!P353)</f>
        <v/>
      </c>
      <c r="Q353" s="38">
        <f>IF('Enrollment Census'!Q353="","",'Enrollment Census'!Q353)</f>
        <v/>
      </c>
      <c r="R353" s="36">
        <f>IF('Enrollment Census'!R353="","",TRIM('Enrollment Census'!R353&amp;""))</f>
        <v/>
      </c>
      <c r="S353" s="36">
        <f>IF('Enrollment Census'!S353="","",TRIM('Enrollment Census'!S353&amp;""))</f>
        <v/>
      </c>
      <c r="T353" s="36">
        <f>IF('Enrollment Census'!T353="","",TRIM('Enrollment Census'!T353&amp;""))</f>
        <v/>
      </c>
      <c r="U353" s="39">
        <f>IF('Enrollment Census'!U353="","",'Enrollment Census'!U353)</f>
        <v/>
      </c>
    </row>
    <row r="354">
      <c r="A354" s="36">
        <f>IF('Enrollment Census'!A354="","",TRIM('Enrollment Census'!A354&amp;""))</f>
        <v/>
      </c>
      <c r="B354" s="36">
        <f>IF('Enrollment Census'!B354="","",TRIM('Enrollment Census'!B354&amp;""))</f>
        <v/>
      </c>
      <c r="C354" s="37">
        <f>IF('Enrollment Census'!C354="","",TRIM('Enrollment Census'!C354&amp;""))</f>
        <v/>
      </c>
      <c r="D354" s="37">
        <f>IF('Enrollment Census'!D354="","",TRIM('Enrollment Census'!D354&amp;""))</f>
        <v/>
      </c>
      <c r="E354" s="36">
        <f>IF('Enrollment Census'!E354="","",TRIM('Enrollment Census'!E354&amp;""))</f>
        <v/>
      </c>
      <c r="F354" s="37">
        <f>IF('Enrollment Census'!F354="","",TRIM('Enrollment Census'!F354&amp;""))</f>
        <v/>
      </c>
      <c r="G354" s="37">
        <f>IF('Enrollment Census'!G354="","",TRIM('Enrollment Census'!G354&amp;""))</f>
        <v/>
      </c>
      <c r="H354" s="37">
        <f>IF('Enrollment Census'!H354="","",TRIM('Enrollment Census'!H354&amp;""))</f>
        <v/>
      </c>
      <c r="I354" s="36">
        <f>IF('Enrollment Census'!I354="","",TRIM('Enrollment Census'!I354&amp;""))</f>
        <v/>
      </c>
      <c r="J354" s="36">
        <f>IF('Enrollment Census'!J354="","",TRIM('Enrollment Census'!J354&amp;""))</f>
        <v/>
      </c>
      <c r="K354" s="36">
        <f>IF('Enrollment Census'!K354="","",TRIM('Enrollment Census'!K354&amp;""))</f>
        <v/>
      </c>
      <c r="L354" s="38">
        <f>IF('Enrollment Census'!L354="","",'Enrollment Census'!L354)</f>
        <v/>
      </c>
      <c r="M354" s="36">
        <f>IF('Enrollment Census'!M354="","",TRIM('Enrollment Census'!M354&amp;""))</f>
        <v/>
      </c>
      <c r="N354" s="36">
        <f>IF('Enrollment Census'!N354="","",LOWER(TRIM('Enrollment Census'!N354&amp;"")))</f>
        <v/>
      </c>
      <c r="O354" s="36">
        <f>IF('Enrollment Census'!O354="","",TRIM('Enrollment Census'!O354&amp;""))</f>
        <v/>
      </c>
      <c r="P354" s="38">
        <f>IF('Enrollment Census'!P354="","",'Enrollment Census'!P354)</f>
        <v/>
      </c>
      <c r="Q354" s="38">
        <f>IF('Enrollment Census'!Q354="","",'Enrollment Census'!Q354)</f>
        <v/>
      </c>
      <c r="R354" s="36">
        <f>IF('Enrollment Census'!R354="","",TRIM('Enrollment Census'!R354&amp;""))</f>
        <v/>
      </c>
      <c r="S354" s="36">
        <f>IF('Enrollment Census'!S354="","",TRIM('Enrollment Census'!S354&amp;""))</f>
        <v/>
      </c>
      <c r="T354" s="36">
        <f>IF('Enrollment Census'!T354="","",TRIM('Enrollment Census'!T354&amp;""))</f>
        <v/>
      </c>
      <c r="U354" s="39">
        <f>IF('Enrollment Census'!U354="","",'Enrollment Census'!U354)</f>
        <v/>
      </c>
    </row>
    <row r="355">
      <c r="A355" s="36">
        <f>IF('Enrollment Census'!A355="","",TRIM('Enrollment Census'!A355&amp;""))</f>
        <v/>
      </c>
      <c r="B355" s="36">
        <f>IF('Enrollment Census'!B355="","",TRIM('Enrollment Census'!B355&amp;""))</f>
        <v/>
      </c>
      <c r="C355" s="37">
        <f>IF('Enrollment Census'!C355="","",TRIM('Enrollment Census'!C355&amp;""))</f>
        <v/>
      </c>
      <c r="D355" s="37">
        <f>IF('Enrollment Census'!D355="","",TRIM('Enrollment Census'!D355&amp;""))</f>
        <v/>
      </c>
      <c r="E355" s="36">
        <f>IF('Enrollment Census'!E355="","",TRIM('Enrollment Census'!E355&amp;""))</f>
        <v/>
      </c>
      <c r="F355" s="37">
        <f>IF('Enrollment Census'!F355="","",TRIM('Enrollment Census'!F355&amp;""))</f>
        <v/>
      </c>
      <c r="G355" s="37">
        <f>IF('Enrollment Census'!G355="","",TRIM('Enrollment Census'!G355&amp;""))</f>
        <v/>
      </c>
      <c r="H355" s="37">
        <f>IF('Enrollment Census'!H355="","",TRIM('Enrollment Census'!H355&amp;""))</f>
        <v/>
      </c>
      <c r="I355" s="36">
        <f>IF('Enrollment Census'!I355="","",TRIM('Enrollment Census'!I355&amp;""))</f>
        <v/>
      </c>
      <c r="J355" s="36">
        <f>IF('Enrollment Census'!J355="","",TRIM('Enrollment Census'!J355&amp;""))</f>
        <v/>
      </c>
      <c r="K355" s="36">
        <f>IF('Enrollment Census'!K355="","",TRIM('Enrollment Census'!K355&amp;""))</f>
        <v/>
      </c>
      <c r="L355" s="38">
        <f>IF('Enrollment Census'!L355="","",'Enrollment Census'!L355)</f>
        <v/>
      </c>
      <c r="M355" s="36">
        <f>IF('Enrollment Census'!M355="","",TRIM('Enrollment Census'!M355&amp;""))</f>
        <v/>
      </c>
      <c r="N355" s="36">
        <f>IF('Enrollment Census'!N355="","",LOWER(TRIM('Enrollment Census'!N355&amp;"")))</f>
        <v/>
      </c>
      <c r="O355" s="36">
        <f>IF('Enrollment Census'!O355="","",TRIM('Enrollment Census'!O355&amp;""))</f>
        <v/>
      </c>
      <c r="P355" s="38">
        <f>IF('Enrollment Census'!P355="","",'Enrollment Census'!P355)</f>
        <v/>
      </c>
      <c r="Q355" s="38">
        <f>IF('Enrollment Census'!Q355="","",'Enrollment Census'!Q355)</f>
        <v/>
      </c>
      <c r="R355" s="36">
        <f>IF('Enrollment Census'!R355="","",TRIM('Enrollment Census'!R355&amp;""))</f>
        <v/>
      </c>
      <c r="S355" s="36">
        <f>IF('Enrollment Census'!S355="","",TRIM('Enrollment Census'!S355&amp;""))</f>
        <v/>
      </c>
      <c r="T355" s="36">
        <f>IF('Enrollment Census'!T355="","",TRIM('Enrollment Census'!T355&amp;""))</f>
        <v/>
      </c>
      <c r="U355" s="39">
        <f>IF('Enrollment Census'!U355="","",'Enrollment Census'!U355)</f>
        <v/>
      </c>
    </row>
    <row r="356">
      <c r="A356" s="36">
        <f>IF('Enrollment Census'!A356="","",TRIM('Enrollment Census'!A356&amp;""))</f>
        <v/>
      </c>
      <c r="B356" s="36">
        <f>IF('Enrollment Census'!B356="","",TRIM('Enrollment Census'!B356&amp;""))</f>
        <v/>
      </c>
      <c r="C356" s="37">
        <f>IF('Enrollment Census'!C356="","",TRIM('Enrollment Census'!C356&amp;""))</f>
        <v/>
      </c>
      <c r="D356" s="37">
        <f>IF('Enrollment Census'!D356="","",TRIM('Enrollment Census'!D356&amp;""))</f>
        <v/>
      </c>
      <c r="E356" s="36">
        <f>IF('Enrollment Census'!E356="","",TRIM('Enrollment Census'!E356&amp;""))</f>
        <v/>
      </c>
      <c r="F356" s="37">
        <f>IF('Enrollment Census'!F356="","",TRIM('Enrollment Census'!F356&amp;""))</f>
        <v/>
      </c>
      <c r="G356" s="37">
        <f>IF('Enrollment Census'!G356="","",TRIM('Enrollment Census'!G356&amp;""))</f>
        <v/>
      </c>
      <c r="H356" s="37">
        <f>IF('Enrollment Census'!H356="","",TRIM('Enrollment Census'!H356&amp;""))</f>
        <v/>
      </c>
      <c r="I356" s="36">
        <f>IF('Enrollment Census'!I356="","",TRIM('Enrollment Census'!I356&amp;""))</f>
        <v/>
      </c>
      <c r="J356" s="36">
        <f>IF('Enrollment Census'!J356="","",TRIM('Enrollment Census'!J356&amp;""))</f>
        <v/>
      </c>
      <c r="K356" s="36">
        <f>IF('Enrollment Census'!K356="","",TRIM('Enrollment Census'!K356&amp;""))</f>
        <v/>
      </c>
      <c r="L356" s="38">
        <f>IF('Enrollment Census'!L356="","",'Enrollment Census'!L356)</f>
        <v/>
      </c>
      <c r="M356" s="36">
        <f>IF('Enrollment Census'!M356="","",TRIM('Enrollment Census'!M356&amp;""))</f>
        <v/>
      </c>
      <c r="N356" s="36">
        <f>IF('Enrollment Census'!N356="","",LOWER(TRIM('Enrollment Census'!N356&amp;"")))</f>
        <v/>
      </c>
      <c r="O356" s="36">
        <f>IF('Enrollment Census'!O356="","",TRIM('Enrollment Census'!O356&amp;""))</f>
        <v/>
      </c>
      <c r="P356" s="38">
        <f>IF('Enrollment Census'!P356="","",'Enrollment Census'!P356)</f>
        <v/>
      </c>
      <c r="Q356" s="38">
        <f>IF('Enrollment Census'!Q356="","",'Enrollment Census'!Q356)</f>
        <v/>
      </c>
      <c r="R356" s="36">
        <f>IF('Enrollment Census'!R356="","",TRIM('Enrollment Census'!R356&amp;""))</f>
        <v/>
      </c>
      <c r="S356" s="36">
        <f>IF('Enrollment Census'!S356="","",TRIM('Enrollment Census'!S356&amp;""))</f>
        <v/>
      </c>
      <c r="T356" s="36">
        <f>IF('Enrollment Census'!T356="","",TRIM('Enrollment Census'!T356&amp;""))</f>
        <v/>
      </c>
      <c r="U356" s="39">
        <f>IF('Enrollment Census'!U356="","",'Enrollment Census'!U356)</f>
        <v/>
      </c>
    </row>
    <row r="357">
      <c r="A357" s="36">
        <f>IF('Enrollment Census'!A357="","",TRIM('Enrollment Census'!A357&amp;""))</f>
        <v/>
      </c>
      <c r="B357" s="36">
        <f>IF('Enrollment Census'!B357="","",TRIM('Enrollment Census'!B357&amp;""))</f>
        <v/>
      </c>
      <c r="C357" s="37">
        <f>IF('Enrollment Census'!C357="","",TRIM('Enrollment Census'!C357&amp;""))</f>
        <v/>
      </c>
      <c r="D357" s="37">
        <f>IF('Enrollment Census'!D357="","",TRIM('Enrollment Census'!D357&amp;""))</f>
        <v/>
      </c>
      <c r="E357" s="36">
        <f>IF('Enrollment Census'!E357="","",TRIM('Enrollment Census'!E357&amp;""))</f>
        <v/>
      </c>
      <c r="F357" s="37">
        <f>IF('Enrollment Census'!F357="","",TRIM('Enrollment Census'!F357&amp;""))</f>
        <v/>
      </c>
      <c r="G357" s="37">
        <f>IF('Enrollment Census'!G357="","",TRIM('Enrollment Census'!G357&amp;""))</f>
        <v/>
      </c>
      <c r="H357" s="37">
        <f>IF('Enrollment Census'!H357="","",TRIM('Enrollment Census'!H357&amp;""))</f>
        <v/>
      </c>
      <c r="I357" s="36">
        <f>IF('Enrollment Census'!I357="","",TRIM('Enrollment Census'!I357&amp;""))</f>
        <v/>
      </c>
      <c r="J357" s="36">
        <f>IF('Enrollment Census'!J357="","",TRIM('Enrollment Census'!J357&amp;""))</f>
        <v/>
      </c>
      <c r="K357" s="36">
        <f>IF('Enrollment Census'!K357="","",TRIM('Enrollment Census'!K357&amp;""))</f>
        <v/>
      </c>
      <c r="L357" s="38">
        <f>IF('Enrollment Census'!L357="","",'Enrollment Census'!L357)</f>
        <v/>
      </c>
      <c r="M357" s="36">
        <f>IF('Enrollment Census'!M357="","",TRIM('Enrollment Census'!M357&amp;""))</f>
        <v/>
      </c>
      <c r="N357" s="36">
        <f>IF('Enrollment Census'!N357="","",LOWER(TRIM('Enrollment Census'!N357&amp;"")))</f>
        <v/>
      </c>
      <c r="O357" s="36">
        <f>IF('Enrollment Census'!O357="","",TRIM('Enrollment Census'!O357&amp;""))</f>
        <v/>
      </c>
      <c r="P357" s="38">
        <f>IF('Enrollment Census'!P357="","",'Enrollment Census'!P357)</f>
        <v/>
      </c>
      <c r="Q357" s="38">
        <f>IF('Enrollment Census'!Q357="","",'Enrollment Census'!Q357)</f>
        <v/>
      </c>
      <c r="R357" s="36">
        <f>IF('Enrollment Census'!R357="","",TRIM('Enrollment Census'!R357&amp;""))</f>
        <v/>
      </c>
      <c r="S357" s="36">
        <f>IF('Enrollment Census'!S357="","",TRIM('Enrollment Census'!S357&amp;""))</f>
        <v/>
      </c>
      <c r="T357" s="36">
        <f>IF('Enrollment Census'!T357="","",TRIM('Enrollment Census'!T357&amp;""))</f>
        <v/>
      </c>
      <c r="U357" s="39">
        <f>IF('Enrollment Census'!U357="","",'Enrollment Census'!U357)</f>
        <v/>
      </c>
    </row>
    <row r="358">
      <c r="A358" s="36">
        <f>IF('Enrollment Census'!A358="","",TRIM('Enrollment Census'!A358&amp;""))</f>
        <v/>
      </c>
      <c r="B358" s="36">
        <f>IF('Enrollment Census'!B358="","",TRIM('Enrollment Census'!B358&amp;""))</f>
        <v/>
      </c>
      <c r="C358" s="37">
        <f>IF('Enrollment Census'!C358="","",TRIM('Enrollment Census'!C358&amp;""))</f>
        <v/>
      </c>
      <c r="D358" s="37">
        <f>IF('Enrollment Census'!D358="","",TRIM('Enrollment Census'!D358&amp;""))</f>
        <v/>
      </c>
      <c r="E358" s="36">
        <f>IF('Enrollment Census'!E358="","",TRIM('Enrollment Census'!E358&amp;""))</f>
        <v/>
      </c>
      <c r="F358" s="37">
        <f>IF('Enrollment Census'!F358="","",TRIM('Enrollment Census'!F358&amp;""))</f>
        <v/>
      </c>
      <c r="G358" s="37">
        <f>IF('Enrollment Census'!G358="","",TRIM('Enrollment Census'!G358&amp;""))</f>
        <v/>
      </c>
      <c r="H358" s="37">
        <f>IF('Enrollment Census'!H358="","",TRIM('Enrollment Census'!H358&amp;""))</f>
        <v/>
      </c>
      <c r="I358" s="36">
        <f>IF('Enrollment Census'!I358="","",TRIM('Enrollment Census'!I358&amp;""))</f>
        <v/>
      </c>
      <c r="J358" s="36">
        <f>IF('Enrollment Census'!J358="","",TRIM('Enrollment Census'!J358&amp;""))</f>
        <v/>
      </c>
      <c r="K358" s="36">
        <f>IF('Enrollment Census'!K358="","",TRIM('Enrollment Census'!K358&amp;""))</f>
        <v/>
      </c>
      <c r="L358" s="38">
        <f>IF('Enrollment Census'!L358="","",'Enrollment Census'!L358)</f>
        <v/>
      </c>
      <c r="M358" s="36">
        <f>IF('Enrollment Census'!M358="","",TRIM('Enrollment Census'!M358&amp;""))</f>
        <v/>
      </c>
      <c r="N358" s="36">
        <f>IF('Enrollment Census'!N358="","",LOWER(TRIM('Enrollment Census'!N358&amp;"")))</f>
        <v/>
      </c>
      <c r="O358" s="36">
        <f>IF('Enrollment Census'!O358="","",TRIM('Enrollment Census'!O358&amp;""))</f>
        <v/>
      </c>
      <c r="P358" s="38">
        <f>IF('Enrollment Census'!P358="","",'Enrollment Census'!P358)</f>
        <v/>
      </c>
      <c r="Q358" s="38">
        <f>IF('Enrollment Census'!Q358="","",'Enrollment Census'!Q358)</f>
        <v/>
      </c>
      <c r="R358" s="36">
        <f>IF('Enrollment Census'!R358="","",TRIM('Enrollment Census'!R358&amp;""))</f>
        <v/>
      </c>
      <c r="S358" s="36">
        <f>IF('Enrollment Census'!S358="","",TRIM('Enrollment Census'!S358&amp;""))</f>
        <v/>
      </c>
      <c r="T358" s="36">
        <f>IF('Enrollment Census'!T358="","",TRIM('Enrollment Census'!T358&amp;""))</f>
        <v/>
      </c>
      <c r="U358" s="39">
        <f>IF('Enrollment Census'!U358="","",'Enrollment Census'!U358)</f>
        <v/>
      </c>
    </row>
    <row r="359">
      <c r="A359" s="36">
        <f>IF('Enrollment Census'!A359="","",TRIM('Enrollment Census'!A359&amp;""))</f>
        <v/>
      </c>
      <c r="B359" s="36">
        <f>IF('Enrollment Census'!B359="","",TRIM('Enrollment Census'!B359&amp;""))</f>
        <v/>
      </c>
      <c r="C359" s="37">
        <f>IF('Enrollment Census'!C359="","",TRIM('Enrollment Census'!C359&amp;""))</f>
        <v/>
      </c>
      <c r="D359" s="37">
        <f>IF('Enrollment Census'!D359="","",TRIM('Enrollment Census'!D359&amp;""))</f>
        <v/>
      </c>
      <c r="E359" s="36">
        <f>IF('Enrollment Census'!E359="","",TRIM('Enrollment Census'!E359&amp;""))</f>
        <v/>
      </c>
      <c r="F359" s="37">
        <f>IF('Enrollment Census'!F359="","",TRIM('Enrollment Census'!F359&amp;""))</f>
        <v/>
      </c>
      <c r="G359" s="37">
        <f>IF('Enrollment Census'!G359="","",TRIM('Enrollment Census'!G359&amp;""))</f>
        <v/>
      </c>
      <c r="H359" s="37">
        <f>IF('Enrollment Census'!H359="","",TRIM('Enrollment Census'!H359&amp;""))</f>
        <v/>
      </c>
      <c r="I359" s="36">
        <f>IF('Enrollment Census'!I359="","",TRIM('Enrollment Census'!I359&amp;""))</f>
        <v/>
      </c>
      <c r="J359" s="36">
        <f>IF('Enrollment Census'!J359="","",TRIM('Enrollment Census'!J359&amp;""))</f>
        <v/>
      </c>
      <c r="K359" s="36">
        <f>IF('Enrollment Census'!K359="","",TRIM('Enrollment Census'!K359&amp;""))</f>
        <v/>
      </c>
      <c r="L359" s="38">
        <f>IF('Enrollment Census'!L359="","",'Enrollment Census'!L359)</f>
        <v/>
      </c>
      <c r="M359" s="36">
        <f>IF('Enrollment Census'!M359="","",TRIM('Enrollment Census'!M359&amp;""))</f>
        <v/>
      </c>
      <c r="N359" s="36">
        <f>IF('Enrollment Census'!N359="","",LOWER(TRIM('Enrollment Census'!N359&amp;"")))</f>
        <v/>
      </c>
      <c r="O359" s="36">
        <f>IF('Enrollment Census'!O359="","",TRIM('Enrollment Census'!O359&amp;""))</f>
        <v/>
      </c>
      <c r="P359" s="38">
        <f>IF('Enrollment Census'!P359="","",'Enrollment Census'!P359)</f>
        <v/>
      </c>
      <c r="Q359" s="38">
        <f>IF('Enrollment Census'!Q359="","",'Enrollment Census'!Q359)</f>
        <v/>
      </c>
      <c r="R359" s="36">
        <f>IF('Enrollment Census'!R359="","",TRIM('Enrollment Census'!R359&amp;""))</f>
        <v/>
      </c>
      <c r="S359" s="36">
        <f>IF('Enrollment Census'!S359="","",TRIM('Enrollment Census'!S359&amp;""))</f>
        <v/>
      </c>
      <c r="T359" s="36">
        <f>IF('Enrollment Census'!T359="","",TRIM('Enrollment Census'!T359&amp;""))</f>
        <v/>
      </c>
      <c r="U359" s="39">
        <f>IF('Enrollment Census'!U359="","",'Enrollment Census'!U359)</f>
        <v/>
      </c>
    </row>
    <row r="360">
      <c r="A360" s="36">
        <f>IF('Enrollment Census'!A360="","",TRIM('Enrollment Census'!A360&amp;""))</f>
        <v/>
      </c>
      <c r="B360" s="36">
        <f>IF('Enrollment Census'!B360="","",TRIM('Enrollment Census'!B360&amp;""))</f>
        <v/>
      </c>
      <c r="C360" s="37">
        <f>IF('Enrollment Census'!C360="","",TRIM('Enrollment Census'!C360&amp;""))</f>
        <v/>
      </c>
      <c r="D360" s="37">
        <f>IF('Enrollment Census'!D360="","",TRIM('Enrollment Census'!D360&amp;""))</f>
        <v/>
      </c>
      <c r="E360" s="36">
        <f>IF('Enrollment Census'!E360="","",TRIM('Enrollment Census'!E360&amp;""))</f>
        <v/>
      </c>
      <c r="F360" s="37">
        <f>IF('Enrollment Census'!F360="","",TRIM('Enrollment Census'!F360&amp;""))</f>
        <v/>
      </c>
      <c r="G360" s="37">
        <f>IF('Enrollment Census'!G360="","",TRIM('Enrollment Census'!G360&amp;""))</f>
        <v/>
      </c>
      <c r="H360" s="37">
        <f>IF('Enrollment Census'!H360="","",TRIM('Enrollment Census'!H360&amp;""))</f>
        <v/>
      </c>
      <c r="I360" s="36">
        <f>IF('Enrollment Census'!I360="","",TRIM('Enrollment Census'!I360&amp;""))</f>
        <v/>
      </c>
      <c r="J360" s="36">
        <f>IF('Enrollment Census'!J360="","",TRIM('Enrollment Census'!J360&amp;""))</f>
        <v/>
      </c>
      <c r="K360" s="36">
        <f>IF('Enrollment Census'!K360="","",TRIM('Enrollment Census'!K360&amp;""))</f>
        <v/>
      </c>
      <c r="L360" s="38">
        <f>IF('Enrollment Census'!L360="","",'Enrollment Census'!L360)</f>
        <v/>
      </c>
      <c r="M360" s="36">
        <f>IF('Enrollment Census'!M360="","",TRIM('Enrollment Census'!M360&amp;""))</f>
        <v/>
      </c>
      <c r="N360" s="36">
        <f>IF('Enrollment Census'!N360="","",LOWER(TRIM('Enrollment Census'!N360&amp;"")))</f>
        <v/>
      </c>
      <c r="O360" s="36">
        <f>IF('Enrollment Census'!O360="","",TRIM('Enrollment Census'!O360&amp;""))</f>
        <v/>
      </c>
      <c r="P360" s="38">
        <f>IF('Enrollment Census'!P360="","",'Enrollment Census'!P360)</f>
        <v/>
      </c>
      <c r="Q360" s="38">
        <f>IF('Enrollment Census'!Q360="","",'Enrollment Census'!Q360)</f>
        <v/>
      </c>
      <c r="R360" s="36">
        <f>IF('Enrollment Census'!R360="","",TRIM('Enrollment Census'!R360&amp;""))</f>
        <v/>
      </c>
      <c r="S360" s="36">
        <f>IF('Enrollment Census'!S360="","",TRIM('Enrollment Census'!S360&amp;""))</f>
        <v/>
      </c>
      <c r="T360" s="36">
        <f>IF('Enrollment Census'!T360="","",TRIM('Enrollment Census'!T360&amp;""))</f>
        <v/>
      </c>
      <c r="U360" s="39">
        <f>IF('Enrollment Census'!U360="","",'Enrollment Census'!U360)</f>
        <v/>
      </c>
    </row>
    <row r="361">
      <c r="A361" s="36">
        <f>IF('Enrollment Census'!A361="","",TRIM('Enrollment Census'!A361&amp;""))</f>
        <v/>
      </c>
      <c r="B361" s="36">
        <f>IF('Enrollment Census'!B361="","",TRIM('Enrollment Census'!B361&amp;""))</f>
        <v/>
      </c>
      <c r="C361" s="37">
        <f>IF('Enrollment Census'!C361="","",TRIM('Enrollment Census'!C361&amp;""))</f>
        <v/>
      </c>
      <c r="D361" s="37">
        <f>IF('Enrollment Census'!D361="","",TRIM('Enrollment Census'!D361&amp;""))</f>
        <v/>
      </c>
      <c r="E361" s="36">
        <f>IF('Enrollment Census'!E361="","",TRIM('Enrollment Census'!E361&amp;""))</f>
        <v/>
      </c>
      <c r="F361" s="37">
        <f>IF('Enrollment Census'!F361="","",TRIM('Enrollment Census'!F361&amp;""))</f>
        <v/>
      </c>
      <c r="G361" s="37">
        <f>IF('Enrollment Census'!G361="","",TRIM('Enrollment Census'!G361&amp;""))</f>
        <v/>
      </c>
      <c r="H361" s="37">
        <f>IF('Enrollment Census'!H361="","",TRIM('Enrollment Census'!H361&amp;""))</f>
        <v/>
      </c>
      <c r="I361" s="36">
        <f>IF('Enrollment Census'!I361="","",TRIM('Enrollment Census'!I361&amp;""))</f>
        <v/>
      </c>
      <c r="J361" s="36">
        <f>IF('Enrollment Census'!J361="","",TRIM('Enrollment Census'!J361&amp;""))</f>
        <v/>
      </c>
      <c r="K361" s="36">
        <f>IF('Enrollment Census'!K361="","",TRIM('Enrollment Census'!K361&amp;""))</f>
        <v/>
      </c>
      <c r="L361" s="38">
        <f>IF('Enrollment Census'!L361="","",'Enrollment Census'!L361)</f>
        <v/>
      </c>
      <c r="M361" s="36">
        <f>IF('Enrollment Census'!M361="","",TRIM('Enrollment Census'!M361&amp;""))</f>
        <v/>
      </c>
      <c r="N361" s="36">
        <f>IF('Enrollment Census'!N361="","",LOWER(TRIM('Enrollment Census'!N361&amp;"")))</f>
        <v/>
      </c>
      <c r="O361" s="36">
        <f>IF('Enrollment Census'!O361="","",TRIM('Enrollment Census'!O361&amp;""))</f>
        <v/>
      </c>
      <c r="P361" s="38">
        <f>IF('Enrollment Census'!P361="","",'Enrollment Census'!P361)</f>
        <v/>
      </c>
      <c r="Q361" s="38">
        <f>IF('Enrollment Census'!Q361="","",'Enrollment Census'!Q361)</f>
        <v/>
      </c>
      <c r="R361" s="36">
        <f>IF('Enrollment Census'!R361="","",TRIM('Enrollment Census'!R361&amp;""))</f>
        <v/>
      </c>
      <c r="S361" s="36">
        <f>IF('Enrollment Census'!S361="","",TRIM('Enrollment Census'!S361&amp;""))</f>
        <v/>
      </c>
      <c r="T361" s="36">
        <f>IF('Enrollment Census'!T361="","",TRIM('Enrollment Census'!T361&amp;""))</f>
        <v/>
      </c>
      <c r="U361" s="39">
        <f>IF('Enrollment Census'!U361="","",'Enrollment Census'!U361)</f>
        <v/>
      </c>
    </row>
    <row r="362">
      <c r="A362" s="36">
        <f>IF('Enrollment Census'!A362="","",TRIM('Enrollment Census'!A362&amp;""))</f>
        <v/>
      </c>
      <c r="B362" s="36">
        <f>IF('Enrollment Census'!B362="","",TRIM('Enrollment Census'!B362&amp;""))</f>
        <v/>
      </c>
      <c r="C362" s="37">
        <f>IF('Enrollment Census'!C362="","",TRIM('Enrollment Census'!C362&amp;""))</f>
        <v/>
      </c>
      <c r="D362" s="37">
        <f>IF('Enrollment Census'!D362="","",TRIM('Enrollment Census'!D362&amp;""))</f>
        <v/>
      </c>
      <c r="E362" s="36">
        <f>IF('Enrollment Census'!E362="","",TRIM('Enrollment Census'!E362&amp;""))</f>
        <v/>
      </c>
      <c r="F362" s="37">
        <f>IF('Enrollment Census'!F362="","",TRIM('Enrollment Census'!F362&amp;""))</f>
        <v/>
      </c>
      <c r="G362" s="37">
        <f>IF('Enrollment Census'!G362="","",TRIM('Enrollment Census'!G362&amp;""))</f>
        <v/>
      </c>
      <c r="H362" s="37">
        <f>IF('Enrollment Census'!H362="","",TRIM('Enrollment Census'!H362&amp;""))</f>
        <v/>
      </c>
      <c r="I362" s="36">
        <f>IF('Enrollment Census'!I362="","",TRIM('Enrollment Census'!I362&amp;""))</f>
        <v/>
      </c>
      <c r="J362" s="36">
        <f>IF('Enrollment Census'!J362="","",TRIM('Enrollment Census'!J362&amp;""))</f>
        <v/>
      </c>
      <c r="K362" s="36">
        <f>IF('Enrollment Census'!K362="","",TRIM('Enrollment Census'!K362&amp;""))</f>
        <v/>
      </c>
      <c r="L362" s="38">
        <f>IF('Enrollment Census'!L362="","",'Enrollment Census'!L362)</f>
        <v/>
      </c>
      <c r="M362" s="36">
        <f>IF('Enrollment Census'!M362="","",TRIM('Enrollment Census'!M362&amp;""))</f>
        <v/>
      </c>
      <c r="N362" s="36">
        <f>IF('Enrollment Census'!N362="","",LOWER(TRIM('Enrollment Census'!N362&amp;"")))</f>
        <v/>
      </c>
      <c r="O362" s="36">
        <f>IF('Enrollment Census'!O362="","",TRIM('Enrollment Census'!O362&amp;""))</f>
        <v/>
      </c>
      <c r="P362" s="38">
        <f>IF('Enrollment Census'!P362="","",'Enrollment Census'!P362)</f>
        <v/>
      </c>
      <c r="Q362" s="38">
        <f>IF('Enrollment Census'!Q362="","",'Enrollment Census'!Q362)</f>
        <v/>
      </c>
      <c r="R362" s="36">
        <f>IF('Enrollment Census'!R362="","",TRIM('Enrollment Census'!R362&amp;""))</f>
        <v/>
      </c>
      <c r="S362" s="36">
        <f>IF('Enrollment Census'!S362="","",TRIM('Enrollment Census'!S362&amp;""))</f>
        <v/>
      </c>
      <c r="T362" s="36">
        <f>IF('Enrollment Census'!T362="","",TRIM('Enrollment Census'!T362&amp;""))</f>
        <v/>
      </c>
      <c r="U362" s="39">
        <f>IF('Enrollment Census'!U362="","",'Enrollment Census'!U362)</f>
        <v/>
      </c>
    </row>
    <row r="363">
      <c r="A363" s="36">
        <f>IF('Enrollment Census'!A363="","",TRIM('Enrollment Census'!A363&amp;""))</f>
        <v/>
      </c>
      <c r="B363" s="36">
        <f>IF('Enrollment Census'!B363="","",TRIM('Enrollment Census'!B363&amp;""))</f>
        <v/>
      </c>
      <c r="C363" s="37">
        <f>IF('Enrollment Census'!C363="","",TRIM('Enrollment Census'!C363&amp;""))</f>
        <v/>
      </c>
      <c r="D363" s="37">
        <f>IF('Enrollment Census'!D363="","",TRIM('Enrollment Census'!D363&amp;""))</f>
        <v/>
      </c>
      <c r="E363" s="36">
        <f>IF('Enrollment Census'!E363="","",TRIM('Enrollment Census'!E363&amp;""))</f>
        <v/>
      </c>
      <c r="F363" s="37">
        <f>IF('Enrollment Census'!F363="","",TRIM('Enrollment Census'!F363&amp;""))</f>
        <v/>
      </c>
      <c r="G363" s="37">
        <f>IF('Enrollment Census'!G363="","",TRIM('Enrollment Census'!G363&amp;""))</f>
        <v/>
      </c>
      <c r="H363" s="37">
        <f>IF('Enrollment Census'!H363="","",TRIM('Enrollment Census'!H363&amp;""))</f>
        <v/>
      </c>
      <c r="I363" s="36">
        <f>IF('Enrollment Census'!I363="","",TRIM('Enrollment Census'!I363&amp;""))</f>
        <v/>
      </c>
      <c r="J363" s="36">
        <f>IF('Enrollment Census'!J363="","",TRIM('Enrollment Census'!J363&amp;""))</f>
        <v/>
      </c>
      <c r="K363" s="36">
        <f>IF('Enrollment Census'!K363="","",TRIM('Enrollment Census'!K363&amp;""))</f>
        <v/>
      </c>
      <c r="L363" s="38">
        <f>IF('Enrollment Census'!L363="","",'Enrollment Census'!L363)</f>
        <v/>
      </c>
      <c r="M363" s="36">
        <f>IF('Enrollment Census'!M363="","",TRIM('Enrollment Census'!M363&amp;""))</f>
        <v/>
      </c>
      <c r="N363" s="36">
        <f>IF('Enrollment Census'!N363="","",LOWER(TRIM('Enrollment Census'!N363&amp;"")))</f>
        <v/>
      </c>
      <c r="O363" s="36">
        <f>IF('Enrollment Census'!O363="","",TRIM('Enrollment Census'!O363&amp;""))</f>
        <v/>
      </c>
      <c r="P363" s="38">
        <f>IF('Enrollment Census'!P363="","",'Enrollment Census'!P363)</f>
        <v/>
      </c>
      <c r="Q363" s="38">
        <f>IF('Enrollment Census'!Q363="","",'Enrollment Census'!Q363)</f>
        <v/>
      </c>
      <c r="R363" s="36">
        <f>IF('Enrollment Census'!R363="","",TRIM('Enrollment Census'!R363&amp;""))</f>
        <v/>
      </c>
      <c r="S363" s="36">
        <f>IF('Enrollment Census'!S363="","",TRIM('Enrollment Census'!S363&amp;""))</f>
        <v/>
      </c>
      <c r="T363" s="36">
        <f>IF('Enrollment Census'!T363="","",TRIM('Enrollment Census'!T363&amp;""))</f>
        <v/>
      </c>
      <c r="U363" s="39">
        <f>IF('Enrollment Census'!U363="","",'Enrollment Census'!U363)</f>
        <v/>
      </c>
    </row>
    <row r="364">
      <c r="A364" s="36">
        <f>IF('Enrollment Census'!A364="","",TRIM('Enrollment Census'!A364&amp;""))</f>
        <v/>
      </c>
      <c r="B364" s="36">
        <f>IF('Enrollment Census'!B364="","",TRIM('Enrollment Census'!B364&amp;""))</f>
        <v/>
      </c>
      <c r="C364" s="37">
        <f>IF('Enrollment Census'!C364="","",TRIM('Enrollment Census'!C364&amp;""))</f>
        <v/>
      </c>
      <c r="D364" s="37">
        <f>IF('Enrollment Census'!D364="","",TRIM('Enrollment Census'!D364&amp;""))</f>
        <v/>
      </c>
      <c r="E364" s="36">
        <f>IF('Enrollment Census'!E364="","",TRIM('Enrollment Census'!E364&amp;""))</f>
        <v/>
      </c>
      <c r="F364" s="37">
        <f>IF('Enrollment Census'!F364="","",TRIM('Enrollment Census'!F364&amp;""))</f>
        <v/>
      </c>
      <c r="G364" s="37">
        <f>IF('Enrollment Census'!G364="","",TRIM('Enrollment Census'!G364&amp;""))</f>
        <v/>
      </c>
      <c r="H364" s="37">
        <f>IF('Enrollment Census'!H364="","",TRIM('Enrollment Census'!H364&amp;""))</f>
        <v/>
      </c>
      <c r="I364" s="36">
        <f>IF('Enrollment Census'!I364="","",TRIM('Enrollment Census'!I364&amp;""))</f>
        <v/>
      </c>
      <c r="J364" s="36">
        <f>IF('Enrollment Census'!J364="","",TRIM('Enrollment Census'!J364&amp;""))</f>
        <v/>
      </c>
      <c r="K364" s="36">
        <f>IF('Enrollment Census'!K364="","",TRIM('Enrollment Census'!K364&amp;""))</f>
        <v/>
      </c>
      <c r="L364" s="38">
        <f>IF('Enrollment Census'!L364="","",'Enrollment Census'!L364)</f>
        <v/>
      </c>
      <c r="M364" s="36">
        <f>IF('Enrollment Census'!M364="","",TRIM('Enrollment Census'!M364&amp;""))</f>
        <v/>
      </c>
      <c r="N364" s="36">
        <f>IF('Enrollment Census'!N364="","",LOWER(TRIM('Enrollment Census'!N364&amp;"")))</f>
        <v/>
      </c>
      <c r="O364" s="36">
        <f>IF('Enrollment Census'!O364="","",TRIM('Enrollment Census'!O364&amp;""))</f>
        <v/>
      </c>
      <c r="P364" s="38">
        <f>IF('Enrollment Census'!P364="","",'Enrollment Census'!P364)</f>
        <v/>
      </c>
      <c r="Q364" s="38">
        <f>IF('Enrollment Census'!Q364="","",'Enrollment Census'!Q364)</f>
        <v/>
      </c>
      <c r="R364" s="36">
        <f>IF('Enrollment Census'!R364="","",TRIM('Enrollment Census'!R364&amp;""))</f>
        <v/>
      </c>
      <c r="S364" s="36">
        <f>IF('Enrollment Census'!S364="","",TRIM('Enrollment Census'!S364&amp;""))</f>
        <v/>
      </c>
      <c r="T364" s="36">
        <f>IF('Enrollment Census'!T364="","",TRIM('Enrollment Census'!T364&amp;""))</f>
        <v/>
      </c>
      <c r="U364" s="39">
        <f>IF('Enrollment Census'!U364="","",'Enrollment Census'!U364)</f>
        <v/>
      </c>
    </row>
    <row r="365">
      <c r="A365" s="36">
        <f>IF('Enrollment Census'!A365="","",TRIM('Enrollment Census'!A365&amp;""))</f>
        <v/>
      </c>
      <c r="B365" s="36">
        <f>IF('Enrollment Census'!B365="","",TRIM('Enrollment Census'!B365&amp;""))</f>
        <v/>
      </c>
      <c r="C365" s="37">
        <f>IF('Enrollment Census'!C365="","",TRIM('Enrollment Census'!C365&amp;""))</f>
        <v/>
      </c>
      <c r="D365" s="37">
        <f>IF('Enrollment Census'!D365="","",TRIM('Enrollment Census'!D365&amp;""))</f>
        <v/>
      </c>
      <c r="E365" s="36">
        <f>IF('Enrollment Census'!E365="","",TRIM('Enrollment Census'!E365&amp;""))</f>
        <v/>
      </c>
      <c r="F365" s="37">
        <f>IF('Enrollment Census'!F365="","",TRIM('Enrollment Census'!F365&amp;""))</f>
        <v/>
      </c>
      <c r="G365" s="37">
        <f>IF('Enrollment Census'!G365="","",TRIM('Enrollment Census'!G365&amp;""))</f>
        <v/>
      </c>
      <c r="H365" s="37">
        <f>IF('Enrollment Census'!H365="","",TRIM('Enrollment Census'!H365&amp;""))</f>
        <v/>
      </c>
      <c r="I365" s="36">
        <f>IF('Enrollment Census'!I365="","",TRIM('Enrollment Census'!I365&amp;""))</f>
        <v/>
      </c>
      <c r="J365" s="36">
        <f>IF('Enrollment Census'!J365="","",TRIM('Enrollment Census'!J365&amp;""))</f>
        <v/>
      </c>
      <c r="K365" s="36">
        <f>IF('Enrollment Census'!K365="","",TRIM('Enrollment Census'!K365&amp;""))</f>
        <v/>
      </c>
      <c r="L365" s="38">
        <f>IF('Enrollment Census'!L365="","",'Enrollment Census'!L365)</f>
        <v/>
      </c>
      <c r="M365" s="36">
        <f>IF('Enrollment Census'!M365="","",TRIM('Enrollment Census'!M365&amp;""))</f>
        <v/>
      </c>
      <c r="N365" s="36">
        <f>IF('Enrollment Census'!N365="","",LOWER(TRIM('Enrollment Census'!N365&amp;"")))</f>
        <v/>
      </c>
      <c r="O365" s="36">
        <f>IF('Enrollment Census'!O365="","",TRIM('Enrollment Census'!O365&amp;""))</f>
        <v/>
      </c>
      <c r="P365" s="38">
        <f>IF('Enrollment Census'!P365="","",'Enrollment Census'!P365)</f>
        <v/>
      </c>
      <c r="Q365" s="38">
        <f>IF('Enrollment Census'!Q365="","",'Enrollment Census'!Q365)</f>
        <v/>
      </c>
      <c r="R365" s="36">
        <f>IF('Enrollment Census'!R365="","",TRIM('Enrollment Census'!R365&amp;""))</f>
        <v/>
      </c>
      <c r="S365" s="36">
        <f>IF('Enrollment Census'!S365="","",TRIM('Enrollment Census'!S365&amp;""))</f>
        <v/>
      </c>
      <c r="T365" s="36">
        <f>IF('Enrollment Census'!T365="","",TRIM('Enrollment Census'!T365&amp;""))</f>
        <v/>
      </c>
      <c r="U365" s="39">
        <f>IF('Enrollment Census'!U365="","",'Enrollment Census'!U365)</f>
        <v/>
      </c>
    </row>
    <row r="366">
      <c r="A366" s="36">
        <f>IF('Enrollment Census'!A366="","",TRIM('Enrollment Census'!A366&amp;""))</f>
        <v/>
      </c>
      <c r="B366" s="36">
        <f>IF('Enrollment Census'!B366="","",TRIM('Enrollment Census'!B366&amp;""))</f>
        <v/>
      </c>
      <c r="C366" s="37">
        <f>IF('Enrollment Census'!C366="","",TRIM('Enrollment Census'!C366&amp;""))</f>
        <v/>
      </c>
      <c r="D366" s="37">
        <f>IF('Enrollment Census'!D366="","",TRIM('Enrollment Census'!D366&amp;""))</f>
        <v/>
      </c>
      <c r="E366" s="36">
        <f>IF('Enrollment Census'!E366="","",TRIM('Enrollment Census'!E366&amp;""))</f>
        <v/>
      </c>
      <c r="F366" s="37">
        <f>IF('Enrollment Census'!F366="","",TRIM('Enrollment Census'!F366&amp;""))</f>
        <v/>
      </c>
      <c r="G366" s="37">
        <f>IF('Enrollment Census'!G366="","",TRIM('Enrollment Census'!G366&amp;""))</f>
        <v/>
      </c>
      <c r="H366" s="37">
        <f>IF('Enrollment Census'!H366="","",TRIM('Enrollment Census'!H366&amp;""))</f>
        <v/>
      </c>
      <c r="I366" s="36">
        <f>IF('Enrollment Census'!I366="","",TRIM('Enrollment Census'!I366&amp;""))</f>
        <v/>
      </c>
      <c r="J366" s="36">
        <f>IF('Enrollment Census'!J366="","",TRIM('Enrollment Census'!J366&amp;""))</f>
        <v/>
      </c>
      <c r="K366" s="36">
        <f>IF('Enrollment Census'!K366="","",TRIM('Enrollment Census'!K366&amp;""))</f>
        <v/>
      </c>
      <c r="L366" s="38">
        <f>IF('Enrollment Census'!L366="","",'Enrollment Census'!L366)</f>
        <v/>
      </c>
      <c r="M366" s="36">
        <f>IF('Enrollment Census'!M366="","",TRIM('Enrollment Census'!M366&amp;""))</f>
        <v/>
      </c>
      <c r="N366" s="36">
        <f>IF('Enrollment Census'!N366="","",LOWER(TRIM('Enrollment Census'!N366&amp;"")))</f>
        <v/>
      </c>
      <c r="O366" s="36">
        <f>IF('Enrollment Census'!O366="","",TRIM('Enrollment Census'!O366&amp;""))</f>
        <v/>
      </c>
      <c r="P366" s="38">
        <f>IF('Enrollment Census'!P366="","",'Enrollment Census'!P366)</f>
        <v/>
      </c>
      <c r="Q366" s="38">
        <f>IF('Enrollment Census'!Q366="","",'Enrollment Census'!Q366)</f>
        <v/>
      </c>
      <c r="R366" s="36">
        <f>IF('Enrollment Census'!R366="","",TRIM('Enrollment Census'!R366&amp;""))</f>
        <v/>
      </c>
      <c r="S366" s="36">
        <f>IF('Enrollment Census'!S366="","",TRIM('Enrollment Census'!S366&amp;""))</f>
        <v/>
      </c>
      <c r="T366" s="36">
        <f>IF('Enrollment Census'!T366="","",TRIM('Enrollment Census'!T366&amp;""))</f>
        <v/>
      </c>
      <c r="U366" s="39">
        <f>IF('Enrollment Census'!U366="","",'Enrollment Census'!U366)</f>
        <v/>
      </c>
    </row>
    <row r="367">
      <c r="A367" s="36">
        <f>IF('Enrollment Census'!A367="","",TRIM('Enrollment Census'!A367&amp;""))</f>
        <v/>
      </c>
      <c r="B367" s="36">
        <f>IF('Enrollment Census'!B367="","",TRIM('Enrollment Census'!B367&amp;""))</f>
        <v/>
      </c>
      <c r="C367" s="37">
        <f>IF('Enrollment Census'!C367="","",TRIM('Enrollment Census'!C367&amp;""))</f>
        <v/>
      </c>
      <c r="D367" s="37">
        <f>IF('Enrollment Census'!D367="","",TRIM('Enrollment Census'!D367&amp;""))</f>
        <v/>
      </c>
      <c r="E367" s="36">
        <f>IF('Enrollment Census'!E367="","",TRIM('Enrollment Census'!E367&amp;""))</f>
        <v/>
      </c>
      <c r="F367" s="37">
        <f>IF('Enrollment Census'!F367="","",TRIM('Enrollment Census'!F367&amp;""))</f>
        <v/>
      </c>
      <c r="G367" s="37">
        <f>IF('Enrollment Census'!G367="","",TRIM('Enrollment Census'!G367&amp;""))</f>
        <v/>
      </c>
      <c r="H367" s="37">
        <f>IF('Enrollment Census'!H367="","",TRIM('Enrollment Census'!H367&amp;""))</f>
        <v/>
      </c>
      <c r="I367" s="36">
        <f>IF('Enrollment Census'!I367="","",TRIM('Enrollment Census'!I367&amp;""))</f>
        <v/>
      </c>
      <c r="J367" s="36">
        <f>IF('Enrollment Census'!J367="","",TRIM('Enrollment Census'!J367&amp;""))</f>
        <v/>
      </c>
      <c r="K367" s="36">
        <f>IF('Enrollment Census'!K367="","",TRIM('Enrollment Census'!K367&amp;""))</f>
        <v/>
      </c>
      <c r="L367" s="38">
        <f>IF('Enrollment Census'!L367="","",'Enrollment Census'!L367)</f>
        <v/>
      </c>
      <c r="M367" s="36">
        <f>IF('Enrollment Census'!M367="","",TRIM('Enrollment Census'!M367&amp;""))</f>
        <v/>
      </c>
      <c r="N367" s="36">
        <f>IF('Enrollment Census'!N367="","",LOWER(TRIM('Enrollment Census'!N367&amp;"")))</f>
        <v/>
      </c>
      <c r="O367" s="36">
        <f>IF('Enrollment Census'!O367="","",TRIM('Enrollment Census'!O367&amp;""))</f>
        <v/>
      </c>
      <c r="P367" s="38">
        <f>IF('Enrollment Census'!P367="","",'Enrollment Census'!P367)</f>
        <v/>
      </c>
      <c r="Q367" s="38">
        <f>IF('Enrollment Census'!Q367="","",'Enrollment Census'!Q367)</f>
        <v/>
      </c>
      <c r="R367" s="36">
        <f>IF('Enrollment Census'!R367="","",TRIM('Enrollment Census'!R367&amp;""))</f>
        <v/>
      </c>
      <c r="S367" s="36">
        <f>IF('Enrollment Census'!S367="","",TRIM('Enrollment Census'!S367&amp;""))</f>
        <v/>
      </c>
      <c r="T367" s="36">
        <f>IF('Enrollment Census'!T367="","",TRIM('Enrollment Census'!T367&amp;""))</f>
        <v/>
      </c>
      <c r="U367" s="39">
        <f>IF('Enrollment Census'!U367="","",'Enrollment Census'!U367)</f>
        <v/>
      </c>
    </row>
    <row r="368">
      <c r="A368" s="36">
        <f>IF('Enrollment Census'!A368="","",TRIM('Enrollment Census'!A368&amp;""))</f>
        <v/>
      </c>
      <c r="B368" s="36">
        <f>IF('Enrollment Census'!B368="","",TRIM('Enrollment Census'!B368&amp;""))</f>
        <v/>
      </c>
      <c r="C368" s="37">
        <f>IF('Enrollment Census'!C368="","",TRIM('Enrollment Census'!C368&amp;""))</f>
        <v/>
      </c>
      <c r="D368" s="37">
        <f>IF('Enrollment Census'!D368="","",TRIM('Enrollment Census'!D368&amp;""))</f>
        <v/>
      </c>
      <c r="E368" s="36">
        <f>IF('Enrollment Census'!E368="","",TRIM('Enrollment Census'!E368&amp;""))</f>
        <v/>
      </c>
      <c r="F368" s="37">
        <f>IF('Enrollment Census'!F368="","",TRIM('Enrollment Census'!F368&amp;""))</f>
        <v/>
      </c>
      <c r="G368" s="37">
        <f>IF('Enrollment Census'!G368="","",TRIM('Enrollment Census'!G368&amp;""))</f>
        <v/>
      </c>
      <c r="H368" s="37">
        <f>IF('Enrollment Census'!H368="","",TRIM('Enrollment Census'!H368&amp;""))</f>
        <v/>
      </c>
      <c r="I368" s="36">
        <f>IF('Enrollment Census'!I368="","",TRIM('Enrollment Census'!I368&amp;""))</f>
        <v/>
      </c>
      <c r="J368" s="36">
        <f>IF('Enrollment Census'!J368="","",TRIM('Enrollment Census'!J368&amp;""))</f>
        <v/>
      </c>
      <c r="K368" s="36">
        <f>IF('Enrollment Census'!K368="","",TRIM('Enrollment Census'!K368&amp;""))</f>
        <v/>
      </c>
      <c r="L368" s="38">
        <f>IF('Enrollment Census'!L368="","",'Enrollment Census'!L368)</f>
        <v/>
      </c>
      <c r="M368" s="36">
        <f>IF('Enrollment Census'!M368="","",TRIM('Enrollment Census'!M368&amp;""))</f>
        <v/>
      </c>
      <c r="N368" s="36">
        <f>IF('Enrollment Census'!N368="","",LOWER(TRIM('Enrollment Census'!N368&amp;"")))</f>
        <v/>
      </c>
      <c r="O368" s="36">
        <f>IF('Enrollment Census'!O368="","",TRIM('Enrollment Census'!O368&amp;""))</f>
        <v/>
      </c>
      <c r="P368" s="38">
        <f>IF('Enrollment Census'!P368="","",'Enrollment Census'!P368)</f>
        <v/>
      </c>
      <c r="Q368" s="38">
        <f>IF('Enrollment Census'!Q368="","",'Enrollment Census'!Q368)</f>
        <v/>
      </c>
      <c r="R368" s="36">
        <f>IF('Enrollment Census'!R368="","",TRIM('Enrollment Census'!R368&amp;""))</f>
        <v/>
      </c>
      <c r="S368" s="36">
        <f>IF('Enrollment Census'!S368="","",TRIM('Enrollment Census'!S368&amp;""))</f>
        <v/>
      </c>
      <c r="T368" s="36">
        <f>IF('Enrollment Census'!T368="","",TRIM('Enrollment Census'!T368&amp;""))</f>
        <v/>
      </c>
      <c r="U368" s="39">
        <f>IF('Enrollment Census'!U368="","",'Enrollment Census'!U368)</f>
        <v/>
      </c>
    </row>
    <row r="369">
      <c r="A369" s="36">
        <f>IF('Enrollment Census'!A369="","",TRIM('Enrollment Census'!A369&amp;""))</f>
        <v/>
      </c>
      <c r="B369" s="36">
        <f>IF('Enrollment Census'!B369="","",TRIM('Enrollment Census'!B369&amp;""))</f>
        <v/>
      </c>
      <c r="C369" s="37">
        <f>IF('Enrollment Census'!C369="","",TRIM('Enrollment Census'!C369&amp;""))</f>
        <v/>
      </c>
      <c r="D369" s="37">
        <f>IF('Enrollment Census'!D369="","",TRIM('Enrollment Census'!D369&amp;""))</f>
        <v/>
      </c>
      <c r="E369" s="36">
        <f>IF('Enrollment Census'!E369="","",TRIM('Enrollment Census'!E369&amp;""))</f>
        <v/>
      </c>
      <c r="F369" s="37">
        <f>IF('Enrollment Census'!F369="","",TRIM('Enrollment Census'!F369&amp;""))</f>
        <v/>
      </c>
      <c r="G369" s="37">
        <f>IF('Enrollment Census'!G369="","",TRIM('Enrollment Census'!G369&amp;""))</f>
        <v/>
      </c>
      <c r="H369" s="37">
        <f>IF('Enrollment Census'!H369="","",TRIM('Enrollment Census'!H369&amp;""))</f>
        <v/>
      </c>
      <c r="I369" s="36">
        <f>IF('Enrollment Census'!I369="","",TRIM('Enrollment Census'!I369&amp;""))</f>
        <v/>
      </c>
      <c r="J369" s="36">
        <f>IF('Enrollment Census'!J369="","",TRIM('Enrollment Census'!J369&amp;""))</f>
        <v/>
      </c>
      <c r="K369" s="36">
        <f>IF('Enrollment Census'!K369="","",TRIM('Enrollment Census'!K369&amp;""))</f>
        <v/>
      </c>
      <c r="L369" s="38">
        <f>IF('Enrollment Census'!L369="","",'Enrollment Census'!L369)</f>
        <v/>
      </c>
      <c r="M369" s="36">
        <f>IF('Enrollment Census'!M369="","",TRIM('Enrollment Census'!M369&amp;""))</f>
        <v/>
      </c>
      <c r="N369" s="36">
        <f>IF('Enrollment Census'!N369="","",LOWER(TRIM('Enrollment Census'!N369&amp;"")))</f>
        <v/>
      </c>
      <c r="O369" s="36">
        <f>IF('Enrollment Census'!O369="","",TRIM('Enrollment Census'!O369&amp;""))</f>
        <v/>
      </c>
      <c r="P369" s="38">
        <f>IF('Enrollment Census'!P369="","",'Enrollment Census'!P369)</f>
        <v/>
      </c>
      <c r="Q369" s="38">
        <f>IF('Enrollment Census'!Q369="","",'Enrollment Census'!Q369)</f>
        <v/>
      </c>
      <c r="R369" s="36">
        <f>IF('Enrollment Census'!R369="","",TRIM('Enrollment Census'!R369&amp;""))</f>
        <v/>
      </c>
      <c r="S369" s="36">
        <f>IF('Enrollment Census'!S369="","",TRIM('Enrollment Census'!S369&amp;""))</f>
        <v/>
      </c>
      <c r="T369" s="36">
        <f>IF('Enrollment Census'!T369="","",TRIM('Enrollment Census'!T369&amp;""))</f>
        <v/>
      </c>
      <c r="U369" s="39">
        <f>IF('Enrollment Census'!U369="","",'Enrollment Census'!U369)</f>
        <v/>
      </c>
    </row>
    <row r="370">
      <c r="A370" s="36">
        <f>IF('Enrollment Census'!A370="","",TRIM('Enrollment Census'!A370&amp;""))</f>
        <v/>
      </c>
      <c r="B370" s="36">
        <f>IF('Enrollment Census'!B370="","",TRIM('Enrollment Census'!B370&amp;""))</f>
        <v/>
      </c>
      <c r="C370" s="37">
        <f>IF('Enrollment Census'!C370="","",TRIM('Enrollment Census'!C370&amp;""))</f>
        <v/>
      </c>
      <c r="D370" s="37">
        <f>IF('Enrollment Census'!D370="","",TRIM('Enrollment Census'!D370&amp;""))</f>
        <v/>
      </c>
      <c r="E370" s="36">
        <f>IF('Enrollment Census'!E370="","",TRIM('Enrollment Census'!E370&amp;""))</f>
        <v/>
      </c>
      <c r="F370" s="37">
        <f>IF('Enrollment Census'!F370="","",TRIM('Enrollment Census'!F370&amp;""))</f>
        <v/>
      </c>
      <c r="G370" s="37">
        <f>IF('Enrollment Census'!G370="","",TRIM('Enrollment Census'!G370&amp;""))</f>
        <v/>
      </c>
      <c r="H370" s="37">
        <f>IF('Enrollment Census'!H370="","",TRIM('Enrollment Census'!H370&amp;""))</f>
        <v/>
      </c>
      <c r="I370" s="36">
        <f>IF('Enrollment Census'!I370="","",TRIM('Enrollment Census'!I370&amp;""))</f>
        <v/>
      </c>
      <c r="J370" s="36">
        <f>IF('Enrollment Census'!J370="","",TRIM('Enrollment Census'!J370&amp;""))</f>
        <v/>
      </c>
      <c r="K370" s="36">
        <f>IF('Enrollment Census'!K370="","",TRIM('Enrollment Census'!K370&amp;""))</f>
        <v/>
      </c>
      <c r="L370" s="38">
        <f>IF('Enrollment Census'!L370="","",'Enrollment Census'!L370)</f>
        <v/>
      </c>
      <c r="M370" s="36">
        <f>IF('Enrollment Census'!M370="","",TRIM('Enrollment Census'!M370&amp;""))</f>
        <v/>
      </c>
      <c r="N370" s="36">
        <f>IF('Enrollment Census'!N370="","",LOWER(TRIM('Enrollment Census'!N370&amp;"")))</f>
        <v/>
      </c>
      <c r="O370" s="36">
        <f>IF('Enrollment Census'!O370="","",TRIM('Enrollment Census'!O370&amp;""))</f>
        <v/>
      </c>
      <c r="P370" s="38">
        <f>IF('Enrollment Census'!P370="","",'Enrollment Census'!P370)</f>
        <v/>
      </c>
      <c r="Q370" s="38">
        <f>IF('Enrollment Census'!Q370="","",'Enrollment Census'!Q370)</f>
        <v/>
      </c>
      <c r="R370" s="36">
        <f>IF('Enrollment Census'!R370="","",TRIM('Enrollment Census'!R370&amp;""))</f>
        <v/>
      </c>
      <c r="S370" s="36">
        <f>IF('Enrollment Census'!S370="","",TRIM('Enrollment Census'!S370&amp;""))</f>
        <v/>
      </c>
      <c r="T370" s="36">
        <f>IF('Enrollment Census'!T370="","",TRIM('Enrollment Census'!T370&amp;""))</f>
        <v/>
      </c>
      <c r="U370" s="39">
        <f>IF('Enrollment Census'!U370="","",'Enrollment Census'!U370)</f>
        <v/>
      </c>
    </row>
    <row r="371">
      <c r="A371" s="36">
        <f>IF('Enrollment Census'!A371="","",TRIM('Enrollment Census'!A371&amp;""))</f>
        <v/>
      </c>
      <c r="B371" s="36">
        <f>IF('Enrollment Census'!B371="","",TRIM('Enrollment Census'!B371&amp;""))</f>
        <v/>
      </c>
      <c r="C371" s="37">
        <f>IF('Enrollment Census'!C371="","",TRIM('Enrollment Census'!C371&amp;""))</f>
        <v/>
      </c>
      <c r="D371" s="37">
        <f>IF('Enrollment Census'!D371="","",TRIM('Enrollment Census'!D371&amp;""))</f>
        <v/>
      </c>
      <c r="E371" s="36">
        <f>IF('Enrollment Census'!E371="","",TRIM('Enrollment Census'!E371&amp;""))</f>
        <v/>
      </c>
      <c r="F371" s="37">
        <f>IF('Enrollment Census'!F371="","",TRIM('Enrollment Census'!F371&amp;""))</f>
        <v/>
      </c>
      <c r="G371" s="37">
        <f>IF('Enrollment Census'!G371="","",TRIM('Enrollment Census'!G371&amp;""))</f>
        <v/>
      </c>
      <c r="H371" s="37">
        <f>IF('Enrollment Census'!H371="","",TRIM('Enrollment Census'!H371&amp;""))</f>
        <v/>
      </c>
      <c r="I371" s="36">
        <f>IF('Enrollment Census'!I371="","",TRIM('Enrollment Census'!I371&amp;""))</f>
        <v/>
      </c>
      <c r="J371" s="36">
        <f>IF('Enrollment Census'!J371="","",TRIM('Enrollment Census'!J371&amp;""))</f>
        <v/>
      </c>
      <c r="K371" s="36">
        <f>IF('Enrollment Census'!K371="","",TRIM('Enrollment Census'!K371&amp;""))</f>
        <v/>
      </c>
      <c r="L371" s="38">
        <f>IF('Enrollment Census'!L371="","",'Enrollment Census'!L371)</f>
        <v/>
      </c>
      <c r="M371" s="36">
        <f>IF('Enrollment Census'!M371="","",TRIM('Enrollment Census'!M371&amp;""))</f>
        <v/>
      </c>
      <c r="N371" s="36">
        <f>IF('Enrollment Census'!N371="","",LOWER(TRIM('Enrollment Census'!N371&amp;"")))</f>
        <v/>
      </c>
      <c r="O371" s="36">
        <f>IF('Enrollment Census'!O371="","",TRIM('Enrollment Census'!O371&amp;""))</f>
        <v/>
      </c>
      <c r="P371" s="38">
        <f>IF('Enrollment Census'!P371="","",'Enrollment Census'!P371)</f>
        <v/>
      </c>
      <c r="Q371" s="38">
        <f>IF('Enrollment Census'!Q371="","",'Enrollment Census'!Q371)</f>
        <v/>
      </c>
      <c r="R371" s="36">
        <f>IF('Enrollment Census'!R371="","",TRIM('Enrollment Census'!R371&amp;""))</f>
        <v/>
      </c>
      <c r="S371" s="36">
        <f>IF('Enrollment Census'!S371="","",TRIM('Enrollment Census'!S371&amp;""))</f>
        <v/>
      </c>
      <c r="T371" s="36">
        <f>IF('Enrollment Census'!T371="","",TRIM('Enrollment Census'!T371&amp;""))</f>
        <v/>
      </c>
      <c r="U371" s="39">
        <f>IF('Enrollment Census'!U371="","",'Enrollment Census'!U371)</f>
        <v/>
      </c>
    </row>
    <row r="372">
      <c r="A372" s="36">
        <f>IF('Enrollment Census'!A372="","",TRIM('Enrollment Census'!A372&amp;""))</f>
        <v/>
      </c>
      <c r="B372" s="36">
        <f>IF('Enrollment Census'!B372="","",TRIM('Enrollment Census'!B372&amp;""))</f>
        <v/>
      </c>
      <c r="C372" s="37">
        <f>IF('Enrollment Census'!C372="","",TRIM('Enrollment Census'!C372&amp;""))</f>
        <v/>
      </c>
      <c r="D372" s="37">
        <f>IF('Enrollment Census'!D372="","",TRIM('Enrollment Census'!D372&amp;""))</f>
        <v/>
      </c>
      <c r="E372" s="36">
        <f>IF('Enrollment Census'!E372="","",TRIM('Enrollment Census'!E372&amp;""))</f>
        <v/>
      </c>
      <c r="F372" s="37">
        <f>IF('Enrollment Census'!F372="","",TRIM('Enrollment Census'!F372&amp;""))</f>
        <v/>
      </c>
      <c r="G372" s="37">
        <f>IF('Enrollment Census'!G372="","",TRIM('Enrollment Census'!G372&amp;""))</f>
        <v/>
      </c>
      <c r="H372" s="37">
        <f>IF('Enrollment Census'!H372="","",TRIM('Enrollment Census'!H372&amp;""))</f>
        <v/>
      </c>
      <c r="I372" s="36">
        <f>IF('Enrollment Census'!I372="","",TRIM('Enrollment Census'!I372&amp;""))</f>
        <v/>
      </c>
      <c r="J372" s="36">
        <f>IF('Enrollment Census'!J372="","",TRIM('Enrollment Census'!J372&amp;""))</f>
        <v/>
      </c>
      <c r="K372" s="36">
        <f>IF('Enrollment Census'!K372="","",TRIM('Enrollment Census'!K372&amp;""))</f>
        <v/>
      </c>
      <c r="L372" s="38">
        <f>IF('Enrollment Census'!L372="","",'Enrollment Census'!L372)</f>
        <v/>
      </c>
      <c r="M372" s="36">
        <f>IF('Enrollment Census'!M372="","",TRIM('Enrollment Census'!M372&amp;""))</f>
        <v/>
      </c>
      <c r="N372" s="36">
        <f>IF('Enrollment Census'!N372="","",LOWER(TRIM('Enrollment Census'!N372&amp;"")))</f>
        <v/>
      </c>
      <c r="O372" s="36">
        <f>IF('Enrollment Census'!O372="","",TRIM('Enrollment Census'!O372&amp;""))</f>
        <v/>
      </c>
      <c r="P372" s="38">
        <f>IF('Enrollment Census'!P372="","",'Enrollment Census'!P372)</f>
        <v/>
      </c>
      <c r="Q372" s="38">
        <f>IF('Enrollment Census'!Q372="","",'Enrollment Census'!Q372)</f>
        <v/>
      </c>
      <c r="R372" s="36">
        <f>IF('Enrollment Census'!R372="","",TRIM('Enrollment Census'!R372&amp;""))</f>
        <v/>
      </c>
      <c r="S372" s="36">
        <f>IF('Enrollment Census'!S372="","",TRIM('Enrollment Census'!S372&amp;""))</f>
        <v/>
      </c>
      <c r="T372" s="36">
        <f>IF('Enrollment Census'!T372="","",TRIM('Enrollment Census'!T372&amp;""))</f>
        <v/>
      </c>
      <c r="U372" s="39">
        <f>IF('Enrollment Census'!U372="","",'Enrollment Census'!U372)</f>
        <v/>
      </c>
    </row>
    <row r="373">
      <c r="A373" s="36">
        <f>IF('Enrollment Census'!A373="","",TRIM('Enrollment Census'!A373&amp;""))</f>
        <v/>
      </c>
      <c r="B373" s="36">
        <f>IF('Enrollment Census'!B373="","",TRIM('Enrollment Census'!B373&amp;""))</f>
        <v/>
      </c>
      <c r="C373" s="37">
        <f>IF('Enrollment Census'!C373="","",TRIM('Enrollment Census'!C373&amp;""))</f>
        <v/>
      </c>
      <c r="D373" s="37">
        <f>IF('Enrollment Census'!D373="","",TRIM('Enrollment Census'!D373&amp;""))</f>
        <v/>
      </c>
      <c r="E373" s="36">
        <f>IF('Enrollment Census'!E373="","",TRIM('Enrollment Census'!E373&amp;""))</f>
        <v/>
      </c>
      <c r="F373" s="37">
        <f>IF('Enrollment Census'!F373="","",TRIM('Enrollment Census'!F373&amp;""))</f>
        <v/>
      </c>
      <c r="G373" s="37">
        <f>IF('Enrollment Census'!G373="","",TRIM('Enrollment Census'!G373&amp;""))</f>
        <v/>
      </c>
      <c r="H373" s="37">
        <f>IF('Enrollment Census'!H373="","",TRIM('Enrollment Census'!H373&amp;""))</f>
        <v/>
      </c>
      <c r="I373" s="36">
        <f>IF('Enrollment Census'!I373="","",TRIM('Enrollment Census'!I373&amp;""))</f>
        <v/>
      </c>
      <c r="J373" s="36">
        <f>IF('Enrollment Census'!J373="","",TRIM('Enrollment Census'!J373&amp;""))</f>
        <v/>
      </c>
      <c r="K373" s="36">
        <f>IF('Enrollment Census'!K373="","",TRIM('Enrollment Census'!K373&amp;""))</f>
        <v/>
      </c>
      <c r="L373" s="38">
        <f>IF('Enrollment Census'!L373="","",'Enrollment Census'!L373)</f>
        <v/>
      </c>
      <c r="M373" s="36">
        <f>IF('Enrollment Census'!M373="","",TRIM('Enrollment Census'!M373&amp;""))</f>
        <v/>
      </c>
      <c r="N373" s="36">
        <f>IF('Enrollment Census'!N373="","",LOWER(TRIM('Enrollment Census'!N373&amp;"")))</f>
        <v/>
      </c>
      <c r="O373" s="36">
        <f>IF('Enrollment Census'!O373="","",TRIM('Enrollment Census'!O373&amp;""))</f>
        <v/>
      </c>
      <c r="P373" s="38">
        <f>IF('Enrollment Census'!P373="","",'Enrollment Census'!P373)</f>
        <v/>
      </c>
      <c r="Q373" s="38">
        <f>IF('Enrollment Census'!Q373="","",'Enrollment Census'!Q373)</f>
        <v/>
      </c>
      <c r="R373" s="36">
        <f>IF('Enrollment Census'!R373="","",TRIM('Enrollment Census'!R373&amp;""))</f>
        <v/>
      </c>
      <c r="S373" s="36">
        <f>IF('Enrollment Census'!S373="","",TRIM('Enrollment Census'!S373&amp;""))</f>
        <v/>
      </c>
      <c r="T373" s="36">
        <f>IF('Enrollment Census'!T373="","",TRIM('Enrollment Census'!T373&amp;""))</f>
        <v/>
      </c>
      <c r="U373" s="39">
        <f>IF('Enrollment Census'!U373="","",'Enrollment Census'!U373)</f>
        <v/>
      </c>
    </row>
    <row r="374">
      <c r="A374" s="36">
        <f>IF('Enrollment Census'!A374="","",TRIM('Enrollment Census'!A374&amp;""))</f>
        <v/>
      </c>
      <c r="B374" s="36">
        <f>IF('Enrollment Census'!B374="","",TRIM('Enrollment Census'!B374&amp;""))</f>
        <v/>
      </c>
      <c r="C374" s="37">
        <f>IF('Enrollment Census'!C374="","",TRIM('Enrollment Census'!C374&amp;""))</f>
        <v/>
      </c>
      <c r="D374" s="37">
        <f>IF('Enrollment Census'!D374="","",TRIM('Enrollment Census'!D374&amp;""))</f>
        <v/>
      </c>
      <c r="E374" s="36">
        <f>IF('Enrollment Census'!E374="","",TRIM('Enrollment Census'!E374&amp;""))</f>
        <v/>
      </c>
      <c r="F374" s="37">
        <f>IF('Enrollment Census'!F374="","",TRIM('Enrollment Census'!F374&amp;""))</f>
        <v/>
      </c>
      <c r="G374" s="37">
        <f>IF('Enrollment Census'!G374="","",TRIM('Enrollment Census'!G374&amp;""))</f>
        <v/>
      </c>
      <c r="H374" s="37">
        <f>IF('Enrollment Census'!H374="","",TRIM('Enrollment Census'!H374&amp;""))</f>
        <v/>
      </c>
      <c r="I374" s="36">
        <f>IF('Enrollment Census'!I374="","",TRIM('Enrollment Census'!I374&amp;""))</f>
        <v/>
      </c>
      <c r="J374" s="36">
        <f>IF('Enrollment Census'!J374="","",TRIM('Enrollment Census'!J374&amp;""))</f>
        <v/>
      </c>
      <c r="K374" s="36">
        <f>IF('Enrollment Census'!K374="","",TRIM('Enrollment Census'!K374&amp;""))</f>
        <v/>
      </c>
      <c r="L374" s="38">
        <f>IF('Enrollment Census'!L374="","",'Enrollment Census'!L374)</f>
        <v/>
      </c>
      <c r="M374" s="36">
        <f>IF('Enrollment Census'!M374="","",TRIM('Enrollment Census'!M374&amp;""))</f>
        <v/>
      </c>
      <c r="N374" s="36">
        <f>IF('Enrollment Census'!N374="","",LOWER(TRIM('Enrollment Census'!N374&amp;"")))</f>
        <v/>
      </c>
      <c r="O374" s="36">
        <f>IF('Enrollment Census'!O374="","",TRIM('Enrollment Census'!O374&amp;""))</f>
        <v/>
      </c>
      <c r="P374" s="38">
        <f>IF('Enrollment Census'!P374="","",'Enrollment Census'!P374)</f>
        <v/>
      </c>
      <c r="Q374" s="38">
        <f>IF('Enrollment Census'!Q374="","",'Enrollment Census'!Q374)</f>
        <v/>
      </c>
      <c r="R374" s="36">
        <f>IF('Enrollment Census'!R374="","",TRIM('Enrollment Census'!R374&amp;""))</f>
        <v/>
      </c>
      <c r="S374" s="36">
        <f>IF('Enrollment Census'!S374="","",TRIM('Enrollment Census'!S374&amp;""))</f>
        <v/>
      </c>
      <c r="T374" s="36">
        <f>IF('Enrollment Census'!T374="","",TRIM('Enrollment Census'!T374&amp;""))</f>
        <v/>
      </c>
      <c r="U374" s="39">
        <f>IF('Enrollment Census'!U374="","",'Enrollment Census'!U374)</f>
        <v/>
      </c>
    </row>
    <row r="375">
      <c r="A375" s="36">
        <f>IF('Enrollment Census'!A375="","",TRIM('Enrollment Census'!A375&amp;""))</f>
        <v/>
      </c>
      <c r="B375" s="36">
        <f>IF('Enrollment Census'!B375="","",TRIM('Enrollment Census'!B375&amp;""))</f>
        <v/>
      </c>
      <c r="C375" s="37">
        <f>IF('Enrollment Census'!C375="","",TRIM('Enrollment Census'!C375&amp;""))</f>
        <v/>
      </c>
      <c r="D375" s="37">
        <f>IF('Enrollment Census'!D375="","",TRIM('Enrollment Census'!D375&amp;""))</f>
        <v/>
      </c>
      <c r="E375" s="36">
        <f>IF('Enrollment Census'!E375="","",TRIM('Enrollment Census'!E375&amp;""))</f>
        <v/>
      </c>
      <c r="F375" s="37">
        <f>IF('Enrollment Census'!F375="","",TRIM('Enrollment Census'!F375&amp;""))</f>
        <v/>
      </c>
      <c r="G375" s="37">
        <f>IF('Enrollment Census'!G375="","",TRIM('Enrollment Census'!G375&amp;""))</f>
        <v/>
      </c>
      <c r="H375" s="37">
        <f>IF('Enrollment Census'!H375="","",TRIM('Enrollment Census'!H375&amp;""))</f>
        <v/>
      </c>
      <c r="I375" s="36">
        <f>IF('Enrollment Census'!I375="","",TRIM('Enrollment Census'!I375&amp;""))</f>
        <v/>
      </c>
      <c r="J375" s="36">
        <f>IF('Enrollment Census'!J375="","",TRIM('Enrollment Census'!J375&amp;""))</f>
        <v/>
      </c>
      <c r="K375" s="36">
        <f>IF('Enrollment Census'!K375="","",TRIM('Enrollment Census'!K375&amp;""))</f>
        <v/>
      </c>
      <c r="L375" s="38">
        <f>IF('Enrollment Census'!L375="","",'Enrollment Census'!L375)</f>
        <v/>
      </c>
      <c r="M375" s="36">
        <f>IF('Enrollment Census'!M375="","",TRIM('Enrollment Census'!M375&amp;""))</f>
        <v/>
      </c>
      <c r="N375" s="36">
        <f>IF('Enrollment Census'!N375="","",LOWER(TRIM('Enrollment Census'!N375&amp;"")))</f>
        <v/>
      </c>
      <c r="O375" s="36">
        <f>IF('Enrollment Census'!O375="","",TRIM('Enrollment Census'!O375&amp;""))</f>
        <v/>
      </c>
      <c r="P375" s="38">
        <f>IF('Enrollment Census'!P375="","",'Enrollment Census'!P375)</f>
        <v/>
      </c>
      <c r="Q375" s="38">
        <f>IF('Enrollment Census'!Q375="","",'Enrollment Census'!Q375)</f>
        <v/>
      </c>
      <c r="R375" s="36">
        <f>IF('Enrollment Census'!R375="","",TRIM('Enrollment Census'!R375&amp;""))</f>
        <v/>
      </c>
      <c r="S375" s="36">
        <f>IF('Enrollment Census'!S375="","",TRIM('Enrollment Census'!S375&amp;""))</f>
        <v/>
      </c>
      <c r="T375" s="36">
        <f>IF('Enrollment Census'!T375="","",TRIM('Enrollment Census'!T375&amp;""))</f>
        <v/>
      </c>
      <c r="U375" s="39">
        <f>IF('Enrollment Census'!U375="","",'Enrollment Census'!U375)</f>
        <v/>
      </c>
    </row>
    <row r="376">
      <c r="A376" s="36">
        <f>IF('Enrollment Census'!A376="","",TRIM('Enrollment Census'!A376&amp;""))</f>
        <v/>
      </c>
      <c r="B376" s="36">
        <f>IF('Enrollment Census'!B376="","",TRIM('Enrollment Census'!B376&amp;""))</f>
        <v/>
      </c>
      <c r="C376" s="37">
        <f>IF('Enrollment Census'!C376="","",TRIM('Enrollment Census'!C376&amp;""))</f>
        <v/>
      </c>
      <c r="D376" s="37">
        <f>IF('Enrollment Census'!D376="","",TRIM('Enrollment Census'!D376&amp;""))</f>
        <v/>
      </c>
      <c r="E376" s="36">
        <f>IF('Enrollment Census'!E376="","",TRIM('Enrollment Census'!E376&amp;""))</f>
        <v/>
      </c>
      <c r="F376" s="37">
        <f>IF('Enrollment Census'!F376="","",TRIM('Enrollment Census'!F376&amp;""))</f>
        <v/>
      </c>
      <c r="G376" s="37">
        <f>IF('Enrollment Census'!G376="","",TRIM('Enrollment Census'!G376&amp;""))</f>
        <v/>
      </c>
      <c r="H376" s="37">
        <f>IF('Enrollment Census'!H376="","",TRIM('Enrollment Census'!H376&amp;""))</f>
        <v/>
      </c>
      <c r="I376" s="36">
        <f>IF('Enrollment Census'!I376="","",TRIM('Enrollment Census'!I376&amp;""))</f>
        <v/>
      </c>
      <c r="J376" s="36">
        <f>IF('Enrollment Census'!J376="","",TRIM('Enrollment Census'!J376&amp;""))</f>
        <v/>
      </c>
      <c r="K376" s="36">
        <f>IF('Enrollment Census'!K376="","",TRIM('Enrollment Census'!K376&amp;""))</f>
        <v/>
      </c>
      <c r="L376" s="38">
        <f>IF('Enrollment Census'!L376="","",'Enrollment Census'!L376)</f>
        <v/>
      </c>
      <c r="M376" s="36">
        <f>IF('Enrollment Census'!M376="","",TRIM('Enrollment Census'!M376&amp;""))</f>
        <v/>
      </c>
      <c r="N376" s="36">
        <f>IF('Enrollment Census'!N376="","",LOWER(TRIM('Enrollment Census'!N376&amp;"")))</f>
        <v/>
      </c>
      <c r="O376" s="36">
        <f>IF('Enrollment Census'!O376="","",TRIM('Enrollment Census'!O376&amp;""))</f>
        <v/>
      </c>
      <c r="P376" s="38">
        <f>IF('Enrollment Census'!P376="","",'Enrollment Census'!P376)</f>
        <v/>
      </c>
      <c r="Q376" s="38">
        <f>IF('Enrollment Census'!Q376="","",'Enrollment Census'!Q376)</f>
        <v/>
      </c>
      <c r="R376" s="36">
        <f>IF('Enrollment Census'!R376="","",TRIM('Enrollment Census'!R376&amp;""))</f>
        <v/>
      </c>
      <c r="S376" s="36">
        <f>IF('Enrollment Census'!S376="","",TRIM('Enrollment Census'!S376&amp;""))</f>
        <v/>
      </c>
      <c r="T376" s="36">
        <f>IF('Enrollment Census'!T376="","",TRIM('Enrollment Census'!T376&amp;""))</f>
        <v/>
      </c>
      <c r="U376" s="39">
        <f>IF('Enrollment Census'!U376="","",'Enrollment Census'!U376)</f>
        <v/>
      </c>
    </row>
    <row r="377">
      <c r="A377" s="36">
        <f>IF('Enrollment Census'!A377="","",TRIM('Enrollment Census'!A377&amp;""))</f>
        <v/>
      </c>
      <c r="B377" s="36">
        <f>IF('Enrollment Census'!B377="","",TRIM('Enrollment Census'!B377&amp;""))</f>
        <v/>
      </c>
      <c r="C377" s="37">
        <f>IF('Enrollment Census'!C377="","",TRIM('Enrollment Census'!C377&amp;""))</f>
        <v/>
      </c>
      <c r="D377" s="37">
        <f>IF('Enrollment Census'!D377="","",TRIM('Enrollment Census'!D377&amp;""))</f>
        <v/>
      </c>
      <c r="E377" s="36">
        <f>IF('Enrollment Census'!E377="","",TRIM('Enrollment Census'!E377&amp;""))</f>
        <v/>
      </c>
      <c r="F377" s="37">
        <f>IF('Enrollment Census'!F377="","",TRIM('Enrollment Census'!F377&amp;""))</f>
        <v/>
      </c>
      <c r="G377" s="37">
        <f>IF('Enrollment Census'!G377="","",TRIM('Enrollment Census'!G377&amp;""))</f>
        <v/>
      </c>
      <c r="H377" s="37">
        <f>IF('Enrollment Census'!H377="","",TRIM('Enrollment Census'!H377&amp;""))</f>
        <v/>
      </c>
      <c r="I377" s="36">
        <f>IF('Enrollment Census'!I377="","",TRIM('Enrollment Census'!I377&amp;""))</f>
        <v/>
      </c>
      <c r="J377" s="36">
        <f>IF('Enrollment Census'!J377="","",TRIM('Enrollment Census'!J377&amp;""))</f>
        <v/>
      </c>
      <c r="K377" s="36">
        <f>IF('Enrollment Census'!K377="","",TRIM('Enrollment Census'!K377&amp;""))</f>
        <v/>
      </c>
      <c r="L377" s="38">
        <f>IF('Enrollment Census'!L377="","",'Enrollment Census'!L377)</f>
        <v/>
      </c>
      <c r="M377" s="36">
        <f>IF('Enrollment Census'!M377="","",TRIM('Enrollment Census'!M377&amp;""))</f>
        <v/>
      </c>
      <c r="N377" s="36">
        <f>IF('Enrollment Census'!N377="","",LOWER(TRIM('Enrollment Census'!N377&amp;"")))</f>
        <v/>
      </c>
      <c r="O377" s="36">
        <f>IF('Enrollment Census'!O377="","",TRIM('Enrollment Census'!O377&amp;""))</f>
        <v/>
      </c>
      <c r="P377" s="38">
        <f>IF('Enrollment Census'!P377="","",'Enrollment Census'!P377)</f>
        <v/>
      </c>
      <c r="Q377" s="38">
        <f>IF('Enrollment Census'!Q377="","",'Enrollment Census'!Q377)</f>
        <v/>
      </c>
      <c r="R377" s="36">
        <f>IF('Enrollment Census'!R377="","",TRIM('Enrollment Census'!R377&amp;""))</f>
        <v/>
      </c>
      <c r="S377" s="36">
        <f>IF('Enrollment Census'!S377="","",TRIM('Enrollment Census'!S377&amp;""))</f>
        <v/>
      </c>
      <c r="T377" s="36">
        <f>IF('Enrollment Census'!T377="","",TRIM('Enrollment Census'!T377&amp;""))</f>
        <v/>
      </c>
      <c r="U377" s="39">
        <f>IF('Enrollment Census'!U377="","",'Enrollment Census'!U377)</f>
        <v/>
      </c>
    </row>
    <row r="378">
      <c r="A378" s="36">
        <f>IF('Enrollment Census'!A378="","",TRIM('Enrollment Census'!A378&amp;""))</f>
        <v/>
      </c>
      <c r="B378" s="36">
        <f>IF('Enrollment Census'!B378="","",TRIM('Enrollment Census'!B378&amp;""))</f>
        <v/>
      </c>
      <c r="C378" s="37">
        <f>IF('Enrollment Census'!C378="","",TRIM('Enrollment Census'!C378&amp;""))</f>
        <v/>
      </c>
      <c r="D378" s="37">
        <f>IF('Enrollment Census'!D378="","",TRIM('Enrollment Census'!D378&amp;""))</f>
        <v/>
      </c>
      <c r="E378" s="36">
        <f>IF('Enrollment Census'!E378="","",TRIM('Enrollment Census'!E378&amp;""))</f>
        <v/>
      </c>
      <c r="F378" s="37">
        <f>IF('Enrollment Census'!F378="","",TRIM('Enrollment Census'!F378&amp;""))</f>
        <v/>
      </c>
      <c r="G378" s="37">
        <f>IF('Enrollment Census'!G378="","",TRIM('Enrollment Census'!G378&amp;""))</f>
        <v/>
      </c>
      <c r="H378" s="37">
        <f>IF('Enrollment Census'!H378="","",TRIM('Enrollment Census'!H378&amp;""))</f>
        <v/>
      </c>
      <c r="I378" s="36">
        <f>IF('Enrollment Census'!I378="","",TRIM('Enrollment Census'!I378&amp;""))</f>
        <v/>
      </c>
      <c r="J378" s="36">
        <f>IF('Enrollment Census'!J378="","",TRIM('Enrollment Census'!J378&amp;""))</f>
        <v/>
      </c>
      <c r="K378" s="36">
        <f>IF('Enrollment Census'!K378="","",TRIM('Enrollment Census'!K378&amp;""))</f>
        <v/>
      </c>
      <c r="L378" s="38">
        <f>IF('Enrollment Census'!L378="","",'Enrollment Census'!L378)</f>
        <v/>
      </c>
      <c r="M378" s="36">
        <f>IF('Enrollment Census'!M378="","",TRIM('Enrollment Census'!M378&amp;""))</f>
        <v/>
      </c>
      <c r="N378" s="36">
        <f>IF('Enrollment Census'!N378="","",LOWER(TRIM('Enrollment Census'!N378&amp;"")))</f>
        <v/>
      </c>
      <c r="O378" s="36">
        <f>IF('Enrollment Census'!O378="","",TRIM('Enrollment Census'!O378&amp;""))</f>
        <v/>
      </c>
      <c r="P378" s="38">
        <f>IF('Enrollment Census'!P378="","",'Enrollment Census'!P378)</f>
        <v/>
      </c>
      <c r="Q378" s="38">
        <f>IF('Enrollment Census'!Q378="","",'Enrollment Census'!Q378)</f>
        <v/>
      </c>
      <c r="R378" s="36">
        <f>IF('Enrollment Census'!R378="","",TRIM('Enrollment Census'!R378&amp;""))</f>
        <v/>
      </c>
      <c r="S378" s="36">
        <f>IF('Enrollment Census'!S378="","",TRIM('Enrollment Census'!S378&amp;""))</f>
        <v/>
      </c>
      <c r="T378" s="36">
        <f>IF('Enrollment Census'!T378="","",TRIM('Enrollment Census'!T378&amp;""))</f>
        <v/>
      </c>
      <c r="U378" s="39">
        <f>IF('Enrollment Census'!U378="","",'Enrollment Census'!U378)</f>
        <v/>
      </c>
    </row>
    <row r="379">
      <c r="A379" s="36">
        <f>IF('Enrollment Census'!A379="","",TRIM('Enrollment Census'!A379&amp;""))</f>
        <v/>
      </c>
      <c r="B379" s="36">
        <f>IF('Enrollment Census'!B379="","",TRIM('Enrollment Census'!B379&amp;""))</f>
        <v/>
      </c>
      <c r="C379" s="37">
        <f>IF('Enrollment Census'!C379="","",TRIM('Enrollment Census'!C379&amp;""))</f>
        <v/>
      </c>
      <c r="D379" s="37">
        <f>IF('Enrollment Census'!D379="","",TRIM('Enrollment Census'!D379&amp;""))</f>
        <v/>
      </c>
      <c r="E379" s="36">
        <f>IF('Enrollment Census'!E379="","",TRIM('Enrollment Census'!E379&amp;""))</f>
        <v/>
      </c>
      <c r="F379" s="37">
        <f>IF('Enrollment Census'!F379="","",TRIM('Enrollment Census'!F379&amp;""))</f>
        <v/>
      </c>
      <c r="G379" s="37">
        <f>IF('Enrollment Census'!G379="","",TRIM('Enrollment Census'!G379&amp;""))</f>
        <v/>
      </c>
      <c r="H379" s="37">
        <f>IF('Enrollment Census'!H379="","",TRIM('Enrollment Census'!H379&amp;""))</f>
        <v/>
      </c>
      <c r="I379" s="36">
        <f>IF('Enrollment Census'!I379="","",TRIM('Enrollment Census'!I379&amp;""))</f>
        <v/>
      </c>
      <c r="J379" s="36">
        <f>IF('Enrollment Census'!J379="","",TRIM('Enrollment Census'!J379&amp;""))</f>
        <v/>
      </c>
      <c r="K379" s="36">
        <f>IF('Enrollment Census'!K379="","",TRIM('Enrollment Census'!K379&amp;""))</f>
        <v/>
      </c>
      <c r="L379" s="38">
        <f>IF('Enrollment Census'!L379="","",'Enrollment Census'!L379)</f>
        <v/>
      </c>
      <c r="M379" s="36">
        <f>IF('Enrollment Census'!M379="","",TRIM('Enrollment Census'!M379&amp;""))</f>
        <v/>
      </c>
      <c r="N379" s="36">
        <f>IF('Enrollment Census'!N379="","",LOWER(TRIM('Enrollment Census'!N379&amp;"")))</f>
        <v/>
      </c>
      <c r="O379" s="36">
        <f>IF('Enrollment Census'!O379="","",TRIM('Enrollment Census'!O379&amp;""))</f>
        <v/>
      </c>
      <c r="P379" s="38">
        <f>IF('Enrollment Census'!P379="","",'Enrollment Census'!P379)</f>
        <v/>
      </c>
      <c r="Q379" s="38">
        <f>IF('Enrollment Census'!Q379="","",'Enrollment Census'!Q379)</f>
        <v/>
      </c>
      <c r="R379" s="36">
        <f>IF('Enrollment Census'!R379="","",TRIM('Enrollment Census'!R379&amp;""))</f>
        <v/>
      </c>
      <c r="S379" s="36">
        <f>IF('Enrollment Census'!S379="","",TRIM('Enrollment Census'!S379&amp;""))</f>
        <v/>
      </c>
      <c r="T379" s="36">
        <f>IF('Enrollment Census'!T379="","",TRIM('Enrollment Census'!T379&amp;""))</f>
        <v/>
      </c>
      <c r="U379" s="39">
        <f>IF('Enrollment Census'!U379="","",'Enrollment Census'!U379)</f>
        <v/>
      </c>
    </row>
    <row r="380">
      <c r="A380" s="36">
        <f>IF('Enrollment Census'!A380="","",TRIM('Enrollment Census'!A380&amp;""))</f>
        <v/>
      </c>
      <c r="B380" s="36">
        <f>IF('Enrollment Census'!B380="","",TRIM('Enrollment Census'!B380&amp;""))</f>
        <v/>
      </c>
      <c r="C380" s="37">
        <f>IF('Enrollment Census'!C380="","",TRIM('Enrollment Census'!C380&amp;""))</f>
        <v/>
      </c>
      <c r="D380" s="37">
        <f>IF('Enrollment Census'!D380="","",TRIM('Enrollment Census'!D380&amp;""))</f>
        <v/>
      </c>
      <c r="E380" s="36">
        <f>IF('Enrollment Census'!E380="","",TRIM('Enrollment Census'!E380&amp;""))</f>
        <v/>
      </c>
      <c r="F380" s="37">
        <f>IF('Enrollment Census'!F380="","",TRIM('Enrollment Census'!F380&amp;""))</f>
        <v/>
      </c>
      <c r="G380" s="37">
        <f>IF('Enrollment Census'!G380="","",TRIM('Enrollment Census'!G380&amp;""))</f>
        <v/>
      </c>
      <c r="H380" s="37">
        <f>IF('Enrollment Census'!H380="","",TRIM('Enrollment Census'!H380&amp;""))</f>
        <v/>
      </c>
      <c r="I380" s="36">
        <f>IF('Enrollment Census'!I380="","",TRIM('Enrollment Census'!I380&amp;""))</f>
        <v/>
      </c>
      <c r="J380" s="36">
        <f>IF('Enrollment Census'!J380="","",TRIM('Enrollment Census'!J380&amp;""))</f>
        <v/>
      </c>
      <c r="K380" s="36">
        <f>IF('Enrollment Census'!K380="","",TRIM('Enrollment Census'!K380&amp;""))</f>
        <v/>
      </c>
      <c r="L380" s="38">
        <f>IF('Enrollment Census'!L380="","",'Enrollment Census'!L380)</f>
        <v/>
      </c>
      <c r="M380" s="36">
        <f>IF('Enrollment Census'!M380="","",TRIM('Enrollment Census'!M380&amp;""))</f>
        <v/>
      </c>
      <c r="N380" s="36">
        <f>IF('Enrollment Census'!N380="","",LOWER(TRIM('Enrollment Census'!N380&amp;"")))</f>
        <v/>
      </c>
      <c r="O380" s="36">
        <f>IF('Enrollment Census'!O380="","",TRIM('Enrollment Census'!O380&amp;""))</f>
        <v/>
      </c>
      <c r="P380" s="38">
        <f>IF('Enrollment Census'!P380="","",'Enrollment Census'!P380)</f>
        <v/>
      </c>
      <c r="Q380" s="38">
        <f>IF('Enrollment Census'!Q380="","",'Enrollment Census'!Q380)</f>
        <v/>
      </c>
      <c r="R380" s="36">
        <f>IF('Enrollment Census'!R380="","",TRIM('Enrollment Census'!R380&amp;""))</f>
        <v/>
      </c>
      <c r="S380" s="36">
        <f>IF('Enrollment Census'!S380="","",TRIM('Enrollment Census'!S380&amp;""))</f>
        <v/>
      </c>
      <c r="T380" s="36">
        <f>IF('Enrollment Census'!T380="","",TRIM('Enrollment Census'!T380&amp;""))</f>
        <v/>
      </c>
      <c r="U380" s="39">
        <f>IF('Enrollment Census'!U380="","",'Enrollment Census'!U380)</f>
        <v/>
      </c>
    </row>
    <row r="381">
      <c r="A381" s="36">
        <f>IF('Enrollment Census'!A381="","",TRIM('Enrollment Census'!A381&amp;""))</f>
        <v/>
      </c>
      <c r="B381" s="36">
        <f>IF('Enrollment Census'!B381="","",TRIM('Enrollment Census'!B381&amp;""))</f>
        <v/>
      </c>
      <c r="C381" s="37">
        <f>IF('Enrollment Census'!C381="","",TRIM('Enrollment Census'!C381&amp;""))</f>
        <v/>
      </c>
      <c r="D381" s="37">
        <f>IF('Enrollment Census'!D381="","",TRIM('Enrollment Census'!D381&amp;""))</f>
        <v/>
      </c>
      <c r="E381" s="36">
        <f>IF('Enrollment Census'!E381="","",TRIM('Enrollment Census'!E381&amp;""))</f>
        <v/>
      </c>
      <c r="F381" s="37">
        <f>IF('Enrollment Census'!F381="","",TRIM('Enrollment Census'!F381&amp;""))</f>
        <v/>
      </c>
      <c r="G381" s="37">
        <f>IF('Enrollment Census'!G381="","",TRIM('Enrollment Census'!G381&amp;""))</f>
        <v/>
      </c>
      <c r="H381" s="37">
        <f>IF('Enrollment Census'!H381="","",TRIM('Enrollment Census'!H381&amp;""))</f>
        <v/>
      </c>
      <c r="I381" s="36">
        <f>IF('Enrollment Census'!I381="","",TRIM('Enrollment Census'!I381&amp;""))</f>
        <v/>
      </c>
      <c r="J381" s="36">
        <f>IF('Enrollment Census'!J381="","",TRIM('Enrollment Census'!J381&amp;""))</f>
        <v/>
      </c>
      <c r="K381" s="36">
        <f>IF('Enrollment Census'!K381="","",TRIM('Enrollment Census'!K381&amp;""))</f>
        <v/>
      </c>
      <c r="L381" s="38">
        <f>IF('Enrollment Census'!L381="","",'Enrollment Census'!L381)</f>
        <v/>
      </c>
      <c r="M381" s="36">
        <f>IF('Enrollment Census'!M381="","",TRIM('Enrollment Census'!M381&amp;""))</f>
        <v/>
      </c>
      <c r="N381" s="36">
        <f>IF('Enrollment Census'!N381="","",LOWER(TRIM('Enrollment Census'!N381&amp;"")))</f>
        <v/>
      </c>
      <c r="O381" s="36">
        <f>IF('Enrollment Census'!O381="","",TRIM('Enrollment Census'!O381&amp;""))</f>
        <v/>
      </c>
      <c r="P381" s="38">
        <f>IF('Enrollment Census'!P381="","",'Enrollment Census'!P381)</f>
        <v/>
      </c>
      <c r="Q381" s="38">
        <f>IF('Enrollment Census'!Q381="","",'Enrollment Census'!Q381)</f>
        <v/>
      </c>
      <c r="R381" s="36">
        <f>IF('Enrollment Census'!R381="","",TRIM('Enrollment Census'!R381&amp;""))</f>
        <v/>
      </c>
      <c r="S381" s="36">
        <f>IF('Enrollment Census'!S381="","",TRIM('Enrollment Census'!S381&amp;""))</f>
        <v/>
      </c>
      <c r="T381" s="36">
        <f>IF('Enrollment Census'!T381="","",TRIM('Enrollment Census'!T381&amp;""))</f>
        <v/>
      </c>
      <c r="U381" s="39">
        <f>IF('Enrollment Census'!U381="","",'Enrollment Census'!U381)</f>
        <v/>
      </c>
    </row>
    <row r="382">
      <c r="A382" s="36">
        <f>IF('Enrollment Census'!A382="","",TRIM('Enrollment Census'!A382&amp;""))</f>
        <v/>
      </c>
      <c r="B382" s="36">
        <f>IF('Enrollment Census'!B382="","",TRIM('Enrollment Census'!B382&amp;""))</f>
        <v/>
      </c>
      <c r="C382" s="37">
        <f>IF('Enrollment Census'!C382="","",TRIM('Enrollment Census'!C382&amp;""))</f>
        <v/>
      </c>
      <c r="D382" s="37">
        <f>IF('Enrollment Census'!D382="","",TRIM('Enrollment Census'!D382&amp;""))</f>
        <v/>
      </c>
      <c r="E382" s="36">
        <f>IF('Enrollment Census'!E382="","",TRIM('Enrollment Census'!E382&amp;""))</f>
        <v/>
      </c>
      <c r="F382" s="37">
        <f>IF('Enrollment Census'!F382="","",TRIM('Enrollment Census'!F382&amp;""))</f>
        <v/>
      </c>
      <c r="G382" s="37">
        <f>IF('Enrollment Census'!G382="","",TRIM('Enrollment Census'!G382&amp;""))</f>
        <v/>
      </c>
      <c r="H382" s="37">
        <f>IF('Enrollment Census'!H382="","",TRIM('Enrollment Census'!H382&amp;""))</f>
        <v/>
      </c>
      <c r="I382" s="36">
        <f>IF('Enrollment Census'!I382="","",TRIM('Enrollment Census'!I382&amp;""))</f>
        <v/>
      </c>
      <c r="J382" s="36">
        <f>IF('Enrollment Census'!J382="","",TRIM('Enrollment Census'!J382&amp;""))</f>
        <v/>
      </c>
      <c r="K382" s="36">
        <f>IF('Enrollment Census'!K382="","",TRIM('Enrollment Census'!K382&amp;""))</f>
        <v/>
      </c>
      <c r="L382" s="38">
        <f>IF('Enrollment Census'!L382="","",'Enrollment Census'!L382)</f>
        <v/>
      </c>
      <c r="M382" s="36">
        <f>IF('Enrollment Census'!M382="","",TRIM('Enrollment Census'!M382&amp;""))</f>
        <v/>
      </c>
      <c r="N382" s="36">
        <f>IF('Enrollment Census'!N382="","",LOWER(TRIM('Enrollment Census'!N382&amp;"")))</f>
        <v/>
      </c>
      <c r="O382" s="36">
        <f>IF('Enrollment Census'!O382="","",TRIM('Enrollment Census'!O382&amp;""))</f>
        <v/>
      </c>
      <c r="P382" s="38">
        <f>IF('Enrollment Census'!P382="","",'Enrollment Census'!P382)</f>
        <v/>
      </c>
      <c r="Q382" s="38">
        <f>IF('Enrollment Census'!Q382="","",'Enrollment Census'!Q382)</f>
        <v/>
      </c>
      <c r="R382" s="36">
        <f>IF('Enrollment Census'!R382="","",TRIM('Enrollment Census'!R382&amp;""))</f>
        <v/>
      </c>
      <c r="S382" s="36">
        <f>IF('Enrollment Census'!S382="","",TRIM('Enrollment Census'!S382&amp;""))</f>
        <v/>
      </c>
      <c r="T382" s="36">
        <f>IF('Enrollment Census'!T382="","",TRIM('Enrollment Census'!T382&amp;""))</f>
        <v/>
      </c>
      <c r="U382" s="39">
        <f>IF('Enrollment Census'!U382="","",'Enrollment Census'!U382)</f>
        <v/>
      </c>
    </row>
    <row r="383">
      <c r="A383" s="36">
        <f>IF('Enrollment Census'!A383="","",TRIM('Enrollment Census'!A383&amp;""))</f>
        <v/>
      </c>
      <c r="B383" s="36">
        <f>IF('Enrollment Census'!B383="","",TRIM('Enrollment Census'!B383&amp;""))</f>
        <v/>
      </c>
      <c r="C383" s="37">
        <f>IF('Enrollment Census'!C383="","",TRIM('Enrollment Census'!C383&amp;""))</f>
        <v/>
      </c>
      <c r="D383" s="37">
        <f>IF('Enrollment Census'!D383="","",TRIM('Enrollment Census'!D383&amp;""))</f>
        <v/>
      </c>
      <c r="E383" s="36">
        <f>IF('Enrollment Census'!E383="","",TRIM('Enrollment Census'!E383&amp;""))</f>
        <v/>
      </c>
      <c r="F383" s="37">
        <f>IF('Enrollment Census'!F383="","",TRIM('Enrollment Census'!F383&amp;""))</f>
        <v/>
      </c>
      <c r="G383" s="37">
        <f>IF('Enrollment Census'!G383="","",TRIM('Enrollment Census'!G383&amp;""))</f>
        <v/>
      </c>
      <c r="H383" s="37">
        <f>IF('Enrollment Census'!H383="","",TRIM('Enrollment Census'!H383&amp;""))</f>
        <v/>
      </c>
      <c r="I383" s="36">
        <f>IF('Enrollment Census'!I383="","",TRIM('Enrollment Census'!I383&amp;""))</f>
        <v/>
      </c>
      <c r="J383" s="36">
        <f>IF('Enrollment Census'!J383="","",TRIM('Enrollment Census'!J383&amp;""))</f>
        <v/>
      </c>
      <c r="K383" s="36">
        <f>IF('Enrollment Census'!K383="","",TRIM('Enrollment Census'!K383&amp;""))</f>
        <v/>
      </c>
      <c r="L383" s="38">
        <f>IF('Enrollment Census'!L383="","",'Enrollment Census'!L383)</f>
        <v/>
      </c>
      <c r="M383" s="36">
        <f>IF('Enrollment Census'!M383="","",TRIM('Enrollment Census'!M383&amp;""))</f>
        <v/>
      </c>
      <c r="N383" s="36">
        <f>IF('Enrollment Census'!N383="","",LOWER(TRIM('Enrollment Census'!N383&amp;"")))</f>
        <v/>
      </c>
      <c r="O383" s="36">
        <f>IF('Enrollment Census'!O383="","",TRIM('Enrollment Census'!O383&amp;""))</f>
        <v/>
      </c>
      <c r="P383" s="38">
        <f>IF('Enrollment Census'!P383="","",'Enrollment Census'!P383)</f>
        <v/>
      </c>
      <c r="Q383" s="38">
        <f>IF('Enrollment Census'!Q383="","",'Enrollment Census'!Q383)</f>
        <v/>
      </c>
      <c r="R383" s="36">
        <f>IF('Enrollment Census'!R383="","",TRIM('Enrollment Census'!R383&amp;""))</f>
        <v/>
      </c>
      <c r="S383" s="36">
        <f>IF('Enrollment Census'!S383="","",TRIM('Enrollment Census'!S383&amp;""))</f>
        <v/>
      </c>
      <c r="T383" s="36">
        <f>IF('Enrollment Census'!T383="","",TRIM('Enrollment Census'!T383&amp;""))</f>
        <v/>
      </c>
      <c r="U383" s="39">
        <f>IF('Enrollment Census'!U383="","",'Enrollment Census'!U383)</f>
        <v/>
      </c>
    </row>
    <row r="384">
      <c r="A384" s="36">
        <f>IF('Enrollment Census'!A384="","",TRIM('Enrollment Census'!A384&amp;""))</f>
        <v/>
      </c>
      <c r="B384" s="36">
        <f>IF('Enrollment Census'!B384="","",TRIM('Enrollment Census'!B384&amp;""))</f>
        <v/>
      </c>
      <c r="C384" s="37">
        <f>IF('Enrollment Census'!C384="","",TRIM('Enrollment Census'!C384&amp;""))</f>
        <v/>
      </c>
      <c r="D384" s="37">
        <f>IF('Enrollment Census'!D384="","",TRIM('Enrollment Census'!D384&amp;""))</f>
        <v/>
      </c>
      <c r="E384" s="36">
        <f>IF('Enrollment Census'!E384="","",TRIM('Enrollment Census'!E384&amp;""))</f>
        <v/>
      </c>
      <c r="F384" s="37">
        <f>IF('Enrollment Census'!F384="","",TRIM('Enrollment Census'!F384&amp;""))</f>
        <v/>
      </c>
      <c r="G384" s="37">
        <f>IF('Enrollment Census'!G384="","",TRIM('Enrollment Census'!G384&amp;""))</f>
        <v/>
      </c>
      <c r="H384" s="37">
        <f>IF('Enrollment Census'!H384="","",TRIM('Enrollment Census'!H384&amp;""))</f>
        <v/>
      </c>
      <c r="I384" s="36">
        <f>IF('Enrollment Census'!I384="","",TRIM('Enrollment Census'!I384&amp;""))</f>
        <v/>
      </c>
      <c r="J384" s="36">
        <f>IF('Enrollment Census'!J384="","",TRIM('Enrollment Census'!J384&amp;""))</f>
        <v/>
      </c>
      <c r="K384" s="36">
        <f>IF('Enrollment Census'!K384="","",TRIM('Enrollment Census'!K384&amp;""))</f>
        <v/>
      </c>
      <c r="L384" s="38">
        <f>IF('Enrollment Census'!L384="","",'Enrollment Census'!L384)</f>
        <v/>
      </c>
      <c r="M384" s="36">
        <f>IF('Enrollment Census'!M384="","",TRIM('Enrollment Census'!M384&amp;""))</f>
        <v/>
      </c>
      <c r="N384" s="36">
        <f>IF('Enrollment Census'!N384="","",LOWER(TRIM('Enrollment Census'!N384&amp;"")))</f>
        <v/>
      </c>
      <c r="O384" s="36">
        <f>IF('Enrollment Census'!O384="","",TRIM('Enrollment Census'!O384&amp;""))</f>
        <v/>
      </c>
      <c r="P384" s="38">
        <f>IF('Enrollment Census'!P384="","",'Enrollment Census'!P384)</f>
        <v/>
      </c>
      <c r="Q384" s="38">
        <f>IF('Enrollment Census'!Q384="","",'Enrollment Census'!Q384)</f>
        <v/>
      </c>
      <c r="R384" s="36">
        <f>IF('Enrollment Census'!R384="","",TRIM('Enrollment Census'!R384&amp;""))</f>
        <v/>
      </c>
      <c r="S384" s="36">
        <f>IF('Enrollment Census'!S384="","",TRIM('Enrollment Census'!S384&amp;""))</f>
        <v/>
      </c>
      <c r="T384" s="36">
        <f>IF('Enrollment Census'!T384="","",TRIM('Enrollment Census'!T384&amp;""))</f>
        <v/>
      </c>
      <c r="U384" s="39">
        <f>IF('Enrollment Census'!U384="","",'Enrollment Census'!U384)</f>
        <v/>
      </c>
    </row>
    <row r="385">
      <c r="A385" s="36">
        <f>IF('Enrollment Census'!A385="","",TRIM('Enrollment Census'!A385&amp;""))</f>
        <v/>
      </c>
      <c r="B385" s="36">
        <f>IF('Enrollment Census'!B385="","",TRIM('Enrollment Census'!B385&amp;""))</f>
        <v/>
      </c>
      <c r="C385" s="37">
        <f>IF('Enrollment Census'!C385="","",TRIM('Enrollment Census'!C385&amp;""))</f>
        <v/>
      </c>
      <c r="D385" s="37">
        <f>IF('Enrollment Census'!D385="","",TRIM('Enrollment Census'!D385&amp;""))</f>
        <v/>
      </c>
      <c r="E385" s="36">
        <f>IF('Enrollment Census'!E385="","",TRIM('Enrollment Census'!E385&amp;""))</f>
        <v/>
      </c>
      <c r="F385" s="37">
        <f>IF('Enrollment Census'!F385="","",TRIM('Enrollment Census'!F385&amp;""))</f>
        <v/>
      </c>
      <c r="G385" s="37">
        <f>IF('Enrollment Census'!G385="","",TRIM('Enrollment Census'!G385&amp;""))</f>
        <v/>
      </c>
      <c r="H385" s="37">
        <f>IF('Enrollment Census'!H385="","",TRIM('Enrollment Census'!H385&amp;""))</f>
        <v/>
      </c>
      <c r="I385" s="36">
        <f>IF('Enrollment Census'!I385="","",TRIM('Enrollment Census'!I385&amp;""))</f>
        <v/>
      </c>
      <c r="J385" s="36">
        <f>IF('Enrollment Census'!J385="","",TRIM('Enrollment Census'!J385&amp;""))</f>
        <v/>
      </c>
      <c r="K385" s="36">
        <f>IF('Enrollment Census'!K385="","",TRIM('Enrollment Census'!K385&amp;""))</f>
        <v/>
      </c>
      <c r="L385" s="38">
        <f>IF('Enrollment Census'!L385="","",'Enrollment Census'!L385)</f>
        <v/>
      </c>
      <c r="M385" s="36">
        <f>IF('Enrollment Census'!M385="","",TRIM('Enrollment Census'!M385&amp;""))</f>
        <v/>
      </c>
      <c r="N385" s="36">
        <f>IF('Enrollment Census'!N385="","",LOWER(TRIM('Enrollment Census'!N385&amp;"")))</f>
        <v/>
      </c>
      <c r="O385" s="36">
        <f>IF('Enrollment Census'!O385="","",TRIM('Enrollment Census'!O385&amp;""))</f>
        <v/>
      </c>
      <c r="P385" s="38">
        <f>IF('Enrollment Census'!P385="","",'Enrollment Census'!P385)</f>
        <v/>
      </c>
      <c r="Q385" s="38">
        <f>IF('Enrollment Census'!Q385="","",'Enrollment Census'!Q385)</f>
        <v/>
      </c>
      <c r="R385" s="36">
        <f>IF('Enrollment Census'!R385="","",TRIM('Enrollment Census'!R385&amp;""))</f>
        <v/>
      </c>
      <c r="S385" s="36">
        <f>IF('Enrollment Census'!S385="","",TRIM('Enrollment Census'!S385&amp;""))</f>
        <v/>
      </c>
      <c r="T385" s="36">
        <f>IF('Enrollment Census'!T385="","",TRIM('Enrollment Census'!T385&amp;""))</f>
        <v/>
      </c>
      <c r="U385" s="39">
        <f>IF('Enrollment Census'!U385="","",'Enrollment Census'!U385)</f>
        <v/>
      </c>
    </row>
    <row r="386">
      <c r="A386" s="36">
        <f>IF('Enrollment Census'!A386="","",TRIM('Enrollment Census'!A386&amp;""))</f>
        <v/>
      </c>
      <c r="B386" s="36">
        <f>IF('Enrollment Census'!B386="","",TRIM('Enrollment Census'!B386&amp;""))</f>
        <v/>
      </c>
      <c r="C386" s="37">
        <f>IF('Enrollment Census'!C386="","",TRIM('Enrollment Census'!C386&amp;""))</f>
        <v/>
      </c>
      <c r="D386" s="37">
        <f>IF('Enrollment Census'!D386="","",TRIM('Enrollment Census'!D386&amp;""))</f>
        <v/>
      </c>
      <c r="E386" s="36">
        <f>IF('Enrollment Census'!E386="","",TRIM('Enrollment Census'!E386&amp;""))</f>
        <v/>
      </c>
      <c r="F386" s="37">
        <f>IF('Enrollment Census'!F386="","",TRIM('Enrollment Census'!F386&amp;""))</f>
        <v/>
      </c>
      <c r="G386" s="37">
        <f>IF('Enrollment Census'!G386="","",TRIM('Enrollment Census'!G386&amp;""))</f>
        <v/>
      </c>
      <c r="H386" s="37">
        <f>IF('Enrollment Census'!H386="","",TRIM('Enrollment Census'!H386&amp;""))</f>
        <v/>
      </c>
      <c r="I386" s="36">
        <f>IF('Enrollment Census'!I386="","",TRIM('Enrollment Census'!I386&amp;""))</f>
        <v/>
      </c>
      <c r="J386" s="36">
        <f>IF('Enrollment Census'!J386="","",TRIM('Enrollment Census'!J386&amp;""))</f>
        <v/>
      </c>
      <c r="K386" s="36">
        <f>IF('Enrollment Census'!K386="","",TRIM('Enrollment Census'!K386&amp;""))</f>
        <v/>
      </c>
      <c r="L386" s="38">
        <f>IF('Enrollment Census'!L386="","",'Enrollment Census'!L386)</f>
        <v/>
      </c>
      <c r="M386" s="36">
        <f>IF('Enrollment Census'!M386="","",TRIM('Enrollment Census'!M386&amp;""))</f>
        <v/>
      </c>
      <c r="N386" s="36">
        <f>IF('Enrollment Census'!N386="","",LOWER(TRIM('Enrollment Census'!N386&amp;"")))</f>
        <v/>
      </c>
      <c r="O386" s="36">
        <f>IF('Enrollment Census'!O386="","",TRIM('Enrollment Census'!O386&amp;""))</f>
        <v/>
      </c>
      <c r="P386" s="38">
        <f>IF('Enrollment Census'!P386="","",'Enrollment Census'!P386)</f>
        <v/>
      </c>
      <c r="Q386" s="38">
        <f>IF('Enrollment Census'!Q386="","",'Enrollment Census'!Q386)</f>
        <v/>
      </c>
      <c r="R386" s="36">
        <f>IF('Enrollment Census'!R386="","",TRIM('Enrollment Census'!R386&amp;""))</f>
        <v/>
      </c>
      <c r="S386" s="36">
        <f>IF('Enrollment Census'!S386="","",TRIM('Enrollment Census'!S386&amp;""))</f>
        <v/>
      </c>
      <c r="T386" s="36">
        <f>IF('Enrollment Census'!T386="","",TRIM('Enrollment Census'!T386&amp;""))</f>
        <v/>
      </c>
      <c r="U386" s="39">
        <f>IF('Enrollment Census'!U386="","",'Enrollment Census'!U386)</f>
        <v/>
      </c>
    </row>
    <row r="387">
      <c r="A387" s="36">
        <f>IF('Enrollment Census'!A387="","",TRIM('Enrollment Census'!A387&amp;""))</f>
        <v/>
      </c>
      <c r="B387" s="36">
        <f>IF('Enrollment Census'!B387="","",TRIM('Enrollment Census'!B387&amp;""))</f>
        <v/>
      </c>
      <c r="C387" s="37">
        <f>IF('Enrollment Census'!C387="","",TRIM('Enrollment Census'!C387&amp;""))</f>
        <v/>
      </c>
      <c r="D387" s="37">
        <f>IF('Enrollment Census'!D387="","",TRIM('Enrollment Census'!D387&amp;""))</f>
        <v/>
      </c>
      <c r="E387" s="36">
        <f>IF('Enrollment Census'!E387="","",TRIM('Enrollment Census'!E387&amp;""))</f>
        <v/>
      </c>
      <c r="F387" s="37">
        <f>IF('Enrollment Census'!F387="","",TRIM('Enrollment Census'!F387&amp;""))</f>
        <v/>
      </c>
      <c r="G387" s="37">
        <f>IF('Enrollment Census'!G387="","",TRIM('Enrollment Census'!G387&amp;""))</f>
        <v/>
      </c>
      <c r="H387" s="37">
        <f>IF('Enrollment Census'!H387="","",TRIM('Enrollment Census'!H387&amp;""))</f>
        <v/>
      </c>
      <c r="I387" s="36">
        <f>IF('Enrollment Census'!I387="","",TRIM('Enrollment Census'!I387&amp;""))</f>
        <v/>
      </c>
      <c r="J387" s="36">
        <f>IF('Enrollment Census'!J387="","",TRIM('Enrollment Census'!J387&amp;""))</f>
        <v/>
      </c>
      <c r="K387" s="36">
        <f>IF('Enrollment Census'!K387="","",TRIM('Enrollment Census'!K387&amp;""))</f>
        <v/>
      </c>
      <c r="L387" s="38">
        <f>IF('Enrollment Census'!L387="","",'Enrollment Census'!L387)</f>
        <v/>
      </c>
      <c r="M387" s="36">
        <f>IF('Enrollment Census'!M387="","",TRIM('Enrollment Census'!M387&amp;""))</f>
        <v/>
      </c>
      <c r="N387" s="36">
        <f>IF('Enrollment Census'!N387="","",LOWER(TRIM('Enrollment Census'!N387&amp;"")))</f>
        <v/>
      </c>
      <c r="O387" s="36">
        <f>IF('Enrollment Census'!O387="","",TRIM('Enrollment Census'!O387&amp;""))</f>
        <v/>
      </c>
      <c r="P387" s="38">
        <f>IF('Enrollment Census'!P387="","",'Enrollment Census'!P387)</f>
        <v/>
      </c>
      <c r="Q387" s="38">
        <f>IF('Enrollment Census'!Q387="","",'Enrollment Census'!Q387)</f>
        <v/>
      </c>
      <c r="R387" s="36">
        <f>IF('Enrollment Census'!R387="","",TRIM('Enrollment Census'!R387&amp;""))</f>
        <v/>
      </c>
      <c r="S387" s="36">
        <f>IF('Enrollment Census'!S387="","",TRIM('Enrollment Census'!S387&amp;""))</f>
        <v/>
      </c>
      <c r="T387" s="36">
        <f>IF('Enrollment Census'!T387="","",TRIM('Enrollment Census'!T387&amp;""))</f>
        <v/>
      </c>
      <c r="U387" s="39">
        <f>IF('Enrollment Census'!U387="","",'Enrollment Census'!U387)</f>
        <v/>
      </c>
    </row>
    <row r="388">
      <c r="A388" s="36">
        <f>IF('Enrollment Census'!A388="","",TRIM('Enrollment Census'!A388&amp;""))</f>
        <v/>
      </c>
      <c r="B388" s="36">
        <f>IF('Enrollment Census'!B388="","",TRIM('Enrollment Census'!B388&amp;""))</f>
        <v/>
      </c>
      <c r="C388" s="37">
        <f>IF('Enrollment Census'!C388="","",TRIM('Enrollment Census'!C388&amp;""))</f>
        <v/>
      </c>
      <c r="D388" s="37">
        <f>IF('Enrollment Census'!D388="","",TRIM('Enrollment Census'!D388&amp;""))</f>
        <v/>
      </c>
      <c r="E388" s="36">
        <f>IF('Enrollment Census'!E388="","",TRIM('Enrollment Census'!E388&amp;""))</f>
        <v/>
      </c>
      <c r="F388" s="37">
        <f>IF('Enrollment Census'!F388="","",TRIM('Enrollment Census'!F388&amp;""))</f>
        <v/>
      </c>
      <c r="G388" s="37">
        <f>IF('Enrollment Census'!G388="","",TRIM('Enrollment Census'!G388&amp;""))</f>
        <v/>
      </c>
      <c r="H388" s="37">
        <f>IF('Enrollment Census'!H388="","",TRIM('Enrollment Census'!H388&amp;""))</f>
        <v/>
      </c>
      <c r="I388" s="36">
        <f>IF('Enrollment Census'!I388="","",TRIM('Enrollment Census'!I388&amp;""))</f>
        <v/>
      </c>
      <c r="J388" s="36">
        <f>IF('Enrollment Census'!J388="","",TRIM('Enrollment Census'!J388&amp;""))</f>
        <v/>
      </c>
      <c r="K388" s="36">
        <f>IF('Enrollment Census'!K388="","",TRIM('Enrollment Census'!K388&amp;""))</f>
        <v/>
      </c>
      <c r="L388" s="38">
        <f>IF('Enrollment Census'!L388="","",'Enrollment Census'!L388)</f>
        <v/>
      </c>
      <c r="M388" s="36">
        <f>IF('Enrollment Census'!M388="","",TRIM('Enrollment Census'!M388&amp;""))</f>
        <v/>
      </c>
      <c r="N388" s="36">
        <f>IF('Enrollment Census'!N388="","",LOWER(TRIM('Enrollment Census'!N388&amp;"")))</f>
        <v/>
      </c>
      <c r="O388" s="36">
        <f>IF('Enrollment Census'!O388="","",TRIM('Enrollment Census'!O388&amp;""))</f>
        <v/>
      </c>
      <c r="P388" s="38">
        <f>IF('Enrollment Census'!P388="","",'Enrollment Census'!P388)</f>
        <v/>
      </c>
      <c r="Q388" s="38">
        <f>IF('Enrollment Census'!Q388="","",'Enrollment Census'!Q388)</f>
        <v/>
      </c>
      <c r="R388" s="36">
        <f>IF('Enrollment Census'!R388="","",TRIM('Enrollment Census'!R388&amp;""))</f>
        <v/>
      </c>
      <c r="S388" s="36">
        <f>IF('Enrollment Census'!S388="","",TRIM('Enrollment Census'!S388&amp;""))</f>
        <v/>
      </c>
      <c r="T388" s="36">
        <f>IF('Enrollment Census'!T388="","",TRIM('Enrollment Census'!T388&amp;""))</f>
        <v/>
      </c>
      <c r="U388" s="39">
        <f>IF('Enrollment Census'!U388="","",'Enrollment Census'!U388)</f>
        <v/>
      </c>
    </row>
    <row r="389">
      <c r="A389" s="36">
        <f>IF('Enrollment Census'!A389="","",TRIM('Enrollment Census'!A389&amp;""))</f>
        <v/>
      </c>
      <c r="B389" s="36">
        <f>IF('Enrollment Census'!B389="","",TRIM('Enrollment Census'!B389&amp;""))</f>
        <v/>
      </c>
      <c r="C389" s="37">
        <f>IF('Enrollment Census'!C389="","",TRIM('Enrollment Census'!C389&amp;""))</f>
        <v/>
      </c>
      <c r="D389" s="37">
        <f>IF('Enrollment Census'!D389="","",TRIM('Enrollment Census'!D389&amp;""))</f>
        <v/>
      </c>
      <c r="E389" s="36">
        <f>IF('Enrollment Census'!E389="","",TRIM('Enrollment Census'!E389&amp;""))</f>
        <v/>
      </c>
      <c r="F389" s="37">
        <f>IF('Enrollment Census'!F389="","",TRIM('Enrollment Census'!F389&amp;""))</f>
        <v/>
      </c>
      <c r="G389" s="37">
        <f>IF('Enrollment Census'!G389="","",TRIM('Enrollment Census'!G389&amp;""))</f>
        <v/>
      </c>
      <c r="H389" s="37">
        <f>IF('Enrollment Census'!H389="","",TRIM('Enrollment Census'!H389&amp;""))</f>
        <v/>
      </c>
      <c r="I389" s="36">
        <f>IF('Enrollment Census'!I389="","",TRIM('Enrollment Census'!I389&amp;""))</f>
        <v/>
      </c>
      <c r="J389" s="36">
        <f>IF('Enrollment Census'!J389="","",TRIM('Enrollment Census'!J389&amp;""))</f>
        <v/>
      </c>
      <c r="K389" s="36">
        <f>IF('Enrollment Census'!K389="","",TRIM('Enrollment Census'!K389&amp;""))</f>
        <v/>
      </c>
      <c r="L389" s="38">
        <f>IF('Enrollment Census'!L389="","",'Enrollment Census'!L389)</f>
        <v/>
      </c>
      <c r="M389" s="36">
        <f>IF('Enrollment Census'!M389="","",TRIM('Enrollment Census'!M389&amp;""))</f>
        <v/>
      </c>
      <c r="N389" s="36">
        <f>IF('Enrollment Census'!N389="","",LOWER(TRIM('Enrollment Census'!N389&amp;"")))</f>
        <v/>
      </c>
      <c r="O389" s="36">
        <f>IF('Enrollment Census'!O389="","",TRIM('Enrollment Census'!O389&amp;""))</f>
        <v/>
      </c>
      <c r="P389" s="38">
        <f>IF('Enrollment Census'!P389="","",'Enrollment Census'!P389)</f>
        <v/>
      </c>
      <c r="Q389" s="38">
        <f>IF('Enrollment Census'!Q389="","",'Enrollment Census'!Q389)</f>
        <v/>
      </c>
      <c r="R389" s="36">
        <f>IF('Enrollment Census'!R389="","",TRIM('Enrollment Census'!R389&amp;""))</f>
        <v/>
      </c>
      <c r="S389" s="36">
        <f>IF('Enrollment Census'!S389="","",TRIM('Enrollment Census'!S389&amp;""))</f>
        <v/>
      </c>
      <c r="T389" s="36">
        <f>IF('Enrollment Census'!T389="","",TRIM('Enrollment Census'!T389&amp;""))</f>
        <v/>
      </c>
      <c r="U389" s="39">
        <f>IF('Enrollment Census'!U389="","",'Enrollment Census'!U389)</f>
        <v/>
      </c>
    </row>
    <row r="390">
      <c r="A390" s="36">
        <f>IF('Enrollment Census'!A390="","",TRIM('Enrollment Census'!A390&amp;""))</f>
        <v/>
      </c>
      <c r="B390" s="36">
        <f>IF('Enrollment Census'!B390="","",TRIM('Enrollment Census'!B390&amp;""))</f>
        <v/>
      </c>
      <c r="C390" s="37">
        <f>IF('Enrollment Census'!C390="","",TRIM('Enrollment Census'!C390&amp;""))</f>
        <v/>
      </c>
      <c r="D390" s="37">
        <f>IF('Enrollment Census'!D390="","",TRIM('Enrollment Census'!D390&amp;""))</f>
        <v/>
      </c>
      <c r="E390" s="36">
        <f>IF('Enrollment Census'!E390="","",TRIM('Enrollment Census'!E390&amp;""))</f>
        <v/>
      </c>
      <c r="F390" s="37">
        <f>IF('Enrollment Census'!F390="","",TRIM('Enrollment Census'!F390&amp;""))</f>
        <v/>
      </c>
      <c r="G390" s="37">
        <f>IF('Enrollment Census'!G390="","",TRIM('Enrollment Census'!G390&amp;""))</f>
        <v/>
      </c>
      <c r="H390" s="37">
        <f>IF('Enrollment Census'!H390="","",TRIM('Enrollment Census'!H390&amp;""))</f>
        <v/>
      </c>
      <c r="I390" s="36">
        <f>IF('Enrollment Census'!I390="","",TRIM('Enrollment Census'!I390&amp;""))</f>
        <v/>
      </c>
      <c r="J390" s="36">
        <f>IF('Enrollment Census'!J390="","",TRIM('Enrollment Census'!J390&amp;""))</f>
        <v/>
      </c>
      <c r="K390" s="36">
        <f>IF('Enrollment Census'!K390="","",TRIM('Enrollment Census'!K390&amp;""))</f>
        <v/>
      </c>
      <c r="L390" s="38">
        <f>IF('Enrollment Census'!L390="","",'Enrollment Census'!L390)</f>
        <v/>
      </c>
      <c r="M390" s="36">
        <f>IF('Enrollment Census'!M390="","",TRIM('Enrollment Census'!M390&amp;""))</f>
        <v/>
      </c>
      <c r="N390" s="36">
        <f>IF('Enrollment Census'!N390="","",LOWER(TRIM('Enrollment Census'!N390&amp;"")))</f>
        <v/>
      </c>
      <c r="O390" s="36">
        <f>IF('Enrollment Census'!O390="","",TRIM('Enrollment Census'!O390&amp;""))</f>
        <v/>
      </c>
      <c r="P390" s="38">
        <f>IF('Enrollment Census'!P390="","",'Enrollment Census'!P390)</f>
        <v/>
      </c>
      <c r="Q390" s="38">
        <f>IF('Enrollment Census'!Q390="","",'Enrollment Census'!Q390)</f>
        <v/>
      </c>
      <c r="R390" s="36">
        <f>IF('Enrollment Census'!R390="","",TRIM('Enrollment Census'!R390&amp;""))</f>
        <v/>
      </c>
      <c r="S390" s="36">
        <f>IF('Enrollment Census'!S390="","",TRIM('Enrollment Census'!S390&amp;""))</f>
        <v/>
      </c>
      <c r="T390" s="36">
        <f>IF('Enrollment Census'!T390="","",TRIM('Enrollment Census'!T390&amp;""))</f>
        <v/>
      </c>
      <c r="U390" s="39">
        <f>IF('Enrollment Census'!U390="","",'Enrollment Census'!U390)</f>
        <v/>
      </c>
    </row>
    <row r="391">
      <c r="A391" s="36">
        <f>IF('Enrollment Census'!A391="","",TRIM('Enrollment Census'!A391&amp;""))</f>
        <v/>
      </c>
      <c r="B391" s="36">
        <f>IF('Enrollment Census'!B391="","",TRIM('Enrollment Census'!B391&amp;""))</f>
        <v/>
      </c>
      <c r="C391" s="37">
        <f>IF('Enrollment Census'!C391="","",TRIM('Enrollment Census'!C391&amp;""))</f>
        <v/>
      </c>
      <c r="D391" s="37">
        <f>IF('Enrollment Census'!D391="","",TRIM('Enrollment Census'!D391&amp;""))</f>
        <v/>
      </c>
      <c r="E391" s="36">
        <f>IF('Enrollment Census'!E391="","",TRIM('Enrollment Census'!E391&amp;""))</f>
        <v/>
      </c>
      <c r="F391" s="37">
        <f>IF('Enrollment Census'!F391="","",TRIM('Enrollment Census'!F391&amp;""))</f>
        <v/>
      </c>
      <c r="G391" s="37">
        <f>IF('Enrollment Census'!G391="","",TRIM('Enrollment Census'!G391&amp;""))</f>
        <v/>
      </c>
      <c r="H391" s="37">
        <f>IF('Enrollment Census'!H391="","",TRIM('Enrollment Census'!H391&amp;""))</f>
        <v/>
      </c>
      <c r="I391" s="36">
        <f>IF('Enrollment Census'!I391="","",TRIM('Enrollment Census'!I391&amp;""))</f>
        <v/>
      </c>
      <c r="J391" s="36">
        <f>IF('Enrollment Census'!J391="","",TRIM('Enrollment Census'!J391&amp;""))</f>
        <v/>
      </c>
      <c r="K391" s="36">
        <f>IF('Enrollment Census'!K391="","",TRIM('Enrollment Census'!K391&amp;""))</f>
        <v/>
      </c>
      <c r="L391" s="38">
        <f>IF('Enrollment Census'!L391="","",'Enrollment Census'!L391)</f>
        <v/>
      </c>
      <c r="M391" s="36">
        <f>IF('Enrollment Census'!M391="","",TRIM('Enrollment Census'!M391&amp;""))</f>
        <v/>
      </c>
      <c r="N391" s="36">
        <f>IF('Enrollment Census'!N391="","",LOWER(TRIM('Enrollment Census'!N391&amp;"")))</f>
        <v/>
      </c>
      <c r="O391" s="36">
        <f>IF('Enrollment Census'!O391="","",TRIM('Enrollment Census'!O391&amp;""))</f>
        <v/>
      </c>
      <c r="P391" s="38">
        <f>IF('Enrollment Census'!P391="","",'Enrollment Census'!P391)</f>
        <v/>
      </c>
      <c r="Q391" s="38">
        <f>IF('Enrollment Census'!Q391="","",'Enrollment Census'!Q391)</f>
        <v/>
      </c>
      <c r="R391" s="36">
        <f>IF('Enrollment Census'!R391="","",TRIM('Enrollment Census'!R391&amp;""))</f>
        <v/>
      </c>
      <c r="S391" s="36">
        <f>IF('Enrollment Census'!S391="","",TRIM('Enrollment Census'!S391&amp;""))</f>
        <v/>
      </c>
      <c r="T391" s="36">
        <f>IF('Enrollment Census'!T391="","",TRIM('Enrollment Census'!T391&amp;""))</f>
        <v/>
      </c>
      <c r="U391" s="39">
        <f>IF('Enrollment Census'!U391="","",'Enrollment Census'!U391)</f>
        <v/>
      </c>
    </row>
    <row r="392">
      <c r="A392" s="36">
        <f>IF('Enrollment Census'!A392="","",TRIM('Enrollment Census'!A392&amp;""))</f>
        <v/>
      </c>
      <c r="B392" s="36">
        <f>IF('Enrollment Census'!B392="","",TRIM('Enrollment Census'!B392&amp;""))</f>
        <v/>
      </c>
      <c r="C392" s="37">
        <f>IF('Enrollment Census'!C392="","",TRIM('Enrollment Census'!C392&amp;""))</f>
        <v/>
      </c>
      <c r="D392" s="37">
        <f>IF('Enrollment Census'!D392="","",TRIM('Enrollment Census'!D392&amp;""))</f>
        <v/>
      </c>
      <c r="E392" s="36">
        <f>IF('Enrollment Census'!E392="","",TRIM('Enrollment Census'!E392&amp;""))</f>
        <v/>
      </c>
      <c r="F392" s="37">
        <f>IF('Enrollment Census'!F392="","",TRIM('Enrollment Census'!F392&amp;""))</f>
        <v/>
      </c>
      <c r="G392" s="37">
        <f>IF('Enrollment Census'!G392="","",TRIM('Enrollment Census'!G392&amp;""))</f>
        <v/>
      </c>
      <c r="H392" s="37">
        <f>IF('Enrollment Census'!H392="","",TRIM('Enrollment Census'!H392&amp;""))</f>
        <v/>
      </c>
      <c r="I392" s="36">
        <f>IF('Enrollment Census'!I392="","",TRIM('Enrollment Census'!I392&amp;""))</f>
        <v/>
      </c>
      <c r="J392" s="36">
        <f>IF('Enrollment Census'!J392="","",TRIM('Enrollment Census'!J392&amp;""))</f>
        <v/>
      </c>
      <c r="K392" s="36">
        <f>IF('Enrollment Census'!K392="","",TRIM('Enrollment Census'!K392&amp;""))</f>
        <v/>
      </c>
      <c r="L392" s="38">
        <f>IF('Enrollment Census'!L392="","",'Enrollment Census'!L392)</f>
        <v/>
      </c>
      <c r="M392" s="36">
        <f>IF('Enrollment Census'!M392="","",TRIM('Enrollment Census'!M392&amp;""))</f>
        <v/>
      </c>
      <c r="N392" s="36">
        <f>IF('Enrollment Census'!N392="","",LOWER(TRIM('Enrollment Census'!N392&amp;"")))</f>
        <v/>
      </c>
      <c r="O392" s="36">
        <f>IF('Enrollment Census'!O392="","",TRIM('Enrollment Census'!O392&amp;""))</f>
        <v/>
      </c>
      <c r="P392" s="38">
        <f>IF('Enrollment Census'!P392="","",'Enrollment Census'!P392)</f>
        <v/>
      </c>
      <c r="Q392" s="38">
        <f>IF('Enrollment Census'!Q392="","",'Enrollment Census'!Q392)</f>
        <v/>
      </c>
      <c r="R392" s="36">
        <f>IF('Enrollment Census'!R392="","",TRIM('Enrollment Census'!R392&amp;""))</f>
        <v/>
      </c>
      <c r="S392" s="36">
        <f>IF('Enrollment Census'!S392="","",TRIM('Enrollment Census'!S392&amp;""))</f>
        <v/>
      </c>
      <c r="T392" s="36">
        <f>IF('Enrollment Census'!T392="","",TRIM('Enrollment Census'!T392&amp;""))</f>
        <v/>
      </c>
      <c r="U392" s="39">
        <f>IF('Enrollment Census'!U392="","",'Enrollment Census'!U392)</f>
        <v/>
      </c>
    </row>
    <row r="393">
      <c r="A393" s="36">
        <f>IF('Enrollment Census'!A393="","",TRIM('Enrollment Census'!A393&amp;""))</f>
        <v/>
      </c>
      <c r="B393" s="36">
        <f>IF('Enrollment Census'!B393="","",TRIM('Enrollment Census'!B393&amp;""))</f>
        <v/>
      </c>
      <c r="C393" s="37">
        <f>IF('Enrollment Census'!C393="","",TRIM('Enrollment Census'!C393&amp;""))</f>
        <v/>
      </c>
      <c r="D393" s="37">
        <f>IF('Enrollment Census'!D393="","",TRIM('Enrollment Census'!D393&amp;""))</f>
        <v/>
      </c>
      <c r="E393" s="36">
        <f>IF('Enrollment Census'!E393="","",TRIM('Enrollment Census'!E393&amp;""))</f>
        <v/>
      </c>
      <c r="F393" s="37">
        <f>IF('Enrollment Census'!F393="","",TRIM('Enrollment Census'!F393&amp;""))</f>
        <v/>
      </c>
      <c r="G393" s="37">
        <f>IF('Enrollment Census'!G393="","",TRIM('Enrollment Census'!G393&amp;""))</f>
        <v/>
      </c>
      <c r="H393" s="37">
        <f>IF('Enrollment Census'!H393="","",TRIM('Enrollment Census'!H393&amp;""))</f>
        <v/>
      </c>
      <c r="I393" s="36">
        <f>IF('Enrollment Census'!I393="","",TRIM('Enrollment Census'!I393&amp;""))</f>
        <v/>
      </c>
      <c r="J393" s="36">
        <f>IF('Enrollment Census'!J393="","",TRIM('Enrollment Census'!J393&amp;""))</f>
        <v/>
      </c>
      <c r="K393" s="36">
        <f>IF('Enrollment Census'!K393="","",TRIM('Enrollment Census'!K393&amp;""))</f>
        <v/>
      </c>
      <c r="L393" s="38">
        <f>IF('Enrollment Census'!L393="","",'Enrollment Census'!L393)</f>
        <v/>
      </c>
      <c r="M393" s="36">
        <f>IF('Enrollment Census'!M393="","",TRIM('Enrollment Census'!M393&amp;""))</f>
        <v/>
      </c>
      <c r="N393" s="36">
        <f>IF('Enrollment Census'!N393="","",LOWER(TRIM('Enrollment Census'!N393&amp;"")))</f>
        <v/>
      </c>
      <c r="O393" s="36">
        <f>IF('Enrollment Census'!O393="","",TRIM('Enrollment Census'!O393&amp;""))</f>
        <v/>
      </c>
      <c r="P393" s="38">
        <f>IF('Enrollment Census'!P393="","",'Enrollment Census'!P393)</f>
        <v/>
      </c>
      <c r="Q393" s="38">
        <f>IF('Enrollment Census'!Q393="","",'Enrollment Census'!Q393)</f>
        <v/>
      </c>
      <c r="R393" s="36">
        <f>IF('Enrollment Census'!R393="","",TRIM('Enrollment Census'!R393&amp;""))</f>
        <v/>
      </c>
      <c r="S393" s="36">
        <f>IF('Enrollment Census'!S393="","",TRIM('Enrollment Census'!S393&amp;""))</f>
        <v/>
      </c>
      <c r="T393" s="36">
        <f>IF('Enrollment Census'!T393="","",TRIM('Enrollment Census'!T393&amp;""))</f>
        <v/>
      </c>
      <c r="U393" s="39">
        <f>IF('Enrollment Census'!U393="","",'Enrollment Census'!U393)</f>
        <v/>
      </c>
    </row>
    <row r="394">
      <c r="A394" s="36">
        <f>IF('Enrollment Census'!A394="","",TRIM('Enrollment Census'!A394&amp;""))</f>
        <v/>
      </c>
      <c r="B394" s="36">
        <f>IF('Enrollment Census'!B394="","",TRIM('Enrollment Census'!B394&amp;""))</f>
        <v/>
      </c>
      <c r="C394" s="37">
        <f>IF('Enrollment Census'!C394="","",TRIM('Enrollment Census'!C394&amp;""))</f>
        <v/>
      </c>
      <c r="D394" s="37">
        <f>IF('Enrollment Census'!D394="","",TRIM('Enrollment Census'!D394&amp;""))</f>
        <v/>
      </c>
      <c r="E394" s="36">
        <f>IF('Enrollment Census'!E394="","",TRIM('Enrollment Census'!E394&amp;""))</f>
        <v/>
      </c>
      <c r="F394" s="37">
        <f>IF('Enrollment Census'!F394="","",TRIM('Enrollment Census'!F394&amp;""))</f>
        <v/>
      </c>
      <c r="G394" s="37">
        <f>IF('Enrollment Census'!G394="","",TRIM('Enrollment Census'!G394&amp;""))</f>
        <v/>
      </c>
      <c r="H394" s="37">
        <f>IF('Enrollment Census'!H394="","",TRIM('Enrollment Census'!H394&amp;""))</f>
        <v/>
      </c>
      <c r="I394" s="36">
        <f>IF('Enrollment Census'!I394="","",TRIM('Enrollment Census'!I394&amp;""))</f>
        <v/>
      </c>
      <c r="J394" s="36">
        <f>IF('Enrollment Census'!J394="","",TRIM('Enrollment Census'!J394&amp;""))</f>
        <v/>
      </c>
      <c r="K394" s="36">
        <f>IF('Enrollment Census'!K394="","",TRIM('Enrollment Census'!K394&amp;""))</f>
        <v/>
      </c>
      <c r="L394" s="38">
        <f>IF('Enrollment Census'!L394="","",'Enrollment Census'!L394)</f>
        <v/>
      </c>
      <c r="M394" s="36">
        <f>IF('Enrollment Census'!M394="","",TRIM('Enrollment Census'!M394&amp;""))</f>
        <v/>
      </c>
      <c r="N394" s="36">
        <f>IF('Enrollment Census'!N394="","",LOWER(TRIM('Enrollment Census'!N394&amp;"")))</f>
        <v/>
      </c>
      <c r="O394" s="36">
        <f>IF('Enrollment Census'!O394="","",TRIM('Enrollment Census'!O394&amp;""))</f>
        <v/>
      </c>
      <c r="P394" s="38">
        <f>IF('Enrollment Census'!P394="","",'Enrollment Census'!P394)</f>
        <v/>
      </c>
      <c r="Q394" s="38">
        <f>IF('Enrollment Census'!Q394="","",'Enrollment Census'!Q394)</f>
        <v/>
      </c>
      <c r="R394" s="36">
        <f>IF('Enrollment Census'!R394="","",TRIM('Enrollment Census'!R394&amp;""))</f>
        <v/>
      </c>
      <c r="S394" s="36">
        <f>IF('Enrollment Census'!S394="","",TRIM('Enrollment Census'!S394&amp;""))</f>
        <v/>
      </c>
      <c r="T394" s="36">
        <f>IF('Enrollment Census'!T394="","",TRIM('Enrollment Census'!T394&amp;""))</f>
        <v/>
      </c>
      <c r="U394" s="39">
        <f>IF('Enrollment Census'!U394="","",'Enrollment Census'!U394)</f>
        <v/>
      </c>
    </row>
    <row r="395">
      <c r="A395" s="36">
        <f>IF('Enrollment Census'!A395="","",TRIM('Enrollment Census'!A395&amp;""))</f>
        <v/>
      </c>
      <c r="B395" s="36">
        <f>IF('Enrollment Census'!B395="","",TRIM('Enrollment Census'!B395&amp;""))</f>
        <v/>
      </c>
      <c r="C395" s="37">
        <f>IF('Enrollment Census'!C395="","",TRIM('Enrollment Census'!C395&amp;""))</f>
        <v/>
      </c>
      <c r="D395" s="37">
        <f>IF('Enrollment Census'!D395="","",TRIM('Enrollment Census'!D395&amp;""))</f>
        <v/>
      </c>
      <c r="E395" s="36">
        <f>IF('Enrollment Census'!E395="","",TRIM('Enrollment Census'!E395&amp;""))</f>
        <v/>
      </c>
      <c r="F395" s="37">
        <f>IF('Enrollment Census'!F395="","",TRIM('Enrollment Census'!F395&amp;""))</f>
        <v/>
      </c>
      <c r="G395" s="37">
        <f>IF('Enrollment Census'!G395="","",TRIM('Enrollment Census'!G395&amp;""))</f>
        <v/>
      </c>
      <c r="H395" s="37">
        <f>IF('Enrollment Census'!H395="","",TRIM('Enrollment Census'!H395&amp;""))</f>
        <v/>
      </c>
      <c r="I395" s="36">
        <f>IF('Enrollment Census'!I395="","",TRIM('Enrollment Census'!I395&amp;""))</f>
        <v/>
      </c>
      <c r="J395" s="36">
        <f>IF('Enrollment Census'!J395="","",TRIM('Enrollment Census'!J395&amp;""))</f>
        <v/>
      </c>
      <c r="K395" s="36">
        <f>IF('Enrollment Census'!K395="","",TRIM('Enrollment Census'!K395&amp;""))</f>
        <v/>
      </c>
      <c r="L395" s="38">
        <f>IF('Enrollment Census'!L395="","",'Enrollment Census'!L395)</f>
        <v/>
      </c>
      <c r="M395" s="36">
        <f>IF('Enrollment Census'!M395="","",TRIM('Enrollment Census'!M395&amp;""))</f>
        <v/>
      </c>
      <c r="N395" s="36">
        <f>IF('Enrollment Census'!N395="","",LOWER(TRIM('Enrollment Census'!N395&amp;"")))</f>
        <v/>
      </c>
      <c r="O395" s="36">
        <f>IF('Enrollment Census'!O395="","",TRIM('Enrollment Census'!O395&amp;""))</f>
        <v/>
      </c>
      <c r="P395" s="38">
        <f>IF('Enrollment Census'!P395="","",'Enrollment Census'!P395)</f>
        <v/>
      </c>
      <c r="Q395" s="38">
        <f>IF('Enrollment Census'!Q395="","",'Enrollment Census'!Q395)</f>
        <v/>
      </c>
      <c r="R395" s="36">
        <f>IF('Enrollment Census'!R395="","",TRIM('Enrollment Census'!R395&amp;""))</f>
        <v/>
      </c>
      <c r="S395" s="36">
        <f>IF('Enrollment Census'!S395="","",TRIM('Enrollment Census'!S395&amp;""))</f>
        <v/>
      </c>
      <c r="T395" s="36">
        <f>IF('Enrollment Census'!T395="","",TRIM('Enrollment Census'!T395&amp;""))</f>
        <v/>
      </c>
      <c r="U395" s="39">
        <f>IF('Enrollment Census'!U395="","",'Enrollment Census'!U395)</f>
        <v/>
      </c>
    </row>
    <row r="396">
      <c r="A396" s="36">
        <f>IF('Enrollment Census'!A396="","",TRIM('Enrollment Census'!A396&amp;""))</f>
        <v/>
      </c>
      <c r="B396" s="36">
        <f>IF('Enrollment Census'!B396="","",TRIM('Enrollment Census'!B396&amp;""))</f>
        <v/>
      </c>
      <c r="C396" s="37">
        <f>IF('Enrollment Census'!C396="","",TRIM('Enrollment Census'!C396&amp;""))</f>
        <v/>
      </c>
      <c r="D396" s="37">
        <f>IF('Enrollment Census'!D396="","",TRIM('Enrollment Census'!D396&amp;""))</f>
        <v/>
      </c>
      <c r="E396" s="36">
        <f>IF('Enrollment Census'!E396="","",TRIM('Enrollment Census'!E396&amp;""))</f>
        <v/>
      </c>
      <c r="F396" s="37">
        <f>IF('Enrollment Census'!F396="","",TRIM('Enrollment Census'!F396&amp;""))</f>
        <v/>
      </c>
      <c r="G396" s="37">
        <f>IF('Enrollment Census'!G396="","",TRIM('Enrollment Census'!G396&amp;""))</f>
        <v/>
      </c>
      <c r="H396" s="37">
        <f>IF('Enrollment Census'!H396="","",TRIM('Enrollment Census'!H396&amp;""))</f>
        <v/>
      </c>
      <c r="I396" s="36">
        <f>IF('Enrollment Census'!I396="","",TRIM('Enrollment Census'!I396&amp;""))</f>
        <v/>
      </c>
      <c r="J396" s="36">
        <f>IF('Enrollment Census'!J396="","",TRIM('Enrollment Census'!J396&amp;""))</f>
        <v/>
      </c>
      <c r="K396" s="36">
        <f>IF('Enrollment Census'!K396="","",TRIM('Enrollment Census'!K396&amp;""))</f>
        <v/>
      </c>
      <c r="L396" s="38">
        <f>IF('Enrollment Census'!L396="","",'Enrollment Census'!L396)</f>
        <v/>
      </c>
      <c r="M396" s="36">
        <f>IF('Enrollment Census'!M396="","",TRIM('Enrollment Census'!M396&amp;""))</f>
        <v/>
      </c>
      <c r="N396" s="36">
        <f>IF('Enrollment Census'!N396="","",LOWER(TRIM('Enrollment Census'!N396&amp;"")))</f>
        <v/>
      </c>
      <c r="O396" s="36">
        <f>IF('Enrollment Census'!O396="","",TRIM('Enrollment Census'!O396&amp;""))</f>
        <v/>
      </c>
      <c r="P396" s="38">
        <f>IF('Enrollment Census'!P396="","",'Enrollment Census'!P396)</f>
        <v/>
      </c>
      <c r="Q396" s="38">
        <f>IF('Enrollment Census'!Q396="","",'Enrollment Census'!Q396)</f>
        <v/>
      </c>
      <c r="R396" s="36">
        <f>IF('Enrollment Census'!R396="","",TRIM('Enrollment Census'!R396&amp;""))</f>
        <v/>
      </c>
      <c r="S396" s="36">
        <f>IF('Enrollment Census'!S396="","",TRIM('Enrollment Census'!S396&amp;""))</f>
        <v/>
      </c>
      <c r="T396" s="36">
        <f>IF('Enrollment Census'!T396="","",TRIM('Enrollment Census'!T396&amp;""))</f>
        <v/>
      </c>
      <c r="U396" s="39">
        <f>IF('Enrollment Census'!U396="","",'Enrollment Census'!U396)</f>
        <v/>
      </c>
    </row>
    <row r="397">
      <c r="A397" s="36">
        <f>IF('Enrollment Census'!A397="","",TRIM('Enrollment Census'!A397&amp;""))</f>
        <v/>
      </c>
      <c r="B397" s="36">
        <f>IF('Enrollment Census'!B397="","",TRIM('Enrollment Census'!B397&amp;""))</f>
        <v/>
      </c>
      <c r="C397" s="37">
        <f>IF('Enrollment Census'!C397="","",TRIM('Enrollment Census'!C397&amp;""))</f>
        <v/>
      </c>
      <c r="D397" s="37">
        <f>IF('Enrollment Census'!D397="","",TRIM('Enrollment Census'!D397&amp;""))</f>
        <v/>
      </c>
      <c r="E397" s="36">
        <f>IF('Enrollment Census'!E397="","",TRIM('Enrollment Census'!E397&amp;""))</f>
        <v/>
      </c>
      <c r="F397" s="37">
        <f>IF('Enrollment Census'!F397="","",TRIM('Enrollment Census'!F397&amp;""))</f>
        <v/>
      </c>
      <c r="G397" s="37">
        <f>IF('Enrollment Census'!G397="","",TRIM('Enrollment Census'!G397&amp;""))</f>
        <v/>
      </c>
      <c r="H397" s="37">
        <f>IF('Enrollment Census'!H397="","",TRIM('Enrollment Census'!H397&amp;""))</f>
        <v/>
      </c>
      <c r="I397" s="36">
        <f>IF('Enrollment Census'!I397="","",TRIM('Enrollment Census'!I397&amp;""))</f>
        <v/>
      </c>
      <c r="J397" s="36">
        <f>IF('Enrollment Census'!J397="","",TRIM('Enrollment Census'!J397&amp;""))</f>
        <v/>
      </c>
      <c r="K397" s="36">
        <f>IF('Enrollment Census'!K397="","",TRIM('Enrollment Census'!K397&amp;""))</f>
        <v/>
      </c>
      <c r="L397" s="38">
        <f>IF('Enrollment Census'!L397="","",'Enrollment Census'!L397)</f>
        <v/>
      </c>
      <c r="M397" s="36">
        <f>IF('Enrollment Census'!M397="","",TRIM('Enrollment Census'!M397&amp;""))</f>
        <v/>
      </c>
      <c r="N397" s="36">
        <f>IF('Enrollment Census'!N397="","",LOWER(TRIM('Enrollment Census'!N397&amp;"")))</f>
        <v/>
      </c>
      <c r="O397" s="36">
        <f>IF('Enrollment Census'!O397="","",TRIM('Enrollment Census'!O397&amp;""))</f>
        <v/>
      </c>
      <c r="P397" s="38">
        <f>IF('Enrollment Census'!P397="","",'Enrollment Census'!P397)</f>
        <v/>
      </c>
      <c r="Q397" s="38">
        <f>IF('Enrollment Census'!Q397="","",'Enrollment Census'!Q397)</f>
        <v/>
      </c>
      <c r="R397" s="36">
        <f>IF('Enrollment Census'!R397="","",TRIM('Enrollment Census'!R397&amp;""))</f>
        <v/>
      </c>
      <c r="S397" s="36">
        <f>IF('Enrollment Census'!S397="","",TRIM('Enrollment Census'!S397&amp;""))</f>
        <v/>
      </c>
      <c r="T397" s="36">
        <f>IF('Enrollment Census'!T397="","",TRIM('Enrollment Census'!T397&amp;""))</f>
        <v/>
      </c>
      <c r="U397" s="39">
        <f>IF('Enrollment Census'!U397="","",'Enrollment Census'!U397)</f>
        <v/>
      </c>
    </row>
    <row r="398">
      <c r="A398" s="36">
        <f>IF('Enrollment Census'!A398="","",TRIM('Enrollment Census'!A398&amp;""))</f>
        <v/>
      </c>
      <c r="B398" s="36">
        <f>IF('Enrollment Census'!B398="","",TRIM('Enrollment Census'!B398&amp;""))</f>
        <v/>
      </c>
      <c r="C398" s="37">
        <f>IF('Enrollment Census'!C398="","",TRIM('Enrollment Census'!C398&amp;""))</f>
        <v/>
      </c>
      <c r="D398" s="37">
        <f>IF('Enrollment Census'!D398="","",TRIM('Enrollment Census'!D398&amp;""))</f>
        <v/>
      </c>
      <c r="E398" s="36">
        <f>IF('Enrollment Census'!E398="","",TRIM('Enrollment Census'!E398&amp;""))</f>
        <v/>
      </c>
      <c r="F398" s="37">
        <f>IF('Enrollment Census'!F398="","",TRIM('Enrollment Census'!F398&amp;""))</f>
        <v/>
      </c>
      <c r="G398" s="37">
        <f>IF('Enrollment Census'!G398="","",TRIM('Enrollment Census'!G398&amp;""))</f>
        <v/>
      </c>
      <c r="H398" s="37">
        <f>IF('Enrollment Census'!H398="","",TRIM('Enrollment Census'!H398&amp;""))</f>
        <v/>
      </c>
      <c r="I398" s="36">
        <f>IF('Enrollment Census'!I398="","",TRIM('Enrollment Census'!I398&amp;""))</f>
        <v/>
      </c>
      <c r="J398" s="36">
        <f>IF('Enrollment Census'!J398="","",TRIM('Enrollment Census'!J398&amp;""))</f>
        <v/>
      </c>
      <c r="K398" s="36">
        <f>IF('Enrollment Census'!K398="","",TRIM('Enrollment Census'!K398&amp;""))</f>
        <v/>
      </c>
      <c r="L398" s="38">
        <f>IF('Enrollment Census'!L398="","",'Enrollment Census'!L398)</f>
        <v/>
      </c>
      <c r="M398" s="36">
        <f>IF('Enrollment Census'!M398="","",TRIM('Enrollment Census'!M398&amp;""))</f>
        <v/>
      </c>
      <c r="N398" s="36">
        <f>IF('Enrollment Census'!N398="","",LOWER(TRIM('Enrollment Census'!N398&amp;"")))</f>
        <v/>
      </c>
      <c r="O398" s="36">
        <f>IF('Enrollment Census'!O398="","",TRIM('Enrollment Census'!O398&amp;""))</f>
        <v/>
      </c>
      <c r="P398" s="38">
        <f>IF('Enrollment Census'!P398="","",'Enrollment Census'!P398)</f>
        <v/>
      </c>
      <c r="Q398" s="38">
        <f>IF('Enrollment Census'!Q398="","",'Enrollment Census'!Q398)</f>
        <v/>
      </c>
      <c r="R398" s="36">
        <f>IF('Enrollment Census'!R398="","",TRIM('Enrollment Census'!R398&amp;""))</f>
        <v/>
      </c>
      <c r="S398" s="36">
        <f>IF('Enrollment Census'!S398="","",TRIM('Enrollment Census'!S398&amp;""))</f>
        <v/>
      </c>
      <c r="T398" s="36">
        <f>IF('Enrollment Census'!T398="","",TRIM('Enrollment Census'!T398&amp;""))</f>
        <v/>
      </c>
      <c r="U398" s="39">
        <f>IF('Enrollment Census'!U398="","",'Enrollment Census'!U398)</f>
        <v/>
      </c>
    </row>
    <row r="399">
      <c r="A399" s="36">
        <f>IF('Enrollment Census'!A399="","",TRIM('Enrollment Census'!A399&amp;""))</f>
        <v/>
      </c>
      <c r="B399" s="36">
        <f>IF('Enrollment Census'!B399="","",TRIM('Enrollment Census'!B399&amp;""))</f>
        <v/>
      </c>
      <c r="C399" s="37">
        <f>IF('Enrollment Census'!C399="","",TRIM('Enrollment Census'!C399&amp;""))</f>
        <v/>
      </c>
      <c r="D399" s="37">
        <f>IF('Enrollment Census'!D399="","",TRIM('Enrollment Census'!D399&amp;""))</f>
        <v/>
      </c>
      <c r="E399" s="36">
        <f>IF('Enrollment Census'!E399="","",TRIM('Enrollment Census'!E399&amp;""))</f>
        <v/>
      </c>
      <c r="F399" s="37">
        <f>IF('Enrollment Census'!F399="","",TRIM('Enrollment Census'!F399&amp;""))</f>
        <v/>
      </c>
      <c r="G399" s="37">
        <f>IF('Enrollment Census'!G399="","",TRIM('Enrollment Census'!G399&amp;""))</f>
        <v/>
      </c>
      <c r="H399" s="37">
        <f>IF('Enrollment Census'!H399="","",TRIM('Enrollment Census'!H399&amp;""))</f>
        <v/>
      </c>
      <c r="I399" s="36">
        <f>IF('Enrollment Census'!I399="","",TRIM('Enrollment Census'!I399&amp;""))</f>
        <v/>
      </c>
      <c r="J399" s="36">
        <f>IF('Enrollment Census'!J399="","",TRIM('Enrollment Census'!J399&amp;""))</f>
        <v/>
      </c>
      <c r="K399" s="36">
        <f>IF('Enrollment Census'!K399="","",TRIM('Enrollment Census'!K399&amp;""))</f>
        <v/>
      </c>
      <c r="L399" s="38">
        <f>IF('Enrollment Census'!L399="","",'Enrollment Census'!L399)</f>
        <v/>
      </c>
      <c r="M399" s="36">
        <f>IF('Enrollment Census'!M399="","",TRIM('Enrollment Census'!M399&amp;""))</f>
        <v/>
      </c>
      <c r="N399" s="36">
        <f>IF('Enrollment Census'!N399="","",LOWER(TRIM('Enrollment Census'!N399&amp;"")))</f>
        <v/>
      </c>
      <c r="O399" s="36">
        <f>IF('Enrollment Census'!O399="","",TRIM('Enrollment Census'!O399&amp;""))</f>
        <v/>
      </c>
      <c r="P399" s="38">
        <f>IF('Enrollment Census'!P399="","",'Enrollment Census'!P399)</f>
        <v/>
      </c>
      <c r="Q399" s="38">
        <f>IF('Enrollment Census'!Q399="","",'Enrollment Census'!Q399)</f>
        <v/>
      </c>
      <c r="R399" s="36">
        <f>IF('Enrollment Census'!R399="","",TRIM('Enrollment Census'!R399&amp;""))</f>
        <v/>
      </c>
      <c r="S399" s="36">
        <f>IF('Enrollment Census'!S399="","",TRIM('Enrollment Census'!S399&amp;""))</f>
        <v/>
      </c>
      <c r="T399" s="36">
        <f>IF('Enrollment Census'!T399="","",TRIM('Enrollment Census'!T399&amp;""))</f>
        <v/>
      </c>
      <c r="U399" s="39">
        <f>IF('Enrollment Census'!U399="","",'Enrollment Census'!U399)</f>
        <v/>
      </c>
    </row>
    <row r="400">
      <c r="A400" s="36">
        <f>IF('Enrollment Census'!A400="","",TRIM('Enrollment Census'!A400&amp;""))</f>
        <v/>
      </c>
      <c r="B400" s="36">
        <f>IF('Enrollment Census'!B400="","",TRIM('Enrollment Census'!B400&amp;""))</f>
        <v/>
      </c>
      <c r="C400" s="37">
        <f>IF('Enrollment Census'!C400="","",TRIM('Enrollment Census'!C400&amp;""))</f>
        <v/>
      </c>
      <c r="D400" s="37">
        <f>IF('Enrollment Census'!D400="","",TRIM('Enrollment Census'!D400&amp;""))</f>
        <v/>
      </c>
      <c r="E400" s="36">
        <f>IF('Enrollment Census'!E400="","",TRIM('Enrollment Census'!E400&amp;""))</f>
        <v/>
      </c>
      <c r="F400" s="37">
        <f>IF('Enrollment Census'!F400="","",TRIM('Enrollment Census'!F400&amp;""))</f>
        <v/>
      </c>
      <c r="G400" s="37">
        <f>IF('Enrollment Census'!G400="","",TRIM('Enrollment Census'!G400&amp;""))</f>
        <v/>
      </c>
      <c r="H400" s="37">
        <f>IF('Enrollment Census'!H400="","",TRIM('Enrollment Census'!H400&amp;""))</f>
        <v/>
      </c>
      <c r="I400" s="36">
        <f>IF('Enrollment Census'!I400="","",TRIM('Enrollment Census'!I400&amp;""))</f>
        <v/>
      </c>
      <c r="J400" s="36">
        <f>IF('Enrollment Census'!J400="","",TRIM('Enrollment Census'!J400&amp;""))</f>
        <v/>
      </c>
      <c r="K400" s="36">
        <f>IF('Enrollment Census'!K400="","",TRIM('Enrollment Census'!K400&amp;""))</f>
        <v/>
      </c>
      <c r="L400" s="38">
        <f>IF('Enrollment Census'!L400="","",'Enrollment Census'!L400)</f>
        <v/>
      </c>
      <c r="M400" s="36">
        <f>IF('Enrollment Census'!M400="","",TRIM('Enrollment Census'!M400&amp;""))</f>
        <v/>
      </c>
      <c r="N400" s="36">
        <f>IF('Enrollment Census'!N400="","",LOWER(TRIM('Enrollment Census'!N400&amp;"")))</f>
        <v/>
      </c>
      <c r="O400" s="36">
        <f>IF('Enrollment Census'!O400="","",TRIM('Enrollment Census'!O400&amp;""))</f>
        <v/>
      </c>
      <c r="P400" s="38">
        <f>IF('Enrollment Census'!P400="","",'Enrollment Census'!P400)</f>
        <v/>
      </c>
      <c r="Q400" s="38">
        <f>IF('Enrollment Census'!Q400="","",'Enrollment Census'!Q400)</f>
        <v/>
      </c>
      <c r="R400" s="36">
        <f>IF('Enrollment Census'!R400="","",TRIM('Enrollment Census'!R400&amp;""))</f>
        <v/>
      </c>
      <c r="S400" s="36">
        <f>IF('Enrollment Census'!S400="","",TRIM('Enrollment Census'!S400&amp;""))</f>
        <v/>
      </c>
      <c r="T400" s="36">
        <f>IF('Enrollment Census'!T400="","",TRIM('Enrollment Census'!T400&amp;""))</f>
        <v/>
      </c>
      <c r="U400" s="39">
        <f>IF('Enrollment Census'!U400="","",'Enrollment Census'!U400)</f>
        <v/>
      </c>
    </row>
    <row r="401">
      <c r="A401" s="36">
        <f>IF('Enrollment Census'!A401="","",TRIM('Enrollment Census'!A401&amp;""))</f>
        <v/>
      </c>
      <c r="B401" s="36">
        <f>IF('Enrollment Census'!B401="","",TRIM('Enrollment Census'!B401&amp;""))</f>
        <v/>
      </c>
      <c r="C401" s="37">
        <f>IF('Enrollment Census'!C401="","",TRIM('Enrollment Census'!C401&amp;""))</f>
        <v/>
      </c>
      <c r="D401" s="37">
        <f>IF('Enrollment Census'!D401="","",TRIM('Enrollment Census'!D401&amp;""))</f>
        <v/>
      </c>
      <c r="E401" s="36">
        <f>IF('Enrollment Census'!E401="","",TRIM('Enrollment Census'!E401&amp;""))</f>
        <v/>
      </c>
      <c r="F401" s="37">
        <f>IF('Enrollment Census'!F401="","",TRIM('Enrollment Census'!F401&amp;""))</f>
        <v/>
      </c>
      <c r="G401" s="37">
        <f>IF('Enrollment Census'!G401="","",TRIM('Enrollment Census'!G401&amp;""))</f>
        <v/>
      </c>
      <c r="H401" s="37">
        <f>IF('Enrollment Census'!H401="","",TRIM('Enrollment Census'!H401&amp;""))</f>
        <v/>
      </c>
      <c r="I401" s="36">
        <f>IF('Enrollment Census'!I401="","",TRIM('Enrollment Census'!I401&amp;""))</f>
        <v/>
      </c>
      <c r="J401" s="36">
        <f>IF('Enrollment Census'!J401="","",TRIM('Enrollment Census'!J401&amp;""))</f>
        <v/>
      </c>
      <c r="K401" s="36">
        <f>IF('Enrollment Census'!K401="","",TRIM('Enrollment Census'!K401&amp;""))</f>
        <v/>
      </c>
      <c r="L401" s="38">
        <f>IF('Enrollment Census'!L401="","",'Enrollment Census'!L401)</f>
        <v/>
      </c>
      <c r="M401" s="36">
        <f>IF('Enrollment Census'!M401="","",TRIM('Enrollment Census'!M401&amp;""))</f>
        <v/>
      </c>
      <c r="N401" s="36">
        <f>IF('Enrollment Census'!N401="","",LOWER(TRIM('Enrollment Census'!N401&amp;"")))</f>
        <v/>
      </c>
      <c r="O401" s="36">
        <f>IF('Enrollment Census'!O401="","",TRIM('Enrollment Census'!O401&amp;""))</f>
        <v/>
      </c>
      <c r="P401" s="38">
        <f>IF('Enrollment Census'!P401="","",'Enrollment Census'!P401)</f>
        <v/>
      </c>
      <c r="Q401" s="38">
        <f>IF('Enrollment Census'!Q401="","",'Enrollment Census'!Q401)</f>
        <v/>
      </c>
      <c r="R401" s="36">
        <f>IF('Enrollment Census'!R401="","",TRIM('Enrollment Census'!R401&amp;""))</f>
        <v/>
      </c>
      <c r="S401" s="36">
        <f>IF('Enrollment Census'!S401="","",TRIM('Enrollment Census'!S401&amp;""))</f>
        <v/>
      </c>
      <c r="T401" s="36">
        <f>IF('Enrollment Census'!T401="","",TRIM('Enrollment Census'!T401&amp;""))</f>
        <v/>
      </c>
      <c r="U401" s="39">
        <f>IF('Enrollment Census'!U401="","",'Enrollment Census'!U401)</f>
        <v/>
      </c>
    </row>
    <row r="402">
      <c r="A402" s="36">
        <f>IF('Enrollment Census'!A402="","",TRIM('Enrollment Census'!A402&amp;""))</f>
        <v/>
      </c>
      <c r="B402" s="36">
        <f>IF('Enrollment Census'!B402="","",TRIM('Enrollment Census'!B402&amp;""))</f>
        <v/>
      </c>
      <c r="C402" s="37">
        <f>IF('Enrollment Census'!C402="","",TRIM('Enrollment Census'!C402&amp;""))</f>
        <v/>
      </c>
      <c r="D402" s="37">
        <f>IF('Enrollment Census'!D402="","",TRIM('Enrollment Census'!D402&amp;""))</f>
        <v/>
      </c>
      <c r="E402" s="36">
        <f>IF('Enrollment Census'!E402="","",TRIM('Enrollment Census'!E402&amp;""))</f>
        <v/>
      </c>
      <c r="F402" s="37">
        <f>IF('Enrollment Census'!F402="","",TRIM('Enrollment Census'!F402&amp;""))</f>
        <v/>
      </c>
      <c r="G402" s="37">
        <f>IF('Enrollment Census'!G402="","",TRIM('Enrollment Census'!G402&amp;""))</f>
        <v/>
      </c>
      <c r="H402" s="37">
        <f>IF('Enrollment Census'!H402="","",TRIM('Enrollment Census'!H402&amp;""))</f>
        <v/>
      </c>
      <c r="I402" s="36">
        <f>IF('Enrollment Census'!I402="","",TRIM('Enrollment Census'!I402&amp;""))</f>
        <v/>
      </c>
      <c r="J402" s="36">
        <f>IF('Enrollment Census'!J402="","",TRIM('Enrollment Census'!J402&amp;""))</f>
        <v/>
      </c>
      <c r="K402" s="36">
        <f>IF('Enrollment Census'!K402="","",TRIM('Enrollment Census'!K402&amp;""))</f>
        <v/>
      </c>
      <c r="L402" s="38">
        <f>IF('Enrollment Census'!L402="","",'Enrollment Census'!L402)</f>
        <v/>
      </c>
      <c r="M402" s="36">
        <f>IF('Enrollment Census'!M402="","",TRIM('Enrollment Census'!M402&amp;""))</f>
        <v/>
      </c>
      <c r="N402" s="36">
        <f>IF('Enrollment Census'!N402="","",LOWER(TRIM('Enrollment Census'!N402&amp;"")))</f>
        <v/>
      </c>
      <c r="O402" s="36">
        <f>IF('Enrollment Census'!O402="","",TRIM('Enrollment Census'!O402&amp;""))</f>
        <v/>
      </c>
      <c r="P402" s="38">
        <f>IF('Enrollment Census'!P402="","",'Enrollment Census'!P402)</f>
        <v/>
      </c>
      <c r="Q402" s="38">
        <f>IF('Enrollment Census'!Q402="","",'Enrollment Census'!Q402)</f>
        <v/>
      </c>
      <c r="R402" s="36">
        <f>IF('Enrollment Census'!R402="","",TRIM('Enrollment Census'!R402&amp;""))</f>
        <v/>
      </c>
      <c r="S402" s="36">
        <f>IF('Enrollment Census'!S402="","",TRIM('Enrollment Census'!S402&amp;""))</f>
        <v/>
      </c>
      <c r="T402" s="36">
        <f>IF('Enrollment Census'!T402="","",TRIM('Enrollment Census'!T402&amp;""))</f>
        <v/>
      </c>
      <c r="U402" s="39">
        <f>IF('Enrollment Census'!U402="","",'Enrollment Census'!U402)</f>
        <v/>
      </c>
    </row>
    <row r="403">
      <c r="A403" s="36">
        <f>IF('Enrollment Census'!A403="","",TRIM('Enrollment Census'!A403&amp;""))</f>
        <v/>
      </c>
      <c r="B403" s="36">
        <f>IF('Enrollment Census'!B403="","",TRIM('Enrollment Census'!B403&amp;""))</f>
        <v/>
      </c>
      <c r="C403" s="37">
        <f>IF('Enrollment Census'!C403="","",TRIM('Enrollment Census'!C403&amp;""))</f>
        <v/>
      </c>
      <c r="D403" s="37">
        <f>IF('Enrollment Census'!D403="","",TRIM('Enrollment Census'!D403&amp;""))</f>
        <v/>
      </c>
      <c r="E403" s="36">
        <f>IF('Enrollment Census'!E403="","",TRIM('Enrollment Census'!E403&amp;""))</f>
        <v/>
      </c>
      <c r="F403" s="37">
        <f>IF('Enrollment Census'!F403="","",TRIM('Enrollment Census'!F403&amp;""))</f>
        <v/>
      </c>
      <c r="G403" s="37">
        <f>IF('Enrollment Census'!G403="","",TRIM('Enrollment Census'!G403&amp;""))</f>
        <v/>
      </c>
      <c r="H403" s="37">
        <f>IF('Enrollment Census'!H403="","",TRIM('Enrollment Census'!H403&amp;""))</f>
        <v/>
      </c>
      <c r="I403" s="36">
        <f>IF('Enrollment Census'!I403="","",TRIM('Enrollment Census'!I403&amp;""))</f>
        <v/>
      </c>
      <c r="J403" s="36">
        <f>IF('Enrollment Census'!J403="","",TRIM('Enrollment Census'!J403&amp;""))</f>
        <v/>
      </c>
      <c r="K403" s="36">
        <f>IF('Enrollment Census'!K403="","",TRIM('Enrollment Census'!K403&amp;""))</f>
        <v/>
      </c>
      <c r="L403" s="38">
        <f>IF('Enrollment Census'!L403="","",'Enrollment Census'!L403)</f>
        <v/>
      </c>
      <c r="M403" s="36">
        <f>IF('Enrollment Census'!M403="","",TRIM('Enrollment Census'!M403&amp;""))</f>
        <v/>
      </c>
      <c r="N403" s="36">
        <f>IF('Enrollment Census'!N403="","",LOWER(TRIM('Enrollment Census'!N403&amp;"")))</f>
        <v/>
      </c>
      <c r="O403" s="36">
        <f>IF('Enrollment Census'!O403="","",TRIM('Enrollment Census'!O403&amp;""))</f>
        <v/>
      </c>
      <c r="P403" s="38">
        <f>IF('Enrollment Census'!P403="","",'Enrollment Census'!P403)</f>
        <v/>
      </c>
      <c r="Q403" s="38">
        <f>IF('Enrollment Census'!Q403="","",'Enrollment Census'!Q403)</f>
        <v/>
      </c>
      <c r="R403" s="36">
        <f>IF('Enrollment Census'!R403="","",TRIM('Enrollment Census'!R403&amp;""))</f>
        <v/>
      </c>
      <c r="S403" s="36">
        <f>IF('Enrollment Census'!S403="","",TRIM('Enrollment Census'!S403&amp;""))</f>
        <v/>
      </c>
      <c r="T403" s="36">
        <f>IF('Enrollment Census'!T403="","",TRIM('Enrollment Census'!T403&amp;""))</f>
        <v/>
      </c>
      <c r="U403" s="39">
        <f>IF('Enrollment Census'!U403="","",'Enrollment Census'!U403)</f>
        <v/>
      </c>
    </row>
    <row r="404">
      <c r="A404" s="36">
        <f>IF('Enrollment Census'!A404="","",TRIM('Enrollment Census'!A404&amp;""))</f>
        <v/>
      </c>
      <c r="B404" s="36">
        <f>IF('Enrollment Census'!B404="","",TRIM('Enrollment Census'!B404&amp;""))</f>
        <v/>
      </c>
      <c r="C404" s="37">
        <f>IF('Enrollment Census'!C404="","",TRIM('Enrollment Census'!C404&amp;""))</f>
        <v/>
      </c>
      <c r="D404" s="37">
        <f>IF('Enrollment Census'!D404="","",TRIM('Enrollment Census'!D404&amp;""))</f>
        <v/>
      </c>
      <c r="E404" s="36">
        <f>IF('Enrollment Census'!E404="","",TRIM('Enrollment Census'!E404&amp;""))</f>
        <v/>
      </c>
      <c r="F404" s="37">
        <f>IF('Enrollment Census'!F404="","",TRIM('Enrollment Census'!F404&amp;""))</f>
        <v/>
      </c>
      <c r="G404" s="37">
        <f>IF('Enrollment Census'!G404="","",TRIM('Enrollment Census'!G404&amp;""))</f>
        <v/>
      </c>
      <c r="H404" s="37">
        <f>IF('Enrollment Census'!H404="","",TRIM('Enrollment Census'!H404&amp;""))</f>
        <v/>
      </c>
      <c r="I404" s="36">
        <f>IF('Enrollment Census'!I404="","",TRIM('Enrollment Census'!I404&amp;""))</f>
        <v/>
      </c>
      <c r="J404" s="36">
        <f>IF('Enrollment Census'!J404="","",TRIM('Enrollment Census'!J404&amp;""))</f>
        <v/>
      </c>
      <c r="K404" s="36">
        <f>IF('Enrollment Census'!K404="","",TRIM('Enrollment Census'!K404&amp;""))</f>
        <v/>
      </c>
      <c r="L404" s="38">
        <f>IF('Enrollment Census'!L404="","",'Enrollment Census'!L404)</f>
        <v/>
      </c>
      <c r="M404" s="36">
        <f>IF('Enrollment Census'!M404="","",TRIM('Enrollment Census'!M404&amp;""))</f>
        <v/>
      </c>
      <c r="N404" s="36">
        <f>IF('Enrollment Census'!N404="","",LOWER(TRIM('Enrollment Census'!N404&amp;"")))</f>
        <v/>
      </c>
      <c r="O404" s="36">
        <f>IF('Enrollment Census'!O404="","",TRIM('Enrollment Census'!O404&amp;""))</f>
        <v/>
      </c>
      <c r="P404" s="38">
        <f>IF('Enrollment Census'!P404="","",'Enrollment Census'!P404)</f>
        <v/>
      </c>
      <c r="Q404" s="38">
        <f>IF('Enrollment Census'!Q404="","",'Enrollment Census'!Q404)</f>
        <v/>
      </c>
      <c r="R404" s="36">
        <f>IF('Enrollment Census'!R404="","",TRIM('Enrollment Census'!R404&amp;""))</f>
        <v/>
      </c>
      <c r="S404" s="36">
        <f>IF('Enrollment Census'!S404="","",TRIM('Enrollment Census'!S404&amp;""))</f>
        <v/>
      </c>
      <c r="T404" s="36">
        <f>IF('Enrollment Census'!T404="","",TRIM('Enrollment Census'!T404&amp;""))</f>
        <v/>
      </c>
      <c r="U404" s="39">
        <f>IF('Enrollment Census'!U404="","",'Enrollment Census'!U404)</f>
        <v/>
      </c>
    </row>
    <row r="405">
      <c r="A405" s="36">
        <f>IF('Enrollment Census'!A405="","",TRIM('Enrollment Census'!A405&amp;""))</f>
        <v/>
      </c>
      <c r="B405" s="36">
        <f>IF('Enrollment Census'!B405="","",TRIM('Enrollment Census'!B405&amp;""))</f>
        <v/>
      </c>
      <c r="C405" s="37">
        <f>IF('Enrollment Census'!C405="","",TRIM('Enrollment Census'!C405&amp;""))</f>
        <v/>
      </c>
      <c r="D405" s="37">
        <f>IF('Enrollment Census'!D405="","",TRIM('Enrollment Census'!D405&amp;""))</f>
        <v/>
      </c>
      <c r="E405" s="36">
        <f>IF('Enrollment Census'!E405="","",TRIM('Enrollment Census'!E405&amp;""))</f>
        <v/>
      </c>
      <c r="F405" s="37">
        <f>IF('Enrollment Census'!F405="","",TRIM('Enrollment Census'!F405&amp;""))</f>
        <v/>
      </c>
      <c r="G405" s="37">
        <f>IF('Enrollment Census'!G405="","",TRIM('Enrollment Census'!G405&amp;""))</f>
        <v/>
      </c>
      <c r="H405" s="37">
        <f>IF('Enrollment Census'!H405="","",TRIM('Enrollment Census'!H405&amp;""))</f>
        <v/>
      </c>
      <c r="I405" s="36">
        <f>IF('Enrollment Census'!I405="","",TRIM('Enrollment Census'!I405&amp;""))</f>
        <v/>
      </c>
      <c r="J405" s="36">
        <f>IF('Enrollment Census'!J405="","",TRIM('Enrollment Census'!J405&amp;""))</f>
        <v/>
      </c>
      <c r="K405" s="36">
        <f>IF('Enrollment Census'!K405="","",TRIM('Enrollment Census'!K405&amp;""))</f>
        <v/>
      </c>
      <c r="L405" s="38">
        <f>IF('Enrollment Census'!L405="","",'Enrollment Census'!L405)</f>
        <v/>
      </c>
      <c r="M405" s="36">
        <f>IF('Enrollment Census'!M405="","",TRIM('Enrollment Census'!M405&amp;""))</f>
        <v/>
      </c>
      <c r="N405" s="36">
        <f>IF('Enrollment Census'!N405="","",LOWER(TRIM('Enrollment Census'!N405&amp;"")))</f>
        <v/>
      </c>
      <c r="O405" s="36">
        <f>IF('Enrollment Census'!O405="","",TRIM('Enrollment Census'!O405&amp;""))</f>
        <v/>
      </c>
      <c r="P405" s="38">
        <f>IF('Enrollment Census'!P405="","",'Enrollment Census'!P405)</f>
        <v/>
      </c>
      <c r="Q405" s="38">
        <f>IF('Enrollment Census'!Q405="","",'Enrollment Census'!Q405)</f>
        <v/>
      </c>
      <c r="R405" s="36">
        <f>IF('Enrollment Census'!R405="","",TRIM('Enrollment Census'!R405&amp;""))</f>
        <v/>
      </c>
      <c r="S405" s="36">
        <f>IF('Enrollment Census'!S405="","",TRIM('Enrollment Census'!S405&amp;""))</f>
        <v/>
      </c>
      <c r="T405" s="36">
        <f>IF('Enrollment Census'!T405="","",TRIM('Enrollment Census'!T405&amp;""))</f>
        <v/>
      </c>
      <c r="U405" s="39">
        <f>IF('Enrollment Census'!U405="","",'Enrollment Census'!U405)</f>
        <v/>
      </c>
    </row>
    <row r="406">
      <c r="A406" s="36">
        <f>IF('Enrollment Census'!A406="","",TRIM('Enrollment Census'!A406&amp;""))</f>
        <v/>
      </c>
      <c r="B406" s="36">
        <f>IF('Enrollment Census'!B406="","",TRIM('Enrollment Census'!B406&amp;""))</f>
        <v/>
      </c>
      <c r="C406" s="37">
        <f>IF('Enrollment Census'!C406="","",TRIM('Enrollment Census'!C406&amp;""))</f>
        <v/>
      </c>
      <c r="D406" s="37">
        <f>IF('Enrollment Census'!D406="","",TRIM('Enrollment Census'!D406&amp;""))</f>
        <v/>
      </c>
      <c r="E406" s="36">
        <f>IF('Enrollment Census'!E406="","",TRIM('Enrollment Census'!E406&amp;""))</f>
        <v/>
      </c>
      <c r="F406" s="37">
        <f>IF('Enrollment Census'!F406="","",TRIM('Enrollment Census'!F406&amp;""))</f>
        <v/>
      </c>
      <c r="G406" s="37">
        <f>IF('Enrollment Census'!G406="","",TRIM('Enrollment Census'!G406&amp;""))</f>
        <v/>
      </c>
      <c r="H406" s="37">
        <f>IF('Enrollment Census'!H406="","",TRIM('Enrollment Census'!H406&amp;""))</f>
        <v/>
      </c>
      <c r="I406" s="36">
        <f>IF('Enrollment Census'!I406="","",TRIM('Enrollment Census'!I406&amp;""))</f>
        <v/>
      </c>
      <c r="J406" s="36">
        <f>IF('Enrollment Census'!J406="","",TRIM('Enrollment Census'!J406&amp;""))</f>
        <v/>
      </c>
      <c r="K406" s="36">
        <f>IF('Enrollment Census'!K406="","",TRIM('Enrollment Census'!K406&amp;""))</f>
        <v/>
      </c>
      <c r="L406" s="38">
        <f>IF('Enrollment Census'!L406="","",'Enrollment Census'!L406)</f>
        <v/>
      </c>
      <c r="M406" s="36">
        <f>IF('Enrollment Census'!M406="","",TRIM('Enrollment Census'!M406&amp;""))</f>
        <v/>
      </c>
      <c r="N406" s="36">
        <f>IF('Enrollment Census'!N406="","",LOWER(TRIM('Enrollment Census'!N406&amp;"")))</f>
        <v/>
      </c>
      <c r="O406" s="36">
        <f>IF('Enrollment Census'!O406="","",TRIM('Enrollment Census'!O406&amp;""))</f>
        <v/>
      </c>
      <c r="P406" s="38">
        <f>IF('Enrollment Census'!P406="","",'Enrollment Census'!P406)</f>
        <v/>
      </c>
      <c r="Q406" s="38">
        <f>IF('Enrollment Census'!Q406="","",'Enrollment Census'!Q406)</f>
        <v/>
      </c>
      <c r="R406" s="36">
        <f>IF('Enrollment Census'!R406="","",TRIM('Enrollment Census'!R406&amp;""))</f>
        <v/>
      </c>
      <c r="S406" s="36">
        <f>IF('Enrollment Census'!S406="","",TRIM('Enrollment Census'!S406&amp;""))</f>
        <v/>
      </c>
      <c r="T406" s="36">
        <f>IF('Enrollment Census'!T406="","",TRIM('Enrollment Census'!T406&amp;""))</f>
        <v/>
      </c>
      <c r="U406" s="39">
        <f>IF('Enrollment Census'!U406="","",'Enrollment Census'!U406)</f>
        <v/>
      </c>
    </row>
    <row r="407">
      <c r="A407" s="36">
        <f>IF('Enrollment Census'!A407="","",TRIM('Enrollment Census'!A407&amp;""))</f>
        <v/>
      </c>
      <c r="B407" s="36">
        <f>IF('Enrollment Census'!B407="","",TRIM('Enrollment Census'!B407&amp;""))</f>
        <v/>
      </c>
      <c r="C407" s="37">
        <f>IF('Enrollment Census'!C407="","",TRIM('Enrollment Census'!C407&amp;""))</f>
        <v/>
      </c>
      <c r="D407" s="37">
        <f>IF('Enrollment Census'!D407="","",TRIM('Enrollment Census'!D407&amp;""))</f>
        <v/>
      </c>
      <c r="E407" s="36">
        <f>IF('Enrollment Census'!E407="","",TRIM('Enrollment Census'!E407&amp;""))</f>
        <v/>
      </c>
      <c r="F407" s="37">
        <f>IF('Enrollment Census'!F407="","",TRIM('Enrollment Census'!F407&amp;""))</f>
        <v/>
      </c>
      <c r="G407" s="37">
        <f>IF('Enrollment Census'!G407="","",TRIM('Enrollment Census'!G407&amp;""))</f>
        <v/>
      </c>
      <c r="H407" s="37">
        <f>IF('Enrollment Census'!H407="","",TRIM('Enrollment Census'!H407&amp;""))</f>
        <v/>
      </c>
      <c r="I407" s="36">
        <f>IF('Enrollment Census'!I407="","",TRIM('Enrollment Census'!I407&amp;""))</f>
        <v/>
      </c>
      <c r="J407" s="36">
        <f>IF('Enrollment Census'!J407="","",TRIM('Enrollment Census'!J407&amp;""))</f>
        <v/>
      </c>
      <c r="K407" s="36">
        <f>IF('Enrollment Census'!K407="","",TRIM('Enrollment Census'!K407&amp;""))</f>
        <v/>
      </c>
      <c r="L407" s="38">
        <f>IF('Enrollment Census'!L407="","",'Enrollment Census'!L407)</f>
        <v/>
      </c>
      <c r="M407" s="36">
        <f>IF('Enrollment Census'!M407="","",TRIM('Enrollment Census'!M407&amp;""))</f>
        <v/>
      </c>
      <c r="N407" s="36">
        <f>IF('Enrollment Census'!N407="","",LOWER(TRIM('Enrollment Census'!N407&amp;"")))</f>
        <v/>
      </c>
      <c r="O407" s="36">
        <f>IF('Enrollment Census'!O407="","",TRIM('Enrollment Census'!O407&amp;""))</f>
        <v/>
      </c>
      <c r="P407" s="38">
        <f>IF('Enrollment Census'!P407="","",'Enrollment Census'!P407)</f>
        <v/>
      </c>
      <c r="Q407" s="38">
        <f>IF('Enrollment Census'!Q407="","",'Enrollment Census'!Q407)</f>
        <v/>
      </c>
      <c r="R407" s="36">
        <f>IF('Enrollment Census'!R407="","",TRIM('Enrollment Census'!R407&amp;""))</f>
        <v/>
      </c>
      <c r="S407" s="36">
        <f>IF('Enrollment Census'!S407="","",TRIM('Enrollment Census'!S407&amp;""))</f>
        <v/>
      </c>
      <c r="T407" s="36">
        <f>IF('Enrollment Census'!T407="","",TRIM('Enrollment Census'!T407&amp;""))</f>
        <v/>
      </c>
      <c r="U407" s="39">
        <f>IF('Enrollment Census'!U407="","",'Enrollment Census'!U407)</f>
        <v/>
      </c>
    </row>
    <row r="408">
      <c r="A408" s="36">
        <f>IF('Enrollment Census'!A408="","",TRIM('Enrollment Census'!A408&amp;""))</f>
        <v/>
      </c>
      <c r="B408" s="36">
        <f>IF('Enrollment Census'!B408="","",TRIM('Enrollment Census'!B408&amp;""))</f>
        <v/>
      </c>
      <c r="C408" s="37">
        <f>IF('Enrollment Census'!C408="","",TRIM('Enrollment Census'!C408&amp;""))</f>
        <v/>
      </c>
      <c r="D408" s="37">
        <f>IF('Enrollment Census'!D408="","",TRIM('Enrollment Census'!D408&amp;""))</f>
        <v/>
      </c>
      <c r="E408" s="36">
        <f>IF('Enrollment Census'!E408="","",TRIM('Enrollment Census'!E408&amp;""))</f>
        <v/>
      </c>
      <c r="F408" s="37">
        <f>IF('Enrollment Census'!F408="","",TRIM('Enrollment Census'!F408&amp;""))</f>
        <v/>
      </c>
      <c r="G408" s="37">
        <f>IF('Enrollment Census'!G408="","",TRIM('Enrollment Census'!G408&amp;""))</f>
        <v/>
      </c>
      <c r="H408" s="37">
        <f>IF('Enrollment Census'!H408="","",TRIM('Enrollment Census'!H408&amp;""))</f>
        <v/>
      </c>
      <c r="I408" s="36">
        <f>IF('Enrollment Census'!I408="","",TRIM('Enrollment Census'!I408&amp;""))</f>
        <v/>
      </c>
      <c r="J408" s="36">
        <f>IF('Enrollment Census'!J408="","",TRIM('Enrollment Census'!J408&amp;""))</f>
        <v/>
      </c>
      <c r="K408" s="36">
        <f>IF('Enrollment Census'!K408="","",TRIM('Enrollment Census'!K408&amp;""))</f>
        <v/>
      </c>
      <c r="L408" s="38">
        <f>IF('Enrollment Census'!L408="","",'Enrollment Census'!L408)</f>
        <v/>
      </c>
      <c r="M408" s="36">
        <f>IF('Enrollment Census'!M408="","",TRIM('Enrollment Census'!M408&amp;""))</f>
        <v/>
      </c>
      <c r="N408" s="36">
        <f>IF('Enrollment Census'!N408="","",LOWER(TRIM('Enrollment Census'!N408&amp;"")))</f>
        <v/>
      </c>
      <c r="O408" s="36">
        <f>IF('Enrollment Census'!O408="","",TRIM('Enrollment Census'!O408&amp;""))</f>
        <v/>
      </c>
      <c r="P408" s="38">
        <f>IF('Enrollment Census'!P408="","",'Enrollment Census'!P408)</f>
        <v/>
      </c>
      <c r="Q408" s="38">
        <f>IF('Enrollment Census'!Q408="","",'Enrollment Census'!Q408)</f>
        <v/>
      </c>
      <c r="R408" s="36">
        <f>IF('Enrollment Census'!R408="","",TRIM('Enrollment Census'!R408&amp;""))</f>
        <v/>
      </c>
      <c r="S408" s="36">
        <f>IF('Enrollment Census'!S408="","",TRIM('Enrollment Census'!S408&amp;""))</f>
        <v/>
      </c>
      <c r="T408" s="36">
        <f>IF('Enrollment Census'!T408="","",TRIM('Enrollment Census'!T408&amp;""))</f>
        <v/>
      </c>
      <c r="U408" s="39">
        <f>IF('Enrollment Census'!U408="","",'Enrollment Census'!U408)</f>
        <v/>
      </c>
    </row>
    <row r="409">
      <c r="A409" s="36">
        <f>IF('Enrollment Census'!A409="","",TRIM('Enrollment Census'!A409&amp;""))</f>
        <v/>
      </c>
      <c r="B409" s="36">
        <f>IF('Enrollment Census'!B409="","",TRIM('Enrollment Census'!B409&amp;""))</f>
        <v/>
      </c>
      <c r="C409" s="37">
        <f>IF('Enrollment Census'!C409="","",TRIM('Enrollment Census'!C409&amp;""))</f>
        <v/>
      </c>
      <c r="D409" s="37">
        <f>IF('Enrollment Census'!D409="","",TRIM('Enrollment Census'!D409&amp;""))</f>
        <v/>
      </c>
      <c r="E409" s="36">
        <f>IF('Enrollment Census'!E409="","",TRIM('Enrollment Census'!E409&amp;""))</f>
        <v/>
      </c>
      <c r="F409" s="37">
        <f>IF('Enrollment Census'!F409="","",TRIM('Enrollment Census'!F409&amp;""))</f>
        <v/>
      </c>
      <c r="G409" s="37">
        <f>IF('Enrollment Census'!G409="","",TRIM('Enrollment Census'!G409&amp;""))</f>
        <v/>
      </c>
      <c r="H409" s="37">
        <f>IF('Enrollment Census'!H409="","",TRIM('Enrollment Census'!H409&amp;""))</f>
        <v/>
      </c>
      <c r="I409" s="36">
        <f>IF('Enrollment Census'!I409="","",TRIM('Enrollment Census'!I409&amp;""))</f>
        <v/>
      </c>
      <c r="J409" s="36">
        <f>IF('Enrollment Census'!J409="","",TRIM('Enrollment Census'!J409&amp;""))</f>
        <v/>
      </c>
      <c r="K409" s="36">
        <f>IF('Enrollment Census'!K409="","",TRIM('Enrollment Census'!K409&amp;""))</f>
        <v/>
      </c>
      <c r="L409" s="38">
        <f>IF('Enrollment Census'!L409="","",'Enrollment Census'!L409)</f>
        <v/>
      </c>
      <c r="M409" s="36">
        <f>IF('Enrollment Census'!M409="","",TRIM('Enrollment Census'!M409&amp;""))</f>
        <v/>
      </c>
      <c r="N409" s="36">
        <f>IF('Enrollment Census'!N409="","",LOWER(TRIM('Enrollment Census'!N409&amp;"")))</f>
        <v/>
      </c>
      <c r="O409" s="36">
        <f>IF('Enrollment Census'!O409="","",TRIM('Enrollment Census'!O409&amp;""))</f>
        <v/>
      </c>
      <c r="P409" s="38">
        <f>IF('Enrollment Census'!P409="","",'Enrollment Census'!P409)</f>
        <v/>
      </c>
      <c r="Q409" s="38">
        <f>IF('Enrollment Census'!Q409="","",'Enrollment Census'!Q409)</f>
        <v/>
      </c>
      <c r="R409" s="36">
        <f>IF('Enrollment Census'!R409="","",TRIM('Enrollment Census'!R409&amp;""))</f>
        <v/>
      </c>
      <c r="S409" s="36">
        <f>IF('Enrollment Census'!S409="","",TRIM('Enrollment Census'!S409&amp;""))</f>
        <v/>
      </c>
      <c r="T409" s="36">
        <f>IF('Enrollment Census'!T409="","",TRIM('Enrollment Census'!T409&amp;""))</f>
        <v/>
      </c>
      <c r="U409" s="39">
        <f>IF('Enrollment Census'!U409="","",'Enrollment Census'!U409)</f>
        <v/>
      </c>
    </row>
    <row r="410">
      <c r="A410" s="36">
        <f>IF('Enrollment Census'!A410="","",TRIM('Enrollment Census'!A410&amp;""))</f>
        <v/>
      </c>
      <c r="B410" s="36">
        <f>IF('Enrollment Census'!B410="","",TRIM('Enrollment Census'!B410&amp;""))</f>
        <v/>
      </c>
      <c r="C410" s="37">
        <f>IF('Enrollment Census'!C410="","",TRIM('Enrollment Census'!C410&amp;""))</f>
        <v/>
      </c>
      <c r="D410" s="37">
        <f>IF('Enrollment Census'!D410="","",TRIM('Enrollment Census'!D410&amp;""))</f>
        <v/>
      </c>
      <c r="E410" s="36">
        <f>IF('Enrollment Census'!E410="","",TRIM('Enrollment Census'!E410&amp;""))</f>
        <v/>
      </c>
      <c r="F410" s="37">
        <f>IF('Enrollment Census'!F410="","",TRIM('Enrollment Census'!F410&amp;""))</f>
        <v/>
      </c>
      <c r="G410" s="37">
        <f>IF('Enrollment Census'!G410="","",TRIM('Enrollment Census'!G410&amp;""))</f>
        <v/>
      </c>
      <c r="H410" s="37">
        <f>IF('Enrollment Census'!H410="","",TRIM('Enrollment Census'!H410&amp;""))</f>
        <v/>
      </c>
      <c r="I410" s="36">
        <f>IF('Enrollment Census'!I410="","",TRIM('Enrollment Census'!I410&amp;""))</f>
        <v/>
      </c>
      <c r="J410" s="36">
        <f>IF('Enrollment Census'!J410="","",TRIM('Enrollment Census'!J410&amp;""))</f>
        <v/>
      </c>
      <c r="K410" s="36">
        <f>IF('Enrollment Census'!K410="","",TRIM('Enrollment Census'!K410&amp;""))</f>
        <v/>
      </c>
      <c r="L410" s="38">
        <f>IF('Enrollment Census'!L410="","",'Enrollment Census'!L410)</f>
        <v/>
      </c>
      <c r="M410" s="36">
        <f>IF('Enrollment Census'!M410="","",TRIM('Enrollment Census'!M410&amp;""))</f>
        <v/>
      </c>
      <c r="N410" s="36">
        <f>IF('Enrollment Census'!N410="","",LOWER(TRIM('Enrollment Census'!N410&amp;"")))</f>
        <v/>
      </c>
      <c r="O410" s="36">
        <f>IF('Enrollment Census'!O410="","",TRIM('Enrollment Census'!O410&amp;""))</f>
        <v/>
      </c>
      <c r="P410" s="38">
        <f>IF('Enrollment Census'!P410="","",'Enrollment Census'!P410)</f>
        <v/>
      </c>
      <c r="Q410" s="38">
        <f>IF('Enrollment Census'!Q410="","",'Enrollment Census'!Q410)</f>
        <v/>
      </c>
      <c r="R410" s="36">
        <f>IF('Enrollment Census'!R410="","",TRIM('Enrollment Census'!R410&amp;""))</f>
        <v/>
      </c>
      <c r="S410" s="36">
        <f>IF('Enrollment Census'!S410="","",TRIM('Enrollment Census'!S410&amp;""))</f>
        <v/>
      </c>
      <c r="T410" s="36">
        <f>IF('Enrollment Census'!T410="","",TRIM('Enrollment Census'!T410&amp;""))</f>
        <v/>
      </c>
      <c r="U410" s="39">
        <f>IF('Enrollment Census'!U410="","",'Enrollment Census'!U410)</f>
        <v/>
      </c>
    </row>
    <row r="411">
      <c r="A411" s="36">
        <f>IF('Enrollment Census'!A411="","",TRIM('Enrollment Census'!A411&amp;""))</f>
        <v/>
      </c>
      <c r="B411" s="36">
        <f>IF('Enrollment Census'!B411="","",TRIM('Enrollment Census'!B411&amp;""))</f>
        <v/>
      </c>
      <c r="C411" s="37">
        <f>IF('Enrollment Census'!C411="","",TRIM('Enrollment Census'!C411&amp;""))</f>
        <v/>
      </c>
      <c r="D411" s="37">
        <f>IF('Enrollment Census'!D411="","",TRIM('Enrollment Census'!D411&amp;""))</f>
        <v/>
      </c>
      <c r="E411" s="36">
        <f>IF('Enrollment Census'!E411="","",TRIM('Enrollment Census'!E411&amp;""))</f>
        <v/>
      </c>
      <c r="F411" s="37">
        <f>IF('Enrollment Census'!F411="","",TRIM('Enrollment Census'!F411&amp;""))</f>
        <v/>
      </c>
      <c r="G411" s="37">
        <f>IF('Enrollment Census'!G411="","",TRIM('Enrollment Census'!G411&amp;""))</f>
        <v/>
      </c>
      <c r="H411" s="37">
        <f>IF('Enrollment Census'!H411="","",TRIM('Enrollment Census'!H411&amp;""))</f>
        <v/>
      </c>
      <c r="I411" s="36">
        <f>IF('Enrollment Census'!I411="","",TRIM('Enrollment Census'!I411&amp;""))</f>
        <v/>
      </c>
      <c r="J411" s="36">
        <f>IF('Enrollment Census'!J411="","",TRIM('Enrollment Census'!J411&amp;""))</f>
        <v/>
      </c>
      <c r="K411" s="36">
        <f>IF('Enrollment Census'!K411="","",TRIM('Enrollment Census'!K411&amp;""))</f>
        <v/>
      </c>
      <c r="L411" s="38">
        <f>IF('Enrollment Census'!L411="","",'Enrollment Census'!L411)</f>
        <v/>
      </c>
      <c r="M411" s="36">
        <f>IF('Enrollment Census'!M411="","",TRIM('Enrollment Census'!M411&amp;""))</f>
        <v/>
      </c>
      <c r="N411" s="36">
        <f>IF('Enrollment Census'!N411="","",LOWER(TRIM('Enrollment Census'!N411&amp;"")))</f>
        <v/>
      </c>
      <c r="O411" s="36">
        <f>IF('Enrollment Census'!O411="","",TRIM('Enrollment Census'!O411&amp;""))</f>
        <v/>
      </c>
      <c r="P411" s="38">
        <f>IF('Enrollment Census'!P411="","",'Enrollment Census'!P411)</f>
        <v/>
      </c>
      <c r="Q411" s="38">
        <f>IF('Enrollment Census'!Q411="","",'Enrollment Census'!Q411)</f>
        <v/>
      </c>
      <c r="R411" s="36">
        <f>IF('Enrollment Census'!R411="","",TRIM('Enrollment Census'!R411&amp;""))</f>
        <v/>
      </c>
      <c r="S411" s="36">
        <f>IF('Enrollment Census'!S411="","",TRIM('Enrollment Census'!S411&amp;""))</f>
        <v/>
      </c>
      <c r="T411" s="36">
        <f>IF('Enrollment Census'!T411="","",TRIM('Enrollment Census'!T411&amp;""))</f>
        <v/>
      </c>
      <c r="U411" s="39">
        <f>IF('Enrollment Census'!U411="","",'Enrollment Census'!U411)</f>
        <v/>
      </c>
    </row>
    <row r="412">
      <c r="A412" s="36">
        <f>IF('Enrollment Census'!A412="","",TRIM('Enrollment Census'!A412&amp;""))</f>
        <v/>
      </c>
      <c r="B412" s="36">
        <f>IF('Enrollment Census'!B412="","",TRIM('Enrollment Census'!B412&amp;""))</f>
        <v/>
      </c>
      <c r="C412" s="37">
        <f>IF('Enrollment Census'!C412="","",TRIM('Enrollment Census'!C412&amp;""))</f>
        <v/>
      </c>
      <c r="D412" s="37">
        <f>IF('Enrollment Census'!D412="","",TRIM('Enrollment Census'!D412&amp;""))</f>
        <v/>
      </c>
      <c r="E412" s="36">
        <f>IF('Enrollment Census'!E412="","",TRIM('Enrollment Census'!E412&amp;""))</f>
        <v/>
      </c>
      <c r="F412" s="37">
        <f>IF('Enrollment Census'!F412="","",TRIM('Enrollment Census'!F412&amp;""))</f>
        <v/>
      </c>
      <c r="G412" s="37">
        <f>IF('Enrollment Census'!G412="","",TRIM('Enrollment Census'!G412&amp;""))</f>
        <v/>
      </c>
      <c r="H412" s="37">
        <f>IF('Enrollment Census'!H412="","",TRIM('Enrollment Census'!H412&amp;""))</f>
        <v/>
      </c>
      <c r="I412" s="36">
        <f>IF('Enrollment Census'!I412="","",TRIM('Enrollment Census'!I412&amp;""))</f>
        <v/>
      </c>
      <c r="J412" s="36">
        <f>IF('Enrollment Census'!J412="","",TRIM('Enrollment Census'!J412&amp;""))</f>
        <v/>
      </c>
      <c r="K412" s="36">
        <f>IF('Enrollment Census'!K412="","",TRIM('Enrollment Census'!K412&amp;""))</f>
        <v/>
      </c>
      <c r="L412" s="38">
        <f>IF('Enrollment Census'!L412="","",'Enrollment Census'!L412)</f>
        <v/>
      </c>
      <c r="M412" s="36">
        <f>IF('Enrollment Census'!M412="","",TRIM('Enrollment Census'!M412&amp;""))</f>
        <v/>
      </c>
      <c r="N412" s="36">
        <f>IF('Enrollment Census'!N412="","",LOWER(TRIM('Enrollment Census'!N412&amp;"")))</f>
        <v/>
      </c>
      <c r="O412" s="36">
        <f>IF('Enrollment Census'!O412="","",TRIM('Enrollment Census'!O412&amp;""))</f>
        <v/>
      </c>
      <c r="P412" s="38">
        <f>IF('Enrollment Census'!P412="","",'Enrollment Census'!P412)</f>
        <v/>
      </c>
      <c r="Q412" s="38">
        <f>IF('Enrollment Census'!Q412="","",'Enrollment Census'!Q412)</f>
        <v/>
      </c>
      <c r="R412" s="36">
        <f>IF('Enrollment Census'!R412="","",TRIM('Enrollment Census'!R412&amp;""))</f>
        <v/>
      </c>
      <c r="S412" s="36">
        <f>IF('Enrollment Census'!S412="","",TRIM('Enrollment Census'!S412&amp;""))</f>
        <v/>
      </c>
      <c r="T412" s="36">
        <f>IF('Enrollment Census'!T412="","",TRIM('Enrollment Census'!T412&amp;""))</f>
        <v/>
      </c>
      <c r="U412" s="39">
        <f>IF('Enrollment Census'!U412="","",'Enrollment Census'!U412)</f>
        <v/>
      </c>
    </row>
    <row r="413">
      <c r="A413" s="36">
        <f>IF('Enrollment Census'!A413="","",TRIM('Enrollment Census'!A413&amp;""))</f>
        <v/>
      </c>
      <c r="B413" s="36">
        <f>IF('Enrollment Census'!B413="","",TRIM('Enrollment Census'!B413&amp;""))</f>
        <v/>
      </c>
      <c r="C413" s="37">
        <f>IF('Enrollment Census'!C413="","",TRIM('Enrollment Census'!C413&amp;""))</f>
        <v/>
      </c>
      <c r="D413" s="37">
        <f>IF('Enrollment Census'!D413="","",TRIM('Enrollment Census'!D413&amp;""))</f>
        <v/>
      </c>
      <c r="E413" s="36">
        <f>IF('Enrollment Census'!E413="","",TRIM('Enrollment Census'!E413&amp;""))</f>
        <v/>
      </c>
      <c r="F413" s="37">
        <f>IF('Enrollment Census'!F413="","",TRIM('Enrollment Census'!F413&amp;""))</f>
        <v/>
      </c>
      <c r="G413" s="37">
        <f>IF('Enrollment Census'!G413="","",TRIM('Enrollment Census'!G413&amp;""))</f>
        <v/>
      </c>
      <c r="H413" s="37">
        <f>IF('Enrollment Census'!H413="","",TRIM('Enrollment Census'!H413&amp;""))</f>
        <v/>
      </c>
      <c r="I413" s="36">
        <f>IF('Enrollment Census'!I413="","",TRIM('Enrollment Census'!I413&amp;""))</f>
        <v/>
      </c>
      <c r="J413" s="36">
        <f>IF('Enrollment Census'!J413="","",TRIM('Enrollment Census'!J413&amp;""))</f>
        <v/>
      </c>
      <c r="K413" s="36">
        <f>IF('Enrollment Census'!K413="","",TRIM('Enrollment Census'!K413&amp;""))</f>
        <v/>
      </c>
      <c r="L413" s="38">
        <f>IF('Enrollment Census'!L413="","",'Enrollment Census'!L413)</f>
        <v/>
      </c>
      <c r="M413" s="36">
        <f>IF('Enrollment Census'!M413="","",TRIM('Enrollment Census'!M413&amp;""))</f>
        <v/>
      </c>
      <c r="N413" s="36">
        <f>IF('Enrollment Census'!N413="","",LOWER(TRIM('Enrollment Census'!N413&amp;"")))</f>
        <v/>
      </c>
      <c r="O413" s="36">
        <f>IF('Enrollment Census'!O413="","",TRIM('Enrollment Census'!O413&amp;""))</f>
        <v/>
      </c>
      <c r="P413" s="38">
        <f>IF('Enrollment Census'!P413="","",'Enrollment Census'!P413)</f>
        <v/>
      </c>
      <c r="Q413" s="38">
        <f>IF('Enrollment Census'!Q413="","",'Enrollment Census'!Q413)</f>
        <v/>
      </c>
      <c r="R413" s="36">
        <f>IF('Enrollment Census'!R413="","",TRIM('Enrollment Census'!R413&amp;""))</f>
        <v/>
      </c>
      <c r="S413" s="36">
        <f>IF('Enrollment Census'!S413="","",TRIM('Enrollment Census'!S413&amp;""))</f>
        <v/>
      </c>
      <c r="T413" s="36">
        <f>IF('Enrollment Census'!T413="","",TRIM('Enrollment Census'!T413&amp;""))</f>
        <v/>
      </c>
      <c r="U413" s="39">
        <f>IF('Enrollment Census'!U413="","",'Enrollment Census'!U413)</f>
        <v/>
      </c>
    </row>
    <row r="414">
      <c r="A414" s="36">
        <f>IF('Enrollment Census'!A414="","",TRIM('Enrollment Census'!A414&amp;""))</f>
        <v/>
      </c>
      <c r="B414" s="36">
        <f>IF('Enrollment Census'!B414="","",TRIM('Enrollment Census'!B414&amp;""))</f>
        <v/>
      </c>
      <c r="C414" s="37">
        <f>IF('Enrollment Census'!C414="","",TRIM('Enrollment Census'!C414&amp;""))</f>
        <v/>
      </c>
      <c r="D414" s="37">
        <f>IF('Enrollment Census'!D414="","",TRIM('Enrollment Census'!D414&amp;""))</f>
        <v/>
      </c>
      <c r="E414" s="36">
        <f>IF('Enrollment Census'!E414="","",TRIM('Enrollment Census'!E414&amp;""))</f>
        <v/>
      </c>
      <c r="F414" s="37">
        <f>IF('Enrollment Census'!F414="","",TRIM('Enrollment Census'!F414&amp;""))</f>
        <v/>
      </c>
      <c r="G414" s="37">
        <f>IF('Enrollment Census'!G414="","",TRIM('Enrollment Census'!G414&amp;""))</f>
        <v/>
      </c>
      <c r="H414" s="37">
        <f>IF('Enrollment Census'!H414="","",TRIM('Enrollment Census'!H414&amp;""))</f>
        <v/>
      </c>
      <c r="I414" s="36">
        <f>IF('Enrollment Census'!I414="","",TRIM('Enrollment Census'!I414&amp;""))</f>
        <v/>
      </c>
      <c r="J414" s="36">
        <f>IF('Enrollment Census'!J414="","",TRIM('Enrollment Census'!J414&amp;""))</f>
        <v/>
      </c>
      <c r="K414" s="36">
        <f>IF('Enrollment Census'!K414="","",TRIM('Enrollment Census'!K414&amp;""))</f>
        <v/>
      </c>
      <c r="L414" s="38">
        <f>IF('Enrollment Census'!L414="","",'Enrollment Census'!L414)</f>
        <v/>
      </c>
      <c r="M414" s="36">
        <f>IF('Enrollment Census'!M414="","",TRIM('Enrollment Census'!M414&amp;""))</f>
        <v/>
      </c>
      <c r="N414" s="36">
        <f>IF('Enrollment Census'!N414="","",LOWER(TRIM('Enrollment Census'!N414&amp;"")))</f>
        <v/>
      </c>
      <c r="O414" s="36">
        <f>IF('Enrollment Census'!O414="","",TRIM('Enrollment Census'!O414&amp;""))</f>
        <v/>
      </c>
      <c r="P414" s="38">
        <f>IF('Enrollment Census'!P414="","",'Enrollment Census'!P414)</f>
        <v/>
      </c>
      <c r="Q414" s="38">
        <f>IF('Enrollment Census'!Q414="","",'Enrollment Census'!Q414)</f>
        <v/>
      </c>
      <c r="R414" s="36">
        <f>IF('Enrollment Census'!R414="","",TRIM('Enrollment Census'!R414&amp;""))</f>
        <v/>
      </c>
      <c r="S414" s="36">
        <f>IF('Enrollment Census'!S414="","",TRIM('Enrollment Census'!S414&amp;""))</f>
        <v/>
      </c>
      <c r="T414" s="36">
        <f>IF('Enrollment Census'!T414="","",TRIM('Enrollment Census'!T414&amp;""))</f>
        <v/>
      </c>
      <c r="U414" s="39">
        <f>IF('Enrollment Census'!U414="","",'Enrollment Census'!U414)</f>
        <v/>
      </c>
    </row>
    <row r="415">
      <c r="A415" s="36">
        <f>IF('Enrollment Census'!A415="","",TRIM('Enrollment Census'!A415&amp;""))</f>
        <v/>
      </c>
      <c r="B415" s="36">
        <f>IF('Enrollment Census'!B415="","",TRIM('Enrollment Census'!B415&amp;""))</f>
        <v/>
      </c>
      <c r="C415" s="37">
        <f>IF('Enrollment Census'!C415="","",TRIM('Enrollment Census'!C415&amp;""))</f>
        <v/>
      </c>
      <c r="D415" s="37">
        <f>IF('Enrollment Census'!D415="","",TRIM('Enrollment Census'!D415&amp;""))</f>
        <v/>
      </c>
      <c r="E415" s="36">
        <f>IF('Enrollment Census'!E415="","",TRIM('Enrollment Census'!E415&amp;""))</f>
        <v/>
      </c>
      <c r="F415" s="37">
        <f>IF('Enrollment Census'!F415="","",TRIM('Enrollment Census'!F415&amp;""))</f>
        <v/>
      </c>
      <c r="G415" s="37">
        <f>IF('Enrollment Census'!G415="","",TRIM('Enrollment Census'!G415&amp;""))</f>
        <v/>
      </c>
      <c r="H415" s="37">
        <f>IF('Enrollment Census'!H415="","",TRIM('Enrollment Census'!H415&amp;""))</f>
        <v/>
      </c>
      <c r="I415" s="36">
        <f>IF('Enrollment Census'!I415="","",TRIM('Enrollment Census'!I415&amp;""))</f>
        <v/>
      </c>
      <c r="J415" s="36">
        <f>IF('Enrollment Census'!J415="","",TRIM('Enrollment Census'!J415&amp;""))</f>
        <v/>
      </c>
      <c r="K415" s="36">
        <f>IF('Enrollment Census'!K415="","",TRIM('Enrollment Census'!K415&amp;""))</f>
        <v/>
      </c>
      <c r="L415" s="38">
        <f>IF('Enrollment Census'!L415="","",'Enrollment Census'!L415)</f>
        <v/>
      </c>
      <c r="M415" s="36">
        <f>IF('Enrollment Census'!M415="","",TRIM('Enrollment Census'!M415&amp;""))</f>
        <v/>
      </c>
      <c r="N415" s="36">
        <f>IF('Enrollment Census'!N415="","",LOWER(TRIM('Enrollment Census'!N415&amp;"")))</f>
        <v/>
      </c>
      <c r="O415" s="36">
        <f>IF('Enrollment Census'!O415="","",TRIM('Enrollment Census'!O415&amp;""))</f>
        <v/>
      </c>
      <c r="P415" s="38">
        <f>IF('Enrollment Census'!P415="","",'Enrollment Census'!P415)</f>
        <v/>
      </c>
      <c r="Q415" s="38">
        <f>IF('Enrollment Census'!Q415="","",'Enrollment Census'!Q415)</f>
        <v/>
      </c>
      <c r="R415" s="36">
        <f>IF('Enrollment Census'!R415="","",TRIM('Enrollment Census'!R415&amp;""))</f>
        <v/>
      </c>
      <c r="S415" s="36">
        <f>IF('Enrollment Census'!S415="","",TRIM('Enrollment Census'!S415&amp;""))</f>
        <v/>
      </c>
      <c r="T415" s="36">
        <f>IF('Enrollment Census'!T415="","",TRIM('Enrollment Census'!T415&amp;""))</f>
        <v/>
      </c>
      <c r="U415" s="39">
        <f>IF('Enrollment Census'!U415="","",'Enrollment Census'!U415)</f>
        <v/>
      </c>
    </row>
    <row r="416">
      <c r="A416" s="36">
        <f>IF('Enrollment Census'!A416="","",TRIM('Enrollment Census'!A416&amp;""))</f>
        <v/>
      </c>
      <c r="B416" s="36">
        <f>IF('Enrollment Census'!B416="","",TRIM('Enrollment Census'!B416&amp;""))</f>
        <v/>
      </c>
      <c r="C416" s="37">
        <f>IF('Enrollment Census'!C416="","",TRIM('Enrollment Census'!C416&amp;""))</f>
        <v/>
      </c>
      <c r="D416" s="37">
        <f>IF('Enrollment Census'!D416="","",TRIM('Enrollment Census'!D416&amp;""))</f>
        <v/>
      </c>
      <c r="E416" s="36">
        <f>IF('Enrollment Census'!E416="","",TRIM('Enrollment Census'!E416&amp;""))</f>
        <v/>
      </c>
      <c r="F416" s="37">
        <f>IF('Enrollment Census'!F416="","",TRIM('Enrollment Census'!F416&amp;""))</f>
        <v/>
      </c>
      <c r="G416" s="37">
        <f>IF('Enrollment Census'!G416="","",TRIM('Enrollment Census'!G416&amp;""))</f>
        <v/>
      </c>
      <c r="H416" s="37">
        <f>IF('Enrollment Census'!H416="","",TRIM('Enrollment Census'!H416&amp;""))</f>
        <v/>
      </c>
      <c r="I416" s="36">
        <f>IF('Enrollment Census'!I416="","",TRIM('Enrollment Census'!I416&amp;""))</f>
        <v/>
      </c>
      <c r="J416" s="36">
        <f>IF('Enrollment Census'!J416="","",TRIM('Enrollment Census'!J416&amp;""))</f>
        <v/>
      </c>
      <c r="K416" s="36">
        <f>IF('Enrollment Census'!K416="","",TRIM('Enrollment Census'!K416&amp;""))</f>
        <v/>
      </c>
      <c r="L416" s="38">
        <f>IF('Enrollment Census'!L416="","",'Enrollment Census'!L416)</f>
        <v/>
      </c>
      <c r="M416" s="36">
        <f>IF('Enrollment Census'!M416="","",TRIM('Enrollment Census'!M416&amp;""))</f>
        <v/>
      </c>
      <c r="N416" s="36">
        <f>IF('Enrollment Census'!N416="","",LOWER(TRIM('Enrollment Census'!N416&amp;"")))</f>
        <v/>
      </c>
      <c r="O416" s="36">
        <f>IF('Enrollment Census'!O416="","",TRIM('Enrollment Census'!O416&amp;""))</f>
        <v/>
      </c>
      <c r="P416" s="38">
        <f>IF('Enrollment Census'!P416="","",'Enrollment Census'!P416)</f>
        <v/>
      </c>
      <c r="Q416" s="38">
        <f>IF('Enrollment Census'!Q416="","",'Enrollment Census'!Q416)</f>
        <v/>
      </c>
      <c r="R416" s="36">
        <f>IF('Enrollment Census'!R416="","",TRIM('Enrollment Census'!R416&amp;""))</f>
        <v/>
      </c>
      <c r="S416" s="36">
        <f>IF('Enrollment Census'!S416="","",TRIM('Enrollment Census'!S416&amp;""))</f>
        <v/>
      </c>
      <c r="T416" s="36">
        <f>IF('Enrollment Census'!T416="","",TRIM('Enrollment Census'!T416&amp;""))</f>
        <v/>
      </c>
      <c r="U416" s="39">
        <f>IF('Enrollment Census'!U416="","",'Enrollment Census'!U416)</f>
        <v/>
      </c>
    </row>
    <row r="417">
      <c r="A417" s="36">
        <f>IF('Enrollment Census'!A417="","",TRIM('Enrollment Census'!A417&amp;""))</f>
        <v/>
      </c>
      <c r="B417" s="36">
        <f>IF('Enrollment Census'!B417="","",TRIM('Enrollment Census'!B417&amp;""))</f>
        <v/>
      </c>
      <c r="C417" s="37">
        <f>IF('Enrollment Census'!C417="","",TRIM('Enrollment Census'!C417&amp;""))</f>
        <v/>
      </c>
      <c r="D417" s="37">
        <f>IF('Enrollment Census'!D417="","",TRIM('Enrollment Census'!D417&amp;""))</f>
        <v/>
      </c>
      <c r="E417" s="36">
        <f>IF('Enrollment Census'!E417="","",TRIM('Enrollment Census'!E417&amp;""))</f>
        <v/>
      </c>
      <c r="F417" s="37">
        <f>IF('Enrollment Census'!F417="","",TRIM('Enrollment Census'!F417&amp;""))</f>
        <v/>
      </c>
      <c r="G417" s="37">
        <f>IF('Enrollment Census'!G417="","",TRIM('Enrollment Census'!G417&amp;""))</f>
        <v/>
      </c>
      <c r="H417" s="37">
        <f>IF('Enrollment Census'!H417="","",TRIM('Enrollment Census'!H417&amp;""))</f>
        <v/>
      </c>
      <c r="I417" s="36">
        <f>IF('Enrollment Census'!I417="","",TRIM('Enrollment Census'!I417&amp;""))</f>
        <v/>
      </c>
      <c r="J417" s="36">
        <f>IF('Enrollment Census'!J417="","",TRIM('Enrollment Census'!J417&amp;""))</f>
        <v/>
      </c>
      <c r="K417" s="36">
        <f>IF('Enrollment Census'!K417="","",TRIM('Enrollment Census'!K417&amp;""))</f>
        <v/>
      </c>
      <c r="L417" s="38">
        <f>IF('Enrollment Census'!L417="","",'Enrollment Census'!L417)</f>
        <v/>
      </c>
      <c r="M417" s="36">
        <f>IF('Enrollment Census'!M417="","",TRIM('Enrollment Census'!M417&amp;""))</f>
        <v/>
      </c>
      <c r="N417" s="36">
        <f>IF('Enrollment Census'!N417="","",LOWER(TRIM('Enrollment Census'!N417&amp;"")))</f>
        <v/>
      </c>
      <c r="O417" s="36">
        <f>IF('Enrollment Census'!O417="","",TRIM('Enrollment Census'!O417&amp;""))</f>
        <v/>
      </c>
      <c r="P417" s="38">
        <f>IF('Enrollment Census'!P417="","",'Enrollment Census'!P417)</f>
        <v/>
      </c>
      <c r="Q417" s="38">
        <f>IF('Enrollment Census'!Q417="","",'Enrollment Census'!Q417)</f>
        <v/>
      </c>
      <c r="R417" s="36">
        <f>IF('Enrollment Census'!R417="","",TRIM('Enrollment Census'!R417&amp;""))</f>
        <v/>
      </c>
      <c r="S417" s="36">
        <f>IF('Enrollment Census'!S417="","",TRIM('Enrollment Census'!S417&amp;""))</f>
        <v/>
      </c>
      <c r="T417" s="36">
        <f>IF('Enrollment Census'!T417="","",TRIM('Enrollment Census'!T417&amp;""))</f>
        <v/>
      </c>
      <c r="U417" s="39">
        <f>IF('Enrollment Census'!U417="","",'Enrollment Census'!U417)</f>
        <v/>
      </c>
    </row>
    <row r="418">
      <c r="A418" s="36">
        <f>IF('Enrollment Census'!A418="","",TRIM('Enrollment Census'!A418&amp;""))</f>
        <v/>
      </c>
      <c r="B418" s="36">
        <f>IF('Enrollment Census'!B418="","",TRIM('Enrollment Census'!B418&amp;""))</f>
        <v/>
      </c>
      <c r="C418" s="37">
        <f>IF('Enrollment Census'!C418="","",TRIM('Enrollment Census'!C418&amp;""))</f>
        <v/>
      </c>
      <c r="D418" s="37">
        <f>IF('Enrollment Census'!D418="","",TRIM('Enrollment Census'!D418&amp;""))</f>
        <v/>
      </c>
      <c r="E418" s="36">
        <f>IF('Enrollment Census'!E418="","",TRIM('Enrollment Census'!E418&amp;""))</f>
        <v/>
      </c>
      <c r="F418" s="37">
        <f>IF('Enrollment Census'!F418="","",TRIM('Enrollment Census'!F418&amp;""))</f>
        <v/>
      </c>
      <c r="G418" s="37">
        <f>IF('Enrollment Census'!G418="","",TRIM('Enrollment Census'!G418&amp;""))</f>
        <v/>
      </c>
      <c r="H418" s="37">
        <f>IF('Enrollment Census'!H418="","",TRIM('Enrollment Census'!H418&amp;""))</f>
        <v/>
      </c>
      <c r="I418" s="36">
        <f>IF('Enrollment Census'!I418="","",TRIM('Enrollment Census'!I418&amp;""))</f>
        <v/>
      </c>
      <c r="J418" s="36">
        <f>IF('Enrollment Census'!J418="","",TRIM('Enrollment Census'!J418&amp;""))</f>
        <v/>
      </c>
      <c r="K418" s="36">
        <f>IF('Enrollment Census'!K418="","",TRIM('Enrollment Census'!K418&amp;""))</f>
        <v/>
      </c>
      <c r="L418" s="38">
        <f>IF('Enrollment Census'!L418="","",'Enrollment Census'!L418)</f>
        <v/>
      </c>
      <c r="M418" s="36">
        <f>IF('Enrollment Census'!M418="","",TRIM('Enrollment Census'!M418&amp;""))</f>
        <v/>
      </c>
      <c r="N418" s="36">
        <f>IF('Enrollment Census'!N418="","",LOWER(TRIM('Enrollment Census'!N418&amp;"")))</f>
        <v/>
      </c>
      <c r="O418" s="36">
        <f>IF('Enrollment Census'!O418="","",TRIM('Enrollment Census'!O418&amp;""))</f>
        <v/>
      </c>
      <c r="P418" s="38">
        <f>IF('Enrollment Census'!P418="","",'Enrollment Census'!P418)</f>
        <v/>
      </c>
      <c r="Q418" s="38">
        <f>IF('Enrollment Census'!Q418="","",'Enrollment Census'!Q418)</f>
        <v/>
      </c>
      <c r="R418" s="36">
        <f>IF('Enrollment Census'!R418="","",TRIM('Enrollment Census'!R418&amp;""))</f>
        <v/>
      </c>
      <c r="S418" s="36">
        <f>IF('Enrollment Census'!S418="","",TRIM('Enrollment Census'!S418&amp;""))</f>
        <v/>
      </c>
      <c r="T418" s="36">
        <f>IF('Enrollment Census'!T418="","",TRIM('Enrollment Census'!T418&amp;""))</f>
        <v/>
      </c>
      <c r="U418" s="39">
        <f>IF('Enrollment Census'!U418="","",'Enrollment Census'!U418)</f>
        <v/>
      </c>
    </row>
    <row r="419">
      <c r="A419" s="36">
        <f>IF('Enrollment Census'!A419="","",TRIM('Enrollment Census'!A419&amp;""))</f>
        <v/>
      </c>
      <c r="B419" s="36">
        <f>IF('Enrollment Census'!B419="","",TRIM('Enrollment Census'!B419&amp;""))</f>
        <v/>
      </c>
      <c r="C419" s="37">
        <f>IF('Enrollment Census'!C419="","",TRIM('Enrollment Census'!C419&amp;""))</f>
        <v/>
      </c>
      <c r="D419" s="37">
        <f>IF('Enrollment Census'!D419="","",TRIM('Enrollment Census'!D419&amp;""))</f>
        <v/>
      </c>
      <c r="E419" s="36">
        <f>IF('Enrollment Census'!E419="","",TRIM('Enrollment Census'!E419&amp;""))</f>
        <v/>
      </c>
      <c r="F419" s="37">
        <f>IF('Enrollment Census'!F419="","",TRIM('Enrollment Census'!F419&amp;""))</f>
        <v/>
      </c>
      <c r="G419" s="37">
        <f>IF('Enrollment Census'!G419="","",TRIM('Enrollment Census'!G419&amp;""))</f>
        <v/>
      </c>
      <c r="H419" s="37">
        <f>IF('Enrollment Census'!H419="","",TRIM('Enrollment Census'!H419&amp;""))</f>
        <v/>
      </c>
      <c r="I419" s="36">
        <f>IF('Enrollment Census'!I419="","",TRIM('Enrollment Census'!I419&amp;""))</f>
        <v/>
      </c>
      <c r="J419" s="36">
        <f>IF('Enrollment Census'!J419="","",TRIM('Enrollment Census'!J419&amp;""))</f>
        <v/>
      </c>
      <c r="K419" s="36">
        <f>IF('Enrollment Census'!K419="","",TRIM('Enrollment Census'!K419&amp;""))</f>
        <v/>
      </c>
      <c r="L419" s="38">
        <f>IF('Enrollment Census'!L419="","",'Enrollment Census'!L419)</f>
        <v/>
      </c>
      <c r="M419" s="36">
        <f>IF('Enrollment Census'!M419="","",TRIM('Enrollment Census'!M419&amp;""))</f>
        <v/>
      </c>
      <c r="N419" s="36">
        <f>IF('Enrollment Census'!N419="","",LOWER(TRIM('Enrollment Census'!N419&amp;"")))</f>
        <v/>
      </c>
      <c r="O419" s="36">
        <f>IF('Enrollment Census'!O419="","",TRIM('Enrollment Census'!O419&amp;""))</f>
        <v/>
      </c>
      <c r="P419" s="38">
        <f>IF('Enrollment Census'!P419="","",'Enrollment Census'!P419)</f>
        <v/>
      </c>
      <c r="Q419" s="38">
        <f>IF('Enrollment Census'!Q419="","",'Enrollment Census'!Q419)</f>
        <v/>
      </c>
      <c r="R419" s="36">
        <f>IF('Enrollment Census'!R419="","",TRIM('Enrollment Census'!R419&amp;""))</f>
        <v/>
      </c>
      <c r="S419" s="36">
        <f>IF('Enrollment Census'!S419="","",TRIM('Enrollment Census'!S419&amp;""))</f>
        <v/>
      </c>
      <c r="T419" s="36">
        <f>IF('Enrollment Census'!T419="","",TRIM('Enrollment Census'!T419&amp;""))</f>
        <v/>
      </c>
      <c r="U419" s="39">
        <f>IF('Enrollment Census'!U419="","",'Enrollment Census'!U419)</f>
        <v/>
      </c>
    </row>
    <row r="420">
      <c r="A420" s="36">
        <f>IF('Enrollment Census'!A420="","",TRIM('Enrollment Census'!A420&amp;""))</f>
        <v/>
      </c>
      <c r="B420" s="36">
        <f>IF('Enrollment Census'!B420="","",TRIM('Enrollment Census'!B420&amp;""))</f>
        <v/>
      </c>
      <c r="C420" s="37">
        <f>IF('Enrollment Census'!C420="","",TRIM('Enrollment Census'!C420&amp;""))</f>
        <v/>
      </c>
      <c r="D420" s="37">
        <f>IF('Enrollment Census'!D420="","",TRIM('Enrollment Census'!D420&amp;""))</f>
        <v/>
      </c>
      <c r="E420" s="36">
        <f>IF('Enrollment Census'!E420="","",TRIM('Enrollment Census'!E420&amp;""))</f>
        <v/>
      </c>
      <c r="F420" s="37">
        <f>IF('Enrollment Census'!F420="","",TRIM('Enrollment Census'!F420&amp;""))</f>
        <v/>
      </c>
      <c r="G420" s="37">
        <f>IF('Enrollment Census'!G420="","",TRIM('Enrollment Census'!G420&amp;""))</f>
        <v/>
      </c>
      <c r="H420" s="37">
        <f>IF('Enrollment Census'!H420="","",TRIM('Enrollment Census'!H420&amp;""))</f>
        <v/>
      </c>
      <c r="I420" s="36">
        <f>IF('Enrollment Census'!I420="","",TRIM('Enrollment Census'!I420&amp;""))</f>
        <v/>
      </c>
      <c r="J420" s="36">
        <f>IF('Enrollment Census'!J420="","",TRIM('Enrollment Census'!J420&amp;""))</f>
        <v/>
      </c>
      <c r="K420" s="36">
        <f>IF('Enrollment Census'!K420="","",TRIM('Enrollment Census'!K420&amp;""))</f>
        <v/>
      </c>
      <c r="L420" s="38">
        <f>IF('Enrollment Census'!L420="","",'Enrollment Census'!L420)</f>
        <v/>
      </c>
      <c r="M420" s="36">
        <f>IF('Enrollment Census'!M420="","",TRIM('Enrollment Census'!M420&amp;""))</f>
        <v/>
      </c>
      <c r="N420" s="36">
        <f>IF('Enrollment Census'!N420="","",LOWER(TRIM('Enrollment Census'!N420&amp;"")))</f>
        <v/>
      </c>
      <c r="O420" s="36">
        <f>IF('Enrollment Census'!O420="","",TRIM('Enrollment Census'!O420&amp;""))</f>
        <v/>
      </c>
      <c r="P420" s="38">
        <f>IF('Enrollment Census'!P420="","",'Enrollment Census'!P420)</f>
        <v/>
      </c>
      <c r="Q420" s="38">
        <f>IF('Enrollment Census'!Q420="","",'Enrollment Census'!Q420)</f>
        <v/>
      </c>
      <c r="R420" s="36">
        <f>IF('Enrollment Census'!R420="","",TRIM('Enrollment Census'!R420&amp;""))</f>
        <v/>
      </c>
      <c r="S420" s="36">
        <f>IF('Enrollment Census'!S420="","",TRIM('Enrollment Census'!S420&amp;""))</f>
        <v/>
      </c>
      <c r="T420" s="36">
        <f>IF('Enrollment Census'!T420="","",TRIM('Enrollment Census'!T420&amp;""))</f>
        <v/>
      </c>
      <c r="U420" s="39">
        <f>IF('Enrollment Census'!U420="","",'Enrollment Census'!U420)</f>
        <v/>
      </c>
    </row>
    <row r="421">
      <c r="A421" s="36">
        <f>IF('Enrollment Census'!A421="","",TRIM('Enrollment Census'!A421&amp;""))</f>
        <v/>
      </c>
      <c r="B421" s="36">
        <f>IF('Enrollment Census'!B421="","",TRIM('Enrollment Census'!B421&amp;""))</f>
        <v/>
      </c>
      <c r="C421" s="37">
        <f>IF('Enrollment Census'!C421="","",TRIM('Enrollment Census'!C421&amp;""))</f>
        <v/>
      </c>
      <c r="D421" s="37">
        <f>IF('Enrollment Census'!D421="","",TRIM('Enrollment Census'!D421&amp;""))</f>
        <v/>
      </c>
      <c r="E421" s="36">
        <f>IF('Enrollment Census'!E421="","",TRIM('Enrollment Census'!E421&amp;""))</f>
        <v/>
      </c>
      <c r="F421" s="37">
        <f>IF('Enrollment Census'!F421="","",TRIM('Enrollment Census'!F421&amp;""))</f>
        <v/>
      </c>
      <c r="G421" s="37">
        <f>IF('Enrollment Census'!G421="","",TRIM('Enrollment Census'!G421&amp;""))</f>
        <v/>
      </c>
      <c r="H421" s="37">
        <f>IF('Enrollment Census'!H421="","",TRIM('Enrollment Census'!H421&amp;""))</f>
        <v/>
      </c>
      <c r="I421" s="36">
        <f>IF('Enrollment Census'!I421="","",TRIM('Enrollment Census'!I421&amp;""))</f>
        <v/>
      </c>
      <c r="J421" s="36">
        <f>IF('Enrollment Census'!J421="","",TRIM('Enrollment Census'!J421&amp;""))</f>
        <v/>
      </c>
      <c r="K421" s="36">
        <f>IF('Enrollment Census'!K421="","",TRIM('Enrollment Census'!K421&amp;""))</f>
        <v/>
      </c>
      <c r="L421" s="38">
        <f>IF('Enrollment Census'!L421="","",'Enrollment Census'!L421)</f>
        <v/>
      </c>
      <c r="M421" s="36">
        <f>IF('Enrollment Census'!M421="","",TRIM('Enrollment Census'!M421&amp;""))</f>
        <v/>
      </c>
      <c r="N421" s="36">
        <f>IF('Enrollment Census'!N421="","",LOWER(TRIM('Enrollment Census'!N421&amp;"")))</f>
        <v/>
      </c>
      <c r="O421" s="36">
        <f>IF('Enrollment Census'!O421="","",TRIM('Enrollment Census'!O421&amp;""))</f>
        <v/>
      </c>
      <c r="P421" s="38">
        <f>IF('Enrollment Census'!P421="","",'Enrollment Census'!P421)</f>
        <v/>
      </c>
      <c r="Q421" s="38">
        <f>IF('Enrollment Census'!Q421="","",'Enrollment Census'!Q421)</f>
        <v/>
      </c>
      <c r="R421" s="36">
        <f>IF('Enrollment Census'!R421="","",TRIM('Enrollment Census'!R421&amp;""))</f>
        <v/>
      </c>
      <c r="S421" s="36">
        <f>IF('Enrollment Census'!S421="","",TRIM('Enrollment Census'!S421&amp;""))</f>
        <v/>
      </c>
      <c r="T421" s="36">
        <f>IF('Enrollment Census'!T421="","",TRIM('Enrollment Census'!T421&amp;""))</f>
        <v/>
      </c>
      <c r="U421" s="39">
        <f>IF('Enrollment Census'!U421="","",'Enrollment Census'!U421)</f>
        <v/>
      </c>
    </row>
    <row r="422">
      <c r="A422" s="36">
        <f>IF('Enrollment Census'!A422="","",TRIM('Enrollment Census'!A422&amp;""))</f>
        <v/>
      </c>
      <c r="B422" s="36">
        <f>IF('Enrollment Census'!B422="","",TRIM('Enrollment Census'!B422&amp;""))</f>
        <v/>
      </c>
      <c r="C422" s="37">
        <f>IF('Enrollment Census'!C422="","",TRIM('Enrollment Census'!C422&amp;""))</f>
        <v/>
      </c>
      <c r="D422" s="37">
        <f>IF('Enrollment Census'!D422="","",TRIM('Enrollment Census'!D422&amp;""))</f>
        <v/>
      </c>
      <c r="E422" s="36">
        <f>IF('Enrollment Census'!E422="","",TRIM('Enrollment Census'!E422&amp;""))</f>
        <v/>
      </c>
      <c r="F422" s="37">
        <f>IF('Enrollment Census'!F422="","",TRIM('Enrollment Census'!F422&amp;""))</f>
        <v/>
      </c>
      <c r="G422" s="37">
        <f>IF('Enrollment Census'!G422="","",TRIM('Enrollment Census'!G422&amp;""))</f>
        <v/>
      </c>
      <c r="H422" s="37">
        <f>IF('Enrollment Census'!H422="","",TRIM('Enrollment Census'!H422&amp;""))</f>
        <v/>
      </c>
      <c r="I422" s="36">
        <f>IF('Enrollment Census'!I422="","",TRIM('Enrollment Census'!I422&amp;""))</f>
        <v/>
      </c>
      <c r="J422" s="36">
        <f>IF('Enrollment Census'!J422="","",TRIM('Enrollment Census'!J422&amp;""))</f>
        <v/>
      </c>
      <c r="K422" s="36">
        <f>IF('Enrollment Census'!K422="","",TRIM('Enrollment Census'!K422&amp;""))</f>
        <v/>
      </c>
      <c r="L422" s="38">
        <f>IF('Enrollment Census'!L422="","",'Enrollment Census'!L422)</f>
        <v/>
      </c>
      <c r="M422" s="36">
        <f>IF('Enrollment Census'!M422="","",TRIM('Enrollment Census'!M422&amp;""))</f>
        <v/>
      </c>
      <c r="N422" s="36">
        <f>IF('Enrollment Census'!N422="","",LOWER(TRIM('Enrollment Census'!N422&amp;"")))</f>
        <v/>
      </c>
      <c r="O422" s="36">
        <f>IF('Enrollment Census'!O422="","",TRIM('Enrollment Census'!O422&amp;""))</f>
        <v/>
      </c>
      <c r="P422" s="38">
        <f>IF('Enrollment Census'!P422="","",'Enrollment Census'!P422)</f>
        <v/>
      </c>
      <c r="Q422" s="38">
        <f>IF('Enrollment Census'!Q422="","",'Enrollment Census'!Q422)</f>
        <v/>
      </c>
      <c r="R422" s="36">
        <f>IF('Enrollment Census'!R422="","",TRIM('Enrollment Census'!R422&amp;""))</f>
        <v/>
      </c>
      <c r="S422" s="36">
        <f>IF('Enrollment Census'!S422="","",TRIM('Enrollment Census'!S422&amp;""))</f>
        <v/>
      </c>
      <c r="T422" s="36">
        <f>IF('Enrollment Census'!T422="","",TRIM('Enrollment Census'!T422&amp;""))</f>
        <v/>
      </c>
      <c r="U422" s="39">
        <f>IF('Enrollment Census'!U422="","",'Enrollment Census'!U422)</f>
        <v/>
      </c>
    </row>
    <row r="423">
      <c r="A423" s="36">
        <f>IF('Enrollment Census'!A423="","",TRIM('Enrollment Census'!A423&amp;""))</f>
        <v/>
      </c>
      <c r="B423" s="36">
        <f>IF('Enrollment Census'!B423="","",TRIM('Enrollment Census'!B423&amp;""))</f>
        <v/>
      </c>
      <c r="C423" s="37">
        <f>IF('Enrollment Census'!C423="","",TRIM('Enrollment Census'!C423&amp;""))</f>
        <v/>
      </c>
      <c r="D423" s="37">
        <f>IF('Enrollment Census'!D423="","",TRIM('Enrollment Census'!D423&amp;""))</f>
        <v/>
      </c>
      <c r="E423" s="36">
        <f>IF('Enrollment Census'!E423="","",TRIM('Enrollment Census'!E423&amp;""))</f>
        <v/>
      </c>
      <c r="F423" s="37">
        <f>IF('Enrollment Census'!F423="","",TRIM('Enrollment Census'!F423&amp;""))</f>
        <v/>
      </c>
      <c r="G423" s="37">
        <f>IF('Enrollment Census'!G423="","",TRIM('Enrollment Census'!G423&amp;""))</f>
        <v/>
      </c>
      <c r="H423" s="37">
        <f>IF('Enrollment Census'!H423="","",TRIM('Enrollment Census'!H423&amp;""))</f>
        <v/>
      </c>
      <c r="I423" s="36">
        <f>IF('Enrollment Census'!I423="","",TRIM('Enrollment Census'!I423&amp;""))</f>
        <v/>
      </c>
      <c r="J423" s="36">
        <f>IF('Enrollment Census'!J423="","",TRIM('Enrollment Census'!J423&amp;""))</f>
        <v/>
      </c>
      <c r="K423" s="36">
        <f>IF('Enrollment Census'!K423="","",TRIM('Enrollment Census'!K423&amp;""))</f>
        <v/>
      </c>
      <c r="L423" s="38">
        <f>IF('Enrollment Census'!L423="","",'Enrollment Census'!L423)</f>
        <v/>
      </c>
      <c r="M423" s="36">
        <f>IF('Enrollment Census'!M423="","",TRIM('Enrollment Census'!M423&amp;""))</f>
        <v/>
      </c>
      <c r="N423" s="36">
        <f>IF('Enrollment Census'!N423="","",LOWER(TRIM('Enrollment Census'!N423&amp;"")))</f>
        <v/>
      </c>
      <c r="O423" s="36">
        <f>IF('Enrollment Census'!O423="","",TRIM('Enrollment Census'!O423&amp;""))</f>
        <v/>
      </c>
      <c r="P423" s="38">
        <f>IF('Enrollment Census'!P423="","",'Enrollment Census'!P423)</f>
        <v/>
      </c>
      <c r="Q423" s="38">
        <f>IF('Enrollment Census'!Q423="","",'Enrollment Census'!Q423)</f>
        <v/>
      </c>
      <c r="R423" s="36">
        <f>IF('Enrollment Census'!R423="","",TRIM('Enrollment Census'!R423&amp;""))</f>
        <v/>
      </c>
      <c r="S423" s="36">
        <f>IF('Enrollment Census'!S423="","",TRIM('Enrollment Census'!S423&amp;""))</f>
        <v/>
      </c>
      <c r="T423" s="36">
        <f>IF('Enrollment Census'!T423="","",TRIM('Enrollment Census'!T423&amp;""))</f>
        <v/>
      </c>
      <c r="U423" s="39">
        <f>IF('Enrollment Census'!U423="","",'Enrollment Census'!U423)</f>
        <v/>
      </c>
    </row>
    <row r="424">
      <c r="A424" s="36">
        <f>IF('Enrollment Census'!A424="","",TRIM('Enrollment Census'!A424&amp;""))</f>
        <v/>
      </c>
      <c r="B424" s="36">
        <f>IF('Enrollment Census'!B424="","",TRIM('Enrollment Census'!B424&amp;""))</f>
        <v/>
      </c>
      <c r="C424" s="37">
        <f>IF('Enrollment Census'!C424="","",TRIM('Enrollment Census'!C424&amp;""))</f>
        <v/>
      </c>
      <c r="D424" s="37">
        <f>IF('Enrollment Census'!D424="","",TRIM('Enrollment Census'!D424&amp;""))</f>
        <v/>
      </c>
      <c r="E424" s="36">
        <f>IF('Enrollment Census'!E424="","",TRIM('Enrollment Census'!E424&amp;""))</f>
        <v/>
      </c>
      <c r="F424" s="37">
        <f>IF('Enrollment Census'!F424="","",TRIM('Enrollment Census'!F424&amp;""))</f>
        <v/>
      </c>
      <c r="G424" s="37">
        <f>IF('Enrollment Census'!G424="","",TRIM('Enrollment Census'!G424&amp;""))</f>
        <v/>
      </c>
      <c r="H424" s="37">
        <f>IF('Enrollment Census'!H424="","",TRIM('Enrollment Census'!H424&amp;""))</f>
        <v/>
      </c>
      <c r="I424" s="36">
        <f>IF('Enrollment Census'!I424="","",TRIM('Enrollment Census'!I424&amp;""))</f>
        <v/>
      </c>
      <c r="J424" s="36">
        <f>IF('Enrollment Census'!J424="","",TRIM('Enrollment Census'!J424&amp;""))</f>
        <v/>
      </c>
      <c r="K424" s="36">
        <f>IF('Enrollment Census'!K424="","",TRIM('Enrollment Census'!K424&amp;""))</f>
        <v/>
      </c>
      <c r="L424" s="38">
        <f>IF('Enrollment Census'!L424="","",'Enrollment Census'!L424)</f>
        <v/>
      </c>
      <c r="M424" s="36">
        <f>IF('Enrollment Census'!M424="","",TRIM('Enrollment Census'!M424&amp;""))</f>
        <v/>
      </c>
      <c r="N424" s="36">
        <f>IF('Enrollment Census'!N424="","",LOWER(TRIM('Enrollment Census'!N424&amp;"")))</f>
        <v/>
      </c>
      <c r="O424" s="36">
        <f>IF('Enrollment Census'!O424="","",TRIM('Enrollment Census'!O424&amp;""))</f>
        <v/>
      </c>
      <c r="P424" s="38">
        <f>IF('Enrollment Census'!P424="","",'Enrollment Census'!P424)</f>
        <v/>
      </c>
      <c r="Q424" s="38">
        <f>IF('Enrollment Census'!Q424="","",'Enrollment Census'!Q424)</f>
        <v/>
      </c>
      <c r="R424" s="36">
        <f>IF('Enrollment Census'!R424="","",TRIM('Enrollment Census'!R424&amp;""))</f>
        <v/>
      </c>
      <c r="S424" s="36">
        <f>IF('Enrollment Census'!S424="","",TRIM('Enrollment Census'!S424&amp;""))</f>
        <v/>
      </c>
      <c r="T424" s="36">
        <f>IF('Enrollment Census'!T424="","",TRIM('Enrollment Census'!T424&amp;""))</f>
        <v/>
      </c>
      <c r="U424" s="39">
        <f>IF('Enrollment Census'!U424="","",'Enrollment Census'!U424)</f>
        <v/>
      </c>
    </row>
    <row r="425">
      <c r="A425" s="36">
        <f>IF('Enrollment Census'!A425="","",TRIM('Enrollment Census'!A425&amp;""))</f>
        <v/>
      </c>
      <c r="B425" s="36">
        <f>IF('Enrollment Census'!B425="","",TRIM('Enrollment Census'!B425&amp;""))</f>
        <v/>
      </c>
      <c r="C425" s="37">
        <f>IF('Enrollment Census'!C425="","",TRIM('Enrollment Census'!C425&amp;""))</f>
        <v/>
      </c>
      <c r="D425" s="37">
        <f>IF('Enrollment Census'!D425="","",TRIM('Enrollment Census'!D425&amp;""))</f>
        <v/>
      </c>
      <c r="E425" s="36">
        <f>IF('Enrollment Census'!E425="","",TRIM('Enrollment Census'!E425&amp;""))</f>
        <v/>
      </c>
      <c r="F425" s="37">
        <f>IF('Enrollment Census'!F425="","",TRIM('Enrollment Census'!F425&amp;""))</f>
        <v/>
      </c>
      <c r="G425" s="37">
        <f>IF('Enrollment Census'!G425="","",TRIM('Enrollment Census'!G425&amp;""))</f>
        <v/>
      </c>
      <c r="H425" s="37">
        <f>IF('Enrollment Census'!H425="","",TRIM('Enrollment Census'!H425&amp;""))</f>
        <v/>
      </c>
      <c r="I425" s="36">
        <f>IF('Enrollment Census'!I425="","",TRIM('Enrollment Census'!I425&amp;""))</f>
        <v/>
      </c>
      <c r="J425" s="36">
        <f>IF('Enrollment Census'!J425="","",TRIM('Enrollment Census'!J425&amp;""))</f>
        <v/>
      </c>
      <c r="K425" s="36">
        <f>IF('Enrollment Census'!K425="","",TRIM('Enrollment Census'!K425&amp;""))</f>
        <v/>
      </c>
      <c r="L425" s="38">
        <f>IF('Enrollment Census'!L425="","",'Enrollment Census'!L425)</f>
        <v/>
      </c>
      <c r="M425" s="36">
        <f>IF('Enrollment Census'!M425="","",TRIM('Enrollment Census'!M425&amp;""))</f>
        <v/>
      </c>
      <c r="N425" s="36">
        <f>IF('Enrollment Census'!N425="","",LOWER(TRIM('Enrollment Census'!N425&amp;"")))</f>
        <v/>
      </c>
      <c r="O425" s="36">
        <f>IF('Enrollment Census'!O425="","",TRIM('Enrollment Census'!O425&amp;""))</f>
        <v/>
      </c>
      <c r="P425" s="38">
        <f>IF('Enrollment Census'!P425="","",'Enrollment Census'!P425)</f>
        <v/>
      </c>
      <c r="Q425" s="38">
        <f>IF('Enrollment Census'!Q425="","",'Enrollment Census'!Q425)</f>
        <v/>
      </c>
      <c r="R425" s="36">
        <f>IF('Enrollment Census'!R425="","",TRIM('Enrollment Census'!R425&amp;""))</f>
        <v/>
      </c>
      <c r="S425" s="36">
        <f>IF('Enrollment Census'!S425="","",TRIM('Enrollment Census'!S425&amp;""))</f>
        <v/>
      </c>
      <c r="T425" s="36">
        <f>IF('Enrollment Census'!T425="","",TRIM('Enrollment Census'!T425&amp;""))</f>
        <v/>
      </c>
      <c r="U425" s="39">
        <f>IF('Enrollment Census'!U425="","",'Enrollment Census'!U425)</f>
        <v/>
      </c>
    </row>
    <row r="426">
      <c r="A426" s="36">
        <f>IF('Enrollment Census'!A426="","",TRIM('Enrollment Census'!A426&amp;""))</f>
        <v/>
      </c>
      <c r="B426" s="36">
        <f>IF('Enrollment Census'!B426="","",TRIM('Enrollment Census'!B426&amp;""))</f>
        <v/>
      </c>
      <c r="C426" s="37">
        <f>IF('Enrollment Census'!C426="","",TRIM('Enrollment Census'!C426&amp;""))</f>
        <v/>
      </c>
      <c r="D426" s="37">
        <f>IF('Enrollment Census'!D426="","",TRIM('Enrollment Census'!D426&amp;""))</f>
        <v/>
      </c>
      <c r="E426" s="36">
        <f>IF('Enrollment Census'!E426="","",TRIM('Enrollment Census'!E426&amp;""))</f>
        <v/>
      </c>
      <c r="F426" s="37">
        <f>IF('Enrollment Census'!F426="","",TRIM('Enrollment Census'!F426&amp;""))</f>
        <v/>
      </c>
      <c r="G426" s="37">
        <f>IF('Enrollment Census'!G426="","",TRIM('Enrollment Census'!G426&amp;""))</f>
        <v/>
      </c>
      <c r="H426" s="37">
        <f>IF('Enrollment Census'!H426="","",TRIM('Enrollment Census'!H426&amp;""))</f>
        <v/>
      </c>
      <c r="I426" s="36">
        <f>IF('Enrollment Census'!I426="","",TRIM('Enrollment Census'!I426&amp;""))</f>
        <v/>
      </c>
      <c r="J426" s="36">
        <f>IF('Enrollment Census'!J426="","",TRIM('Enrollment Census'!J426&amp;""))</f>
        <v/>
      </c>
      <c r="K426" s="36">
        <f>IF('Enrollment Census'!K426="","",TRIM('Enrollment Census'!K426&amp;""))</f>
        <v/>
      </c>
      <c r="L426" s="38">
        <f>IF('Enrollment Census'!L426="","",'Enrollment Census'!L426)</f>
        <v/>
      </c>
      <c r="M426" s="36">
        <f>IF('Enrollment Census'!M426="","",TRIM('Enrollment Census'!M426&amp;""))</f>
        <v/>
      </c>
      <c r="N426" s="36">
        <f>IF('Enrollment Census'!N426="","",LOWER(TRIM('Enrollment Census'!N426&amp;"")))</f>
        <v/>
      </c>
      <c r="O426" s="36">
        <f>IF('Enrollment Census'!O426="","",TRIM('Enrollment Census'!O426&amp;""))</f>
        <v/>
      </c>
      <c r="P426" s="38">
        <f>IF('Enrollment Census'!P426="","",'Enrollment Census'!P426)</f>
        <v/>
      </c>
      <c r="Q426" s="38">
        <f>IF('Enrollment Census'!Q426="","",'Enrollment Census'!Q426)</f>
        <v/>
      </c>
      <c r="R426" s="36">
        <f>IF('Enrollment Census'!R426="","",TRIM('Enrollment Census'!R426&amp;""))</f>
        <v/>
      </c>
      <c r="S426" s="36">
        <f>IF('Enrollment Census'!S426="","",TRIM('Enrollment Census'!S426&amp;""))</f>
        <v/>
      </c>
      <c r="T426" s="36">
        <f>IF('Enrollment Census'!T426="","",TRIM('Enrollment Census'!T426&amp;""))</f>
        <v/>
      </c>
      <c r="U426" s="39">
        <f>IF('Enrollment Census'!U426="","",'Enrollment Census'!U426)</f>
        <v/>
      </c>
    </row>
    <row r="427">
      <c r="A427" s="36">
        <f>IF('Enrollment Census'!A427="","",TRIM('Enrollment Census'!A427&amp;""))</f>
        <v/>
      </c>
      <c r="B427" s="36">
        <f>IF('Enrollment Census'!B427="","",TRIM('Enrollment Census'!B427&amp;""))</f>
        <v/>
      </c>
      <c r="C427" s="37">
        <f>IF('Enrollment Census'!C427="","",TRIM('Enrollment Census'!C427&amp;""))</f>
        <v/>
      </c>
      <c r="D427" s="37">
        <f>IF('Enrollment Census'!D427="","",TRIM('Enrollment Census'!D427&amp;""))</f>
        <v/>
      </c>
      <c r="E427" s="36">
        <f>IF('Enrollment Census'!E427="","",TRIM('Enrollment Census'!E427&amp;""))</f>
        <v/>
      </c>
      <c r="F427" s="37">
        <f>IF('Enrollment Census'!F427="","",TRIM('Enrollment Census'!F427&amp;""))</f>
        <v/>
      </c>
      <c r="G427" s="37">
        <f>IF('Enrollment Census'!G427="","",TRIM('Enrollment Census'!G427&amp;""))</f>
        <v/>
      </c>
      <c r="H427" s="37">
        <f>IF('Enrollment Census'!H427="","",TRIM('Enrollment Census'!H427&amp;""))</f>
        <v/>
      </c>
      <c r="I427" s="36">
        <f>IF('Enrollment Census'!I427="","",TRIM('Enrollment Census'!I427&amp;""))</f>
        <v/>
      </c>
      <c r="J427" s="36">
        <f>IF('Enrollment Census'!J427="","",TRIM('Enrollment Census'!J427&amp;""))</f>
        <v/>
      </c>
      <c r="K427" s="36">
        <f>IF('Enrollment Census'!K427="","",TRIM('Enrollment Census'!K427&amp;""))</f>
        <v/>
      </c>
      <c r="L427" s="38">
        <f>IF('Enrollment Census'!L427="","",'Enrollment Census'!L427)</f>
        <v/>
      </c>
      <c r="M427" s="36">
        <f>IF('Enrollment Census'!M427="","",TRIM('Enrollment Census'!M427&amp;""))</f>
        <v/>
      </c>
      <c r="N427" s="36">
        <f>IF('Enrollment Census'!N427="","",LOWER(TRIM('Enrollment Census'!N427&amp;"")))</f>
        <v/>
      </c>
      <c r="O427" s="36">
        <f>IF('Enrollment Census'!O427="","",TRIM('Enrollment Census'!O427&amp;""))</f>
        <v/>
      </c>
      <c r="P427" s="38">
        <f>IF('Enrollment Census'!P427="","",'Enrollment Census'!P427)</f>
        <v/>
      </c>
      <c r="Q427" s="38">
        <f>IF('Enrollment Census'!Q427="","",'Enrollment Census'!Q427)</f>
        <v/>
      </c>
      <c r="R427" s="36">
        <f>IF('Enrollment Census'!R427="","",TRIM('Enrollment Census'!R427&amp;""))</f>
        <v/>
      </c>
      <c r="S427" s="36">
        <f>IF('Enrollment Census'!S427="","",TRIM('Enrollment Census'!S427&amp;""))</f>
        <v/>
      </c>
      <c r="T427" s="36">
        <f>IF('Enrollment Census'!T427="","",TRIM('Enrollment Census'!T427&amp;""))</f>
        <v/>
      </c>
      <c r="U427" s="39">
        <f>IF('Enrollment Census'!U427="","",'Enrollment Census'!U427)</f>
        <v/>
      </c>
    </row>
    <row r="428">
      <c r="A428" s="36">
        <f>IF('Enrollment Census'!A428="","",TRIM('Enrollment Census'!A428&amp;""))</f>
        <v/>
      </c>
      <c r="B428" s="36">
        <f>IF('Enrollment Census'!B428="","",TRIM('Enrollment Census'!B428&amp;""))</f>
        <v/>
      </c>
      <c r="C428" s="37">
        <f>IF('Enrollment Census'!C428="","",TRIM('Enrollment Census'!C428&amp;""))</f>
        <v/>
      </c>
      <c r="D428" s="37">
        <f>IF('Enrollment Census'!D428="","",TRIM('Enrollment Census'!D428&amp;""))</f>
        <v/>
      </c>
      <c r="E428" s="36">
        <f>IF('Enrollment Census'!E428="","",TRIM('Enrollment Census'!E428&amp;""))</f>
        <v/>
      </c>
      <c r="F428" s="37">
        <f>IF('Enrollment Census'!F428="","",TRIM('Enrollment Census'!F428&amp;""))</f>
        <v/>
      </c>
      <c r="G428" s="37">
        <f>IF('Enrollment Census'!G428="","",TRIM('Enrollment Census'!G428&amp;""))</f>
        <v/>
      </c>
      <c r="H428" s="37">
        <f>IF('Enrollment Census'!H428="","",TRIM('Enrollment Census'!H428&amp;""))</f>
        <v/>
      </c>
      <c r="I428" s="36">
        <f>IF('Enrollment Census'!I428="","",TRIM('Enrollment Census'!I428&amp;""))</f>
        <v/>
      </c>
      <c r="J428" s="36">
        <f>IF('Enrollment Census'!J428="","",TRIM('Enrollment Census'!J428&amp;""))</f>
        <v/>
      </c>
      <c r="K428" s="36">
        <f>IF('Enrollment Census'!K428="","",TRIM('Enrollment Census'!K428&amp;""))</f>
        <v/>
      </c>
      <c r="L428" s="38">
        <f>IF('Enrollment Census'!L428="","",'Enrollment Census'!L428)</f>
        <v/>
      </c>
      <c r="M428" s="36">
        <f>IF('Enrollment Census'!M428="","",TRIM('Enrollment Census'!M428&amp;""))</f>
        <v/>
      </c>
      <c r="N428" s="36">
        <f>IF('Enrollment Census'!N428="","",LOWER(TRIM('Enrollment Census'!N428&amp;"")))</f>
        <v/>
      </c>
      <c r="O428" s="36">
        <f>IF('Enrollment Census'!O428="","",TRIM('Enrollment Census'!O428&amp;""))</f>
        <v/>
      </c>
      <c r="P428" s="38">
        <f>IF('Enrollment Census'!P428="","",'Enrollment Census'!P428)</f>
        <v/>
      </c>
      <c r="Q428" s="38">
        <f>IF('Enrollment Census'!Q428="","",'Enrollment Census'!Q428)</f>
        <v/>
      </c>
      <c r="R428" s="36">
        <f>IF('Enrollment Census'!R428="","",TRIM('Enrollment Census'!R428&amp;""))</f>
        <v/>
      </c>
      <c r="S428" s="36">
        <f>IF('Enrollment Census'!S428="","",TRIM('Enrollment Census'!S428&amp;""))</f>
        <v/>
      </c>
      <c r="T428" s="36">
        <f>IF('Enrollment Census'!T428="","",TRIM('Enrollment Census'!T428&amp;""))</f>
        <v/>
      </c>
      <c r="U428" s="39">
        <f>IF('Enrollment Census'!U428="","",'Enrollment Census'!U428)</f>
        <v/>
      </c>
    </row>
    <row r="429">
      <c r="A429" s="36">
        <f>IF('Enrollment Census'!A429="","",TRIM('Enrollment Census'!A429&amp;""))</f>
        <v/>
      </c>
      <c r="B429" s="36">
        <f>IF('Enrollment Census'!B429="","",TRIM('Enrollment Census'!B429&amp;""))</f>
        <v/>
      </c>
      <c r="C429" s="37">
        <f>IF('Enrollment Census'!C429="","",TRIM('Enrollment Census'!C429&amp;""))</f>
        <v/>
      </c>
      <c r="D429" s="37">
        <f>IF('Enrollment Census'!D429="","",TRIM('Enrollment Census'!D429&amp;""))</f>
        <v/>
      </c>
      <c r="E429" s="36">
        <f>IF('Enrollment Census'!E429="","",TRIM('Enrollment Census'!E429&amp;""))</f>
        <v/>
      </c>
      <c r="F429" s="37">
        <f>IF('Enrollment Census'!F429="","",TRIM('Enrollment Census'!F429&amp;""))</f>
        <v/>
      </c>
      <c r="G429" s="37">
        <f>IF('Enrollment Census'!G429="","",TRIM('Enrollment Census'!G429&amp;""))</f>
        <v/>
      </c>
      <c r="H429" s="37">
        <f>IF('Enrollment Census'!H429="","",TRIM('Enrollment Census'!H429&amp;""))</f>
        <v/>
      </c>
      <c r="I429" s="36">
        <f>IF('Enrollment Census'!I429="","",TRIM('Enrollment Census'!I429&amp;""))</f>
        <v/>
      </c>
      <c r="J429" s="36">
        <f>IF('Enrollment Census'!J429="","",TRIM('Enrollment Census'!J429&amp;""))</f>
        <v/>
      </c>
      <c r="K429" s="36">
        <f>IF('Enrollment Census'!K429="","",TRIM('Enrollment Census'!K429&amp;""))</f>
        <v/>
      </c>
      <c r="L429" s="38">
        <f>IF('Enrollment Census'!L429="","",'Enrollment Census'!L429)</f>
        <v/>
      </c>
      <c r="M429" s="36">
        <f>IF('Enrollment Census'!M429="","",TRIM('Enrollment Census'!M429&amp;""))</f>
        <v/>
      </c>
      <c r="N429" s="36">
        <f>IF('Enrollment Census'!N429="","",LOWER(TRIM('Enrollment Census'!N429&amp;"")))</f>
        <v/>
      </c>
      <c r="O429" s="36">
        <f>IF('Enrollment Census'!O429="","",TRIM('Enrollment Census'!O429&amp;""))</f>
        <v/>
      </c>
      <c r="P429" s="38">
        <f>IF('Enrollment Census'!P429="","",'Enrollment Census'!P429)</f>
        <v/>
      </c>
      <c r="Q429" s="38">
        <f>IF('Enrollment Census'!Q429="","",'Enrollment Census'!Q429)</f>
        <v/>
      </c>
      <c r="R429" s="36">
        <f>IF('Enrollment Census'!R429="","",TRIM('Enrollment Census'!R429&amp;""))</f>
        <v/>
      </c>
      <c r="S429" s="36">
        <f>IF('Enrollment Census'!S429="","",TRIM('Enrollment Census'!S429&amp;""))</f>
        <v/>
      </c>
      <c r="T429" s="36">
        <f>IF('Enrollment Census'!T429="","",TRIM('Enrollment Census'!T429&amp;""))</f>
        <v/>
      </c>
      <c r="U429" s="39">
        <f>IF('Enrollment Census'!U429="","",'Enrollment Census'!U429)</f>
        <v/>
      </c>
    </row>
    <row r="430">
      <c r="A430" s="36">
        <f>IF('Enrollment Census'!A430="","",TRIM('Enrollment Census'!A430&amp;""))</f>
        <v/>
      </c>
      <c r="B430" s="36">
        <f>IF('Enrollment Census'!B430="","",TRIM('Enrollment Census'!B430&amp;""))</f>
        <v/>
      </c>
      <c r="C430" s="37">
        <f>IF('Enrollment Census'!C430="","",TRIM('Enrollment Census'!C430&amp;""))</f>
        <v/>
      </c>
      <c r="D430" s="37">
        <f>IF('Enrollment Census'!D430="","",TRIM('Enrollment Census'!D430&amp;""))</f>
        <v/>
      </c>
      <c r="E430" s="36">
        <f>IF('Enrollment Census'!E430="","",TRIM('Enrollment Census'!E430&amp;""))</f>
        <v/>
      </c>
      <c r="F430" s="37">
        <f>IF('Enrollment Census'!F430="","",TRIM('Enrollment Census'!F430&amp;""))</f>
        <v/>
      </c>
      <c r="G430" s="37">
        <f>IF('Enrollment Census'!G430="","",TRIM('Enrollment Census'!G430&amp;""))</f>
        <v/>
      </c>
      <c r="H430" s="37">
        <f>IF('Enrollment Census'!H430="","",TRIM('Enrollment Census'!H430&amp;""))</f>
        <v/>
      </c>
      <c r="I430" s="36">
        <f>IF('Enrollment Census'!I430="","",TRIM('Enrollment Census'!I430&amp;""))</f>
        <v/>
      </c>
      <c r="J430" s="36">
        <f>IF('Enrollment Census'!J430="","",TRIM('Enrollment Census'!J430&amp;""))</f>
        <v/>
      </c>
      <c r="K430" s="36">
        <f>IF('Enrollment Census'!K430="","",TRIM('Enrollment Census'!K430&amp;""))</f>
        <v/>
      </c>
      <c r="L430" s="38">
        <f>IF('Enrollment Census'!L430="","",'Enrollment Census'!L430)</f>
        <v/>
      </c>
      <c r="M430" s="36">
        <f>IF('Enrollment Census'!M430="","",TRIM('Enrollment Census'!M430&amp;""))</f>
        <v/>
      </c>
      <c r="N430" s="36">
        <f>IF('Enrollment Census'!N430="","",LOWER(TRIM('Enrollment Census'!N430&amp;"")))</f>
        <v/>
      </c>
      <c r="O430" s="36">
        <f>IF('Enrollment Census'!O430="","",TRIM('Enrollment Census'!O430&amp;""))</f>
        <v/>
      </c>
      <c r="P430" s="38">
        <f>IF('Enrollment Census'!P430="","",'Enrollment Census'!P430)</f>
        <v/>
      </c>
      <c r="Q430" s="38">
        <f>IF('Enrollment Census'!Q430="","",'Enrollment Census'!Q430)</f>
        <v/>
      </c>
      <c r="R430" s="36">
        <f>IF('Enrollment Census'!R430="","",TRIM('Enrollment Census'!R430&amp;""))</f>
        <v/>
      </c>
      <c r="S430" s="36">
        <f>IF('Enrollment Census'!S430="","",TRIM('Enrollment Census'!S430&amp;""))</f>
        <v/>
      </c>
      <c r="T430" s="36">
        <f>IF('Enrollment Census'!T430="","",TRIM('Enrollment Census'!T430&amp;""))</f>
        <v/>
      </c>
      <c r="U430" s="39">
        <f>IF('Enrollment Census'!U430="","",'Enrollment Census'!U430)</f>
        <v/>
      </c>
    </row>
    <row r="431">
      <c r="A431" s="36">
        <f>IF('Enrollment Census'!A431="","",TRIM('Enrollment Census'!A431&amp;""))</f>
        <v/>
      </c>
      <c r="B431" s="36">
        <f>IF('Enrollment Census'!B431="","",TRIM('Enrollment Census'!B431&amp;""))</f>
        <v/>
      </c>
      <c r="C431" s="37">
        <f>IF('Enrollment Census'!C431="","",TRIM('Enrollment Census'!C431&amp;""))</f>
        <v/>
      </c>
      <c r="D431" s="37">
        <f>IF('Enrollment Census'!D431="","",TRIM('Enrollment Census'!D431&amp;""))</f>
        <v/>
      </c>
      <c r="E431" s="36">
        <f>IF('Enrollment Census'!E431="","",TRIM('Enrollment Census'!E431&amp;""))</f>
        <v/>
      </c>
      <c r="F431" s="37">
        <f>IF('Enrollment Census'!F431="","",TRIM('Enrollment Census'!F431&amp;""))</f>
        <v/>
      </c>
      <c r="G431" s="37">
        <f>IF('Enrollment Census'!G431="","",TRIM('Enrollment Census'!G431&amp;""))</f>
        <v/>
      </c>
      <c r="H431" s="37">
        <f>IF('Enrollment Census'!H431="","",TRIM('Enrollment Census'!H431&amp;""))</f>
        <v/>
      </c>
      <c r="I431" s="36">
        <f>IF('Enrollment Census'!I431="","",TRIM('Enrollment Census'!I431&amp;""))</f>
        <v/>
      </c>
      <c r="J431" s="36">
        <f>IF('Enrollment Census'!J431="","",TRIM('Enrollment Census'!J431&amp;""))</f>
        <v/>
      </c>
      <c r="K431" s="36">
        <f>IF('Enrollment Census'!K431="","",TRIM('Enrollment Census'!K431&amp;""))</f>
        <v/>
      </c>
      <c r="L431" s="38">
        <f>IF('Enrollment Census'!L431="","",'Enrollment Census'!L431)</f>
        <v/>
      </c>
      <c r="M431" s="36">
        <f>IF('Enrollment Census'!M431="","",TRIM('Enrollment Census'!M431&amp;""))</f>
        <v/>
      </c>
      <c r="N431" s="36">
        <f>IF('Enrollment Census'!N431="","",LOWER(TRIM('Enrollment Census'!N431&amp;"")))</f>
        <v/>
      </c>
      <c r="O431" s="36">
        <f>IF('Enrollment Census'!O431="","",TRIM('Enrollment Census'!O431&amp;""))</f>
        <v/>
      </c>
      <c r="P431" s="38">
        <f>IF('Enrollment Census'!P431="","",'Enrollment Census'!P431)</f>
        <v/>
      </c>
      <c r="Q431" s="38">
        <f>IF('Enrollment Census'!Q431="","",'Enrollment Census'!Q431)</f>
        <v/>
      </c>
      <c r="R431" s="36">
        <f>IF('Enrollment Census'!R431="","",TRIM('Enrollment Census'!R431&amp;""))</f>
        <v/>
      </c>
      <c r="S431" s="36">
        <f>IF('Enrollment Census'!S431="","",TRIM('Enrollment Census'!S431&amp;""))</f>
        <v/>
      </c>
      <c r="T431" s="36">
        <f>IF('Enrollment Census'!T431="","",TRIM('Enrollment Census'!T431&amp;""))</f>
        <v/>
      </c>
      <c r="U431" s="39">
        <f>IF('Enrollment Census'!U431="","",'Enrollment Census'!U431)</f>
        <v/>
      </c>
    </row>
    <row r="432">
      <c r="A432" s="36">
        <f>IF('Enrollment Census'!A432="","",TRIM('Enrollment Census'!A432&amp;""))</f>
        <v/>
      </c>
      <c r="B432" s="36">
        <f>IF('Enrollment Census'!B432="","",TRIM('Enrollment Census'!B432&amp;""))</f>
        <v/>
      </c>
      <c r="C432" s="37">
        <f>IF('Enrollment Census'!C432="","",TRIM('Enrollment Census'!C432&amp;""))</f>
        <v/>
      </c>
      <c r="D432" s="37">
        <f>IF('Enrollment Census'!D432="","",TRIM('Enrollment Census'!D432&amp;""))</f>
        <v/>
      </c>
      <c r="E432" s="36">
        <f>IF('Enrollment Census'!E432="","",TRIM('Enrollment Census'!E432&amp;""))</f>
        <v/>
      </c>
      <c r="F432" s="37">
        <f>IF('Enrollment Census'!F432="","",TRIM('Enrollment Census'!F432&amp;""))</f>
        <v/>
      </c>
      <c r="G432" s="37">
        <f>IF('Enrollment Census'!G432="","",TRIM('Enrollment Census'!G432&amp;""))</f>
        <v/>
      </c>
      <c r="H432" s="37">
        <f>IF('Enrollment Census'!H432="","",TRIM('Enrollment Census'!H432&amp;""))</f>
        <v/>
      </c>
      <c r="I432" s="36">
        <f>IF('Enrollment Census'!I432="","",TRIM('Enrollment Census'!I432&amp;""))</f>
        <v/>
      </c>
      <c r="J432" s="36">
        <f>IF('Enrollment Census'!J432="","",TRIM('Enrollment Census'!J432&amp;""))</f>
        <v/>
      </c>
      <c r="K432" s="36">
        <f>IF('Enrollment Census'!K432="","",TRIM('Enrollment Census'!K432&amp;""))</f>
        <v/>
      </c>
      <c r="L432" s="38">
        <f>IF('Enrollment Census'!L432="","",'Enrollment Census'!L432)</f>
        <v/>
      </c>
      <c r="M432" s="36">
        <f>IF('Enrollment Census'!M432="","",TRIM('Enrollment Census'!M432&amp;""))</f>
        <v/>
      </c>
      <c r="N432" s="36">
        <f>IF('Enrollment Census'!N432="","",LOWER(TRIM('Enrollment Census'!N432&amp;"")))</f>
        <v/>
      </c>
      <c r="O432" s="36">
        <f>IF('Enrollment Census'!O432="","",TRIM('Enrollment Census'!O432&amp;""))</f>
        <v/>
      </c>
      <c r="P432" s="38">
        <f>IF('Enrollment Census'!P432="","",'Enrollment Census'!P432)</f>
        <v/>
      </c>
      <c r="Q432" s="38">
        <f>IF('Enrollment Census'!Q432="","",'Enrollment Census'!Q432)</f>
        <v/>
      </c>
      <c r="R432" s="36">
        <f>IF('Enrollment Census'!R432="","",TRIM('Enrollment Census'!R432&amp;""))</f>
        <v/>
      </c>
      <c r="S432" s="36">
        <f>IF('Enrollment Census'!S432="","",TRIM('Enrollment Census'!S432&amp;""))</f>
        <v/>
      </c>
      <c r="T432" s="36">
        <f>IF('Enrollment Census'!T432="","",TRIM('Enrollment Census'!T432&amp;""))</f>
        <v/>
      </c>
      <c r="U432" s="39">
        <f>IF('Enrollment Census'!U432="","",'Enrollment Census'!U432)</f>
        <v/>
      </c>
    </row>
    <row r="433">
      <c r="A433" s="36">
        <f>IF('Enrollment Census'!A433="","",TRIM('Enrollment Census'!A433&amp;""))</f>
        <v/>
      </c>
      <c r="B433" s="36">
        <f>IF('Enrollment Census'!B433="","",TRIM('Enrollment Census'!B433&amp;""))</f>
        <v/>
      </c>
      <c r="C433" s="37">
        <f>IF('Enrollment Census'!C433="","",TRIM('Enrollment Census'!C433&amp;""))</f>
        <v/>
      </c>
      <c r="D433" s="37">
        <f>IF('Enrollment Census'!D433="","",TRIM('Enrollment Census'!D433&amp;""))</f>
        <v/>
      </c>
      <c r="E433" s="36">
        <f>IF('Enrollment Census'!E433="","",TRIM('Enrollment Census'!E433&amp;""))</f>
        <v/>
      </c>
      <c r="F433" s="37">
        <f>IF('Enrollment Census'!F433="","",TRIM('Enrollment Census'!F433&amp;""))</f>
        <v/>
      </c>
      <c r="G433" s="37">
        <f>IF('Enrollment Census'!G433="","",TRIM('Enrollment Census'!G433&amp;""))</f>
        <v/>
      </c>
      <c r="H433" s="37">
        <f>IF('Enrollment Census'!H433="","",TRIM('Enrollment Census'!H433&amp;""))</f>
        <v/>
      </c>
      <c r="I433" s="36">
        <f>IF('Enrollment Census'!I433="","",TRIM('Enrollment Census'!I433&amp;""))</f>
        <v/>
      </c>
      <c r="J433" s="36">
        <f>IF('Enrollment Census'!J433="","",TRIM('Enrollment Census'!J433&amp;""))</f>
        <v/>
      </c>
      <c r="K433" s="36">
        <f>IF('Enrollment Census'!K433="","",TRIM('Enrollment Census'!K433&amp;""))</f>
        <v/>
      </c>
      <c r="L433" s="38">
        <f>IF('Enrollment Census'!L433="","",'Enrollment Census'!L433)</f>
        <v/>
      </c>
      <c r="M433" s="36">
        <f>IF('Enrollment Census'!M433="","",TRIM('Enrollment Census'!M433&amp;""))</f>
        <v/>
      </c>
      <c r="N433" s="36">
        <f>IF('Enrollment Census'!N433="","",LOWER(TRIM('Enrollment Census'!N433&amp;"")))</f>
        <v/>
      </c>
      <c r="O433" s="36">
        <f>IF('Enrollment Census'!O433="","",TRIM('Enrollment Census'!O433&amp;""))</f>
        <v/>
      </c>
      <c r="P433" s="38">
        <f>IF('Enrollment Census'!P433="","",'Enrollment Census'!P433)</f>
        <v/>
      </c>
      <c r="Q433" s="38">
        <f>IF('Enrollment Census'!Q433="","",'Enrollment Census'!Q433)</f>
        <v/>
      </c>
      <c r="R433" s="36">
        <f>IF('Enrollment Census'!R433="","",TRIM('Enrollment Census'!R433&amp;""))</f>
        <v/>
      </c>
      <c r="S433" s="36">
        <f>IF('Enrollment Census'!S433="","",TRIM('Enrollment Census'!S433&amp;""))</f>
        <v/>
      </c>
      <c r="T433" s="36">
        <f>IF('Enrollment Census'!T433="","",TRIM('Enrollment Census'!T433&amp;""))</f>
        <v/>
      </c>
      <c r="U433" s="39">
        <f>IF('Enrollment Census'!U433="","",'Enrollment Census'!U433)</f>
        <v/>
      </c>
    </row>
    <row r="434">
      <c r="A434" s="36">
        <f>IF('Enrollment Census'!A434="","",TRIM('Enrollment Census'!A434&amp;""))</f>
        <v/>
      </c>
      <c r="B434" s="36">
        <f>IF('Enrollment Census'!B434="","",TRIM('Enrollment Census'!B434&amp;""))</f>
        <v/>
      </c>
      <c r="C434" s="37">
        <f>IF('Enrollment Census'!C434="","",TRIM('Enrollment Census'!C434&amp;""))</f>
        <v/>
      </c>
      <c r="D434" s="37">
        <f>IF('Enrollment Census'!D434="","",TRIM('Enrollment Census'!D434&amp;""))</f>
        <v/>
      </c>
      <c r="E434" s="36">
        <f>IF('Enrollment Census'!E434="","",TRIM('Enrollment Census'!E434&amp;""))</f>
        <v/>
      </c>
      <c r="F434" s="37">
        <f>IF('Enrollment Census'!F434="","",TRIM('Enrollment Census'!F434&amp;""))</f>
        <v/>
      </c>
      <c r="G434" s="37">
        <f>IF('Enrollment Census'!G434="","",TRIM('Enrollment Census'!G434&amp;""))</f>
        <v/>
      </c>
      <c r="H434" s="37">
        <f>IF('Enrollment Census'!H434="","",TRIM('Enrollment Census'!H434&amp;""))</f>
        <v/>
      </c>
      <c r="I434" s="36">
        <f>IF('Enrollment Census'!I434="","",TRIM('Enrollment Census'!I434&amp;""))</f>
        <v/>
      </c>
      <c r="J434" s="36">
        <f>IF('Enrollment Census'!J434="","",TRIM('Enrollment Census'!J434&amp;""))</f>
        <v/>
      </c>
      <c r="K434" s="36">
        <f>IF('Enrollment Census'!K434="","",TRIM('Enrollment Census'!K434&amp;""))</f>
        <v/>
      </c>
      <c r="L434" s="38">
        <f>IF('Enrollment Census'!L434="","",'Enrollment Census'!L434)</f>
        <v/>
      </c>
      <c r="M434" s="36">
        <f>IF('Enrollment Census'!M434="","",TRIM('Enrollment Census'!M434&amp;""))</f>
        <v/>
      </c>
      <c r="N434" s="36">
        <f>IF('Enrollment Census'!N434="","",LOWER(TRIM('Enrollment Census'!N434&amp;"")))</f>
        <v/>
      </c>
      <c r="O434" s="36">
        <f>IF('Enrollment Census'!O434="","",TRIM('Enrollment Census'!O434&amp;""))</f>
        <v/>
      </c>
      <c r="P434" s="38">
        <f>IF('Enrollment Census'!P434="","",'Enrollment Census'!P434)</f>
        <v/>
      </c>
      <c r="Q434" s="38">
        <f>IF('Enrollment Census'!Q434="","",'Enrollment Census'!Q434)</f>
        <v/>
      </c>
      <c r="R434" s="36">
        <f>IF('Enrollment Census'!R434="","",TRIM('Enrollment Census'!R434&amp;""))</f>
        <v/>
      </c>
      <c r="S434" s="36">
        <f>IF('Enrollment Census'!S434="","",TRIM('Enrollment Census'!S434&amp;""))</f>
        <v/>
      </c>
      <c r="T434" s="36">
        <f>IF('Enrollment Census'!T434="","",TRIM('Enrollment Census'!T434&amp;""))</f>
        <v/>
      </c>
      <c r="U434" s="39">
        <f>IF('Enrollment Census'!U434="","",'Enrollment Census'!U434)</f>
        <v/>
      </c>
    </row>
    <row r="435">
      <c r="A435" s="36">
        <f>IF('Enrollment Census'!A435="","",TRIM('Enrollment Census'!A435&amp;""))</f>
        <v/>
      </c>
      <c r="B435" s="36">
        <f>IF('Enrollment Census'!B435="","",TRIM('Enrollment Census'!B435&amp;""))</f>
        <v/>
      </c>
      <c r="C435" s="37">
        <f>IF('Enrollment Census'!C435="","",TRIM('Enrollment Census'!C435&amp;""))</f>
        <v/>
      </c>
      <c r="D435" s="37">
        <f>IF('Enrollment Census'!D435="","",TRIM('Enrollment Census'!D435&amp;""))</f>
        <v/>
      </c>
      <c r="E435" s="36">
        <f>IF('Enrollment Census'!E435="","",TRIM('Enrollment Census'!E435&amp;""))</f>
        <v/>
      </c>
      <c r="F435" s="37">
        <f>IF('Enrollment Census'!F435="","",TRIM('Enrollment Census'!F435&amp;""))</f>
        <v/>
      </c>
      <c r="G435" s="37">
        <f>IF('Enrollment Census'!G435="","",TRIM('Enrollment Census'!G435&amp;""))</f>
        <v/>
      </c>
      <c r="H435" s="37">
        <f>IF('Enrollment Census'!H435="","",TRIM('Enrollment Census'!H435&amp;""))</f>
        <v/>
      </c>
      <c r="I435" s="36">
        <f>IF('Enrollment Census'!I435="","",TRIM('Enrollment Census'!I435&amp;""))</f>
        <v/>
      </c>
      <c r="J435" s="36">
        <f>IF('Enrollment Census'!J435="","",TRIM('Enrollment Census'!J435&amp;""))</f>
        <v/>
      </c>
      <c r="K435" s="36">
        <f>IF('Enrollment Census'!K435="","",TRIM('Enrollment Census'!K435&amp;""))</f>
        <v/>
      </c>
      <c r="L435" s="38">
        <f>IF('Enrollment Census'!L435="","",'Enrollment Census'!L435)</f>
        <v/>
      </c>
      <c r="M435" s="36">
        <f>IF('Enrollment Census'!M435="","",TRIM('Enrollment Census'!M435&amp;""))</f>
        <v/>
      </c>
      <c r="N435" s="36">
        <f>IF('Enrollment Census'!N435="","",LOWER(TRIM('Enrollment Census'!N435&amp;"")))</f>
        <v/>
      </c>
      <c r="O435" s="36">
        <f>IF('Enrollment Census'!O435="","",TRIM('Enrollment Census'!O435&amp;""))</f>
        <v/>
      </c>
      <c r="P435" s="38">
        <f>IF('Enrollment Census'!P435="","",'Enrollment Census'!P435)</f>
        <v/>
      </c>
      <c r="Q435" s="38">
        <f>IF('Enrollment Census'!Q435="","",'Enrollment Census'!Q435)</f>
        <v/>
      </c>
      <c r="R435" s="36">
        <f>IF('Enrollment Census'!R435="","",TRIM('Enrollment Census'!R435&amp;""))</f>
        <v/>
      </c>
      <c r="S435" s="36">
        <f>IF('Enrollment Census'!S435="","",TRIM('Enrollment Census'!S435&amp;""))</f>
        <v/>
      </c>
      <c r="T435" s="36">
        <f>IF('Enrollment Census'!T435="","",TRIM('Enrollment Census'!T435&amp;""))</f>
        <v/>
      </c>
      <c r="U435" s="39">
        <f>IF('Enrollment Census'!U435="","",'Enrollment Census'!U435)</f>
        <v/>
      </c>
    </row>
    <row r="436">
      <c r="A436" s="36">
        <f>IF('Enrollment Census'!A436="","",TRIM('Enrollment Census'!A436&amp;""))</f>
        <v/>
      </c>
      <c r="B436" s="36">
        <f>IF('Enrollment Census'!B436="","",TRIM('Enrollment Census'!B436&amp;""))</f>
        <v/>
      </c>
      <c r="C436" s="37">
        <f>IF('Enrollment Census'!C436="","",TRIM('Enrollment Census'!C436&amp;""))</f>
        <v/>
      </c>
      <c r="D436" s="37">
        <f>IF('Enrollment Census'!D436="","",TRIM('Enrollment Census'!D436&amp;""))</f>
        <v/>
      </c>
      <c r="E436" s="36">
        <f>IF('Enrollment Census'!E436="","",TRIM('Enrollment Census'!E436&amp;""))</f>
        <v/>
      </c>
      <c r="F436" s="37">
        <f>IF('Enrollment Census'!F436="","",TRIM('Enrollment Census'!F436&amp;""))</f>
        <v/>
      </c>
      <c r="G436" s="37">
        <f>IF('Enrollment Census'!G436="","",TRIM('Enrollment Census'!G436&amp;""))</f>
        <v/>
      </c>
      <c r="H436" s="37">
        <f>IF('Enrollment Census'!H436="","",TRIM('Enrollment Census'!H436&amp;""))</f>
        <v/>
      </c>
      <c r="I436" s="36">
        <f>IF('Enrollment Census'!I436="","",TRIM('Enrollment Census'!I436&amp;""))</f>
        <v/>
      </c>
      <c r="J436" s="36">
        <f>IF('Enrollment Census'!J436="","",TRIM('Enrollment Census'!J436&amp;""))</f>
        <v/>
      </c>
      <c r="K436" s="36">
        <f>IF('Enrollment Census'!K436="","",TRIM('Enrollment Census'!K436&amp;""))</f>
        <v/>
      </c>
      <c r="L436" s="38">
        <f>IF('Enrollment Census'!L436="","",'Enrollment Census'!L436)</f>
        <v/>
      </c>
      <c r="M436" s="36">
        <f>IF('Enrollment Census'!M436="","",TRIM('Enrollment Census'!M436&amp;""))</f>
        <v/>
      </c>
      <c r="N436" s="36">
        <f>IF('Enrollment Census'!N436="","",LOWER(TRIM('Enrollment Census'!N436&amp;"")))</f>
        <v/>
      </c>
      <c r="O436" s="36">
        <f>IF('Enrollment Census'!O436="","",TRIM('Enrollment Census'!O436&amp;""))</f>
        <v/>
      </c>
      <c r="P436" s="38">
        <f>IF('Enrollment Census'!P436="","",'Enrollment Census'!P436)</f>
        <v/>
      </c>
      <c r="Q436" s="38">
        <f>IF('Enrollment Census'!Q436="","",'Enrollment Census'!Q436)</f>
        <v/>
      </c>
      <c r="R436" s="36">
        <f>IF('Enrollment Census'!R436="","",TRIM('Enrollment Census'!R436&amp;""))</f>
        <v/>
      </c>
      <c r="S436" s="36">
        <f>IF('Enrollment Census'!S436="","",TRIM('Enrollment Census'!S436&amp;""))</f>
        <v/>
      </c>
      <c r="T436" s="36">
        <f>IF('Enrollment Census'!T436="","",TRIM('Enrollment Census'!T436&amp;""))</f>
        <v/>
      </c>
      <c r="U436" s="39">
        <f>IF('Enrollment Census'!U436="","",'Enrollment Census'!U436)</f>
        <v/>
      </c>
    </row>
    <row r="437">
      <c r="A437" s="36">
        <f>IF('Enrollment Census'!A437="","",TRIM('Enrollment Census'!A437&amp;""))</f>
        <v/>
      </c>
      <c r="B437" s="36">
        <f>IF('Enrollment Census'!B437="","",TRIM('Enrollment Census'!B437&amp;""))</f>
        <v/>
      </c>
      <c r="C437" s="37">
        <f>IF('Enrollment Census'!C437="","",TRIM('Enrollment Census'!C437&amp;""))</f>
        <v/>
      </c>
      <c r="D437" s="37">
        <f>IF('Enrollment Census'!D437="","",TRIM('Enrollment Census'!D437&amp;""))</f>
        <v/>
      </c>
      <c r="E437" s="36">
        <f>IF('Enrollment Census'!E437="","",TRIM('Enrollment Census'!E437&amp;""))</f>
        <v/>
      </c>
      <c r="F437" s="37">
        <f>IF('Enrollment Census'!F437="","",TRIM('Enrollment Census'!F437&amp;""))</f>
        <v/>
      </c>
      <c r="G437" s="37">
        <f>IF('Enrollment Census'!G437="","",TRIM('Enrollment Census'!G437&amp;""))</f>
        <v/>
      </c>
      <c r="H437" s="37">
        <f>IF('Enrollment Census'!H437="","",TRIM('Enrollment Census'!H437&amp;""))</f>
        <v/>
      </c>
      <c r="I437" s="36">
        <f>IF('Enrollment Census'!I437="","",TRIM('Enrollment Census'!I437&amp;""))</f>
        <v/>
      </c>
      <c r="J437" s="36">
        <f>IF('Enrollment Census'!J437="","",TRIM('Enrollment Census'!J437&amp;""))</f>
        <v/>
      </c>
      <c r="K437" s="36">
        <f>IF('Enrollment Census'!K437="","",TRIM('Enrollment Census'!K437&amp;""))</f>
        <v/>
      </c>
      <c r="L437" s="38">
        <f>IF('Enrollment Census'!L437="","",'Enrollment Census'!L437)</f>
        <v/>
      </c>
      <c r="M437" s="36">
        <f>IF('Enrollment Census'!M437="","",TRIM('Enrollment Census'!M437&amp;""))</f>
        <v/>
      </c>
      <c r="N437" s="36">
        <f>IF('Enrollment Census'!N437="","",LOWER(TRIM('Enrollment Census'!N437&amp;"")))</f>
        <v/>
      </c>
      <c r="O437" s="36">
        <f>IF('Enrollment Census'!O437="","",TRIM('Enrollment Census'!O437&amp;""))</f>
        <v/>
      </c>
      <c r="P437" s="38">
        <f>IF('Enrollment Census'!P437="","",'Enrollment Census'!P437)</f>
        <v/>
      </c>
      <c r="Q437" s="38">
        <f>IF('Enrollment Census'!Q437="","",'Enrollment Census'!Q437)</f>
        <v/>
      </c>
      <c r="R437" s="36">
        <f>IF('Enrollment Census'!R437="","",TRIM('Enrollment Census'!R437&amp;""))</f>
        <v/>
      </c>
      <c r="S437" s="36">
        <f>IF('Enrollment Census'!S437="","",TRIM('Enrollment Census'!S437&amp;""))</f>
        <v/>
      </c>
      <c r="T437" s="36">
        <f>IF('Enrollment Census'!T437="","",TRIM('Enrollment Census'!T437&amp;""))</f>
        <v/>
      </c>
      <c r="U437" s="39">
        <f>IF('Enrollment Census'!U437="","",'Enrollment Census'!U437)</f>
        <v/>
      </c>
    </row>
    <row r="438">
      <c r="A438" s="36">
        <f>IF('Enrollment Census'!A438="","",TRIM('Enrollment Census'!A438&amp;""))</f>
        <v/>
      </c>
      <c r="B438" s="36">
        <f>IF('Enrollment Census'!B438="","",TRIM('Enrollment Census'!B438&amp;""))</f>
        <v/>
      </c>
      <c r="C438" s="37">
        <f>IF('Enrollment Census'!C438="","",TRIM('Enrollment Census'!C438&amp;""))</f>
        <v/>
      </c>
      <c r="D438" s="37">
        <f>IF('Enrollment Census'!D438="","",TRIM('Enrollment Census'!D438&amp;""))</f>
        <v/>
      </c>
      <c r="E438" s="36">
        <f>IF('Enrollment Census'!E438="","",TRIM('Enrollment Census'!E438&amp;""))</f>
        <v/>
      </c>
      <c r="F438" s="37">
        <f>IF('Enrollment Census'!F438="","",TRIM('Enrollment Census'!F438&amp;""))</f>
        <v/>
      </c>
      <c r="G438" s="37">
        <f>IF('Enrollment Census'!G438="","",TRIM('Enrollment Census'!G438&amp;""))</f>
        <v/>
      </c>
      <c r="H438" s="37">
        <f>IF('Enrollment Census'!H438="","",TRIM('Enrollment Census'!H438&amp;""))</f>
        <v/>
      </c>
      <c r="I438" s="36">
        <f>IF('Enrollment Census'!I438="","",TRIM('Enrollment Census'!I438&amp;""))</f>
        <v/>
      </c>
      <c r="J438" s="36">
        <f>IF('Enrollment Census'!J438="","",TRIM('Enrollment Census'!J438&amp;""))</f>
        <v/>
      </c>
      <c r="K438" s="36">
        <f>IF('Enrollment Census'!K438="","",TRIM('Enrollment Census'!K438&amp;""))</f>
        <v/>
      </c>
      <c r="L438" s="38">
        <f>IF('Enrollment Census'!L438="","",'Enrollment Census'!L438)</f>
        <v/>
      </c>
      <c r="M438" s="36">
        <f>IF('Enrollment Census'!M438="","",TRIM('Enrollment Census'!M438&amp;""))</f>
        <v/>
      </c>
      <c r="N438" s="36">
        <f>IF('Enrollment Census'!N438="","",LOWER(TRIM('Enrollment Census'!N438&amp;"")))</f>
        <v/>
      </c>
      <c r="O438" s="36">
        <f>IF('Enrollment Census'!O438="","",TRIM('Enrollment Census'!O438&amp;""))</f>
        <v/>
      </c>
      <c r="P438" s="38">
        <f>IF('Enrollment Census'!P438="","",'Enrollment Census'!P438)</f>
        <v/>
      </c>
      <c r="Q438" s="38">
        <f>IF('Enrollment Census'!Q438="","",'Enrollment Census'!Q438)</f>
        <v/>
      </c>
      <c r="R438" s="36">
        <f>IF('Enrollment Census'!R438="","",TRIM('Enrollment Census'!R438&amp;""))</f>
        <v/>
      </c>
      <c r="S438" s="36">
        <f>IF('Enrollment Census'!S438="","",TRIM('Enrollment Census'!S438&amp;""))</f>
        <v/>
      </c>
      <c r="T438" s="36">
        <f>IF('Enrollment Census'!T438="","",TRIM('Enrollment Census'!T438&amp;""))</f>
        <v/>
      </c>
      <c r="U438" s="39">
        <f>IF('Enrollment Census'!U438="","",'Enrollment Census'!U438)</f>
        <v/>
      </c>
    </row>
    <row r="439">
      <c r="A439" s="36">
        <f>IF('Enrollment Census'!A439="","",TRIM('Enrollment Census'!A439&amp;""))</f>
        <v/>
      </c>
      <c r="B439" s="36">
        <f>IF('Enrollment Census'!B439="","",TRIM('Enrollment Census'!B439&amp;""))</f>
        <v/>
      </c>
      <c r="C439" s="37">
        <f>IF('Enrollment Census'!C439="","",TRIM('Enrollment Census'!C439&amp;""))</f>
        <v/>
      </c>
      <c r="D439" s="37">
        <f>IF('Enrollment Census'!D439="","",TRIM('Enrollment Census'!D439&amp;""))</f>
        <v/>
      </c>
      <c r="E439" s="36">
        <f>IF('Enrollment Census'!E439="","",TRIM('Enrollment Census'!E439&amp;""))</f>
        <v/>
      </c>
      <c r="F439" s="37">
        <f>IF('Enrollment Census'!F439="","",TRIM('Enrollment Census'!F439&amp;""))</f>
        <v/>
      </c>
      <c r="G439" s="37">
        <f>IF('Enrollment Census'!G439="","",TRIM('Enrollment Census'!G439&amp;""))</f>
        <v/>
      </c>
      <c r="H439" s="37">
        <f>IF('Enrollment Census'!H439="","",TRIM('Enrollment Census'!H439&amp;""))</f>
        <v/>
      </c>
      <c r="I439" s="36">
        <f>IF('Enrollment Census'!I439="","",TRIM('Enrollment Census'!I439&amp;""))</f>
        <v/>
      </c>
      <c r="J439" s="36">
        <f>IF('Enrollment Census'!J439="","",TRIM('Enrollment Census'!J439&amp;""))</f>
        <v/>
      </c>
      <c r="K439" s="36">
        <f>IF('Enrollment Census'!K439="","",TRIM('Enrollment Census'!K439&amp;""))</f>
        <v/>
      </c>
      <c r="L439" s="38">
        <f>IF('Enrollment Census'!L439="","",'Enrollment Census'!L439)</f>
        <v/>
      </c>
      <c r="M439" s="36">
        <f>IF('Enrollment Census'!M439="","",TRIM('Enrollment Census'!M439&amp;""))</f>
        <v/>
      </c>
      <c r="N439" s="36">
        <f>IF('Enrollment Census'!N439="","",LOWER(TRIM('Enrollment Census'!N439&amp;"")))</f>
        <v/>
      </c>
      <c r="O439" s="36">
        <f>IF('Enrollment Census'!O439="","",TRIM('Enrollment Census'!O439&amp;""))</f>
        <v/>
      </c>
      <c r="P439" s="38">
        <f>IF('Enrollment Census'!P439="","",'Enrollment Census'!P439)</f>
        <v/>
      </c>
      <c r="Q439" s="38">
        <f>IF('Enrollment Census'!Q439="","",'Enrollment Census'!Q439)</f>
        <v/>
      </c>
      <c r="R439" s="36">
        <f>IF('Enrollment Census'!R439="","",TRIM('Enrollment Census'!R439&amp;""))</f>
        <v/>
      </c>
      <c r="S439" s="36">
        <f>IF('Enrollment Census'!S439="","",TRIM('Enrollment Census'!S439&amp;""))</f>
        <v/>
      </c>
      <c r="T439" s="36">
        <f>IF('Enrollment Census'!T439="","",TRIM('Enrollment Census'!T439&amp;""))</f>
        <v/>
      </c>
      <c r="U439" s="39">
        <f>IF('Enrollment Census'!U439="","",'Enrollment Census'!U439)</f>
        <v/>
      </c>
    </row>
    <row r="440">
      <c r="A440" s="36">
        <f>IF('Enrollment Census'!A440="","",TRIM('Enrollment Census'!A440&amp;""))</f>
        <v/>
      </c>
      <c r="B440" s="36">
        <f>IF('Enrollment Census'!B440="","",TRIM('Enrollment Census'!B440&amp;""))</f>
        <v/>
      </c>
      <c r="C440" s="37">
        <f>IF('Enrollment Census'!C440="","",TRIM('Enrollment Census'!C440&amp;""))</f>
        <v/>
      </c>
      <c r="D440" s="37">
        <f>IF('Enrollment Census'!D440="","",TRIM('Enrollment Census'!D440&amp;""))</f>
        <v/>
      </c>
      <c r="E440" s="36">
        <f>IF('Enrollment Census'!E440="","",TRIM('Enrollment Census'!E440&amp;""))</f>
        <v/>
      </c>
      <c r="F440" s="37">
        <f>IF('Enrollment Census'!F440="","",TRIM('Enrollment Census'!F440&amp;""))</f>
        <v/>
      </c>
      <c r="G440" s="37">
        <f>IF('Enrollment Census'!G440="","",TRIM('Enrollment Census'!G440&amp;""))</f>
        <v/>
      </c>
      <c r="H440" s="37">
        <f>IF('Enrollment Census'!H440="","",TRIM('Enrollment Census'!H440&amp;""))</f>
        <v/>
      </c>
      <c r="I440" s="36">
        <f>IF('Enrollment Census'!I440="","",TRIM('Enrollment Census'!I440&amp;""))</f>
        <v/>
      </c>
      <c r="J440" s="36">
        <f>IF('Enrollment Census'!J440="","",TRIM('Enrollment Census'!J440&amp;""))</f>
        <v/>
      </c>
      <c r="K440" s="36">
        <f>IF('Enrollment Census'!K440="","",TRIM('Enrollment Census'!K440&amp;""))</f>
        <v/>
      </c>
      <c r="L440" s="38">
        <f>IF('Enrollment Census'!L440="","",'Enrollment Census'!L440)</f>
        <v/>
      </c>
      <c r="M440" s="36">
        <f>IF('Enrollment Census'!M440="","",TRIM('Enrollment Census'!M440&amp;""))</f>
        <v/>
      </c>
      <c r="N440" s="36">
        <f>IF('Enrollment Census'!N440="","",LOWER(TRIM('Enrollment Census'!N440&amp;"")))</f>
        <v/>
      </c>
      <c r="O440" s="36">
        <f>IF('Enrollment Census'!O440="","",TRIM('Enrollment Census'!O440&amp;""))</f>
        <v/>
      </c>
      <c r="P440" s="38">
        <f>IF('Enrollment Census'!P440="","",'Enrollment Census'!P440)</f>
        <v/>
      </c>
      <c r="Q440" s="38">
        <f>IF('Enrollment Census'!Q440="","",'Enrollment Census'!Q440)</f>
        <v/>
      </c>
      <c r="R440" s="36">
        <f>IF('Enrollment Census'!R440="","",TRIM('Enrollment Census'!R440&amp;""))</f>
        <v/>
      </c>
      <c r="S440" s="36">
        <f>IF('Enrollment Census'!S440="","",TRIM('Enrollment Census'!S440&amp;""))</f>
        <v/>
      </c>
      <c r="T440" s="36">
        <f>IF('Enrollment Census'!T440="","",TRIM('Enrollment Census'!T440&amp;""))</f>
        <v/>
      </c>
      <c r="U440" s="39">
        <f>IF('Enrollment Census'!U440="","",'Enrollment Census'!U440)</f>
        <v/>
      </c>
    </row>
    <row r="441">
      <c r="A441" s="36">
        <f>IF('Enrollment Census'!A441="","",TRIM('Enrollment Census'!A441&amp;""))</f>
        <v/>
      </c>
      <c r="B441" s="36">
        <f>IF('Enrollment Census'!B441="","",TRIM('Enrollment Census'!B441&amp;""))</f>
        <v/>
      </c>
      <c r="C441" s="37">
        <f>IF('Enrollment Census'!C441="","",TRIM('Enrollment Census'!C441&amp;""))</f>
        <v/>
      </c>
      <c r="D441" s="37">
        <f>IF('Enrollment Census'!D441="","",TRIM('Enrollment Census'!D441&amp;""))</f>
        <v/>
      </c>
      <c r="E441" s="36">
        <f>IF('Enrollment Census'!E441="","",TRIM('Enrollment Census'!E441&amp;""))</f>
        <v/>
      </c>
      <c r="F441" s="37">
        <f>IF('Enrollment Census'!F441="","",TRIM('Enrollment Census'!F441&amp;""))</f>
        <v/>
      </c>
      <c r="G441" s="37">
        <f>IF('Enrollment Census'!G441="","",TRIM('Enrollment Census'!G441&amp;""))</f>
        <v/>
      </c>
      <c r="H441" s="37">
        <f>IF('Enrollment Census'!H441="","",TRIM('Enrollment Census'!H441&amp;""))</f>
        <v/>
      </c>
      <c r="I441" s="36">
        <f>IF('Enrollment Census'!I441="","",TRIM('Enrollment Census'!I441&amp;""))</f>
        <v/>
      </c>
      <c r="J441" s="36">
        <f>IF('Enrollment Census'!J441="","",TRIM('Enrollment Census'!J441&amp;""))</f>
        <v/>
      </c>
      <c r="K441" s="36">
        <f>IF('Enrollment Census'!K441="","",TRIM('Enrollment Census'!K441&amp;""))</f>
        <v/>
      </c>
      <c r="L441" s="38">
        <f>IF('Enrollment Census'!L441="","",'Enrollment Census'!L441)</f>
        <v/>
      </c>
      <c r="M441" s="36">
        <f>IF('Enrollment Census'!M441="","",TRIM('Enrollment Census'!M441&amp;""))</f>
        <v/>
      </c>
      <c r="N441" s="36">
        <f>IF('Enrollment Census'!N441="","",LOWER(TRIM('Enrollment Census'!N441&amp;"")))</f>
        <v/>
      </c>
      <c r="O441" s="36">
        <f>IF('Enrollment Census'!O441="","",TRIM('Enrollment Census'!O441&amp;""))</f>
        <v/>
      </c>
      <c r="P441" s="38">
        <f>IF('Enrollment Census'!P441="","",'Enrollment Census'!P441)</f>
        <v/>
      </c>
      <c r="Q441" s="38">
        <f>IF('Enrollment Census'!Q441="","",'Enrollment Census'!Q441)</f>
        <v/>
      </c>
      <c r="R441" s="36">
        <f>IF('Enrollment Census'!R441="","",TRIM('Enrollment Census'!R441&amp;""))</f>
        <v/>
      </c>
      <c r="S441" s="36">
        <f>IF('Enrollment Census'!S441="","",TRIM('Enrollment Census'!S441&amp;""))</f>
        <v/>
      </c>
      <c r="T441" s="36">
        <f>IF('Enrollment Census'!T441="","",TRIM('Enrollment Census'!T441&amp;""))</f>
        <v/>
      </c>
      <c r="U441" s="39">
        <f>IF('Enrollment Census'!U441="","",'Enrollment Census'!U441)</f>
        <v/>
      </c>
    </row>
    <row r="442">
      <c r="A442" s="36">
        <f>IF('Enrollment Census'!A442="","",TRIM('Enrollment Census'!A442&amp;""))</f>
        <v/>
      </c>
      <c r="B442" s="36">
        <f>IF('Enrollment Census'!B442="","",TRIM('Enrollment Census'!B442&amp;""))</f>
        <v/>
      </c>
      <c r="C442" s="37">
        <f>IF('Enrollment Census'!C442="","",TRIM('Enrollment Census'!C442&amp;""))</f>
        <v/>
      </c>
      <c r="D442" s="37">
        <f>IF('Enrollment Census'!D442="","",TRIM('Enrollment Census'!D442&amp;""))</f>
        <v/>
      </c>
      <c r="E442" s="36">
        <f>IF('Enrollment Census'!E442="","",TRIM('Enrollment Census'!E442&amp;""))</f>
        <v/>
      </c>
      <c r="F442" s="37">
        <f>IF('Enrollment Census'!F442="","",TRIM('Enrollment Census'!F442&amp;""))</f>
        <v/>
      </c>
      <c r="G442" s="37">
        <f>IF('Enrollment Census'!G442="","",TRIM('Enrollment Census'!G442&amp;""))</f>
        <v/>
      </c>
      <c r="H442" s="37">
        <f>IF('Enrollment Census'!H442="","",TRIM('Enrollment Census'!H442&amp;""))</f>
        <v/>
      </c>
      <c r="I442" s="36">
        <f>IF('Enrollment Census'!I442="","",TRIM('Enrollment Census'!I442&amp;""))</f>
        <v/>
      </c>
      <c r="J442" s="36">
        <f>IF('Enrollment Census'!J442="","",TRIM('Enrollment Census'!J442&amp;""))</f>
        <v/>
      </c>
      <c r="K442" s="36">
        <f>IF('Enrollment Census'!K442="","",TRIM('Enrollment Census'!K442&amp;""))</f>
        <v/>
      </c>
      <c r="L442" s="38">
        <f>IF('Enrollment Census'!L442="","",'Enrollment Census'!L442)</f>
        <v/>
      </c>
      <c r="M442" s="36">
        <f>IF('Enrollment Census'!M442="","",TRIM('Enrollment Census'!M442&amp;""))</f>
        <v/>
      </c>
      <c r="N442" s="36">
        <f>IF('Enrollment Census'!N442="","",LOWER(TRIM('Enrollment Census'!N442&amp;"")))</f>
        <v/>
      </c>
      <c r="O442" s="36">
        <f>IF('Enrollment Census'!O442="","",TRIM('Enrollment Census'!O442&amp;""))</f>
        <v/>
      </c>
      <c r="P442" s="38">
        <f>IF('Enrollment Census'!P442="","",'Enrollment Census'!P442)</f>
        <v/>
      </c>
      <c r="Q442" s="38">
        <f>IF('Enrollment Census'!Q442="","",'Enrollment Census'!Q442)</f>
        <v/>
      </c>
      <c r="R442" s="36">
        <f>IF('Enrollment Census'!R442="","",TRIM('Enrollment Census'!R442&amp;""))</f>
        <v/>
      </c>
      <c r="S442" s="36">
        <f>IF('Enrollment Census'!S442="","",TRIM('Enrollment Census'!S442&amp;""))</f>
        <v/>
      </c>
      <c r="T442" s="36">
        <f>IF('Enrollment Census'!T442="","",TRIM('Enrollment Census'!T442&amp;""))</f>
        <v/>
      </c>
      <c r="U442" s="39">
        <f>IF('Enrollment Census'!U442="","",'Enrollment Census'!U442)</f>
        <v/>
      </c>
    </row>
    <row r="443">
      <c r="A443" s="36">
        <f>IF('Enrollment Census'!A443="","",TRIM('Enrollment Census'!A443&amp;""))</f>
        <v/>
      </c>
      <c r="B443" s="36">
        <f>IF('Enrollment Census'!B443="","",TRIM('Enrollment Census'!B443&amp;""))</f>
        <v/>
      </c>
      <c r="C443" s="37">
        <f>IF('Enrollment Census'!C443="","",TRIM('Enrollment Census'!C443&amp;""))</f>
        <v/>
      </c>
      <c r="D443" s="37">
        <f>IF('Enrollment Census'!D443="","",TRIM('Enrollment Census'!D443&amp;""))</f>
        <v/>
      </c>
      <c r="E443" s="36">
        <f>IF('Enrollment Census'!E443="","",TRIM('Enrollment Census'!E443&amp;""))</f>
        <v/>
      </c>
      <c r="F443" s="37">
        <f>IF('Enrollment Census'!F443="","",TRIM('Enrollment Census'!F443&amp;""))</f>
        <v/>
      </c>
      <c r="G443" s="37">
        <f>IF('Enrollment Census'!G443="","",TRIM('Enrollment Census'!G443&amp;""))</f>
        <v/>
      </c>
      <c r="H443" s="37">
        <f>IF('Enrollment Census'!H443="","",TRIM('Enrollment Census'!H443&amp;""))</f>
        <v/>
      </c>
      <c r="I443" s="36">
        <f>IF('Enrollment Census'!I443="","",TRIM('Enrollment Census'!I443&amp;""))</f>
        <v/>
      </c>
      <c r="J443" s="36">
        <f>IF('Enrollment Census'!J443="","",TRIM('Enrollment Census'!J443&amp;""))</f>
        <v/>
      </c>
      <c r="K443" s="36">
        <f>IF('Enrollment Census'!K443="","",TRIM('Enrollment Census'!K443&amp;""))</f>
        <v/>
      </c>
      <c r="L443" s="38">
        <f>IF('Enrollment Census'!L443="","",'Enrollment Census'!L443)</f>
        <v/>
      </c>
      <c r="M443" s="36">
        <f>IF('Enrollment Census'!M443="","",TRIM('Enrollment Census'!M443&amp;""))</f>
        <v/>
      </c>
      <c r="N443" s="36">
        <f>IF('Enrollment Census'!N443="","",LOWER(TRIM('Enrollment Census'!N443&amp;"")))</f>
        <v/>
      </c>
      <c r="O443" s="36">
        <f>IF('Enrollment Census'!O443="","",TRIM('Enrollment Census'!O443&amp;""))</f>
        <v/>
      </c>
      <c r="P443" s="38">
        <f>IF('Enrollment Census'!P443="","",'Enrollment Census'!P443)</f>
        <v/>
      </c>
      <c r="Q443" s="38">
        <f>IF('Enrollment Census'!Q443="","",'Enrollment Census'!Q443)</f>
        <v/>
      </c>
      <c r="R443" s="36">
        <f>IF('Enrollment Census'!R443="","",TRIM('Enrollment Census'!R443&amp;""))</f>
        <v/>
      </c>
      <c r="S443" s="36">
        <f>IF('Enrollment Census'!S443="","",TRIM('Enrollment Census'!S443&amp;""))</f>
        <v/>
      </c>
      <c r="T443" s="36">
        <f>IF('Enrollment Census'!T443="","",TRIM('Enrollment Census'!T443&amp;""))</f>
        <v/>
      </c>
      <c r="U443" s="39">
        <f>IF('Enrollment Census'!U443="","",'Enrollment Census'!U443)</f>
        <v/>
      </c>
    </row>
    <row r="444">
      <c r="A444" s="36">
        <f>IF('Enrollment Census'!A444="","",TRIM('Enrollment Census'!A444&amp;""))</f>
        <v/>
      </c>
      <c r="B444" s="36">
        <f>IF('Enrollment Census'!B444="","",TRIM('Enrollment Census'!B444&amp;""))</f>
        <v/>
      </c>
      <c r="C444" s="37">
        <f>IF('Enrollment Census'!C444="","",TRIM('Enrollment Census'!C444&amp;""))</f>
        <v/>
      </c>
      <c r="D444" s="37">
        <f>IF('Enrollment Census'!D444="","",TRIM('Enrollment Census'!D444&amp;""))</f>
        <v/>
      </c>
      <c r="E444" s="36">
        <f>IF('Enrollment Census'!E444="","",TRIM('Enrollment Census'!E444&amp;""))</f>
        <v/>
      </c>
      <c r="F444" s="37">
        <f>IF('Enrollment Census'!F444="","",TRIM('Enrollment Census'!F444&amp;""))</f>
        <v/>
      </c>
      <c r="G444" s="37">
        <f>IF('Enrollment Census'!G444="","",TRIM('Enrollment Census'!G444&amp;""))</f>
        <v/>
      </c>
      <c r="H444" s="37">
        <f>IF('Enrollment Census'!H444="","",TRIM('Enrollment Census'!H444&amp;""))</f>
        <v/>
      </c>
      <c r="I444" s="36">
        <f>IF('Enrollment Census'!I444="","",TRIM('Enrollment Census'!I444&amp;""))</f>
        <v/>
      </c>
      <c r="J444" s="36">
        <f>IF('Enrollment Census'!J444="","",TRIM('Enrollment Census'!J444&amp;""))</f>
        <v/>
      </c>
      <c r="K444" s="36">
        <f>IF('Enrollment Census'!K444="","",TRIM('Enrollment Census'!K444&amp;""))</f>
        <v/>
      </c>
      <c r="L444" s="38">
        <f>IF('Enrollment Census'!L444="","",'Enrollment Census'!L444)</f>
        <v/>
      </c>
      <c r="M444" s="36">
        <f>IF('Enrollment Census'!M444="","",TRIM('Enrollment Census'!M444&amp;""))</f>
        <v/>
      </c>
      <c r="N444" s="36">
        <f>IF('Enrollment Census'!N444="","",LOWER(TRIM('Enrollment Census'!N444&amp;"")))</f>
        <v/>
      </c>
      <c r="O444" s="36">
        <f>IF('Enrollment Census'!O444="","",TRIM('Enrollment Census'!O444&amp;""))</f>
        <v/>
      </c>
      <c r="P444" s="38">
        <f>IF('Enrollment Census'!P444="","",'Enrollment Census'!P444)</f>
        <v/>
      </c>
      <c r="Q444" s="38">
        <f>IF('Enrollment Census'!Q444="","",'Enrollment Census'!Q444)</f>
        <v/>
      </c>
      <c r="R444" s="36">
        <f>IF('Enrollment Census'!R444="","",TRIM('Enrollment Census'!R444&amp;""))</f>
        <v/>
      </c>
      <c r="S444" s="36">
        <f>IF('Enrollment Census'!S444="","",TRIM('Enrollment Census'!S444&amp;""))</f>
        <v/>
      </c>
      <c r="T444" s="36">
        <f>IF('Enrollment Census'!T444="","",TRIM('Enrollment Census'!T444&amp;""))</f>
        <v/>
      </c>
      <c r="U444" s="39">
        <f>IF('Enrollment Census'!U444="","",'Enrollment Census'!U444)</f>
        <v/>
      </c>
    </row>
    <row r="445">
      <c r="A445" s="36">
        <f>IF('Enrollment Census'!A445="","",TRIM('Enrollment Census'!A445&amp;""))</f>
        <v/>
      </c>
      <c r="B445" s="36">
        <f>IF('Enrollment Census'!B445="","",TRIM('Enrollment Census'!B445&amp;""))</f>
        <v/>
      </c>
      <c r="C445" s="37">
        <f>IF('Enrollment Census'!C445="","",TRIM('Enrollment Census'!C445&amp;""))</f>
        <v/>
      </c>
      <c r="D445" s="37">
        <f>IF('Enrollment Census'!D445="","",TRIM('Enrollment Census'!D445&amp;""))</f>
        <v/>
      </c>
      <c r="E445" s="36">
        <f>IF('Enrollment Census'!E445="","",TRIM('Enrollment Census'!E445&amp;""))</f>
        <v/>
      </c>
      <c r="F445" s="37">
        <f>IF('Enrollment Census'!F445="","",TRIM('Enrollment Census'!F445&amp;""))</f>
        <v/>
      </c>
      <c r="G445" s="37">
        <f>IF('Enrollment Census'!G445="","",TRIM('Enrollment Census'!G445&amp;""))</f>
        <v/>
      </c>
      <c r="H445" s="37">
        <f>IF('Enrollment Census'!H445="","",TRIM('Enrollment Census'!H445&amp;""))</f>
        <v/>
      </c>
      <c r="I445" s="36">
        <f>IF('Enrollment Census'!I445="","",TRIM('Enrollment Census'!I445&amp;""))</f>
        <v/>
      </c>
      <c r="J445" s="36">
        <f>IF('Enrollment Census'!J445="","",TRIM('Enrollment Census'!J445&amp;""))</f>
        <v/>
      </c>
      <c r="K445" s="36">
        <f>IF('Enrollment Census'!K445="","",TRIM('Enrollment Census'!K445&amp;""))</f>
        <v/>
      </c>
      <c r="L445" s="38">
        <f>IF('Enrollment Census'!L445="","",'Enrollment Census'!L445)</f>
        <v/>
      </c>
      <c r="M445" s="36">
        <f>IF('Enrollment Census'!M445="","",TRIM('Enrollment Census'!M445&amp;""))</f>
        <v/>
      </c>
      <c r="N445" s="36">
        <f>IF('Enrollment Census'!N445="","",LOWER(TRIM('Enrollment Census'!N445&amp;"")))</f>
        <v/>
      </c>
      <c r="O445" s="36">
        <f>IF('Enrollment Census'!O445="","",TRIM('Enrollment Census'!O445&amp;""))</f>
        <v/>
      </c>
      <c r="P445" s="38">
        <f>IF('Enrollment Census'!P445="","",'Enrollment Census'!P445)</f>
        <v/>
      </c>
      <c r="Q445" s="38">
        <f>IF('Enrollment Census'!Q445="","",'Enrollment Census'!Q445)</f>
        <v/>
      </c>
      <c r="R445" s="36">
        <f>IF('Enrollment Census'!R445="","",TRIM('Enrollment Census'!R445&amp;""))</f>
        <v/>
      </c>
      <c r="S445" s="36">
        <f>IF('Enrollment Census'!S445="","",TRIM('Enrollment Census'!S445&amp;""))</f>
        <v/>
      </c>
      <c r="T445" s="36">
        <f>IF('Enrollment Census'!T445="","",TRIM('Enrollment Census'!T445&amp;""))</f>
        <v/>
      </c>
      <c r="U445" s="39">
        <f>IF('Enrollment Census'!U445="","",'Enrollment Census'!U445)</f>
        <v/>
      </c>
    </row>
    <row r="446">
      <c r="A446" s="36">
        <f>IF('Enrollment Census'!A446="","",TRIM('Enrollment Census'!A446&amp;""))</f>
        <v/>
      </c>
      <c r="B446" s="36">
        <f>IF('Enrollment Census'!B446="","",TRIM('Enrollment Census'!B446&amp;""))</f>
        <v/>
      </c>
      <c r="C446" s="37">
        <f>IF('Enrollment Census'!C446="","",TRIM('Enrollment Census'!C446&amp;""))</f>
        <v/>
      </c>
      <c r="D446" s="37">
        <f>IF('Enrollment Census'!D446="","",TRIM('Enrollment Census'!D446&amp;""))</f>
        <v/>
      </c>
      <c r="E446" s="36">
        <f>IF('Enrollment Census'!E446="","",TRIM('Enrollment Census'!E446&amp;""))</f>
        <v/>
      </c>
      <c r="F446" s="37">
        <f>IF('Enrollment Census'!F446="","",TRIM('Enrollment Census'!F446&amp;""))</f>
        <v/>
      </c>
      <c r="G446" s="37">
        <f>IF('Enrollment Census'!G446="","",TRIM('Enrollment Census'!G446&amp;""))</f>
        <v/>
      </c>
      <c r="H446" s="37">
        <f>IF('Enrollment Census'!H446="","",TRIM('Enrollment Census'!H446&amp;""))</f>
        <v/>
      </c>
      <c r="I446" s="36">
        <f>IF('Enrollment Census'!I446="","",TRIM('Enrollment Census'!I446&amp;""))</f>
        <v/>
      </c>
      <c r="J446" s="36">
        <f>IF('Enrollment Census'!J446="","",TRIM('Enrollment Census'!J446&amp;""))</f>
        <v/>
      </c>
      <c r="K446" s="36">
        <f>IF('Enrollment Census'!K446="","",TRIM('Enrollment Census'!K446&amp;""))</f>
        <v/>
      </c>
      <c r="L446" s="38">
        <f>IF('Enrollment Census'!L446="","",'Enrollment Census'!L446)</f>
        <v/>
      </c>
      <c r="M446" s="36">
        <f>IF('Enrollment Census'!M446="","",TRIM('Enrollment Census'!M446&amp;""))</f>
        <v/>
      </c>
      <c r="N446" s="36">
        <f>IF('Enrollment Census'!N446="","",LOWER(TRIM('Enrollment Census'!N446&amp;"")))</f>
        <v/>
      </c>
      <c r="O446" s="36">
        <f>IF('Enrollment Census'!O446="","",TRIM('Enrollment Census'!O446&amp;""))</f>
        <v/>
      </c>
      <c r="P446" s="38">
        <f>IF('Enrollment Census'!P446="","",'Enrollment Census'!P446)</f>
        <v/>
      </c>
      <c r="Q446" s="38">
        <f>IF('Enrollment Census'!Q446="","",'Enrollment Census'!Q446)</f>
        <v/>
      </c>
      <c r="R446" s="36">
        <f>IF('Enrollment Census'!R446="","",TRIM('Enrollment Census'!R446&amp;""))</f>
        <v/>
      </c>
      <c r="S446" s="36">
        <f>IF('Enrollment Census'!S446="","",TRIM('Enrollment Census'!S446&amp;""))</f>
        <v/>
      </c>
      <c r="T446" s="36">
        <f>IF('Enrollment Census'!T446="","",TRIM('Enrollment Census'!T446&amp;""))</f>
        <v/>
      </c>
      <c r="U446" s="39">
        <f>IF('Enrollment Census'!U446="","",'Enrollment Census'!U446)</f>
        <v/>
      </c>
    </row>
    <row r="447">
      <c r="A447" s="36">
        <f>IF('Enrollment Census'!A447="","",TRIM('Enrollment Census'!A447&amp;""))</f>
        <v/>
      </c>
      <c r="B447" s="36">
        <f>IF('Enrollment Census'!B447="","",TRIM('Enrollment Census'!B447&amp;""))</f>
        <v/>
      </c>
      <c r="C447" s="37">
        <f>IF('Enrollment Census'!C447="","",TRIM('Enrollment Census'!C447&amp;""))</f>
        <v/>
      </c>
      <c r="D447" s="37">
        <f>IF('Enrollment Census'!D447="","",TRIM('Enrollment Census'!D447&amp;""))</f>
        <v/>
      </c>
      <c r="E447" s="36">
        <f>IF('Enrollment Census'!E447="","",TRIM('Enrollment Census'!E447&amp;""))</f>
        <v/>
      </c>
      <c r="F447" s="37">
        <f>IF('Enrollment Census'!F447="","",TRIM('Enrollment Census'!F447&amp;""))</f>
        <v/>
      </c>
      <c r="G447" s="37">
        <f>IF('Enrollment Census'!G447="","",TRIM('Enrollment Census'!G447&amp;""))</f>
        <v/>
      </c>
      <c r="H447" s="37">
        <f>IF('Enrollment Census'!H447="","",TRIM('Enrollment Census'!H447&amp;""))</f>
        <v/>
      </c>
      <c r="I447" s="36">
        <f>IF('Enrollment Census'!I447="","",TRIM('Enrollment Census'!I447&amp;""))</f>
        <v/>
      </c>
      <c r="J447" s="36">
        <f>IF('Enrollment Census'!J447="","",TRIM('Enrollment Census'!J447&amp;""))</f>
        <v/>
      </c>
      <c r="K447" s="36">
        <f>IF('Enrollment Census'!K447="","",TRIM('Enrollment Census'!K447&amp;""))</f>
        <v/>
      </c>
      <c r="L447" s="38">
        <f>IF('Enrollment Census'!L447="","",'Enrollment Census'!L447)</f>
        <v/>
      </c>
      <c r="M447" s="36">
        <f>IF('Enrollment Census'!M447="","",TRIM('Enrollment Census'!M447&amp;""))</f>
        <v/>
      </c>
      <c r="N447" s="36">
        <f>IF('Enrollment Census'!N447="","",LOWER(TRIM('Enrollment Census'!N447&amp;"")))</f>
        <v/>
      </c>
      <c r="O447" s="36">
        <f>IF('Enrollment Census'!O447="","",TRIM('Enrollment Census'!O447&amp;""))</f>
        <v/>
      </c>
      <c r="P447" s="38">
        <f>IF('Enrollment Census'!P447="","",'Enrollment Census'!P447)</f>
        <v/>
      </c>
      <c r="Q447" s="38">
        <f>IF('Enrollment Census'!Q447="","",'Enrollment Census'!Q447)</f>
        <v/>
      </c>
      <c r="R447" s="36">
        <f>IF('Enrollment Census'!R447="","",TRIM('Enrollment Census'!R447&amp;""))</f>
        <v/>
      </c>
      <c r="S447" s="36">
        <f>IF('Enrollment Census'!S447="","",TRIM('Enrollment Census'!S447&amp;""))</f>
        <v/>
      </c>
      <c r="T447" s="36">
        <f>IF('Enrollment Census'!T447="","",TRIM('Enrollment Census'!T447&amp;""))</f>
        <v/>
      </c>
      <c r="U447" s="39">
        <f>IF('Enrollment Census'!U447="","",'Enrollment Census'!U447)</f>
        <v/>
      </c>
    </row>
    <row r="448">
      <c r="A448" s="36">
        <f>IF('Enrollment Census'!A448="","",TRIM('Enrollment Census'!A448&amp;""))</f>
        <v/>
      </c>
      <c r="B448" s="36">
        <f>IF('Enrollment Census'!B448="","",TRIM('Enrollment Census'!B448&amp;""))</f>
        <v/>
      </c>
      <c r="C448" s="37">
        <f>IF('Enrollment Census'!C448="","",TRIM('Enrollment Census'!C448&amp;""))</f>
        <v/>
      </c>
      <c r="D448" s="37">
        <f>IF('Enrollment Census'!D448="","",TRIM('Enrollment Census'!D448&amp;""))</f>
        <v/>
      </c>
      <c r="E448" s="36">
        <f>IF('Enrollment Census'!E448="","",TRIM('Enrollment Census'!E448&amp;""))</f>
        <v/>
      </c>
      <c r="F448" s="37">
        <f>IF('Enrollment Census'!F448="","",TRIM('Enrollment Census'!F448&amp;""))</f>
        <v/>
      </c>
      <c r="G448" s="37">
        <f>IF('Enrollment Census'!G448="","",TRIM('Enrollment Census'!G448&amp;""))</f>
        <v/>
      </c>
      <c r="H448" s="37">
        <f>IF('Enrollment Census'!H448="","",TRIM('Enrollment Census'!H448&amp;""))</f>
        <v/>
      </c>
      <c r="I448" s="36">
        <f>IF('Enrollment Census'!I448="","",TRIM('Enrollment Census'!I448&amp;""))</f>
        <v/>
      </c>
      <c r="J448" s="36">
        <f>IF('Enrollment Census'!J448="","",TRIM('Enrollment Census'!J448&amp;""))</f>
        <v/>
      </c>
      <c r="K448" s="36">
        <f>IF('Enrollment Census'!K448="","",TRIM('Enrollment Census'!K448&amp;""))</f>
        <v/>
      </c>
      <c r="L448" s="38">
        <f>IF('Enrollment Census'!L448="","",'Enrollment Census'!L448)</f>
        <v/>
      </c>
      <c r="M448" s="36">
        <f>IF('Enrollment Census'!M448="","",TRIM('Enrollment Census'!M448&amp;""))</f>
        <v/>
      </c>
      <c r="N448" s="36">
        <f>IF('Enrollment Census'!N448="","",LOWER(TRIM('Enrollment Census'!N448&amp;"")))</f>
        <v/>
      </c>
      <c r="O448" s="36">
        <f>IF('Enrollment Census'!O448="","",TRIM('Enrollment Census'!O448&amp;""))</f>
        <v/>
      </c>
      <c r="P448" s="38">
        <f>IF('Enrollment Census'!P448="","",'Enrollment Census'!P448)</f>
        <v/>
      </c>
      <c r="Q448" s="38">
        <f>IF('Enrollment Census'!Q448="","",'Enrollment Census'!Q448)</f>
        <v/>
      </c>
      <c r="R448" s="36">
        <f>IF('Enrollment Census'!R448="","",TRIM('Enrollment Census'!R448&amp;""))</f>
        <v/>
      </c>
      <c r="S448" s="36">
        <f>IF('Enrollment Census'!S448="","",TRIM('Enrollment Census'!S448&amp;""))</f>
        <v/>
      </c>
      <c r="T448" s="36">
        <f>IF('Enrollment Census'!T448="","",TRIM('Enrollment Census'!T448&amp;""))</f>
        <v/>
      </c>
      <c r="U448" s="39">
        <f>IF('Enrollment Census'!U448="","",'Enrollment Census'!U448)</f>
        <v/>
      </c>
    </row>
    <row r="449">
      <c r="A449" s="36">
        <f>IF('Enrollment Census'!A449="","",TRIM('Enrollment Census'!A449&amp;""))</f>
        <v/>
      </c>
      <c r="B449" s="36">
        <f>IF('Enrollment Census'!B449="","",TRIM('Enrollment Census'!B449&amp;""))</f>
        <v/>
      </c>
      <c r="C449" s="37">
        <f>IF('Enrollment Census'!C449="","",TRIM('Enrollment Census'!C449&amp;""))</f>
        <v/>
      </c>
      <c r="D449" s="37">
        <f>IF('Enrollment Census'!D449="","",TRIM('Enrollment Census'!D449&amp;""))</f>
        <v/>
      </c>
      <c r="E449" s="36">
        <f>IF('Enrollment Census'!E449="","",TRIM('Enrollment Census'!E449&amp;""))</f>
        <v/>
      </c>
      <c r="F449" s="37">
        <f>IF('Enrollment Census'!F449="","",TRIM('Enrollment Census'!F449&amp;""))</f>
        <v/>
      </c>
      <c r="G449" s="37">
        <f>IF('Enrollment Census'!G449="","",TRIM('Enrollment Census'!G449&amp;""))</f>
        <v/>
      </c>
      <c r="H449" s="37">
        <f>IF('Enrollment Census'!H449="","",TRIM('Enrollment Census'!H449&amp;""))</f>
        <v/>
      </c>
      <c r="I449" s="36">
        <f>IF('Enrollment Census'!I449="","",TRIM('Enrollment Census'!I449&amp;""))</f>
        <v/>
      </c>
      <c r="J449" s="36">
        <f>IF('Enrollment Census'!J449="","",TRIM('Enrollment Census'!J449&amp;""))</f>
        <v/>
      </c>
      <c r="K449" s="36">
        <f>IF('Enrollment Census'!K449="","",TRIM('Enrollment Census'!K449&amp;""))</f>
        <v/>
      </c>
      <c r="L449" s="38">
        <f>IF('Enrollment Census'!L449="","",'Enrollment Census'!L449)</f>
        <v/>
      </c>
      <c r="M449" s="36">
        <f>IF('Enrollment Census'!M449="","",TRIM('Enrollment Census'!M449&amp;""))</f>
        <v/>
      </c>
      <c r="N449" s="36">
        <f>IF('Enrollment Census'!N449="","",LOWER(TRIM('Enrollment Census'!N449&amp;"")))</f>
        <v/>
      </c>
      <c r="O449" s="36">
        <f>IF('Enrollment Census'!O449="","",TRIM('Enrollment Census'!O449&amp;""))</f>
        <v/>
      </c>
      <c r="P449" s="38">
        <f>IF('Enrollment Census'!P449="","",'Enrollment Census'!P449)</f>
        <v/>
      </c>
      <c r="Q449" s="38">
        <f>IF('Enrollment Census'!Q449="","",'Enrollment Census'!Q449)</f>
        <v/>
      </c>
      <c r="R449" s="36">
        <f>IF('Enrollment Census'!R449="","",TRIM('Enrollment Census'!R449&amp;""))</f>
        <v/>
      </c>
      <c r="S449" s="36">
        <f>IF('Enrollment Census'!S449="","",TRIM('Enrollment Census'!S449&amp;""))</f>
        <v/>
      </c>
      <c r="T449" s="36">
        <f>IF('Enrollment Census'!T449="","",TRIM('Enrollment Census'!T449&amp;""))</f>
        <v/>
      </c>
      <c r="U449" s="39">
        <f>IF('Enrollment Census'!U449="","",'Enrollment Census'!U449)</f>
        <v/>
      </c>
    </row>
    <row r="450">
      <c r="A450" s="36">
        <f>IF('Enrollment Census'!A450="","",TRIM('Enrollment Census'!A450&amp;""))</f>
        <v/>
      </c>
      <c r="B450" s="36">
        <f>IF('Enrollment Census'!B450="","",TRIM('Enrollment Census'!B450&amp;""))</f>
        <v/>
      </c>
      <c r="C450" s="37">
        <f>IF('Enrollment Census'!C450="","",TRIM('Enrollment Census'!C450&amp;""))</f>
        <v/>
      </c>
      <c r="D450" s="37">
        <f>IF('Enrollment Census'!D450="","",TRIM('Enrollment Census'!D450&amp;""))</f>
        <v/>
      </c>
      <c r="E450" s="36">
        <f>IF('Enrollment Census'!E450="","",TRIM('Enrollment Census'!E450&amp;""))</f>
        <v/>
      </c>
      <c r="F450" s="37">
        <f>IF('Enrollment Census'!F450="","",TRIM('Enrollment Census'!F450&amp;""))</f>
        <v/>
      </c>
      <c r="G450" s="37">
        <f>IF('Enrollment Census'!G450="","",TRIM('Enrollment Census'!G450&amp;""))</f>
        <v/>
      </c>
      <c r="H450" s="37">
        <f>IF('Enrollment Census'!H450="","",TRIM('Enrollment Census'!H450&amp;""))</f>
        <v/>
      </c>
      <c r="I450" s="36">
        <f>IF('Enrollment Census'!I450="","",TRIM('Enrollment Census'!I450&amp;""))</f>
        <v/>
      </c>
      <c r="J450" s="36">
        <f>IF('Enrollment Census'!J450="","",TRIM('Enrollment Census'!J450&amp;""))</f>
        <v/>
      </c>
      <c r="K450" s="36">
        <f>IF('Enrollment Census'!K450="","",TRIM('Enrollment Census'!K450&amp;""))</f>
        <v/>
      </c>
      <c r="L450" s="38">
        <f>IF('Enrollment Census'!L450="","",'Enrollment Census'!L450)</f>
        <v/>
      </c>
      <c r="M450" s="36">
        <f>IF('Enrollment Census'!M450="","",TRIM('Enrollment Census'!M450&amp;""))</f>
        <v/>
      </c>
      <c r="N450" s="36">
        <f>IF('Enrollment Census'!N450="","",LOWER(TRIM('Enrollment Census'!N450&amp;"")))</f>
        <v/>
      </c>
      <c r="O450" s="36">
        <f>IF('Enrollment Census'!O450="","",TRIM('Enrollment Census'!O450&amp;""))</f>
        <v/>
      </c>
      <c r="P450" s="38">
        <f>IF('Enrollment Census'!P450="","",'Enrollment Census'!P450)</f>
        <v/>
      </c>
      <c r="Q450" s="38">
        <f>IF('Enrollment Census'!Q450="","",'Enrollment Census'!Q450)</f>
        <v/>
      </c>
      <c r="R450" s="36">
        <f>IF('Enrollment Census'!R450="","",TRIM('Enrollment Census'!R450&amp;""))</f>
        <v/>
      </c>
      <c r="S450" s="36">
        <f>IF('Enrollment Census'!S450="","",TRIM('Enrollment Census'!S450&amp;""))</f>
        <v/>
      </c>
      <c r="T450" s="36">
        <f>IF('Enrollment Census'!T450="","",TRIM('Enrollment Census'!T450&amp;""))</f>
        <v/>
      </c>
      <c r="U450" s="39">
        <f>IF('Enrollment Census'!U450="","",'Enrollment Census'!U450)</f>
        <v/>
      </c>
    </row>
    <row r="451">
      <c r="A451" s="36">
        <f>IF('Enrollment Census'!A451="","",TRIM('Enrollment Census'!A451&amp;""))</f>
        <v/>
      </c>
      <c r="B451" s="36">
        <f>IF('Enrollment Census'!B451="","",TRIM('Enrollment Census'!B451&amp;""))</f>
        <v/>
      </c>
      <c r="C451" s="37">
        <f>IF('Enrollment Census'!C451="","",TRIM('Enrollment Census'!C451&amp;""))</f>
        <v/>
      </c>
      <c r="D451" s="37">
        <f>IF('Enrollment Census'!D451="","",TRIM('Enrollment Census'!D451&amp;""))</f>
        <v/>
      </c>
      <c r="E451" s="36">
        <f>IF('Enrollment Census'!E451="","",TRIM('Enrollment Census'!E451&amp;""))</f>
        <v/>
      </c>
      <c r="F451" s="37">
        <f>IF('Enrollment Census'!F451="","",TRIM('Enrollment Census'!F451&amp;""))</f>
        <v/>
      </c>
      <c r="G451" s="37">
        <f>IF('Enrollment Census'!G451="","",TRIM('Enrollment Census'!G451&amp;""))</f>
        <v/>
      </c>
      <c r="H451" s="37">
        <f>IF('Enrollment Census'!H451="","",TRIM('Enrollment Census'!H451&amp;""))</f>
        <v/>
      </c>
      <c r="I451" s="36">
        <f>IF('Enrollment Census'!I451="","",TRIM('Enrollment Census'!I451&amp;""))</f>
        <v/>
      </c>
      <c r="J451" s="36">
        <f>IF('Enrollment Census'!J451="","",TRIM('Enrollment Census'!J451&amp;""))</f>
        <v/>
      </c>
      <c r="K451" s="36">
        <f>IF('Enrollment Census'!K451="","",TRIM('Enrollment Census'!K451&amp;""))</f>
        <v/>
      </c>
      <c r="L451" s="38">
        <f>IF('Enrollment Census'!L451="","",'Enrollment Census'!L451)</f>
        <v/>
      </c>
      <c r="M451" s="36">
        <f>IF('Enrollment Census'!M451="","",TRIM('Enrollment Census'!M451&amp;""))</f>
        <v/>
      </c>
      <c r="N451" s="36">
        <f>IF('Enrollment Census'!N451="","",LOWER(TRIM('Enrollment Census'!N451&amp;"")))</f>
        <v/>
      </c>
      <c r="O451" s="36">
        <f>IF('Enrollment Census'!O451="","",TRIM('Enrollment Census'!O451&amp;""))</f>
        <v/>
      </c>
      <c r="P451" s="38">
        <f>IF('Enrollment Census'!P451="","",'Enrollment Census'!P451)</f>
        <v/>
      </c>
      <c r="Q451" s="38">
        <f>IF('Enrollment Census'!Q451="","",'Enrollment Census'!Q451)</f>
        <v/>
      </c>
      <c r="R451" s="36">
        <f>IF('Enrollment Census'!R451="","",TRIM('Enrollment Census'!R451&amp;""))</f>
        <v/>
      </c>
      <c r="S451" s="36">
        <f>IF('Enrollment Census'!S451="","",TRIM('Enrollment Census'!S451&amp;""))</f>
        <v/>
      </c>
      <c r="T451" s="36">
        <f>IF('Enrollment Census'!T451="","",TRIM('Enrollment Census'!T451&amp;""))</f>
        <v/>
      </c>
      <c r="U451" s="39">
        <f>IF('Enrollment Census'!U451="","",'Enrollment Census'!U451)</f>
        <v/>
      </c>
    </row>
    <row r="452">
      <c r="A452" s="36">
        <f>IF('Enrollment Census'!A452="","",TRIM('Enrollment Census'!A452&amp;""))</f>
        <v/>
      </c>
      <c r="B452" s="36">
        <f>IF('Enrollment Census'!B452="","",TRIM('Enrollment Census'!B452&amp;""))</f>
        <v/>
      </c>
      <c r="C452" s="37">
        <f>IF('Enrollment Census'!C452="","",TRIM('Enrollment Census'!C452&amp;""))</f>
        <v/>
      </c>
      <c r="D452" s="37">
        <f>IF('Enrollment Census'!D452="","",TRIM('Enrollment Census'!D452&amp;""))</f>
        <v/>
      </c>
      <c r="E452" s="36">
        <f>IF('Enrollment Census'!E452="","",TRIM('Enrollment Census'!E452&amp;""))</f>
        <v/>
      </c>
      <c r="F452" s="37">
        <f>IF('Enrollment Census'!F452="","",TRIM('Enrollment Census'!F452&amp;""))</f>
        <v/>
      </c>
      <c r="G452" s="37">
        <f>IF('Enrollment Census'!G452="","",TRIM('Enrollment Census'!G452&amp;""))</f>
        <v/>
      </c>
      <c r="H452" s="37">
        <f>IF('Enrollment Census'!H452="","",TRIM('Enrollment Census'!H452&amp;""))</f>
        <v/>
      </c>
      <c r="I452" s="36">
        <f>IF('Enrollment Census'!I452="","",TRIM('Enrollment Census'!I452&amp;""))</f>
        <v/>
      </c>
      <c r="J452" s="36">
        <f>IF('Enrollment Census'!J452="","",TRIM('Enrollment Census'!J452&amp;""))</f>
        <v/>
      </c>
      <c r="K452" s="36">
        <f>IF('Enrollment Census'!K452="","",TRIM('Enrollment Census'!K452&amp;""))</f>
        <v/>
      </c>
      <c r="L452" s="38">
        <f>IF('Enrollment Census'!L452="","",'Enrollment Census'!L452)</f>
        <v/>
      </c>
      <c r="M452" s="36">
        <f>IF('Enrollment Census'!M452="","",TRIM('Enrollment Census'!M452&amp;""))</f>
        <v/>
      </c>
      <c r="N452" s="36">
        <f>IF('Enrollment Census'!N452="","",LOWER(TRIM('Enrollment Census'!N452&amp;"")))</f>
        <v/>
      </c>
      <c r="O452" s="36">
        <f>IF('Enrollment Census'!O452="","",TRIM('Enrollment Census'!O452&amp;""))</f>
        <v/>
      </c>
      <c r="P452" s="38">
        <f>IF('Enrollment Census'!P452="","",'Enrollment Census'!P452)</f>
        <v/>
      </c>
      <c r="Q452" s="38">
        <f>IF('Enrollment Census'!Q452="","",'Enrollment Census'!Q452)</f>
        <v/>
      </c>
      <c r="R452" s="36">
        <f>IF('Enrollment Census'!R452="","",TRIM('Enrollment Census'!R452&amp;""))</f>
        <v/>
      </c>
      <c r="S452" s="36">
        <f>IF('Enrollment Census'!S452="","",TRIM('Enrollment Census'!S452&amp;""))</f>
        <v/>
      </c>
      <c r="T452" s="36">
        <f>IF('Enrollment Census'!T452="","",TRIM('Enrollment Census'!T452&amp;""))</f>
        <v/>
      </c>
      <c r="U452" s="39">
        <f>IF('Enrollment Census'!U452="","",'Enrollment Census'!U452)</f>
        <v/>
      </c>
    </row>
    <row r="453">
      <c r="A453" s="36">
        <f>IF('Enrollment Census'!A453="","",TRIM('Enrollment Census'!A453&amp;""))</f>
        <v/>
      </c>
      <c r="B453" s="36">
        <f>IF('Enrollment Census'!B453="","",TRIM('Enrollment Census'!B453&amp;""))</f>
        <v/>
      </c>
      <c r="C453" s="37">
        <f>IF('Enrollment Census'!C453="","",TRIM('Enrollment Census'!C453&amp;""))</f>
        <v/>
      </c>
      <c r="D453" s="37">
        <f>IF('Enrollment Census'!D453="","",TRIM('Enrollment Census'!D453&amp;""))</f>
        <v/>
      </c>
      <c r="E453" s="36">
        <f>IF('Enrollment Census'!E453="","",TRIM('Enrollment Census'!E453&amp;""))</f>
        <v/>
      </c>
      <c r="F453" s="37">
        <f>IF('Enrollment Census'!F453="","",TRIM('Enrollment Census'!F453&amp;""))</f>
        <v/>
      </c>
      <c r="G453" s="37">
        <f>IF('Enrollment Census'!G453="","",TRIM('Enrollment Census'!G453&amp;""))</f>
        <v/>
      </c>
      <c r="H453" s="37">
        <f>IF('Enrollment Census'!H453="","",TRIM('Enrollment Census'!H453&amp;""))</f>
        <v/>
      </c>
      <c r="I453" s="36">
        <f>IF('Enrollment Census'!I453="","",TRIM('Enrollment Census'!I453&amp;""))</f>
        <v/>
      </c>
      <c r="J453" s="36">
        <f>IF('Enrollment Census'!J453="","",TRIM('Enrollment Census'!J453&amp;""))</f>
        <v/>
      </c>
      <c r="K453" s="36">
        <f>IF('Enrollment Census'!K453="","",TRIM('Enrollment Census'!K453&amp;""))</f>
        <v/>
      </c>
      <c r="L453" s="38">
        <f>IF('Enrollment Census'!L453="","",'Enrollment Census'!L453)</f>
        <v/>
      </c>
      <c r="M453" s="36">
        <f>IF('Enrollment Census'!M453="","",TRIM('Enrollment Census'!M453&amp;""))</f>
        <v/>
      </c>
      <c r="N453" s="36">
        <f>IF('Enrollment Census'!N453="","",LOWER(TRIM('Enrollment Census'!N453&amp;"")))</f>
        <v/>
      </c>
      <c r="O453" s="36">
        <f>IF('Enrollment Census'!O453="","",TRIM('Enrollment Census'!O453&amp;""))</f>
        <v/>
      </c>
      <c r="P453" s="38">
        <f>IF('Enrollment Census'!P453="","",'Enrollment Census'!P453)</f>
        <v/>
      </c>
      <c r="Q453" s="38">
        <f>IF('Enrollment Census'!Q453="","",'Enrollment Census'!Q453)</f>
        <v/>
      </c>
      <c r="R453" s="36">
        <f>IF('Enrollment Census'!R453="","",TRIM('Enrollment Census'!R453&amp;""))</f>
        <v/>
      </c>
      <c r="S453" s="36">
        <f>IF('Enrollment Census'!S453="","",TRIM('Enrollment Census'!S453&amp;""))</f>
        <v/>
      </c>
      <c r="T453" s="36">
        <f>IF('Enrollment Census'!T453="","",TRIM('Enrollment Census'!T453&amp;""))</f>
        <v/>
      </c>
      <c r="U453" s="39">
        <f>IF('Enrollment Census'!U453="","",'Enrollment Census'!U453)</f>
        <v/>
      </c>
    </row>
    <row r="454">
      <c r="A454" s="36">
        <f>IF('Enrollment Census'!A454="","",TRIM('Enrollment Census'!A454&amp;""))</f>
        <v/>
      </c>
      <c r="B454" s="36">
        <f>IF('Enrollment Census'!B454="","",TRIM('Enrollment Census'!B454&amp;""))</f>
        <v/>
      </c>
      <c r="C454" s="37">
        <f>IF('Enrollment Census'!C454="","",TRIM('Enrollment Census'!C454&amp;""))</f>
        <v/>
      </c>
      <c r="D454" s="37">
        <f>IF('Enrollment Census'!D454="","",TRIM('Enrollment Census'!D454&amp;""))</f>
        <v/>
      </c>
      <c r="E454" s="36">
        <f>IF('Enrollment Census'!E454="","",TRIM('Enrollment Census'!E454&amp;""))</f>
        <v/>
      </c>
      <c r="F454" s="37">
        <f>IF('Enrollment Census'!F454="","",TRIM('Enrollment Census'!F454&amp;""))</f>
        <v/>
      </c>
      <c r="G454" s="37">
        <f>IF('Enrollment Census'!G454="","",TRIM('Enrollment Census'!G454&amp;""))</f>
        <v/>
      </c>
      <c r="H454" s="37">
        <f>IF('Enrollment Census'!H454="","",TRIM('Enrollment Census'!H454&amp;""))</f>
        <v/>
      </c>
      <c r="I454" s="36">
        <f>IF('Enrollment Census'!I454="","",TRIM('Enrollment Census'!I454&amp;""))</f>
        <v/>
      </c>
      <c r="J454" s="36">
        <f>IF('Enrollment Census'!J454="","",TRIM('Enrollment Census'!J454&amp;""))</f>
        <v/>
      </c>
      <c r="K454" s="36">
        <f>IF('Enrollment Census'!K454="","",TRIM('Enrollment Census'!K454&amp;""))</f>
        <v/>
      </c>
      <c r="L454" s="38">
        <f>IF('Enrollment Census'!L454="","",'Enrollment Census'!L454)</f>
        <v/>
      </c>
      <c r="M454" s="36">
        <f>IF('Enrollment Census'!M454="","",TRIM('Enrollment Census'!M454&amp;""))</f>
        <v/>
      </c>
      <c r="N454" s="36">
        <f>IF('Enrollment Census'!N454="","",LOWER(TRIM('Enrollment Census'!N454&amp;"")))</f>
        <v/>
      </c>
      <c r="O454" s="36">
        <f>IF('Enrollment Census'!O454="","",TRIM('Enrollment Census'!O454&amp;""))</f>
        <v/>
      </c>
      <c r="P454" s="38">
        <f>IF('Enrollment Census'!P454="","",'Enrollment Census'!P454)</f>
        <v/>
      </c>
      <c r="Q454" s="38">
        <f>IF('Enrollment Census'!Q454="","",'Enrollment Census'!Q454)</f>
        <v/>
      </c>
      <c r="R454" s="36">
        <f>IF('Enrollment Census'!R454="","",TRIM('Enrollment Census'!R454&amp;""))</f>
        <v/>
      </c>
      <c r="S454" s="36">
        <f>IF('Enrollment Census'!S454="","",TRIM('Enrollment Census'!S454&amp;""))</f>
        <v/>
      </c>
      <c r="T454" s="36">
        <f>IF('Enrollment Census'!T454="","",TRIM('Enrollment Census'!T454&amp;""))</f>
        <v/>
      </c>
      <c r="U454" s="39">
        <f>IF('Enrollment Census'!U454="","",'Enrollment Census'!U454)</f>
        <v/>
      </c>
    </row>
    <row r="455">
      <c r="A455" s="36">
        <f>IF('Enrollment Census'!A455="","",TRIM('Enrollment Census'!A455&amp;""))</f>
        <v/>
      </c>
      <c r="B455" s="36">
        <f>IF('Enrollment Census'!B455="","",TRIM('Enrollment Census'!B455&amp;""))</f>
        <v/>
      </c>
      <c r="C455" s="37">
        <f>IF('Enrollment Census'!C455="","",TRIM('Enrollment Census'!C455&amp;""))</f>
        <v/>
      </c>
      <c r="D455" s="37">
        <f>IF('Enrollment Census'!D455="","",TRIM('Enrollment Census'!D455&amp;""))</f>
        <v/>
      </c>
      <c r="E455" s="36">
        <f>IF('Enrollment Census'!E455="","",TRIM('Enrollment Census'!E455&amp;""))</f>
        <v/>
      </c>
      <c r="F455" s="37">
        <f>IF('Enrollment Census'!F455="","",TRIM('Enrollment Census'!F455&amp;""))</f>
        <v/>
      </c>
      <c r="G455" s="37">
        <f>IF('Enrollment Census'!G455="","",TRIM('Enrollment Census'!G455&amp;""))</f>
        <v/>
      </c>
      <c r="H455" s="37">
        <f>IF('Enrollment Census'!H455="","",TRIM('Enrollment Census'!H455&amp;""))</f>
        <v/>
      </c>
      <c r="I455" s="36">
        <f>IF('Enrollment Census'!I455="","",TRIM('Enrollment Census'!I455&amp;""))</f>
        <v/>
      </c>
      <c r="J455" s="36">
        <f>IF('Enrollment Census'!J455="","",TRIM('Enrollment Census'!J455&amp;""))</f>
        <v/>
      </c>
      <c r="K455" s="36">
        <f>IF('Enrollment Census'!K455="","",TRIM('Enrollment Census'!K455&amp;""))</f>
        <v/>
      </c>
      <c r="L455" s="38">
        <f>IF('Enrollment Census'!L455="","",'Enrollment Census'!L455)</f>
        <v/>
      </c>
      <c r="M455" s="36">
        <f>IF('Enrollment Census'!M455="","",TRIM('Enrollment Census'!M455&amp;""))</f>
        <v/>
      </c>
      <c r="N455" s="36">
        <f>IF('Enrollment Census'!N455="","",LOWER(TRIM('Enrollment Census'!N455&amp;"")))</f>
        <v/>
      </c>
      <c r="O455" s="36">
        <f>IF('Enrollment Census'!O455="","",TRIM('Enrollment Census'!O455&amp;""))</f>
        <v/>
      </c>
      <c r="P455" s="38">
        <f>IF('Enrollment Census'!P455="","",'Enrollment Census'!P455)</f>
        <v/>
      </c>
      <c r="Q455" s="38">
        <f>IF('Enrollment Census'!Q455="","",'Enrollment Census'!Q455)</f>
        <v/>
      </c>
      <c r="R455" s="36">
        <f>IF('Enrollment Census'!R455="","",TRIM('Enrollment Census'!R455&amp;""))</f>
        <v/>
      </c>
      <c r="S455" s="36">
        <f>IF('Enrollment Census'!S455="","",TRIM('Enrollment Census'!S455&amp;""))</f>
        <v/>
      </c>
      <c r="T455" s="36">
        <f>IF('Enrollment Census'!T455="","",TRIM('Enrollment Census'!T455&amp;""))</f>
        <v/>
      </c>
      <c r="U455" s="39">
        <f>IF('Enrollment Census'!U455="","",'Enrollment Census'!U455)</f>
        <v/>
      </c>
    </row>
    <row r="456">
      <c r="A456" s="36">
        <f>IF('Enrollment Census'!A456="","",TRIM('Enrollment Census'!A456&amp;""))</f>
        <v/>
      </c>
      <c r="B456" s="36">
        <f>IF('Enrollment Census'!B456="","",TRIM('Enrollment Census'!B456&amp;""))</f>
        <v/>
      </c>
      <c r="C456" s="37">
        <f>IF('Enrollment Census'!C456="","",TRIM('Enrollment Census'!C456&amp;""))</f>
        <v/>
      </c>
      <c r="D456" s="37">
        <f>IF('Enrollment Census'!D456="","",TRIM('Enrollment Census'!D456&amp;""))</f>
        <v/>
      </c>
      <c r="E456" s="36">
        <f>IF('Enrollment Census'!E456="","",TRIM('Enrollment Census'!E456&amp;""))</f>
        <v/>
      </c>
      <c r="F456" s="37">
        <f>IF('Enrollment Census'!F456="","",TRIM('Enrollment Census'!F456&amp;""))</f>
        <v/>
      </c>
      <c r="G456" s="37">
        <f>IF('Enrollment Census'!G456="","",TRIM('Enrollment Census'!G456&amp;""))</f>
        <v/>
      </c>
      <c r="H456" s="37">
        <f>IF('Enrollment Census'!H456="","",TRIM('Enrollment Census'!H456&amp;""))</f>
        <v/>
      </c>
      <c r="I456" s="36">
        <f>IF('Enrollment Census'!I456="","",TRIM('Enrollment Census'!I456&amp;""))</f>
        <v/>
      </c>
      <c r="J456" s="36">
        <f>IF('Enrollment Census'!J456="","",TRIM('Enrollment Census'!J456&amp;""))</f>
        <v/>
      </c>
      <c r="K456" s="36">
        <f>IF('Enrollment Census'!K456="","",TRIM('Enrollment Census'!K456&amp;""))</f>
        <v/>
      </c>
      <c r="L456" s="38">
        <f>IF('Enrollment Census'!L456="","",'Enrollment Census'!L456)</f>
        <v/>
      </c>
      <c r="M456" s="36">
        <f>IF('Enrollment Census'!M456="","",TRIM('Enrollment Census'!M456&amp;""))</f>
        <v/>
      </c>
      <c r="N456" s="36">
        <f>IF('Enrollment Census'!N456="","",LOWER(TRIM('Enrollment Census'!N456&amp;"")))</f>
        <v/>
      </c>
      <c r="O456" s="36">
        <f>IF('Enrollment Census'!O456="","",TRIM('Enrollment Census'!O456&amp;""))</f>
        <v/>
      </c>
      <c r="P456" s="38">
        <f>IF('Enrollment Census'!P456="","",'Enrollment Census'!P456)</f>
        <v/>
      </c>
      <c r="Q456" s="38">
        <f>IF('Enrollment Census'!Q456="","",'Enrollment Census'!Q456)</f>
        <v/>
      </c>
      <c r="R456" s="36">
        <f>IF('Enrollment Census'!R456="","",TRIM('Enrollment Census'!R456&amp;""))</f>
        <v/>
      </c>
      <c r="S456" s="36">
        <f>IF('Enrollment Census'!S456="","",TRIM('Enrollment Census'!S456&amp;""))</f>
        <v/>
      </c>
      <c r="T456" s="36">
        <f>IF('Enrollment Census'!T456="","",TRIM('Enrollment Census'!T456&amp;""))</f>
        <v/>
      </c>
      <c r="U456" s="39">
        <f>IF('Enrollment Census'!U456="","",'Enrollment Census'!U456)</f>
        <v/>
      </c>
    </row>
    <row r="457">
      <c r="A457" s="36">
        <f>IF('Enrollment Census'!A457="","",TRIM('Enrollment Census'!A457&amp;""))</f>
        <v/>
      </c>
      <c r="B457" s="36">
        <f>IF('Enrollment Census'!B457="","",TRIM('Enrollment Census'!B457&amp;""))</f>
        <v/>
      </c>
      <c r="C457" s="37">
        <f>IF('Enrollment Census'!C457="","",TRIM('Enrollment Census'!C457&amp;""))</f>
        <v/>
      </c>
      <c r="D457" s="37">
        <f>IF('Enrollment Census'!D457="","",TRIM('Enrollment Census'!D457&amp;""))</f>
        <v/>
      </c>
      <c r="E457" s="36">
        <f>IF('Enrollment Census'!E457="","",TRIM('Enrollment Census'!E457&amp;""))</f>
        <v/>
      </c>
      <c r="F457" s="37">
        <f>IF('Enrollment Census'!F457="","",TRIM('Enrollment Census'!F457&amp;""))</f>
        <v/>
      </c>
      <c r="G457" s="37">
        <f>IF('Enrollment Census'!G457="","",TRIM('Enrollment Census'!G457&amp;""))</f>
        <v/>
      </c>
      <c r="H457" s="37">
        <f>IF('Enrollment Census'!H457="","",TRIM('Enrollment Census'!H457&amp;""))</f>
        <v/>
      </c>
      <c r="I457" s="36">
        <f>IF('Enrollment Census'!I457="","",TRIM('Enrollment Census'!I457&amp;""))</f>
        <v/>
      </c>
      <c r="J457" s="36">
        <f>IF('Enrollment Census'!J457="","",TRIM('Enrollment Census'!J457&amp;""))</f>
        <v/>
      </c>
      <c r="K457" s="36">
        <f>IF('Enrollment Census'!K457="","",TRIM('Enrollment Census'!K457&amp;""))</f>
        <v/>
      </c>
      <c r="L457" s="38">
        <f>IF('Enrollment Census'!L457="","",'Enrollment Census'!L457)</f>
        <v/>
      </c>
      <c r="M457" s="36">
        <f>IF('Enrollment Census'!M457="","",TRIM('Enrollment Census'!M457&amp;""))</f>
        <v/>
      </c>
      <c r="N457" s="36">
        <f>IF('Enrollment Census'!N457="","",LOWER(TRIM('Enrollment Census'!N457&amp;"")))</f>
        <v/>
      </c>
      <c r="O457" s="36">
        <f>IF('Enrollment Census'!O457="","",TRIM('Enrollment Census'!O457&amp;""))</f>
        <v/>
      </c>
      <c r="P457" s="38">
        <f>IF('Enrollment Census'!P457="","",'Enrollment Census'!P457)</f>
        <v/>
      </c>
      <c r="Q457" s="38">
        <f>IF('Enrollment Census'!Q457="","",'Enrollment Census'!Q457)</f>
        <v/>
      </c>
      <c r="R457" s="36">
        <f>IF('Enrollment Census'!R457="","",TRIM('Enrollment Census'!R457&amp;""))</f>
        <v/>
      </c>
      <c r="S457" s="36">
        <f>IF('Enrollment Census'!S457="","",TRIM('Enrollment Census'!S457&amp;""))</f>
        <v/>
      </c>
      <c r="T457" s="36">
        <f>IF('Enrollment Census'!T457="","",TRIM('Enrollment Census'!T457&amp;""))</f>
        <v/>
      </c>
      <c r="U457" s="39">
        <f>IF('Enrollment Census'!U457="","",'Enrollment Census'!U457)</f>
        <v/>
      </c>
    </row>
    <row r="458">
      <c r="A458" s="36">
        <f>IF('Enrollment Census'!A458="","",TRIM('Enrollment Census'!A458&amp;""))</f>
        <v/>
      </c>
      <c r="B458" s="36">
        <f>IF('Enrollment Census'!B458="","",TRIM('Enrollment Census'!B458&amp;""))</f>
        <v/>
      </c>
      <c r="C458" s="37">
        <f>IF('Enrollment Census'!C458="","",TRIM('Enrollment Census'!C458&amp;""))</f>
        <v/>
      </c>
      <c r="D458" s="37">
        <f>IF('Enrollment Census'!D458="","",TRIM('Enrollment Census'!D458&amp;""))</f>
        <v/>
      </c>
      <c r="E458" s="36">
        <f>IF('Enrollment Census'!E458="","",TRIM('Enrollment Census'!E458&amp;""))</f>
        <v/>
      </c>
      <c r="F458" s="37">
        <f>IF('Enrollment Census'!F458="","",TRIM('Enrollment Census'!F458&amp;""))</f>
        <v/>
      </c>
      <c r="G458" s="37">
        <f>IF('Enrollment Census'!G458="","",TRIM('Enrollment Census'!G458&amp;""))</f>
        <v/>
      </c>
      <c r="H458" s="37">
        <f>IF('Enrollment Census'!H458="","",TRIM('Enrollment Census'!H458&amp;""))</f>
        <v/>
      </c>
      <c r="I458" s="36">
        <f>IF('Enrollment Census'!I458="","",TRIM('Enrollment Census'!I458&amp;""))</f>
        <v/>
      </c>
      <c r="J458" s="36">
        <f>IF('Enrollment Census'!J458="","",TRIM('Enrollment Census'!J458&amp;""))</f>
        <v/>
      </c>
      <c r="K458" s="36">
        <f>IF('Enrollment Census'!K458="","",TRIM('Enrollment Census'!K458&amp;""))</f>
        <v/>
      </c>
      <c r="L458" s="38">
        <f>IF('Enrollment Census'!L458="","",'Enrollment Census'!L458)</f>
        <v/>
      </c>
      <c r="M458" s="36">
        <f>IF('Enrollment Census'!M458="","",TRIM('Enrollment Census'!M458&amp;""))</f>
        <v/>
      </c>
      <c r="N458" s="36">
        <f>IF('Enrollment Census'!N458="","",LOWER(TRIM('Enrollment Census'!N458&amp;"")))</f>
        <v/>
      </c>
      <c r="O458" s="36">
        <f>IF('Enrollment Census'!O458="","",TRIM('Enrollment Census'!O458&amp;""))</f>
        <v/>
      </c>
      <c r="P458" s="38">
        <f>IF('Enrollment Census'!P458="","",'Enrollment Census'!P458)</f>
        <v/>
      </c>
      <c r="Q458" s="38">
        <f>IF('Enrollment Census'!Q458="","",'Enrollment Census'!Q458)</f>
        <v/>
      </c>
      <c r="R458" s="36">
        <f>IF('Enrollment Census'!R458="","",TRIM('Enrollment Census'!R458&amp;""))</f>
        <v/>
      </c>
      <c r="S458" s="36">
        <f>IF('Enrollment Census'!S458="","",TRIM('Enrollment Census'!S458&amp;""))</f>
        <v/>
      </c>
      <c r="T458" s="36">
        <f>IF('Enrollment Census'!T458="","",TRIM('Enrollment Census'!T458&amp;""))</f>
        <v/>
      </c>
      <c r="U458" s="39">
        <f>IF('Enrollment Census'!U458="","",'Enrollment Census'!U458)</f>
        <v/>
      </c>
    </row>
    <row r="459">
      <c r="A459" s="36">
        <f>IF('Enrollment Census'!A459="","",TRIM('Enrollment Census'!A459&amp;""))</f>
        <v/>
      </c>
      <c r="B459" s="36">
        <f>IF('Enrollment Census'!B459="","",TRIM('Enrollment Census'!B459&amp;""))</f>
        <v/>
      </c>
      <c r="C459" s="37">
        <f>IF('Enrollment Census'!C459="","",TRIM('Enrollment Census'!C459&amp;""))</f>
        <v/>
      </c>
      <c r="D459" s="37">
        <f>IF('Enrollment Census'!D459="","",TRIM('Enrollment Census'!D459&amp;""))</f>
        <v/>
      </c>
      <c r="E459" s="36">
        <f>IF('Enrollment Census'!E459="","",TRIM('Enrollment Census'!E459&amp;""))</f>
        <v/>
      </c>
      <c r="F459" s="37">
        <f>IF('Enrollment Census'!F459="","",TRIM('Enrollment Census'!F459&amp;""))</f>
        <v/>
      </c>
      <c r="G459" s="37">
        <f>IF('Enrollment Census'!G459="","",TRIM('Enrollment Census'!G459&amp;""))</f>
        <v/>
      </c>
      <c r="H459" s="37">
        <f>IF('Enrollment Census'!H459="","",TRIM('Enrollment Census'!H459&amp;""))</f>
        <v/>
      </c>
      <c r="I459" s="36">
        <f>IF('Enrollment Census'!I459="","",TRIM('Enrollment Census'!I459&amp;""))</f>
        <v/>
      </c>
      <c r="J459" s="36">
        <f>IF('Enrollment Census'!J459="","",TRIM('Enrollment Census'!J459&amp;""))</f>
        <v/>
      </c>
      <c r="K459" s="36">
        <f>IF('Enrollment Census'!K459="","",TRIM('Enrollment Census'!K459&amp;""))</f>
        <v/>
      </c>
      <c r="L459" s="38">
        <f>IF('Enrollment Census'!L459="","",'Enrollment Census'!L459)</f>
        <v/>
      </c>
      <c r="M459" s="36">
        <f>IF('Enrollment Census'!M459="","",TRIM('Enrollment Census'!M459&amp;""))</f>
        <v/>
      </c>
      <c r="N459" s="36">
        <f>IF('Enrollment Census'!N459="","",LOWER(TRIM('Enrollment Census'!N459&amp;"")))</f>
        <v/>
      </c>
      <c r="O459" s="36">
        <f>IF('Enrollment Census'!O459="","",TRIM('Enrollment Census'!O459&amp;""))</f>
        <v/>
      </c>
      <c r="P459" s="38">
        <f>IF('Enrollment Census'!P459="","",'Enrollment Census'!P459)</f>
        <v/>
      </c>
      <c r="Q459" s="38">
        <f>IF('Enrollment Census'!Q459="","",'Enrollment Census'!Q459)</f>
        <v/>
      </c>
      <c r="R459" s="36">
        <f>IF('Enrollment Census'!R459="","",TRIM('Enrollment Census'!R459&amp;""))</f>
        <v/>
      </c>
      <c r="S459" s="36">
        <f>IF('Enrollment Census'!S459="","",TRIM('Enrollment Census'!S459&amp;""))</f>
        <v/>
      </c>
      <c r="T459" s="36">
        <f>IF('Enrollment Census'!T459="","",TRIM('Enrollment Census'!T459&amp;""))</f>
        <v/>
      </c>
      <c r="U459" s="39">
        <f>IF('Enrollment Census'!U459="","",'Enrollment Census'!U459)</f>
        <v/>
      </c>
    </row>
    <row r="460">
      <c r="A460" s="36">
        <f>IF('Enrollment Census'!A460="","",TRIM('Enrollment Census'!A460&amp;""))</f>
        <v/>
      </c>
      <c r="B460" s="36">
        <f>IF('Enrollment Census'!B460="","",TRIM('Enrollment Census'!B460&amp;""))</f>
        <v/>
      </c>
      <c r="C460" s="37">
        <f>IF('Enrollment Census'!C460="","",TRIM('Enrollment Census'!C460&amp;""))</f>
        <v/>
      </c>
      <c r="D460" s="37">
        <f>IF('Enrollment Census'!D460="","",TRIM('Enrollment Census'!D460&amp;""))</f>
        <v/>
      </c>
      <c r="E460" s="36">
        <f>IF('Enrollment Census'!E460="","",TRIM('Enrollment Census'!E460&amp;""))</f>
        <v/>
      </c>
      <c r="F460" s="37">
        <f>IF('Enrollment Census'!F460="","",TRIM('Enrollment Census'!F460&amp;""))</f>
        <v/>
      </c>
      <c r="G460" s="37">
        <f>IF('Enrollment Census'!G460="","",TRIM('Enrollment Census'!G460&amp;""))</f>
        <v/>
      </c>
      <c r="H460" s="37">
        <f>IF('Enrollment Census'!H460="","",TRIM('Enrollment Census'!H460&amp;""))</f>
        <v/>
      </c>
      <c r="I460" s="36">
        <f>IF('Enrollment Census'!I460="","",TRIM('Enrollment Census'!I460&amp;""))</f>
        <v/>
      </c>
      <c r="J460" s="36">
        <f>IF('Enrollment Census'!J460="","",TRIM('Enrollment Census'!J460&amp;""))</f>
        <v/>
      </c>
      <c r="K460" s="36">
        <f>IF('Enrollment Census'!K460="","",TRIM('Enrollment Census'!K460&amp;""))</f>
        <v/>
      </c>
      <c r="L460" s="38">
        <f>IF('Enrollment Census'!L460="","",'Enrollment Census'!L460)</f>
        <v/>
      </c>
      <c r="M460" s="36">
        <f>IF('Enrollment Census'!M460="","",TRIM('Enrollment Census'!M460&amp;""))</f>
        <v/>
      </c>
      <c r="N460" s="36">
        <f>IF('Enrollment Census'!N460="","",LOWER(TRIM('Enrollment Census'!N460&amp;"")))</f>
        <v/>
      </c>
      <c r="O460" s="36">
        <f>IF('Enrollment Census'!O460="","",TRIM('Enrollment Census'!O460&amp;""))</f>
        <v/>
      </c>
      <c r="P460" s="38">
        <f>IF('Enrollment Census'!P460="","",'Enrollment Census'!P460)</f>
        <v/>
      </c>
      <c r="Q460" s="38">
        <f>IF('Enrollment Census'!Q460="","",'Enrollment Census'!Q460)</f>
        <v/>
      </c>
      <c r="R460" s="36">
        <f>IF('Enrollment Census'!R460="","",TRIM('Enrollment Census'!R460&amp;""))</f>
        <v/>
      </c>
      <c r="S460" s="36">
        <f>IF('Enrollment Census'!S460="","",TRIM('Enrollment Census'!S460&amp;""))</f>
        <v/>
      </c>
      <c r="T460" s="36">
        <f>IF('Enrollment Census'!T460="","",TRIM('Enrollment Census'!T460&amp;""))</f>
        <v/>
      </c>
      <c r="U460" s="39">
        <f>IF('Enrollment Census'!U460="","",'Enrollment Census'!U460)</f>
        <v/>
      </c>
    </row>
    <row r="461">
      <c r="A461" s="36">
        <f>IF('Enrollment Census'!A461="","",TRIM('Enrollment Census'!A461&amp;""))</f>
        <v/>
      </c>
      <c r="B461" s="36">
        <f>IF('Enrollment Census'!B461="","",TRIM('Enrollment Census'!B461&amp;""))</f>
        <v/>
      </c>
      <c r="C461" s="37">
        <f>IF('Enrollment Census'!C461="","",TRIM('Enrollment Census'!C461&amp;""))</f>
        <v/>
      </c>
      <c r="D461" s="37">
        <f>IF('Enrollment Census'!D461="","",TRIM('Enrollment Census'!D461&amp;""))</f>
        <v/>
      </c>
      <c r="E461" s="36">
        <f>IF('Enrollment Census'!E461="","",TRIM('Enrollment Census'!E461&amp;""))</f>
        <v/>
      </c>
      <c r="F461" s="37">
        <f>IF('Enrollment Census'!F461="","",TRIM('Enrollment Census'!F461&amp;""))</f>
        <v/>
      </c>
      <c r="G461" s="37">
        <f>IF('Enrollment Census'!G461="","",TRIM('Enrollment Census'!G461&amp;""))</f>
        <v/>
      </c>
      <c r="H461" s="37">
        <f>IF('Enrollment Census'!H461="","",TRIM('Enrollment Census'!H461&amp;""))</f>
        <v/>
      </c>
      <c r="I461" s="36">
        <f>IF('Enrollment Census'!I461="","",TRIM('Enrollment Census'!I461&amp;""))</f>
        <v/>
      </c>
      <c r="J461" s="36">
        <f>IF('Enrollment Census'!J461="","",TRIM('Enrollment Census'!J461&amp;""))</f>
        <v/>
      </c>
      <c r="K461" s="36">
        <f>IF('Enrollment Census'!K461="","",TRIM('Enrollment Census'!K461&amp;""))</f>
        <v/>
      </c>
      <c r="L461" s="38">
        <f>IF('Enrollment Census'!L461="","",'Enrollment Census'!L461)</f>
        <v/>
      </c>
      <c r="M461" s="36">
        <f>IF('Enrollment Census'!M461="","",TRIM('Enrollment Census'!M461&amp;""))</f>
        <v/>
      </c>
      <c r="N461" s="36">
        <f>IF('Enrollment Census'!N461="","",LOWER(TRIM('Enrollment Census'!N461&amp;"")))</f>
        <v/>
      </c>
      <c r="O461" s="36">
        <f>IF('Enrollment Census'!O461="","",TRIM('Enrollment Census'!O461&amp;""))</f>
        <v/>
      </c>
      <c r="P461" s="38">
        <f>IF('Enrollment Census'!P461="","",'Enrollment Census'!P461)</f>
        <v/>
      </c>
      <c r="Q461" s="38">
        <f>IF('Enrollment Census'!Q461="","",'Enrollment Census'!Q461)</f>
        <v/>
      </c>
      <c r="R461" s="36">
        <f>IF('Enrollment Census'!R461="","",TRIM('Enrollment Census'!R461&amp;""))</f>
        <v/>
      </c>
      <c r="S461" s="36">
        <f>IF('Enrollment Census'!S461="","",TRIM('Enrollment Census'!S461&amp;""))</f>
        <v/>
      </c>
      <c r="T461" s="36">
        <f>IF('Enrollment Census'!T461="","",TRIM('Enrollment Census'!T461&amp;""))</f>
        <v/>
      </c>
      <c r="U461" s="39">
        <f>IF('Enrollment Census'!U461="","",'Enrollment Census'!U461)</f>
        <v/>
      </c>
    </row>
    <row r="462">
      <c r="A462" s="36">
        <f>IF('Enrollment Census'!A462="","",TRIM('Enrollment Census'!A462&amp;""))</f>
        <v/>
      </c>
      <c r="B462" s="36">
        <f>IF('Enrollment Census'!B462="","",TRIM('Enrollment Census'!B462&amp;""))</f>
        <v/>
      </c>
      <c r="C462" s="37">
        <f>IF('Enrollment Census'!C462="","",TRIM('Enrollment Census'!C462&amp;""))</f>
        <v/>
      </c>
      <c r="D462" s="37">
        <f>IF('Enrollment Census'!D462="","",TRIM('Enrollment Census'!D462&amp;""))</f>
        <v/>
      </c>
      <c r="E462" s="36">
        <f>IF('Enrollment Census'!E462="","",TRIM('Enrollment Census'!E462&amp;""))</f>
        <v/>
      </c>
      <c r="F462" s="37">
        <f>IF('Enrollment Census'!F462="","",TRIM('Enrollment Census'!F462&amp;""))</f>
        <v/>
      </c>
      <c r="G462" s="37">
        <f>IF('Enrollment Census'!G462="","",TRIM('Enrollment Census'!G462&amp;""))</f>
        <v/>
      </c>
      <c r="H462" s="37">
        <f>IF('Enrollment Census'!H462="","",TRIM('Enrollment Census'!H462&amp;""))</f>
        <v/>
      </c>
      <c r="I462" s="36">
        <f>IF('Enrollment Census'!I462="","",TRIM('Enrollment Census'!I462&amp;""))</f>
        <v/>
      </c>
      <c r="J462" s="36">
        <f>IF('Enrollment Census'!J462="","",TRIM('Enrollment Census'!J462&amp;""))</f>
        <v/>
      </c>
      <c r="K462" s="36">
        <f>IF('Enrollment Census'!K462="","",TRIM('Enrollment Census'!K462&amp;""))</f>
        <v/>
      </c>
      <c r="L462" s="38">
        <f>IF('Enrollment Census'!L462="","",'Enrollment Census'!L462)</f>
        <v/>
      </c>
      <c r="M462" s="36">
        <f>IF('Enrollment Census'!M462="","",TRIM('Enrollment Census'!M462&amp;""))</f>
        <v/>
      </c>
      <c r="N462" s="36">
        <f>IF('Enrollment Census'!N462="","",LOWER(TRIM('Enrollment Census'!N462&amp;"")))</f>
        <v/>
      </c>
      <c r="O462" s="36">
        <f>IF('Enrollment Census'!O462="","",TRIM('Enrollment Census'!O462&amp;""))</f>
        <v/>
      </c>
      <c r="P462" s="38">
        <f>IF('Enrollment Census'!P462="","",'Enrollment Census'!P462)</f>
        <v/>
      </c>
      <c r="Q462" s="38">
        <f>IF('Enrollment Census'!Q462="","",'Enrollment Census'!Q462)</f>
        <v/>
      </c>
      <c r="R462" s="36">
        <f>IF('Enrollment Census'!R462="","",TRIM('Enrollment Census'!R462&amp;""))</f>
        <v/>
      </c>
      <c r="S462" s="36">
        <f>IF('Enrollment Census'!S462="","",TRIM('Enrollment Census'!S462&amp;""))</f>
        <v/>
      </c>
      <c r="T462" s="36">
        <f>IF('Enrollment Census'!T462="","",TRIM('Enrollment Census'!T462&amp;""))</f>
        <v/>
      </c>
      <c r="U462" s="39">
        <f>IF('Enrollment Census'!U462="","",'Enrollment Census'!U462)</f>
        <v/>
      </c>
    </row>
    <row r="463">
      <c r="A463" s="36">
        <f>IF('Enrollment Census'!A463="","",TRIM('Enrollment Census'!A463&amp;""))</f>
        <v/>
      </c>
      <c r="B463" s="36">
        <f>IF('Enrollment Census'!B463="","",TRIM('Enrollment Census'!B463&amp;""))</f>
        <v/>
      </c>
      <c r="C463" s="37">
        <f>IF('Enrollment Census'!C463="","",TRIM('Enrollment Census'!C463&amp;""))</f>
        <v/>
      </c>
      <c r="D463" s="37">
        <f>IF('Enrollment Census'!D463="","",TRIM('Enrollment Census'!D463&amp;""))</f>
        <v/>
      </c>
      <c r="E463" s="36">
        <f>IF('Enrollment Census'!E463="","",TRIM('Enrollment Census'!E463&amp;""))</f>
        <v/>
      </c>
      <c r="F463" s="37">
        <f>IF('Enrollment Census'!F463="","",TRIM('Enrollment Census'!F463&amp;""))</f>
        <v/>
      </c>
      <c r="G463" s="37">
        <f>IF('Enrollment Census'!G463="","",TRIM('Enrollment Census'!G463&amp;""))</f>
        <v/>
      </c>
      <c r="H463" s="37">
        <f>IF('Enrollment Census'!H463="","",TRIM('Enrollment Census'!H463&amp;""))</f>
        <v/>
      </c>
      <c r="I463" s="36">
        <f>IF('Enrollment Census'!I463="","",TRIM('Enrollment Census'!I463&amp;""))</f>
        <v/>
      </c>
      <c r="J463" s="36">
        <f>IF('Enrollment Census'!J463="","",TRIM('Enrollment Census'!J463&amp;""))</f>
        <v/>
      </c>
      <c r="K463" s="36">
        <f>IF('Enrollment Census'!K463="","",TRIM('Enrollment Census'!K463&amp;""))</f>
        <v/>
      </c>
      <c r="L463" s="38">
        <f>IF('Enrollment Census'!L463="","",'Enrollment Census'!L463)</f>
        <v/>
      </c>
      <c r="M463" s="36">
        <f>IF('Enrollment Census'!M463="","",TRIM('Enrollment Census'!M463&amp;""))</f>
        <v/>
      </c>
      <c r="N463" s="36">
        <f>IF('Enrollment Census'!N463="","",LOWER(TRIM('Enrollment Census'!N463&amp;"")))</f>
        <v/>
      </c>
      <c r="O463" s="36">
        <f>IF('Enrollment Census'!O463="","",TRIM('Enrollment Census'!O463&amp;""))</f>
        <v/>
      </c>
      <c r="P463" s="38">
        <f>IF('Enrollment Census'!P463="","",'Enrollment Census'!P463)</f>
        <v/>
      </c>
      <c r="Q463" s="38">
        <f>IF('Enrollment Census'!Q463="","",'Enrollment Census'!Q463)</f>
        <v/>
      </c>
      <c r="R463" s="36">
        <f>IF('Enrollment Census'!R463="","",TRIM('Enrollment Census'!R463&amp;""))</f>
        <v/>
      </c>
      <c r="S463" s="36">
        <f>IF('Enrollment Census'!S463="","",TRIM('Enrollment Census'!S463&amp;""))</f>
        <v/>
      </c>
      <c r="T463" s="36">
        <f>IF('Enrollment Census'!T463="","",TRIM('Enrollment Census'!T463&amp;""))</f>
        <v/>
      </c>
      <c r="U463" s="39">
        <f>IF('Enrollment Census'!U463="","",'Enrollment Census'!U463)</f>
        <v/>
      </c>
    </row>
    <row r="464">
      <c r="A464" s="36">
        <f>IF('Enrollment Census'!A464="","",TRIM('Enrollment Census'!A464&amp;""))</f>
        <v/>
      </c>
      <c r="B464" s="36">
        <f>IF('Enrollment Census'!B464="","",TRIM('Enrollment Census'!B464&amp;""))</f>
        <v/>
      </c>
      <c r="C464" s="37">
        <f>IF('Enrollment Census'!C464="","",TRIM('Enrollment Census'!C464&amp;""))</f>
        <v/>
      </c>
      <c r="D464" s="37">
        <f>IF('Enrollment Census'!D464="","",TRIM('Enrollment Census'!D464&amp;""))</f>
        <v/>
      </c>
      <c r="E464" s="36">
        <f>IF('Enrollment Census'!E464="","",TRIM('Enrollment Census'!E464&amp;""))</f>
        <v/>
      </c>
      <c r="F464" s="37">
        <f>IF('Enrollment Census'!F464="","",TRIM('Enrollment Census'!F464&amp;""))</f>
        <v/>
      </c>
      <c r="G464" s="37">
        <f>IF('Enrollment Census'!G464="","",TRIM('Enrollment Census'!G464&amp;""))</f>
        <v/>
      </c>
      <c r="H464" s="37">
        <f>IF('Enrollment Census'!H464="","",TRIM('Enrollment Census'!H464&amp;""))</f>
        <v/>
      </c>
      <c r="I464" s="36">
        <f>IF('Enrollment Census'!I464="","",TRIM('Enrollment Census'!I464&amp;""))</f>
        <v/>
      </c>
      <c r="J464" s="36">
        <f>IF('Enrollment Census'!J464="","",TRIM('Enrollment Census'!J464&amp;""))</f>
        <v/>
      </c>
      <c r="K464" s="36">
        <f>IF('Enrollment Census'!K464="","",TRIM('Enrollment Census'!K464&amp;""))</f>
        <v/>
      </c>
      <c r="L464" s="38">
        <f>IF('Enrollment Census'!L464="","",'Enrollment Census'!L464)</f>
        <v/>
      </c>
      <c r="M464" s="36">
        <f>IF('Enrollment Census'!M464="","",TRIM('Enrollment Census'!M464&amp;""))</f>
        <v/>
      </c>
      <c r="N464" s="36">
        <f>IF('Enrollment Census'!N464="","",LOWER(TRIM('Enrollment Census'!N464&amp;"")))</f>
        <v/>
      </c>
      <c r="O464" s="36">
        <f>IF('Enrollment Census'!O464="","",TRIM('Enrollment Census'!O464&amp;""))</f>
        <v/>
      </c>
      <c r="P464" s="38">
        <f>IF('Enrollment Census'!P464="","",'Enrollment Census'!P464)</f>
        <v/>
      </c>
      <c r="Q464" s="38">
        <f>IF('Enrollment Census'!Q464="","",'Enrollment Census'!Q464)</f>
        <v/>
      </c>
      <c r="R464" s="36">
        <f>IF('Enrollment Census'!R464="","",TRIM('Enrollment Census'!R464&amp;""))</f>
        <v/>
      </c>
      <c r="S464" s="36">
        <f>IF('Enrollment Census'!S464="","",TRIM('Enrollment Census'!S464&amp;""))</f>
        <v/>
      </c>
      <c r="T464" s="36">
        <f>IF('Enrollment Census'!T464="","",TRIM('Enrollment Census'!T464&amp;""))</f>
        <v/>
      </c>
      <c r="U464" s="39">
        <f>IF('Enrollment Census'!U464="","",'Enrollment Census'!U464)</f>
        <v/>
      </c>
    </row>
    <row r="465">
      <c r="A465" s="36">
        <f>IF('Enrollment Census'!A465="","",TRIM('Enrollment Census'!A465&amp;""))</f>
        <v/>
      </c>
      <c r="B465" s="36">
        <f>IF('Enrollment Census'!B465="","",TRIM('Enrollment Census'!B465&amp;""))</f>
        <v/>
      </c>
      <c r="C465" s="37">
        <f>IF('Enrollment Census'!C465="","",TRIM('Enrollment Census'!C465&amp;""))</f>
        <v/>
      </c>
      <c r="D465" s="37">
        <f>IF('Enrollment Census'!D465="","",TRIM('Enrollment Census'!D465&amp;""))</f>
        <v/>
      </c>
      <c r="E465" s="36">
        <f>IF('Enrollment Census'!E465="","",TRIM('Enrollment Census'!E465&amp;""))</f>
        <v/>
      </c>
      <c r="F465" s="37">
        <f>IF('Enrollment Census'!F465="","",TRIM('Enrollment Census'!F465&amp;""))</f>
        <v/>
      </c>
      <c r="G465" s="37">
        <f>IF('Enrollment Census'!G465="","",TRIM('Enrollment Census'!G465&amp;""))</f>
        <v/>
      </c>
      <c r="H465" s="37">
        <f>IF('Enrollment Census'!H465="","",TRIM('Enrollment Census'!H465&amp;""))</f>
        <v/>
      </c>
      <c r="I465" s="36">
        <f>IF('Enrollment Census'!I465="","",TRIM('Enrollment Census'!I465&amp;""))</f>
        <v/>
      </c>
      <c r="J465" s="36">
        <f>IF('Enrollment Census'!J465="","",TRIM('Enrollment Census'!J465&amp;""))</f>
        <v/>
      </c>
      <c r="K465" s="36">
        <f>IF('Enrollment Census'!K465="","",TRIM('Enrollment Census'!K465&amp;""))</f>
        <v/>
      </c>
      <c r="L465" s="38">
        <f>IF('Enrollment Census'!L465="","",'Enrollment Census'!L465)</f>
        <v/>
      </c>
      <c r="M465" s="36">
        <f>IF('Enrollment Census'!M465="","",TRIM('Enrollment Census'!M465&amp;""))</f>
        <v/>
      </c>
      <c r="N465" s="36">
        <f>IF('Enrollment Census'!N465="","",LOWER(TRIM('Enrollment Census'!N465&amp;"")))</f>
        <v/>
      </c>
      <c r="O465" s="36">
        <f>IF('Enrollment Census'!O465="","",TRIM('Enrollment Census'!O465&amp;""))</f>
        <v/>
      </c>
      <c r="P465" s="38">
        <f>IF('Enrollment Census'!P465="","",'Enrollment Census'!P465)</f>
        <v/>
      </c>
      <c r="Q465" s="38">
        <f>IF('Enrollment Census'!Q465="","",'Enrollment Census'!Q465)</f>
        <v/>
      </c>
      <c r="R465" s="36">
        <f>IF('Enrollment Census'!R465="","",TRIM('Enrollment Census'!R465&amp;""))</f>
        <v/>
      </c>
      <c r="S465" s="36">
        <f>IF('Enrollment Census'!S465="","",TRIM('Enrollment Census'!S465&amp;""))</f>
        <v/>
      </c>
      <c r="T465" s="36">
        <f>IF('Enrollment Census'!T465="","",TRIM('Enrollment Census'!T465&amp;""))</f>
        <v/>
      </c>
      <c r="U465" s="39">
        <f>IF('Enrollment Census'!U465="","",'Enrollment Census'!U465)</f>
        <v/>
      </c>
    </row>
    <row r="466">
      <c r="A466" s="36">
        <f>IF('Enrollment Census'!A466="","",TRIM('Enrollment Census'!A466&amp;""))</f>
        <v/>
      </c>
      <c r="B466" s="36">
        <f>IF('Enrollment Census'!B466="","",TRIM('Enrollment Census'!B466&amp;""))</f>
        <v/>
      </c>
      <c r="C466" s="37">
        <f>IF('Enrollment Census'!C466="","",TRIM('Enrollment Census'!C466&amp;""))</f>
        <v/>
      </c>
      <c r="D466" s="37">
        <f>IF('Enrollment Census'!D466="","",TRIM('Enrollment Census'!D466&amp;""))</f>
        <v/>
      </c>
      <c r="E466" s="36">
        <f>IF('Enrollment Census'!E466="","",TRIM('Enrollment Census'!E466&amp;""))</f>
        <v/>
      </c>
      <c r="F466" s="37">
        <f>IF('Enrollment Census'!F466="","",TRIM('Enrollment Census'!F466&amp;""))</f>
        <v/>
      </c>
      <c r="G466" s="37">
        <f>IF('Enrollment Census'!G466="","",TRIM('Enrollment Census'!G466&amp;""))</f>
        <v/>
      </c>
      <c r="H466" s="37">
        <f>IF('Enrollment Census'!H466="","",TRIM('Enrollment Census'!H466&amp;""))</f>
        <v/>
      </c>
      <c r="I466" s="36">
        <f>IF('Enrollment Census'!I466="","",TRIM('Enrollment Census'!I466&amp;""))</f>
        <v/>
      </c>
      <c r="J466" s="36">
        <f>IF('Enrollment Census'!J466="","",TRIM('Enrollment Census'!J466&amp;""))</f>
        <v/>
      </c>
      <c r="K466" s="36">
        <f>IF('Enrollment Census'!K466="","",TRIM('Enrollment Census'!K466&amp;""))</f>
        <v/>
      </c>
      <c r="L466" s="38">
        <f>IF('Enrollment Census'!L466="","",'Enrollment Census'!L466)</f>
        <v/>
      </c>
      <c r="M466" s="36">
        <f>IF('Enrollment Census'!M466="","",TRIM('Enrollment Census'!M466&amp;""))</f>
        <v/>
      </c>
      <c r="N466" s="36">
        <f>IF('Enrollment Census'!N466="","",LOWER(TRIM('Enrollment Census'!N466&amp;"")))</f>
        <v/>
      </c>
      <c r="O466" s="36">
        <f>IF('Enrollment Census'!O466="","",TRIM('Enrollment Census'!O466&amp;""))</f>
        <v/>
      </c>
      <c r="P466" s="38">
        <f>IF('Enrollment Census'!P466="","",'Enrollment Census'!P466)</f>
        <v/>
      </c>
      <c r="Q466" s="38">
        <f>IF('Enrollment Census'!Q466="","",'Enrollment Census'!Q466)</f>
        <v/>
      </c>
      <c r="R466" s="36">
        <f>IF('Enrollment Census'!R466="","",TRIM('Enrollment Census'!R466&amp;""))</f>
        <v/>
      </c>
      <c r="S466" s="36">
        <f>IF('Enrollment Census'!S466="","",TRIM('Enrollment Census'!S466&amp;""))</f>
        <v/>
      </c>
      <c r="T466" s="36">
        <f>IF('Enrollment Census'!T466="","",TRIM('Enrollment Census'!T466&amp;""))</f>
        <v/>
      </c>
      <c r="U466" s="39">
        <f>IF('Enrollment Census'!U466="","",'Enrollment Census'!U466)</f>
        <v/>
      </c>
    </row>
    <row r="467">
      <c r="A467" s="36">
        <f>IF('Enrollment Census'!A467="","",TRIM('Enrollment Census'!A467&amp;""))</f>
        <v/>
      </c>
      <c r="B467" s="36">
        <f>IF('Enrollment Census'!B467="","",TRIM('Enrollment Census'!B467&amp;""))</f>
        <v/>
      </c>
      <c r="C467" s="37">
        <f>IF('Enrollment Census'!C467="","",TRIM('Enrollment Census'!C467&amp;""))</f>
        <v/>
      </c>
      <c r="D467" s="37">
        <f>IF('Enrollment Census'!D467="","",TRIM('Enrollment Census'!D467&amp;""))</f>
        <v/>
      </c>
      <c r="E467" s="36">
        <f>IF('Enrollment Census'!E467="","",TRIM('Enrollment Census'!E467&amp;""))</f>
        <v/>
      </c>
      <c r="F467" s="37">
        <f>IF('Enrollment Census'!F467="","",TRIM('Enrollment Census'!F467&amp;""))</f>
        <v/>
      </c>
      <c r="G467" s="37">
        <f>IF('Enrollment Census'!G467="","",TRIM('Enrollment Census'!G467&amp;""))</f>
        <v/>
      </c>
      <c r="H467" s="37">
        <f>IF('Enrollment Census'!H467="","",TRIM('Enrollment Census'!H467&amp;""))</f>
        <v/>
      </c>
      <c r="I467" s="36">
        <f>IF('Enrollment Census'!I467="","",TRIM('Enrollment Census'!I467&amp;""))</f>
        <v/>
      </c>
      <c r="J467" s="36">
        <f>IF('Enrollment Census'!J467="","",TRIM('Enrollment Census'!J467&amp;""))</f>
        <v/>
      </c>
      <c r="K467" s="36">
        <f>IF('Enrollment Census'!K467="","",TRIM('Enrollment Census'!K467&amp;""))</f>
        <v/>
      </c>
      <c r="L467" s="38">
        <f>IF('Enrollment Census'!L467="","",'Enrollment Census'!L467)</f>
        <v/>
      </c>
      <c r="M467" s="36">
        <f>IF('Enrollment Census'!M467="","",TRIM('Enrollment Census'!M467&amp;""))</f>
        <v/>
      </c>
      <c r="N467" s="36">
        <f>IF('Enrollment Census'!N467="","",LOWER(TRIM('Enrollment Census'!N467&amp;"")))</f>
        <v/>
      </c>
      <c r="O467" s="36">
        <f>IF('Enrollment Census'!O467="","",TRIM('Enrollment Census'!O467&amp;""))</f>
        <v/>
      </c>
      <c r="P467" s="38">
        <f>IF('Enrollment Census'!P467="","",'Enrollment Census'!P467)</f>
        <v/>
      </c>
      <c r="Q467" s="38">
        <f>IF('Enrollment Census'!Q467="","",'Enrollment Census'!Q467)</f>
        <v/>
      </c>
      <c r="R467" s="36">
        <f>IF('Enrollment Census'!R467="","",TRIM('Enrollment Census'!R467&amp;""))</f>
        <v/>
      </c>
      <c r="S467" s="36">
        <f>IF('Enrollment Census'!S467="","",TRIM('Enrollment Census'!S467&amp;""))</f>
        <v/>
      </c>
      <c r="T467" s="36">
        <f>IF('Enrollment Census'!T467="","",TRIM('Enrollment Census'!T467&amp;""))</f>
        <v/>
      </c>
      <c r="U467" s="39">
        <f>IF('Enrollment Census'!U467="","",'Enrollment Census'!U467)</f>
        <v/>
      </c>
    </row>
    <row r="468">
      <c r="A468" s="36">
        <f>IF('Enrollment Census'!A468="","",TRIM('Enrollment Census'!A468&amp;""))</f>
        <v/>
      </c>
      <c r="B468" s="36">
        <f>IF('Enrollment Census'!B468="","",TRIM('Enrollment Census'!B468&amp;""))</f>
        <v/>
      </c>
      <c r="C468" s="37">
        <f>IF('Enrollment Census'!C468="","",TRIM('Enrollment Census'!C468&amp;""))</f>
        <v/>
      </c>
      <c r="D468" s="37">
        <f>IF('Enrollment Census'!D468="","",TRIM('Enrollment Census'!D468&amp;""))</f>
        <v/>
      </c>
      <c r="E468" s="36">
        <f>IF('Enrollment Census'!E468="","",TRIM('Enrollment Census'!E468&amp;""))</f>
        <v/>
      </c>
      <c r="F468" s="37">
        <f>IF('Enrollment Census'!F468="","",TRIM('Enrollment Census'!F468&amp;""))</f>
        <v/>
      </c>
      <c r="G468" s="37">
        <f>IF('Enrollment Census'!G468="","",TRIM('Enrollment Census'!G468&amp;""))</f>
        <v/>
      </c>
      <c r="H468" s="37">
        <f>IF('Enrollment Census'!H468="","",TRIM('Enrollment Census'!H468&amp;""))</f>
        <v/>
      </c>
      <c r="I468" s="36">
        <f>IF('Enrollment Census'!I468="","",TRIM('Enrollment Census'!I468&amp;""))</f>
        <v/>
      </c>
      <c r="J468" s="36">
        <f>IF('Enrollment Census'!J468="","",TRIM('Enrollment Census'!J468&amp;""))</f>
        <v/>
      </c>
      <c r="K468" s="36">
        <f>IF('Enrollment Census'!K468="","",TRIM('Enrollment Census'!K468&amp;""))</f>
        <v/>
      </c>
      <c r="L468" s="38">
        <f>IF('Enrollment Census'!L468="","",'Enrollment Census'!L468)</f>
        <v/>
      </c>
      <c r="M468" s="36">
        <f>IF('Enrollment Census'!M468="","",TRIM('Enrollment Census'!M468&amp;""))</f>
        <v/>
      </c>
      <c r="N468" s="36">
        <f>IF('Enrollment Census'!N468="","",LOWER(TRIM('Enrollment Census'!N468&amp;"")))</f>
        <v/>
      </c>
      <c r="O468" s="36">
        <f>IF('Enrollment Census'!O468="","",TRIM('Enrollment Census'!O468&amp;""))</f>
        <v/>
      </c>
      <c r="P468" s="38">
        <f>IF('Enrollment Census'!P468="","",'Enrollment Census'!P468)</f>
        <v/>
      </c>
      <c r="Q468" s="38">
        <f>IF('Enrollment Census'!Q468="","",'Enrollment Census'!Q468)</f>
        <v/>
      </c>
      <c r="R468" s="36">
        <f>IF('Enrollment Census'!R468="","",TRIM('Enrollment Census'!R468&amp;""))</f>
        <v/>
      </c>
      <c r="S468" s="36">
        <f>IF('Enrollment Census'!S468="","",TRIM('Enrollment Census'!S468&amp;""))</f>
        <v/>
      </c>
      <c r="T468" s="36">
        <f>IF('Enrollment Census'!T468="","",TRIM('Enrollment Census'!T468&amp;""))</f>
        <v/>
      </c>
      <c r="U468" s="39">
        <f>IF('Enrollment Census'!U468="","",'Enrollment Census'!U468)</f>
        <v/>
      </c>
    </row>
    <row r="469">
      <c r="A469" s="36">
        <f>IF('Enrollment Census'!A469="","",TRIM('Enrollment Census'!A469&amp;""))</f>
        <v/>
      </c>
      <c r="B469" s="36">
        <f>IF('Enrollment Census'!B469="","",TRIM('Enrollment Census'!B469&amp;""))</f>
        <v/>
      </c>
      <c r="C469" s="37">
        <f>IF('Enrollment Census'!C469="","",TRIM('Enrollment Census'!C469&amp;""))</f>
        <v/>
      </c>
      <c r="D469" s="37">
        <f>IF('Enrollment Census'!D469="","",TRIM('Enrollment Census'!D469&amp;""))</f>
        <v/>
      </c>
      <c r="E469" s="36">
        <f>IF('Enrollment Census'!E469="","",TRIM('Enrollment Census'!E469&amp;""))</f>
        <v/>
      </c>
      <c r="F469" s="37">
        <f>IF('Enrollment Census'!F469="","",TRIM('Enrollment Census'!F469&amp;""))</f>
        <v/>
      </c>
      <c r="G469" s="37">
        <f>IF('Enrollment Census'!G469="","",TRIM('Enrollment Census'!G469&amp;""))</f>
        <v/>
      </c>
      <c r="H469" s="37">
        <f>IF('Enrollment Census'!H469="","",TRIM('Enrollment Census'!H469&amp;""))</f>
        <v/>
      </c>
      <c r="I469" s="36">
        <f>IF('Enrollment Census'!I469="","",TRIM('Enrollment Census'!I469&amp;""))</f>
        <v/>
      </c>
      <c r="J469" s="36">
        <f>IF('Enrollment Census'!J469="","",TRIM('Enrollment Census'!J469&amp;""))</f>
        <v/>
      </c>
      <c r="K469" s="36">
        <f>IF('Enrollment Census'!K469="","",TRIM('Enrollment Census'!K469&amp;""))</f>
        <v/>
      </c>
      <c r="L469" s="38">
        <f>IF('Enrollment Census'!L469="","",'Enrollment Census'!L469)</f>
        <v/>
      </c>
      <c r="M469" s="36">
        <f>IF('Enrollment Census'!M469="","",TRIM('Enrollment Census'!M469&amp;""))</f>
        <v/>
      </c>
      <c r="N469" s="36">
        <f>IF('Enrollment Census'!N469="","",LOWER(TRIM('Enrollment Census'!N469&amp;"")))</f>
        <v/>
      </c>
      <c r="O469" s="36">
        <f>IF('Enrollment Census'!O469="","",TRIM('Enrollment Census'!O469&amp;""))</f>
        <v/>
      </c>
      <c r="P469" s="38">
        <f>IF('Enrollment Census'!P469="","",'Enrollment Census'!P469)</f>
        <v/>
      </c>
      <c r="Q469" s="38">
        <f>IF('Enrollment Census'!Q469="","",'Enrollment Census'!Q469)</f>
        <v/>
      </c>
      <c r="R469" s="36">
        <f>IF('Enrollment Census'!R469="","",TRIM('Enrollment Census'!R469&amp;""))</f>
        <v/>
      </c>
      <c r="S469" s="36">
        <f>IF('Enrollment Census'!S469="","",TRIM('Enrollment Census'!S469&amp;""))</f>
        <v/>
      </c>
      <c r="T469" s="36">
        <f>IF('Enrollment Census'!T469="","",TRIM('Enrollment Census'!T469&amp;""))</f>
        <v/>
      </c>
      <c r="U469" s="39">
        <f>IF('Enrollment Census'!U469="","",'Enrollment Census'!U469)</f>
        <v/>
      </c>
    </row>
    <row r="470">
      <c r="A470" s="36">
        <f>IF('Enrollment Census'!A470="","",TRIM('Enrollment Census'!A470&amp;""))</f>
        <v/>
      </c>
      <c r="B470" s="36">
        <f>IF('Enrollment Census'!B470="","",TRIM('Enrollment Census'!B470&amp;""))</f>
        <v/>
      </c>
      <c r="C470" s="37">
        <f>IF('Enrollment Census'!C470="","",TRIM('Enrollment Census'!C470&amp;""))</f>
        <v/>
      </c>
      <c r="D470" s="37">
        <f>IF('Enrollment Census'!D470="","",TRIM('Enrollment Census'!D470&amp;""))</f>
        <v/>
      </c>
      <c r="E470" s="36">
        <f>IF('Enrollment Census'!E470="","",TRIM('Enrollment Census'!E470&amp;""))</f>
        <v/>
      </c>
      <c r="F470" s="37">
        <f>IF('Enrollment Census'!F470="","",TRIM('Enrollment Census'!F470&amp;""))</f>
        <v/>
      </c>
      <c r="G470" s="37">
        <f>IF('Enrollment Census'!G470="","",TRIM('Enrollment Census'!G470&amp;""))</f>
        <v/>
      </c>
      <c r="H470" s="37">
        <f>IF('Enrollment Census'!H470="","",TRIM('Enrollment Census'!H470&amp;""))</f>
        <v/>
      </c>
      <c r="I470" s="36">
        <f>IF('Enrollment Census'!I470="","",TRIM('Enrollment Census'!I470&amp;""))</f>
        <v/>
      </c>
      <c r="J470" s="36">
        <f>IF('Enrollment Census'!J470="","",TRIM('Enrollment Census'!J470&amp;""))</f>
        <v/>
      </c>
      <c r="K470" s="36">
        <f>IF('Enrollment Census'!K470="","",TRIM('Enrollment Census'!K470&amp;""))</f>
        <v/>
      </c>
      <c r="L470" s="38">
        <f>IF('Enrollment Census'!L470="","",'Enrollment Census'!L470)</f>
        <v/>
      </c>
      <c r="M470" s="36">
        <f>IF('Enrollment Census'!M470="","",TRIM('Enrollment Census'!M470&amp;""))</f>
        <v/>
      </c>
      <c r="N470" s="36">
        <f>IF('Enrollment Census'!N470="","",LOWER(TRIM('Enrollment Census'!N470&amp;"")))</f>
        <v/>
      </c>
      <c r="O470" s="36">
        <f>IF('Enrollment Census'!O470="","",TRIM('Enrollment Census'!O470&amp;""))</f>
        <v/>
      </c>
      <c r="P470" s="38">
        <f>IF('Enrollment Census'!P470="","",'Enrollment Census'!P470)</f>
        <v/>
      </c>
      <c r="Q470" s="38">
        <f>IF('Enrollment Census'!Q470="","",'Enrollment Census'!Q470)</f>
        <v/>
      </c>
      <c r="R470" s="36">
        <f>IF('Enrollment Census'!R470="","",TRIM('Enrollment Census'!R470&amp;""))</f>
        <v/>
      </c>
      <c r="S470" s="36">
        <f>IF('Enrollment Census'!S470="","",TRIM('Enrollment Census'!S470&amp;""))</f>
        <v/>
      </c>
      <c r="T470" s="36">
        <f>IF('Enrollment Census'!T470="","",TRIM('Enrollment Census'!T470&amp;""))</f>
        <v/>
      </c>
      <c r="U470" s="39">
        <f>IF('Enrollment Census'!U470="","",'Enrollment Census'!U470)</f>
        <v/>
      </c>
    </row>
    <row r="471">
      <c r="A471" s="36">
        <f>IF('Enrollment Census'!A471="","",TRIM('Enrollment Census'!A471&amp;""))</f>
        <v/>
      </c>
      <c r="B471" s="36">
        <f>IF('Enrollment Census'!B471="","",TRIM('Enrollment Census'!B471&amp;""))</f>
        <v/>
      </c>
      <c r="C471" s="37">
        <f>IF('Enrollment Census'!C471="","",TRIM('Enrollment Census'!C471&amp;""))</f>
        <v/>
      </c>
      <c r="D471" s="37">
        <f>IF('Enrollment Census'!D471="","",TRIM('Enrollment Census'!D471&amp;""))</f>
        <v/>
      </c>
      <c r="E471" s="36">
        <f>IF('Enrollment Census'!E471="","",TRIM('Enrollment Census'!E471&amp;""))</f>
        <v/>
      </c>
      <c r="F471" s="37">
        <f>IF('Enrollment Census'!F471="","",TRIM('Enrollment Census'!F471&amp;""))</f>
        <v/>
      </c>
      <c r="G471" s="37">
        <f>IF('Enrollment Census'!G471="","",TRIM('Enrollment Census'!G471&amp;""))</f>
        <v/>
      </c>
      <c r="H471" s="37">
        <f>IF('Enrollment Census'!H471="","",TRIM('Enrollment Census'!H471&amp;""))</f>
        <v/>
      </c>
      <c r="I471" s="36">
        <f>IF('Enrollment Census'!I471="","",TRIM('Enrollment Census'!I471&amp;""))</f>
        <v/>
      </c>
      <c r="J471" s="36">
        <f>IF('Enrollment Census'!J471="","",TRIM('Enrollment Census'!J471&amp;""))</f>
        <v/>
      </c>
      <c r="K471" s="36">
        <f>IF('Enrollment Census'!K471="","",TRIM('Enrollment Census'!K471&amp;""))</f>
        <v/>
      </c>
      <c r="L471" s="38">
        <f>IF('Enrollment Census'!L471="","",'Enrollment Census'!L471)</f>
        <v/>
      </c>
      <c r="M471" s="36">
        <f>IF('Enrollment Census'!M471="","",TRIM('Enrollment Census'!M471&amp;""))</f>
        <v/>
      </c>
      <c r="N471" s="36">
        <f>IF('Enrollment Census'!N471="","",LOWER(TRIM('Enrollment Census'!N471&amp;"")))</f>
        <v/>
      </c>
      <c r="O471" s="36">
        <f>IF('Enrollment Census'!O471="","",TRIM('Enrollment Census'!O471&amp;""))</f>
        <v/>
      </c>
      <c r="P471" s="38">
        <f>IF('Enrollment Census'!P471="","",'Enrollment Census'!P471)</f>
        <v/>
      </c>
      <c r="Q471" s="38">
        <f>IF('Enrollment Census'!Q471="","",'Enrollment Census'!Q471)</f>
        <v/>
      </c>
      <c r="R471" s="36">
        <f>IF('Enrollment Census'!R471="","",TRIM('Enrollment Census'!R471&amp;""))</f>
        <v/>
      </c>
      <c r="S471" s="36">
        <f>IF('Enrollment Census'!S471="","",TRIM('Enrollment Census'!S471&amp;""))</f>
        <v/>
      </c>
      <c r="T471" s="36">
        <f>IF('Enrollment Census'!T471="","",TRIM('Enrollment Census'!T471&amp;""))</f>
        <v/>
      </c>
      <c r="U471" s="39">
        <f>IF('Enrollment Census'!U471="","",'Enrollment Census'!U471)</f>
        <v/>
      </c>
    </row>
    <row r="472">
      <c r="A472" s="36">
        <f>IF('Enrollment Census'!A472="","",TRIM('Enrollment Census'!A472&amp;""))</f>
        <v/>
      </c>
      <c r="B472" s="36">
        <f>IF('Enrollment Census'!B472="","",TRIM('Enrollment Census'!B472&amp;""))</f>
        <v/>
      </c>
      <c r="C472" s="37">
        <f>IF('Enrollment Census'!C472="","",TRIM('Enrollment Census'!C472&amp;""))</f>
        <v/>
      </c>
      <c r="D472" s="37">
        <f>IF('Enrollment Census'!D472="","",TRIM('Enrollment Census'!D472&amp;""))</f>
        <v/>
      </c>
      <c r="E472" s="36">
        <f>IF('Enrollment Census'!E472="","",TRIM('Enrollment Census'!E472&amp;""))</f>
        <v/>
      </c>
      <c r="F472" s="37">
        <f>IF('Enrollment Census'!F472="","",TRIM('Enrollment Census'!F472&amp;""))</f>
        <v/>
      </c>
      <c r="G472" s="37">
        <f>IF('Enrollment Census'!G472="","",TRIM('Enrollment Census'!G472&amp;""))</f>
        <v/>
      </c>
      <c r="H472" s="37">
        <f>IF('Enrollment Census'!H472="","",TRIM('Enrollment Census'!H472&amp;""))</f>
        <v/>
      </c>
      <c r="I472" s="36">
        <f>IF('Enrollment Census'!I472="","",TRIM('Enrollment Census'!I472&amp;""))</f>
        <v/>
      </c>
      <c r="J472" s="36">
        <f>IF('Enrollment Census'!J472="","",TRIM('Enrollment Census'!J472&amp;""))</f>
        <v/>
      </c>
      <c r="K472" s="36">
        <f>IF('Enrollment Census'!K472="","",TRIM('Enrollment Census'!K472&amp;""))</f>
        <v/>
      </c>
      <c r="L472" s="38">
        <f>IF('Enrollment Census'!L472="","",'Enrollment Census'!L472)</f>
        <v/>
      </c>
      <c r="M472" s="36">
        <f>IF('Enrollment Census'!M472="","",TRIM('Enrollment Census'!M472&amp;""))</f>
        <v/>
      </c>
      <c r="N472" s="36">
        <f>IF('Enrollment Census'!N472="","",LOWER(TRIM('Enrollment Census'!N472&amp;"")))</f>
        <v/>
      </c>
      <c r="O472" s="36">
        <f>IF('Enrollment Census'!O472="","",TRIM('Enrollment Census'!O472&amp;""))</f>
        <v/>
      </c>
      <c r="P472" s="38">
        <f>IF('Enrollment Census'!P472="","",'Enrollment Census'!P472)</f>
        <v/>
      </c>
      <c r="Q472" s="38">
        <f>IF('Enrollment Census'!Q472="","",'Enrollment Census'!Q472)</f>
        <v/>
      </c>
      <c r="R472" s="36">
        <f>IF('Enrollment Census'!R472="","",TRIM('Enrollment Census'!R472&amp;""))</f>
        <v/>
      </c>
      <c r="S472" s="36">
        <f>IF('Enrollment Census'!S472="","",TRIM('Enrollment Census'!S472&amp;""))</f>
        <v/>
      </c>
      <c r="T472" s="36">
        <f>IF('Enrollment Census'!T472="","",TRIM('Enrollment Census'!T472&amp;""))</f>
        <v/>
      </c>
      <c r="U472" s="39">
        <f>IF('Enrollment Census'!U472="","",'Enrollment Census'!U472)</f>
        <v/>
      </c>
    </row>
    <row r="473">
      <c r="A473" s="36">
        <f>IF('Enrollment Census'!A473="","",TRIM('Enrollment Census'!A473&amp;""))</f>
        <v/>
      </c>
      <c r="B473" s="36">
        <f>IF('Enrollment Census'!B473="","",TRIM('Enrollment Census'!B473&amp;""))</f>
        <v/>
      </c>
      <c r="C473" s="37">
        <f>IF('Enrollment Census'!C473="","",TRIM('Enrollment Census'!C473&amp;""))</f>
        <v/>
      </c>
      <c r="D473" s="37">
        <f>IF('Enrollment Census'!D473="","",TRIM('Enrollment Census'!D473&amp;""))</f>
        <v/>
      </c>
      <c r="E473" s="36">
        <f>IF('Enrollment Census'!E473="","",TRIM('Enrollment Census'!E473&amp;""))</f>
        <v/>
      </c>
      <c r="F473" s="37">
        <f>IF('Enrollment Census'!F473="","",TRIM('Enrollment Census'!F473&amp;""))</f>
        <v/>
      </c>
      <c r="G473" s="37">
        <f>IF('Enrollment Census'!G473="","",TRIM('Enrollment Census'!G473&amp;""))</f>
        <v/>
      </c>
      <c r="H473" s="37">
        <f>IF('Enrollment Census'!H473="","",TRIM('Enrollment Census'!H473&amp;""))</f>
        <v/>
      </c>
      <c r="I473" s="36">
        <f>IF('Enrollment Census'!I473="","",TRIM('Enrollment Census'!I473&amp;""))</f>
        <v/>
      </c>
      <c r="J473" s="36">
        <f>IF('Enrollment Census'!J473="","",TRIM('Enrollment Census'!J473&amp;""))</f>
        <v/>
      </c>
      <c r="K473" s="36">
        <f>IF('Enrollment Census'!K473="","",TRIM('Enrollment Census'!K473&amp;""))</f>
        <v/>
      </c>
      <c r="L473" s="38">
        <f>IF('Enrollment Census'!L473="","",'Enrollment Census'!L473)</f>
        <v/>
      </c>
      <c r="M473" s="36">
        <f>IF('Enrollment Census'!M473="","",TRIM('Enrollment Census'!M473&amp;""))</f>
        <v/>
      </c>
      <c r="N473" s="36">
        <f>IF('Enrollment Census'!N473="","",LOWER(TRIM('Enrollment Census'!N473&amp;"")))</f>
        <v/>
      </c>
      <c r="O473" s="36">
        <f>IF('Enrollment Census'!O473="","",TRIM('Enrollment Census'!O473&amp;""))</f>
        <v/>
      </c>
      <c r="P473" s="38">
        <f>IF('Enrollment Census'!P473="","",'Enrollment Census'!P473)</f>
        <v/>
      </c>
      <c r="Q473" s="38">
        <f>IF('Enrollment Census'!Q473="","",'Enrollment Census'!Q473)</f>
        <v/>
      </c>
      <c r="R473" s="36">
        <f>IF('Enrollment Census'!R473="","",TRIM('Enrollment Census'!R473&amp;""))</f>
        <v/>
      </c>
      <c r="S473" s="36">
        <f>IF('Enrollment Census'!S473="","",TRIM('Enrollment Census'!S473&amp;""))</f>
        <v/>
      </c>
      <c r="T473" s="36">
        <f>IF('Enrollment Census'!T473="","",TRIM('Enrollment Census'!T473&amp;""))</f>
        <v/>
      </c>
      <c r="U473" s="39">
        <f>IF('Enrollment Census'!U473="","",'Enrollment Census'!U473)</f>
        <v/>
      </c>
    </row>
    <row r="474">
      <c r="A474" s="36">
        <f>IF('Enrollment Census'!A474="","",TRIM('Enrollment Census'!A474&amp;""))</f>
        <v/>
      </c>
      <c r="B474" s="36">
        <f>IF('Enrollment Census'!B474="","",TRIM('Enrollment Census'!B474&amp;""))</f>
        <v/>
      </c>
      <c r="C474" s="37">
        <f>IF('Enrollment Census'!C474="","",TRIM('Enrollment Census'!C474&amp;""))</f>
        <v/>
      </c>
      <c r="D474" s="37">
        <f>IF('Enrollment Census'!D474="","",TRIM('Enrollment Census'!D474&amp;""))</f>
        <v/>
      </c>
      <c r="E474" s="36">
        <f>IF('Enrollment Census'!E474="","",TRIM('Enrollment Census'!E474&amp;""))</f>
        <v/>
      </c>
      <c r="F474" s="37">
        <f>IF('Enrollment Census'!F474="","",TRIM('Enrollment Census'!F474&amp;""))</f>
        <v/>
      </c>
      <c r="G474" s="37">
        <f>IF('Enrollment Census'!G474="","",TRIM('Enrollment Census'!G474&amp;""))</f>
        <v/>
      </c>
      <c r="H474" s="37">
        <f>IF('Enrollment Census'!H474="","",TRIM('Enrollment Census'!H474&amp;""))</f>
        <v/>
      </c>
      <c r="I474" s="36">
        <f>IF('Enrollment Census'!I474="","",TRIM('Enrollment Census'!I474&amp;""))</f>
        <v/>
      </c>
      <c r="J474" s="36">
        <f>IF('Enrollment Census'!J474="","",TRIM('Enrollment Census'!J474&amp;""))</f>
        <v/>
      </c>
      <c r="K474" s="36">
        <f>IF('Enrollment Census'!K474="","",TRIM('Enrollment Census'!K474&amp;""))</f>
        <v/>
      </c>
      <c r="L474" s="38">
        <f>IF('Enrollment Census'!L474="","",'Enrollment Census'!L474)</f>
        <v/>
      </c>
      <c r="M474" s="36">
        <f>IF('Enrollment Census'!M474="","",TRIM('Enrollment Census'!M474&amp;""))</f>
        <v/>
      </c>
      <c r="N474" s="36">
        <f>IF('Enrollment Census'!N474="","",LOWER(TRIM('Enrollment Census'!N474&amp;"")))</f>
        <v/>
      </c>
      <c r="O474" s="36">
        <f>IF('Enrollment Census'!O474="","",TRIM('Enrollment Census'!O474&amp;""))</f>
        <v/>
      </c>
      <c r="P474" s="38">
        <f>IF('Enrollment Census'!P474="","",'Enrollment Census'!P474)</f>
        <v/>
      </c>
      <c r="Q474" s="38">
        <f>IF('Enrollment Census'!Q474="","",'Enrollment Census'!Q474)</f>
        <v/>
      </c>
      <c r="R474" s="36">
        <f>IF('Enrollment Census'!R474="","",TRIM('Enrollment Census'!R474&amp;""))</f>
        <v/>
      </c>
      <c r="S474" s="36">
        <f>IF('Enrollment Census'!S474="","",TRIM('Enrollment Census'!S474&amp;""))</f>
        <v/>
      </c>
      <c r="T474" s="36">
        <f>IF('Enrollment Census'!T474="","",TRIM('Enrollment Census'!T474&amp;""))</f>
        <v/>
      </c>
      <c r="U474" s="39">
        <f>IF('Enrollment Census'!U474="","",'Enrollment Census'!U474)</f>
        <v/>
      </c>
    </row>
    <row r="475">
      <c r="A475" s="36">
        <f>IF('Enrollment Census'!A475="","",TRIM('Enrollment Census'!A475&amp;""))</f>
        <v/>
      </c>
      <c r="B475" s="36">
        <f>IF('Enrollment Census'!B475="","",TRIM('Enrollment Census'!B475&amp;""))</f>
        <v/>
      </c>
      <c r="C475" s="37">
        <f>IF('Enrollment Census'!C475="","",TRIM('Enrollment Census'!C475&amp;""))</f>
        <v/>
      </c>
      <c r="D475" s="37">
        <f>IF('Enrollment Census'!D475="","",TRIM('Enrollment Census'!D475&amp;""))</f>
        <v/>
      </c>
      <c r="E475" s="36">
        <f>IF('Enrollment Census'!E475="","",TRIM('Enrollment Census'!E475&amp;""))</f>
        <v/>
      </c>
      <c r="F475" s="37">
        <f>IF('Enrollment Census'!F475="","",TRIM('Enrollment Census'!F475&amp;""))</f>
        <v/>
      </c>
      <c r="G475" s="37">
        <f>IF('Enrollment Census'!G475="","",TRIM('Enrollment Census'!G475&amp;""))</f>
        <v/>
      </c>
      <c r="H475" s="37">
        <f>IF('Enrollment Census'!H475="","",TRIM('Enrollment Census'!H475&amp;""))</f>
        <v/>
      </c>
      <c r="I475" s="36">
        <f>IF('Enrollment Census'!I475="","",TRIM('Enrollment Census'!I475&amp;""))</f>
        <v/>
      </c>
      <c r="J475" s="36">
        <f>IF('Enrollment Census'!J475="","",TRIM('Enrollment Census'!J475&amp;""))</f>
        <v/>
      </c>
      <c r="K475" s="36">
        <f>IF('Enrollment Census'!K475="","",TRIM('Enrollment Census'!K475&amp;""))</f>
        <v/>
      </c>
      <c r="L475" s="38">
        <f>IF('Enrollment Census'!L475="","",'Enrollment Census'!L475)</f>
        <v/>
      </c>
      <c r="M475" s="36">
        <f>IF('Enrollment Census'!M475="","",TRIM('Enrollment Census'!M475&amp;""))</f>
        <v/>
      </c>
      <c r="N475" s="36">
        <f>IF('Enrollment Census'!N475="","",LOWER(TRIM('Enrollment Census'!N475&amp;"")))</f>
        <v/>
      </c>
      <c r="O475" s="36">
        <f>IF('Enrollment Census'!O475="","",TRIM('Enrollment Census'!O475&amp;""))</f>
        <v/>
      </c>
      <c r="P475" s="38">
        <f>IF('Enrollment Census'!P475="","",'Enrollment Census'!P475)</f>
        <v/>
      </c>
      <c r="Q475" s="38">
        <f>IF('Enrollment Census'!Q475="","",'Enrollment Census'!Q475)</f>
        <v/>
      </c>
      <c r="R475" s="36">
        <f>IF('Enrollment Census'!R475="","",TRIM('Enrollment Census'!R475&amp;""))</f>
        <v/>
      </c>
      <c r="S475" s="36">
        <f>IF('Enrollment Census'!S475="","",TRIM('Enrollment Census'!S475&amp;""))</f>
        <v/>
      </c>
      <c r="T475" s="36">
        <f>IF('Enrollment Census'!T475="","",TRIM('Enrollment Census'!T475&amp;""))</f>
        <v/>
      </c>
      <c r="U475" s="39">
        <f>IF('Enrollment Census'!U475="","",'Enrollment Census'!U475)</f>
        <v/>
      </c>
    </row>
    <row r="476">
      <c r="A476" s="36">
        <f>IF('Enrollment Census'!A476="","",TRIM('Enrollment Census'!A476&amp;""))</f>
        <v/>
      </c>
      <c r="B476" s="36">
        <f>IF('Enrollment Census'!B476="","",TRIM('Enrollment Census'!B476&amp;""))</f>
        <v/>
      </c>
      <c r="C476" s="37">
        <f>IF('Enrollment Census'!C476="","",TRIM('Enrollment Census'!C476&amp;""))</f>
        <v/>
      </c>
      <c r="D476" s="37">
        <f>IF('Enrollment Census'!D476="","",TRIM('Enrollment Census'!D476&amp;""))</f>
        <v/>
      </c>
      <c r="E476" s="36">
        <f>IF('Enrollment Census'!E476="","",TRIM('Enrollment Census'!E476&amp;""))</f>
        <v/>
      </c>
      <c r="F476" s="37">
        <f>IF('Enrollment Census'!F476="","",TRIM('Enrollment Census'!F476&amp;""))</f>
        <v/>
      </c>
      <c r="G476" s="37">
        <f>IF('Enrollment Census'!G476="","",TRIM('Enrollment Census'!G476&amp;""))</f>
        <v/>
      </c>
      <c r="H476" s="37">
        <f>IF('Enrollment Census'!H476="","",TRIM('Enrollment Census'!H476&amp;""))</f>
        <v/>
      </c>
      <c r="I476" s="36">
        <f>IF('Enrollment Census'!I476="","",TRIM('Enrollment Census'!I476&amp;""))</f>
        <v/>
      </c>
      <c r="J476" s="36">
        <f>IF('Enrollment Census'!J476="","",TRIM('Enrollment Census'!J476&amp;""))</f>
        <v/>
      </c>
      <c r="K476" s="36">
        <f>IF('Enrollment Census'!K476="","",TRIM('Enrollment Census'!K476&amp;""))</f>
        <v/>
      </c>
      <c r="L476" s="38">
        <f>IF('Enrollment Census'!L476="","",'Enrollment Census'!L476)</f>
        <v/>
      </c>
      <c r="M476" s="36">
        <f>IF('Enrollment Census'!M476="","",TRIM('Enrollment Census'!M476&amp;""))</f>
        <v/>
      </c>
      <c r="N476" s="36">
        <f>IF('Enrollment Census'!N476="","",LOWER(TRIM('Enrollment Census'!N476&amp;"")))</f>
        <v/>
      </c>
      <c r="O476" s="36">
        <f>IF('Enrollment Census'!O476="","",TRIM('Enrollment Census'!O476&amp;""))</f>
        <v/>
      </c>
      <c r="P476" s="38">
        <f>IF('Enrollment Census'!P476="","",'Enrollment Census'!P476)</f>
        <v/>
      </c>
      <c r="Q476" s="38">
        <f>IF('Enrollment Census'!Q476="","",'Enrollment Census'!Q476)</f>
        <v/>
      </c>
      <c r="R476" s="36">
        <f>IF('Enrollment Census'!R476="","",TRIM('Enrollment Census'!R476&amp;""))</f>
        <v/>
      </c>
      <c r="S476" s="36">
        <f>IF('Enrollment Census'!S476="","",TRIM('Enrollment Census'!S476&amp;""))</f>
        <v/>
      </c>
      <c r="T476" s="36">
        <f>IF('Enrollment Census'!T476="","",TRIM('Enrollment Census'!T476&amp;""))</f>
        <v/>
      </c>
      <c r="U476" s="39">
        <f>IF('Enrollment Census'!U476="","",'Enrollment Census'!U476)</f>
        <v/>
      </c>
    </row>
    <row r="477">
      <c r="A477" s="36">
        <f>IF('Enrollment Census'!A477="","",TRIM('Enrollment Census'!A477&amp;""))</f>
        <v/>
      </c>
      <c r="B477" s="36">
        <f>IF('Enrollment Census'!B477="","",TRIM('Enrollment Census'!B477&amp;""))</f>
        <v/>
      </c>
      <c r="C477" s="37">
        <f>IF('Enrollment Census'!C477="","",TRIM('Enrollment Census'!C477&amp;""))</f>
        <v/>
      </c>
      <c r="D477" s="37">
        <f>IF('Enrollment Census'!D477="","",TRIM('Enrollment Census'!D477&amp;""))</f>
        <v/>
      </c>
      <c r="E477" s="36">
        <f>IF('Enrollment Census'!E477="","",TRIM('Enrollment Census'!E477&amp;""))</f>
        <v/>
      </c>
      <c r="F477" s="37">
        <f>IF('Enrollment Census'!F477="","",TRIM('Enrollment Census'!F477&amp;""))</f>
        <v/>
      </c>
      <c r="G477" s="37">
        <f>IF('Enrollment Census'!G477="","",TRIM('Enrollment Census'!G477&amp;""))</f>
        <v/>
      </c>
      <c r="H477" s="37">
        <f>IF('Enrollment Census'!H477="","",TRIM('Enrollment Census'!H477&amp;""))</f>
        <v/>
      </c>
      <c r="I477" s="36">
        <f>IF('Enrollment Census'!I477="","",TRIM('Enrollment Census'!I477&amp;""))</f>
        <v/>
      </c>
      <c r="J477" s="36">
        <f>IF('Enrollment Census'!J477="","",TRIM('Enrollment Census'!J477&amp;""))</f>
        <v/>
      </c>
      <c r="K477" s="36">
        <f>IF('Enrollment Census'!K477="","",TRIM('Enrollment Census'!K477&amp;""))</f>
        <v/>
      </c>
      <c r="L477" s="38">
        <f>IF('Enrollment Census'!L477="","",'Enrollment Census'!L477)</f>
        <v/>
      </c>
      <c r="M477" s="36">
        <f>IF('Enrollment Census'!M477="","",TRIM('Enrollment Census'!M477&amp;""))</f>
        <v/>
      </c>
      <c r="N477" s="36">
        <f>IF('Enrollment Census'!N477="","",LOWER(TRIM('Enrollment Census'!N477&amp;"")))</f>
        <v/>
      </c>
      <c r="O477" s="36">
        <f>IF('Enrollment Census'!O477="","",TRIM('Enrollment Census'!O477&amp;""))</f>
        <v/>
      </c>
      <c r="P477" s="38">
        <f>IF('Enrollment Census'!P477="","",'Enrollment Census'!P477)</f>
        <v/>
      </c>
      <c r="Q477" s="38">
        <f>IF('Enrollment Census'!Q477="","",'Enrollment Census'!Q477)</f>
        <v/>
      </c>
      <c r="R477" s="36">
        <f>IF('Enrollment Census'!R477="","",TRIM('Enrollment Census'!R477&amp;""))</f>
        <v/>
      </c>
      <c r="S477" s="36">
        <f>IF('Enrollment Census'!S477="","",TRIM('Enrollment Census'!S477&amp;""))</f>
        <v/>
      </c>
      <c r="T477" s="36">
        <f>IF('Enrollment Census'!T477="","",TRIM('Enrollment Census'!T477&amp;""))</f>
        <v/>
      </c>
      <c r="U477" s="39">
        <f>IF('Enrollment Census'!U477="","",'Enrollment Census'!U477)</f>
        <v/>
      </c>
    </row>
    <row r="478">
      <c r="A478" s="36">
        <f>IF('Enrollment Census'!A478="","",TRIM('Enrollment Census'!A478&amp;""))</f>
        <v/>
      </c>
      <c r="B478" s="36">
        <f>IF('Enrollment Census'!B478="","",TRIM('Enrollment Census'!B478&amp;""))</f>
        <v/>
      </c>
      <c r="C478" s="37">
        <f>IF('Enrollment Census'!C478="","",TRIM('Enrollment Census'!C478&amp;""))</f>
        <v/>
      </c>
      <c r="D478" s="37">
        <f>IF('Enrollment Census'!D478="","",TRIM('Enrollment Census'!D478&amp;""))</f>
        <v/>
      </c>
      <c r="E478" s="36">
        <f>IF('Enrollment Census'!E478="","",TRIM('Enrollment Census'!E478&amp;""))</f>
        <v/>
      </c>
      <c r="F478" s="37">
        <f>IF('Enrollment Census'!F478="","",TRIM('Enrollment Census'!F478&amp;""))</f>
        <v/>
      </c>
      <c r="G478" s="37">
        <f>IF('Enrollment Census'!G478="","",TRIM('Enrollment Census'!G478&amp;""))</f>
        <v/>
      </c>
      <c r="H478" s="37">
        <f>IF('Enrollment Census'!H478="","",TRIM('Enrollment Census'!H478&amp;""))</f>
        <v/>
      </c>
      <c r="I478" s="36">
        <f>IF('Enrollment Census'!I478="","",TRIM('Enrollment Census'!I478&amp;""))</f>
        <v/>
      </c>
      <c r="J478" s="36">
        <f>IF('Enrollment Census'!J478="","",TRIM('Enrollment Census'!J478&amp;""))</f>
        <v/>
      </c>
      <c r="K478" s="36">
        <f>IF('Enrollment Census'!K478="","",TRIM('Enrollment Census'!K478&amp;""))</f>
        <v/>
      </c>
      <c r="L478" s="38">
        <f>IF('Enrollment Census'!L478="","",'Enrollment Census'!L478)</f>
        <v/>
      </c>
      <c r="M478" s="36">
        <f>IF('Enrollment Census'!M478="","",TRIM('Enrollment Census'!M478&amp;""))</f>
        <v/>
      </c>
      <c r="N478" s="36">
        <f>IF('Enrollment Census'!N478="","",LOWER(TRIM('Enrollment Census'!N478&amp;"")))</f>
        <v/>
      </c>
      <c r="O478" s="36">
        <f>IF('Enrollment Census'!O478="","",TRIM('Enrollment Census'!O478&amp;""))</f>
        <v/>
      </c>
      <c r="P478" s="38">
        <f>IF('Enrollment Census'!P478="","",'Enrollment Census'!P478)</f>
        <v/>
      </c>
      <c r="Q478" s="38">
        <f>IF('Enrollment Census'!Q478="","",'Enrollment Census'!Q478)</f>
        <v/>
      </c>
      <c r="R478" s="36">
        <f>IF('Enrollment Census'!R478="","",TRIM('Enrollment Census'!R478&amp;""))</f>
        <v/>
      </c>
      <c r="S478" s="36">
        <f>IF('Enrollment Census'!S478="","",TRIM('Enrollment Census'!S478&amp;""))</f>
        <v/>
      </c>
      <c r="T478" s="36">
        <f>IF('Enrollment Census'!T478="","",TRIM('Enrollment Census'!T478&amp;""))</f>
        <v/>
      </c>
      <c r="U478" s="39">
        <f>IF('Enrollment Census'!U478="","",'Enrollment Census'!U478)</f>
        <v/>
      </c>
    </row>
    <row r="479">
      <c r="A479" s="36">
        <f>IF('Enrollment Census'!A479="","",TRIM('Enrollment Census'!A479&amp;""))</f>
        <v/>
      </c>
      <c r="B479" s="36">
        <f>IF('Enrollment Census'!B479="","",TRIM('Enrollment Census'!B479&amp;""))</f>
        <v/>
      </c>
      <c r="C479" s="37">
        <f>IF('Enrollment Census'!C479="","",TRIM('Enrollment Census'!C479&amp;""))</f>
        <v/>
      </c>
      <c r="D479" s="37">
        <f>IF('Enrollment Census'!D479="","",TRIM('Enrollment Census'!D479&amp;""))</f>
        <v/>
      </c>
      <c r="E479" s="36">
        <f>IF('Enrollment Census'!E479="","",TRIM('Enrollment Census'!E479&amp;""))</f>
        <v/>
      </c>
      <c r="F479" s="37">
        <f>IF('Enrollment Census'!F479="","",TRIM('Enrollment Census'!F479&amp;""))</f>
        <v/>
      </c>
      <c r="G479" s="37">
        <f>IF('Enrollment Census'!G479="","",TRIM('Enrollment Census'!G479&amp;""))</f>
        <v/>
      </c>
      <c r="H479" s="37">
        <f>IF('Enrollment Census'!H479="","",TRIM('Enrollment Census'!H479&amp;""))</f>
        <v/>
      </c>
      <c r="I479" s="36">
        <f>IF('Enrollment Census'!I479="","",TRIM('Enrollment Census'!I479&amp;""))</f>
        <v/>
      </c>
      <c r="J479" s="36">
        <f>IF('Enrollment Census'!J479="","",TRIM('Enrollment Census'!J479&amp;""))</f>
        <v/>
      </c>
      <c r="K479" s="36">
        <f>IF('Enrollment Census'!K479="","",TRIM('Enrollment Census'!K479&amp;""))</f>
        <v/>
      </c>
      <c r="L479" s="38">
        <f>IF('Enrollment Census'!L479="","",'Enrollment Census'!L479)</f>
        <v/>
      </c>
      <c r="M479" s="36">
        <f>IF('Enrollment Census'!M479="","",TRIM('Enrollment Census'!M479&amp;""))</f>
        <v/>
      </c>
      <c r="N479" s="36">
        <f>IF('Enrollment Census'!N479="","",LOWER(TRIM('Enrollment Census'!N479&amp;"")))</f>
        <v/>
      </c>
      <c r="O479" s="36">
        <f>IF('Enrollment Census'!O479="","",TRIM('Enrollment Census'!O479&amp;""))</f>
        <v/>
      </c>
      <c r="P479" s="38">
        <f>IF('Enrollment Census'!P479="","",'Enrollment Census'!P479)</f>
        <v/>
      </c>
      <c r="Q479" s="38">
        <f>IF('Enrollment Census'!Q479="","",'Enrollment Census'!Q479)</f>
        <v/>
      </c>
      <c r="R479" s="36">
        <f>IF('Enrollment Census'!R479="","",TRIM('Enrollment Census'!R479&amp;""))</f>
        <v/>
      </c>
      <c r="S479" s="36">
        <f>IF('Enrollment Census'!S479="","",TRIM('Enrollment Census'!S479&amp;""))</f>
        <v/>
      </c>
      <c r="T479" s="36">
        <f>IF('Enrollment Census'!T479="","",TRIM('Enrollment Census'!T479&amp;""))</f>
        <v/>
      </c>
      <c r="U479" s="39">
        <f>IF('Enrollment Census'!U479="","",'Enrollment Census'!U479)</f>
        <v/>
      </c>
    </row>
    <row r="480">
      <c r="A480" s="36">
        <f>IF('Enrollment Census'!A480="","",TRIM('Enrollment Census'!A480&amp;""))</f>
        <v/>
      </c>
      <c r="B480" s="36">
        <f>IF('Enrollment Census'!B480="","",TRIM('Enrollment Census'!B480&amp;""))</f>
        <v/>
      </c>
      <c r="C480" s="37">
        <f>IF('Enrollment Census'!C480="","",TRIM('Enrollment Census'!C480&amp;""))</f>
        <v/>
      </c>
      <c r="D480" s="37">
        <f>IF('Enrollment Census'!D480="","",TRIM('Enrollment Census'!D480&amp;""))</f>
        <v/>
      </c>
      <c r="E480" s="36">
        <f>IF('Enrollment Census'!E480="","",TRIM('Enrollment Census'!E480&amp;""))</f>
        <v/>
      </c>
      <c r="F480" s="37">
        <f>IF('Enrollment Census'!F480="","",TRIM('Enrollment Census'!F480&amp;""))</f>
        <v/>
      </c>
      <c r="G480" s="37">
        <f>IF('Enrollment Census'!G480="","",TRIM('Enrollment Census'!G480&amp;""))</f>
        <v/>
      </c>
      <c r="H480" s="37">
        <f>IF('Enrollment Census'!H480="","",TRIM('Enrollment Census'!H480&amp;""))</f>
        <v/>
      </c>
      <c r="I480" s="36">
        <f>IF('Enrollment Census'!I480="","",TRIM('Enrollment Census'!I480&amp;""))</f>
        <v/>
      </c>
      <c r="J480" s="36">
        <f>IF('Enrollment Census'!J480="","",TRIM('Enrollment Census'!J480&amp;""))</f>
        <v/>
      </c>
      <c r="K480" s="36">
        <f>IF('Enrollment Census'!K480="","",TRIM('Enrollment Census'!K480&amp;""))</f>
        <v/>
      </c>
      <c r="L480" s="38">
        <f>IF('Enrollment Census'!L480="","",'Enrollment Census'!L480)</f>
        <v/>
      </c>
      <c r="M480" s="36">
        <f>IF('Enrollment Census'!M480="","",TRIM('Enrollment Census'!M480&amp;""))</f>
        <v/>
      </c>
      <c r="N480" s="36">
        <f>IF('Enrollment Census'!N480="","",LOWER(TRIM('Enrollment Census'!N480&amp;"")))</f>
        <v/>
      </c>
      <c r="O480" s="36">
        <f>IF('Enrollment Census'!O480="","",TRIM('Enrollment Census'!O480&amp;""))</f>
        <v/>
      </c>
      <c r="P480" s="38">
        <f>IF('Enrollment Census'!P480="","",'Enrollment Census'!P480)</f>
        <v/>
      </c>
      <c r="Q480" s="38">
        <f>IF('Enrollment Census'!Q480="","",'Enrollment Census'!Q480)</f>
        <v/>
      </c>
      <c r="R480" s="36">
        <f>IF('Enrollment Census'!R480="","",TRIM('Enrollment Census'!R480&amp;""))</f>
        <v/>
      </c>
      <c r="S480" s="36">
        <f>IF('Enrollment Census'!S480="","",TRIM('Enrollment Census'!S480&amp;""))</f>
        <v/>
      </c>
      <c r="T480" s="36">
        <f>IF('Enrollment Census'!T480="","",TRIM('Enrollment Census'!T480&amp;""))</f>
        <v/>
      </c>
      <c r="U480" s="39">
        <f>IF('Enrollment Census'!U480="","",'Enrollment Census'!U480)</f>
        <v/>
      </c>
    </row>
    <row r="481">
      <c r="A481" s="36">
        <f>IF('Enrollment Census'!A481="","",TRIM('Enrollment Census'!A481&amp;""))</f>
        <v/>
      </c>
      <c r="B481" s="36">
        <f>IF('Enrollment Census'!B481="","",TRIM('Enrollment Census'!B481&amp;""))</f>
        <v/>
      </c>
      <c r="C481" s="37">
        <f>IF('Enrollment Census'!C481="","",TRIM('Enrollment Census'!C481&amp;""))</f>
        <v/>
      </c>
      <c r="D481" s="37">
        <f>IF('Enrollment Census'!D481="","",TRIM('Enrollment Census'!D481&amp;""))</f>
        <v/>
      </c>
      <c r="E481" s="36">
        <f>IF('Enrollment Census'!E481="","",TRIM('Enrollment Census'!E481&amp;""))</f>
        <v/>
      </c>
      <c r="F481" s="37">
        <f>IF('Enrollment Census'!F481="","",TRIM('Enrollment Census'!F481&amp;""))</f>
        <v/>
      </c>
      <c r="G481" s="37">
        <f>IF('Enrollment Census'!G481="","",TRIM('Enrollment Census'!G481&amp;""))</f>
        <v/>
      </c>
      <c r="H481" s="37">
        <f>IF('Enrollment Census'!H481="","",TRIM('Enrollment Census'!H481&amp;""))</f>
        <v/>
      </c>
      <c r="I481" s="36">
        <f>IF('Enrollment Census'!I481="","",TRIM('Enrollment Census'!I481&amp;""))</f>
        <v/>
      </c>
      <c r="J481" s="36">
        <f>IF('Enrollment Census'!J481="","",TRIM('Enrollment Census'!J481&amp;""))</f>
        <v/>
      </c>
      <c r="K481" s="36">
        <f>IF('Enrollment Census'!K481="","",TRIM('Enrollment Census'!K481&amp;""))</f>
        <v/>
      </c>
      <c r="L481" s="38">
        <f>IF('Enrollment Census'!L481="","",'Enrollment Census'!L481)</f>
        <v/>
      </c>
      <c r="M481" s="36">
        <f>IF('Enrollment Census'!M481="","",TRIM('Enrollment Census'!M481&amp;""))</f>
        <v/>
      </c>
      <c r="N481" s="36">
        <f>IF('Enrollment Census'!N481="","",LOWER(TRIM('Enrollment Census'!N481&amp;"")))</f>
        <v/>
      </c>
      <c r="O481" s="36">
        <f>IF('Enrollment Census'!O481="","",TRIM('Enrollment Census'!O481&amp;""))</f>
        <v/>
      </c>
      <c r="P481" s="38">
        <f>IF('Enrollment Census'!P481="","",'Enrollment Census'!P481)</f>
        <v/>
      </c>
      <c r="Q481" s="38">
        <f>IF('Enrollment Census'!Q481="","",'Enrollment Census'!Q481)</f>
        <v/>
      </c>
      <c r="R481" s="36">
        <f>IF('Enrollment Census'!R481="","",TRIM('Enrollment Census'!R481&amp;""))</f>
        <v/>
      </c>
      <c r="S481" s="36">
        <f>IF('Enrollment Census'!S481="","",TRIM('Enrollment Census'!S481&amp;""))</f>
        <v/>
      </c>
      <c r="T481" s="36">
        <f>IF('Enrollment Census'!T481="","",TRIM('Enrollment Census'!T481&amp;""))</f>
        <v/>
      </c>
      <c r="U481" s="39">
        <f>IF('Enrollment Census'!U481="","",'Enrollment Census'!U481)</f>
        <v/>
      </c>
    </row>
    <row r="482">
      <c r="A482" s="36">
        <f>IF('Enrollment Census'!A482="","",TRIM('Enrollment Census'!A482&amp;""))</f>
        <v/>
      </c>
      <c r="B482" s="36">
        <f>IF('Enrollment Census'!B482="","",TRIM('Enrollment Census'!B482&amp;""))</f>
        <v/>
      </c>
      <c r="C482" s="37">
        <f>IF('Enrollment Census'!C482="","",TRIM('Enrollment Census'!C482&amp;""))</f>
        <v/>
      </c>
      <c r="D482" s="37">
        <f>IF('Enrollment Census'!D482="","",TRIM('Enrollment Census'!D482&amp;""))</f>
        <v/>
      </c>
      <c r="E482" s="36">
        <f>IF('Enrollment Census'!E482="","",TRIM('Enrollment Census'!E482&amp;""))</f>
        <v/>
      </c>
      <c r="F482" s="37">
        <f>IF('Enrollment Census'!F482="","",TRIM('Enrollment Census'!F482&amp;""))</f>
        <v/>
      </c>
      <c r="G482" s="37">
        <f>IF('Enrollment Census'!G482="","",TRIM('Enrollment Census'!G482&amp;""))</f>
        <v/>
      </c>
      <c r="H482" s="37">
        <f>IF('Enrollment Census'!H482="","",TRIM('Enrollment Census'!H482&amp;""))</f>
        <v/>
      </c>
      <c r="I482" s="36">
        <f>IF('Enrollment Census'!I482="","",TRIM('Enrollment Census'!I482&amp;""))</f>
        <v/>
      </c>
      <c r="J482" s="36">
        <f>IF('Enrollment Census'!J482="","",TRIM('Enrollment Census'!J482&amp;""))</f>
        <v/>
      </c>
      <c r="K482" s="36">
        <f>IF('Enrollment Census'!K482="","",TRIM('Enrollment Census'!K482&amp;""))</f>
        <v/>
      </c>
      <c r="L482" s="38">
        <f>IF('Enrollment Census'!L482="","",'Enrollment Census'!L482)</f>
        <v/>
      </c>
      <c r="M482" s="36">
        <f>IF('Enrollment Census'!M482="","",TRIM('Enrollment Census'!M482&amp;""))</f>
        <v/>
      </c>
      <c r="N482" s="36">
        <f>IF('Enrollment Census'!N482="","",LOWER(TRIM('Enrollment Census'!N482&amp;"")))</f>
        <v/>
      </c>
      <c r="O482" s="36">
        <f>IF('Enrollment Census'!O482="","",TRIM('Enrollment Census'!O482&amp;""))</f>
        <v/>
      </c>
      <c r="P482" s="38">
        <f>IF('Enrollment Census'!P482="","",'Enrollment Census'!P482)</f>
        <v/>
      </c>
      <c r="Q482" s="38">
        <f>IF('Enrollment Census'!Q482="","",'Enrollment Census'!Q482)</f>
        <v/>
      </c>
      <c r="R482" s="36">
        <f>IF('Enrollment Census'!R482="","",TRIM('Enrollment Census'!R482&amp;""))</f>
        <v/>
      </c>
      <c r="S482" s="36">
        <f>IF('Enrollment Census'!S482="","",TRIM('Enrollment Census'!S482&amp;""))</f>
        <v/>
      </c>
      <c r="T482" s="36">
        <f>IF('Enrollment Census'!T482="","",TRIM('Enrollment Census'!T482&amp;""))</f>
        <v/>
      </c>
      <c r="U482" s="39">
        <f>IF('Enrollment Census'!U482="","",'Enrollment Census'!U482)</f>
        <v/>
      </c>
    </row>
    <row r="483">
      <c r="A483" s="36">
        <f>IF('Enrollment Census'!A483="","",TRIM('Enrollment Census'!A483&amp;""))</f>
        <v/>
      </c>
      <c r="B483" s="36">
        <f>IF('Enrollment Census'!B483="","",TRIM('Enrollment Census'!B483&amp;""))</f>
        <v/>
      </c>
      <c r="C483" s="37">
        <f>IF('Enrollment Census'!C483="","",TRIM('Enrollment Census'!C483&amp;""))</f>
        <v/>
      </c>
      <c r="D483" s="37">
        <f>IF('Enrollment Census'!D483="","",TRIM('Enrollment Census'!D483&amp;""))</f>
        <v/>
      </c>
      <c r="E483" s="36">
        <f>IF('Enrollment Census'!E483="","",TRIM('Enrollment Census'!E483&amp;""))</f>
        <v/>
      </c>
      <c r="F483" s="37">
        <f>IF('Enrollment Census'!F483="","",TRIM('Enrollment Census'!F483&amp;""))</f>
        <v/>
      </c>
      <c r="G483" s="37">
        <f>IF('Enrollment Census'!G483="","",TRIM('Enrollment Census'!G483&amp;""))</f>
        <v/>
      </c>
      <c r="H483" s="37">
        <f>IF('Enrollment Census'!H483="","",TRIM('Enrollment Census'!H483&amp;""))</f>
        <v/>
      </c>
      <c r="I483" s="36">
        <f>IF('Enrollment Census'!I483="","",TRIM('Enrollment Census'!I483&amp;""))</f>
        <v/>
      </c>
      <c r="J483" s="36">
        <f>IF('Enrollment Census'!J483="","",TRIM('Enrollment Census'!J483&amp;""))</f>
        <v/>
      </c>
      <c r="K483" s="36">
        <f>IF('Enrollment Census'!K483="","",TRIM('Enrollment Census'!K483&amp;""))</f>
        <v/>
      </c>
      <c r="L483" s="38">
        <f>IF('Enrollment Census'!L483="","",'Enrollment Census'!L483)</f>
        <v/>
      </c>
      <c r="M483" s="36">
        <f>IF('Enrollment Census'!M483="","",TRIM('Enrollment Census'!M483&amp;""))</f>
        <v/>
      </c>
      <c r="N483" s="36">
        <f>IF('Enrollment Census'!N483="","",LOWER(TRIM('Enrollment Census'!N483&amp;"")))</f>
        <v/>
      </c>
      <c r="O483" s="36">
        <f>IF('Enrollment Census'!O483="","",TRIM('Enrollment Census'!O483&amp;""))</f>
        <v/>
      </c>
      <c r="P483" s="38">
        <f>IF('Enrollment Census'!P483="","",'Enrollment Census'!P483)</f>
        <v/>
      </c>
      <c r="Q483" s="38">
        <f>IF('Enrollment Census'!Q483="","",'Enrollment Census'!Q483)</f>
        <v/>
      </c>
      <c r="R483" s="36">
        <f>IF('Enrollment Census'!R483="","",TRIM('Enrollment Census'!R483&amp;""))</f>
        <v/>
      </c>
      <c r="S483" s="36">
        <f>IF('Enrollment Census'!S483="","",TRIM('Enrollment Census'!S483&amp;""))</f>
        <v/>
      </c>
      <c r="T483" s="36">
        <f>IF('Enrollment Census'!T483="","",TRIM('Enrollment Census'!T483&amp;""))</f>
        <v/>
      </c>
      <c r="U483" s="39">
        <f>IF('Enrollment Census'!U483="","",'Enrollment Census'!U483)</f>
        <v/>
      </c>
    </row>
    <row r="484">
      <c r="A484" s="36">
        <f>IF('Enrollment Census'!A484="","",TRIM('Enrollment Census'!A484&amp;""))</f>
        <v/>
      </c>
      <c r="B484" s="36">
        <f>IF('Enrollment Census'!B484="","",TRIM('Enrollment Census'!B484&amp;""))</f>
        <v/>
      </c>
      <c r="C484" s="37">
        <f>IF('Enrollment Census'!C484="","",TRIM('Enrollment Census'!C484&amp;""))</f>
        <v/>
      </c>
      <c r="D484" s="37">
        <f>IF('Enrollment Census'!D484="","",TRIM('Enrollment Census'!D484&amp;""))</f>
        <v/>
      </c>
      <c r="E484" s="36">
        <f>IF('Enrollment Census'!E484="","",TRIM('Enrollment Census'!E484&amp;""))</f>
        <v/>
      </c>
      <c r="F484" s="37">
        <f>IF('Enrollment Census'!F484="","",TRIM('Enrollment Census'!F484&amp;""))</f>
        <v/>
      </c>
      <c r="G484" s="37">
        <f>IF('Enrollment Census'!G484="","",TRIM('Enrollment Census'!G484&amp;""))</f>
        <v/>
      </c>
      <c r="H484" s="37">
        <f>IF('Enrollment Census'!H484="","",TRIM('Enrollment Census'!H484&amp;""))</f>
        <v/>
      </c>
      <c r="I484" s="36">
        <f>IF('Enrollment Census'!I484="","",TRIM('Enrollment Census'!I484&amp;""))</f>
        <v/>
      </c>
      <c r="J484" s="36">
        <f>IF('Enrollment Census'!J484="","",TRIM('Enrollment Census'!J484&amp;""))</f>
        <v/>
      </c>
      <c r="K484" s="36">
        <f>IF('Enrollment Census'!K484="","",TRIM('Enrollment Census'!K484&amp;""))</f>
        <v/>
      </c>
      <c r="L484" s="38">
        <f>IF('Enrollment Census'!L484="","",'Enrollment Census'!L484)</f>
        <v/>
      </c>
      <c r="M484" s="36">
        <f>IF('Enrollment Census'!M484="","",TRIM('Enrollment Census'!M484&amp;""))</f>
        <v/>
      </c>
      <c r="N484" s="36">
        <f>IF('Enrollment Census'!N484="","",LOWER(TRIM('Enrollment Census'!N484&amp;"")))</f>
        <v/>
      </c>
      <c r="O484" s="36">
        <f>IF('Enrollment Census'!O484="","",TRIM('Enrollment Census'!O484&amp;""))</f>
        <v/>
      </c>
      <c r="P484" s="38">
        <f>IF('Enrollment Census'!P484="","",'Enrollment Census'!P484)</f>
        <v/>
      </c>
      <c r="Q484" s="38">
        <f>IF('Enrollment Census'!Q484="","",'Enrollment Census'!Q484)</f>
        <v/>
      </c>
      <c r="R484" s="36">
        <f>IF('Enrollment Census'!R484="","",TRIM('Enrollment Census'!R484&amp;""))</f>
        <v/>
      </c>
      <c r="S484" s="36">
        <f>IF('Enrollment Census'!S484="","",TRIM('Enrollment Census'!S484&amp;""))</f>
        <v/>
      </c>
      <c r="T484" s="36">
        <f>IF('Enrollment Census'!T484="","",TRIM('Enrollment Census'!T484&amp;""))</f>
        <v/>
      </c>
      <c r="U484" s="39">
        <f>IF('Enrollment Census'!U484="","",'Enrollment Census'!U484)</f>
        <v/>
      </c>
    </row>
    <row r="485">
      <c r="A485" s="36">
        <f>IF('Enrollment Census'!A485="","",TRIM('Enrollment Census'!A485&amp;""))</f>
        <v/>
      </c>
      <c r="B485" s="36">
        <f>IF('Enrollment Census'!B485="","",TRIM('Enrollment Census'!B485&amp;""))</f>
        <v/>
      </c>
      <c r="C485" s="37">
        <f>IF('Enrollment Census'!C485="","",TRIM('Enrollment Census'!C485&amp;""))</f>
        <v/>
      </c>
      <c r="D485" s="37">
        <f>IF('Enrollment Census'!D485="","",TRIM('Enrollment Census'!D485&amp;""))</f>
        <v/>
      </c>
      <c r="E485" s="36">
        <f>IF('Enrollment Census'!E485="","",TRIM('Enrollment Census'!E485&amp;""))</f>
        <v/>
      </c>
      <c r="F485" s="37">
        <f>IF('Enrollment Census'!F485="","",TRIM('Enrollment Census'!F485&amp;""))</f>
        <v/>
      </c>
      <c r="G485" s="37">
        <f>IF('Enrollment Census'!G485="","",TRIM('Enrollment Census'!G485&amp;""))</f>
        <v/>
      </c>
      <c r="H485" s="37">
        <f>IF('Enrollment Census'!H485="","",TRIM('Enrollment Census'!H485&amp;""))</f>
        <v/>
      </c>
      <c r="I485" s="36">
        <f>IF('Enrollment Census'!I485="","",TRIM('Enrollment Census'!I485&amp;""))</f>
        <v/>
      </c>
      <c r="J485" s="36">
        <f>IF('Enrollment Census'!J485="","",TRIM('Enrollment Census'!J485&amp;""))</f>
        <v/>
      </c>
      <c r="K485" s="36">
        <f>IF('Enrollment Census'!K485="","",TRIM('Enrollment Census'!K485&amp;""))</f>
        <v/>
      </c>
      <c r="L485" s="38">
        <f>IF('Enrollment Census'!L485="","",'Enrollment Census'!L485)</f>
        <v/>
      </c>
      <c r="M485" s="36">
        <f>IF('Enrollment Census'!M485="","",TRIM('Enrollment Census'!M485&amp;""))</f>
        <v/>
      </c>
      <c r="N485" s="36">
        <f>IF('Enrollment Census'!N485="","",LOWER(TRIM('Enrollment Census'!N485&amp;"")))</f>
        <v/>
      </c>
      <c r="O485" s="36">
        <f>IF('Enrollment Census'!O485="","",TRIM('Enrollment Census'!O485&amp;""))</f>
        <v/>
      </c>
      <c r="P485" s="38">
        <f>IF('Enrollment Census'!P485="","",'Enrollment Census'!P485)</f>
        <v/>
      </c>
      <c r="Q485" s="38">
        <f>IF('Enrollment Census'!Q485="","",'Enrollment Census'!Q485)</f>
        <v/>
      </c>
      <c r="R485" s="36">
        <f>IF('Enrollment Census'!R485="","",TRIM('Enrollment Census'!R485&amp;""))</f>
        <v/>
      </c>
      <c r="S485" s="36">
        <f>IF('Enrollment Census'!S485="","",TRIM('Enrollment Census'!S485&amp;""))</f>
        <v/>
      </c>
      <c r="T485" s="36">
        <f>IF('Enrollment Census'!T485="","",TRIM('Enrollment Census'!T485&amp;""))</f>
        <v/>
      </c>
      <c r="U485" s="39">
        <f>IF('Enrollment Census'!U485="","",'Enrollment Census'!U485)</f>
        <v/>
      </c>
    </row>
    <row r="486">
      <c r="A486" s="36">
        <f>IF('Enrollment Census'!A486="","",TRIM('Enrollment Census'!A486&amp;""))</f>
        <v/>
      </c>
      <c r="B486" s="36">
        <f>IF('Enrollment Census'!B486="","",TRIM('Enrollment Census'!B486&amp;""))</f>
        <v/>
      </c>
      <c r="C486" s="37">
        <f>IF('Enrollment Census'!C486="","",TRIM('Enrollment Census'!C486&amp;""))</f>
        <v/>
      </c>
      <c r="D486" s="37">
        <f>IF('Enrollment Census'!D486="","",TRIM('Enrollment Census'!D486&amp;""))</f>
        <v/>
      </c>
      <c r="E486" s="36">
        <f>IF('Enrollment Census'!E486="","",TRIM('Enrollment Census'!E486&amp;""))</f>
        <v/>
      </c>
      <c r="F486" s="37">
        <f>IF('Enrollment Census'!F486="","",TRIM('Enrollment Census'!F486&amp;""))</f>
        <v/>
      </c>
      <c r="G486" s="37">
        <f>IF('Enrollment Census'!G486="","",TRIM('Enrollment Census'!G486&amp;""))</f>
        <v/>
      </c>
      <c r="H486" s="37">
        <f>IF('Enrollment Census'!H486="","",TRIM('Enrollment Census'!H486&amp;""))</f>
        <v/>
      </c>
      <c r="I486" s="36">
        <f>IF('Enrollment Census'!I486="","",TRIM('Enrollment Census'!I486&amp;""))</f>
        <v/>
      </c>
      <c r="J486" s="36">
        <f>IF('Enrollment Census'!J486="","",TRIM('Enrollment Census'!J486&amp;""))</f>
        <v/>
      </c>
      <c r="K486" s="36">
        <f>IF('Enrollment Census'!K486="","",TRIM('Enrollment Census'!K486&amp;""))</f>
        <v/>
      </c>
      <c r="L486" s="38">
        <f>IF('Enrollment Census'!L486="","",'Enrollment Census'!L486)</f>
        <v/>
      </c>
      <c r="M486" s="36">
        <f>IF('Enrollment Census'!M486="","",TRIM('Enrollment Census'!M486&amp;""))</f>
        <v/>
      </c>
      <c r="N486" s="36">
        <f>IF('Enrollment Census'!N486="","",LOWER(TRIM('Enrollment Census'!N486&amp;"")))</f>
        <v/>
      </c>
      <c r="O486" s="36">
        <f>IF('Enrollment Census'!O486="","",TRIM('Enrollment Census'!O486&amp;""))</f>
        <v/>
      </c>
      <c r="P486" s="38">
        <f>IF('Enrollment Census'!P486="","",'Enrollment Census'!P486)</f>
        <v/>
      </c>
      <c r="Q486" s="38">
        <f>IF('Enrollment Census'!Q486="","",'Enrollment Census'!Q486)</f>
        <v/>
      </c>
      <c r="R486" s="36">
        <f>IF('Enrollment Census'!R486="","",TRIM('Enrollment Census'!R486&amp;""))</f>
        <v/>
      </c>
      <c r="S486" s="36">
        <f>IF('Enrollment Census'!S486="","",TRIM('Enrollment Census'!S486&amp;""))</f>
        <v/>
      </c>
      <c r="T486" s="36">
        <f>IF('Enrollment Census'!T486="","",TRIM('Enrollment Census'!T486&amp;""))</f>
        <v/>
      </c>
      <c r="U486" s="39">
        <f>IF('Enrollment Census'!U486="","",'Enrollment Census'!U486)</f>
        <v/>
      </c>
    </row>
    <row r="487">
      <c r="A487" s="36">
        <f>IF('Enrollment Census'!A487="","",TRIM('Enrollment Census'!A487&amp;""))</f>
        <v/>
      </c>
      <c r="B487" s="36">
        <f>IF('Enrollment Census'!B487="","",TRIM('Enrollment Census'!B487&amp;""))</f>
        <v/>
      </c>
      <c r="C487" s="37">
        <f>IF('Enrollment Census'!C487="","",TRIM('Enrollment Census'!C487&amp;""))</f>
        <v/>
      </c>
      <c r="D487" s="37">
        <f>IF('Enrollment Census'!D487="","",TRIM('Enrollment Census'!D487&amp;""))</f>
        <v/>
      </c>
      <c r="E487" s="36">
        <f>IF('Enrollment Census'!E487="","",TRIM('Enrollment Census'!E487&amp;""))</f>
        <v/>
      </c>
      <c r="F487" s="37">
        <f>IF('Enrollment Census'!F487="","",TRIM('Enrollment Census'!F487&amp;""))</f>
        <v/>
      </c>
      <c r="G487" s="37">
        <f>IF('Enrollment Census'!G487="","",TRIM('Enrollment Census'!G487&amp;""))</f>
        <v/>
      </c>
      <c r="H487" s="37">
        <f>IF('Enrollment Census'!H487="","",TRIM('Enrollment Census'!H487&amp;""))</f>
        <v/>
      </c>
      <c r="I487" s="36">
        <f>IF('Enrollment Census'!I487="","",TRIM('Enrollment Census'!I487&amp;""))</f>
        <v/>
      </c>
      <c r="J487" s="36">
        <f>IF('Enrollment Census'!J487="","",TRIM('Enrollment Census'!J487&amp;""))</f>
        <v/>
      </c>
      <c r="K487" s="36">
        <f>IF('Enrollment Census'!K487="","",TRIM('Enrollment Census'!K487&amp;""))</f>
        <v/>
      </c>
      <c r="L487" s="38">
        <f>IF('Enrollment Census'!L487="","",'Enrollment Census'!L487)</f>
        <v/>
      </c>
      <c r="M487" s="36">
        <f>IF('Enrollment Census'!M487="","",TRIM('Enrollment Census'!M487&amp;""))</f>
        <v/>
      </c>
      <c r="N487" s="36">
        <f>IF('Enrollment Census'!N487="","",LOWER(TRIM('Enrollment Census'!N487&amp;"")))</f>
        <v/>
      </c>
      <c r="O487" s="36">
        <f>IF('Enrollment Census'!O487="","",TRIM('Enrollment Census'!O487&amp;""))</f>
        <v/>
      </c>
      <c r="P487" s="38">
        <f>IF('Enrollment Census'!P487="","",'Enrollment Census'!P487)</f>
        <v/>
      </c>
      <c r="Q487" s="38">
        <f>IF('Enrollment Census'!Q487="","",'Enrollment Census'!Q487)</f>
        <v/>
      </c>
      <c r="R487" s="36">
        <f>IF('Enrollment Census'!R487="","",TRIM('Enrollment Census'!R487&amp;""))</f>
        <v/>
      </c>
      <c r="S487" s="36">
        <f>IF('Enrollment Census'!S487="","",TRIM('Enrollment Census'!S487&amp;""))</f>
        <v/>
      </c>
      <c r="T487" s="36">
        <f>IF('Enrollment Census'!T487="","",TRIM('Enrollment Census'!T487&amp;""))</f>
        <v/>
      </c>
      <c r="U487" s="39">
        <f>IF('Enrollment Census'!U487="","",'Enrollment Census'!U487)</f>
        <v/>
      </c>
    </row>
    <row r="488">
      <c r="A488" s="36">
        <f>IF('Enrollment Census'!A488="","",TRIM('Enrollment Census'!A488&amp;""))</f>
        <v/>
      </c>
      <c r="B488" s="36">
        <f>IF('Enrollment Census'!B488="","",TRIM('Enrollment Census'!B488&amp;""))</f>
        <v/>
      </c>
      <c r="C488" s="37">
        <f>IF('Enrollment Census'!C488="","",TRIM('Enrollment Census'!C488&amp;""))</f>
        <v/>
      </c>
      <c r="D488" s="37">
        <f>IF('Enrollment Census'!D488="","",TRIM('Enrollment Census'!D488&amp;""))</f>
        <v/>
      </c>
      <c r="E488" s="36">
        <f>IF('Enrollment Census'!E488="","",TRIM('Enrollment Census'!E488&amp;""))</f>
        <v/>
      </c>
      <c r="F488" s="37">
        <f>IF('Enrollment Census'!F488="","",TRIM('Enrollment Census'!F488&amp;""))</f>
        <v/>
      </c>
      <c r="G488" s="37">
        <f>IF('Enrollment Census'!G488="","",TRIM('Enrollment Census'!G488&amp;""))</f>
        <v/>
      </c>
      <c r="H488" s="37">
        <f>IF('Enrollment Census'!H488="","",TRIM('Enrollment Census'!H488&amp;""))</f>
        <v/>
      </c>
      <c r="I488" s="36">
        <f>IF('Enrollment Census'!I488="","",TRIM('Enrollment Census'!I488&amp;""))</f>
        <v/>
      </c>
      <c r="J488" s="36">
        <f>IF('Enrollment Census'!J488="","",TRIM('Enrollment Census'!J488&amp;""))</f>
        <v/>
      </c>
      <c r="K488" s="36">
        <f>IF('Enrollment Census'!K488="","",TRIM('Enrollment Census'!K488&amp;""))</f>
        <v/>
      </c>
      <c r="L488" s="38">
        <f>IF('Enrollment Census'!L488="","",'Enrollment Census'!L488)</f>
        <v/>
      </c>
      <c r="M488" s="36">
        <f>IF('Enrollment Census'!M488="","",TRIM('Enrollment Census'!M488&amp;""))</f>
        <v/>
      </c>
      <c r="N488" s="36">
        <f>IF('Enrollment Census'!N488="","",LOWER(TRIM('Enrollment Census'!N488&amp;"")))</f>
        <v/>
      </c>
      <c r="O488" s="36">
        <f>IF('Enrollment Census'!O488="","",TRIM('Enrollment Census'!O488&amp;""))</f>
        <v/>
      </c>
      <c r="P488" s="38">
        <f>IF('Enrollment Census'!P488="","",'Enrollment Census'!P488)</f>
        <v/>
      </c>
      <c r="Q488" s="38">
        <f>IF('Enrollment Census'!Q488="","",'Enrollment Census'!Q488)</f>
        <v/>
      </c>
      <c r="R488" s="36">
        <f>IF('Enrollment Census'!R488="","",TRIM('Enrollment Census'!R488&amp;""))</f>
        <v/>
      </c>
      <c r="S488" s="36">
        <f>IF('Enrollment Census'!S488="","",TRIM('Enrollment Census'!S488&amp;""))</f>
        <v/>
      </c>
      <c r="T488" s="36">
        <f>IF('Enrollment Census'!T488="","",TRIM('Enrollment Census'!T488&amp;""))</f>
        <v/>
      </c>
      <c r="U488" s="39">
        <f>IF('Enrollment Census'!U488="","",'Enrollment Census'!U488)</f>
        <v/>
      </c>
    </row>
    <row r="489">
      <c r="A489" s="36">
        <f>IF('Enrollment Census'!A489="","",TRIM('Enrollment Census'!A489&amp;""))</f>
        <v/>
      </c>
      <c r="B489" s="36">
        <f>IF('Enrollment Census'!B489="","",TRIM('Enrollment Census'!B489&amp;""))</f>
        <v/>
      </c>
      <c r="C489" s="37">
        <f>IF('Enrollment Census'!C489="","",TRIM('Enrollment Census'!C489&amp;""))</f>
        <v/>
      </c>
      <c r="D489" s="37">
        <f>IF('Enrollment Census'!D489="","",TRIM('Enrollment Census'!D489&amp;""))</f>
        <v/>
      </c>
      <c r="E489" s="36">
        <f>IF('Enrollment Census'!E489="","",TRIM('Enrollment Census'!E489&amp;""))</f>
        <v/>
      </c>
      <c r="F489" s="37">
        <f>IF('Enrollment Census'!F489="","",TRIM('Enrollment Census'!F489&amp;""))</f>
        <v/>
      </c>
      <c r="G489" s="37">
        <f>IF('Enrollment Census'!G489="","",TRIM('Enrollment Census'!G489&amp;""))</f>
        <v/>
      </c>
      <c r="H489" s="37">
        <f>IF('Enrollment Census'!H489="","",TRIM('Enrollment Census'!H489&amp;""))</f>
        <v/>
      </c>
      <c r="I489" s="36">
        <f>IF('Enrollment Census'!I489="","",TRIM('Enrollment Census'!I489&amp;""))</f>
        <v/>
      </c>
      <c r="J489" s="36">
        <f>IF('Enrollment Census'!J489="","",TRIM('Enrollment Census'!J489&amp;""))</f>
        <v/>
      </c>
      <c r="K489" s="36">
        <f>IF('Enrollment Census'!K489="","",TRIM('Enrollment Census'!K489&amp;""))</f>
        <v/>
      </c>
      <c r="L489" s="38">
        <f>IF('Enrollment Census'!L489="","",'Enrollment Census'!L489)</f>
        <v/>
      </c>
      <c r="M489" s="36">
        <f>IF('Enrollment Census'!M489="","",TRIM('Enrollment Census'!M489&amp;""))</f>
        <v/>
      </c>
      <c r="N489" s="36">
        <f>IF('Enrollment Census'!N489="","",LOWER(TRIM('Enrollment Census'!N489&amp;"")))</f>
        <v/>
      </c>
      <c r="O489" s="36">
        <f>IF('Enrollment Census'!O489="","",TRIM('Enrollment Census'!O489&amp;""))</f>
        <v/>
      </c>
      <c r="P489" s="38">
        <f>IF('Enrollment Census'!P489="","",'Enrollment Census'!P489)</f>
        <v/>
      </c>
      <c r="Q489" s="38">
        <f>IF('Enrollment Census'!Q489="","",'Enrollment Census'!Q489)</f>
        <v/>
      </c>
      <c r="R489" s="36">
        <f>IF('Enrollment Census'!R489="","",TRIM('Enrollment Census'!R489&amp;""))</f>
        <v/>
      </c>
      <c r="S489" s="36">
        <f>IF('Enrollment Census'!S489="","",TRIM('Enrollment Census'!S489&amp;""))</f>
        <v/>
      </c>
      <c r="T489" s="36">
        <f>IF('Enrollment Census'!T489="","",TRIM('Enrollment Census'!T489&amp;""))</f>
        <v/>
      </c>
      <c r="U489" s="39">
        <f>IF('Enrollment Census'!U489="","",'Enrollment Census'!U489)</f>
        <v/>
      </c>
    </row>
    <row r="490">
      <c r="A490" s="36">
        <f>IF('Enrollment Census'!A490="","",TRIM('Enrollment Census'!A490&amp;""))</f>
        <v/>
      </c>
      <c r="B490" s="36">
        <f>IF('Enrollment Census'!B490="","",TRIM('Enrollment Census'!B490&amp;""))</f>
        <v/>
      </c>
      <c r="C490" s="37">
        <f>IF('Enrollment Census'!C490="","",TRIM('Enrollment Census'!C490&amp;""))</f>
        <v/>
      </c>
      <c r="D490" s="37">
        <f>IF('Enrollment Census'!D490="","",TRIM('Enrollment Census'!D490&amp;""))</f>
        <v/>
      </c>
      <c r="E490" s="36">
        <f>IF('Enrollment Census'!E490="","",TRIM('Enrollment Census'!E490&amp;""))</f>
        <v/>
      </c>
      <c r="F490" s="37">
        <f>IF('Enrollment Census'!F490="","",TRIM('Enrollment Census'!F490&amp;""))</f>
        <v/>
      </c>
      <c r="G490" s="37">
        <f>IF('Enrollment Census'!G490="","",TRIM('Enrollment Census'!G490&amp;""))</f>
        <v/>
      </c>
      <c r="H490" s="37">
        <f>IF('Enrollment Census'!H490="","",TRIM('Enrollment Census'!H490&amp;""))</f>
        <v/>
      </c>
      <c r="I490" s="36">
        <f>IF('Enrollment Census'!I490="","",TRIM('Enrollment Census'!I490&amp;""))</f>
        <v/>
      </c>
      <c r="J490" s="36">
        <f>IF('Enrollment Census'!J490="","",TRIM('Enrollment Census'!J490&amp;""))</f>
        <v/>
      </c>
      <c r="K490" s="36">
        <f>IF('Enrollment Census'!K490="","",TRIM('Enrollment Census'!K490&amp;""))</f>
        <v/>
      </c>
      <c r="L490" s="38">
        <f>IF('Enrollment Census'!L490="","",'Enrollment Census'!L490)</f>
        <v/>
      </c>
      <c r="M490" s="36">
        <f>IF('Enrollment Census'!M490="","",TRIM('Enrollment Census'!M490&amp;""))</f>
        <v/>
      </c>
      <c r="N490" s="36">
        <f>IF('Enrollment Census'!N490="","",LOWER(TRIM('Enrollment Census'!N490&amp;"")))</f>
        <v/>
      </c>
      <c r="O490" s="36">
        <f>IF('Enrollment Census'!O490="","",TRIM('Enrollment Census'!O490&amp;""))</f>
        <v/>
      </c>
      <c r="P490" s="38">
        <f>IF('Enrollment Census'!P490="","",'Enrollment Census'!P490)</f>
        <v/>
      </c>
      <c r="Q490" s="38">
        <f>IF('Enrollment Census'!Q490="","",'Enrollment Census'!Q490)</f>
        <v/>
      </c>
      <c r="R490" s="36">
        <f>IF('Enrollment Census'!R490="","",TRIM('Enrollment Census'!R490&amp;""))</f>
        <v/>
      </c>
      <c r="S490" s="36">
        <f>IF('Enrollment Census'!S490="","",TRIM('Enrollment Census'!S490&amp;""))</f>
        <v/>
      </c>
      <c r="T490" s="36">
        <f>IF('Enrollment Census'!T490="","",TRIM('Enrollment Census'!T490&amp;""))</f>
        <v/>
      </c>
      <c r="U490" s="39">
        <f>IF('Enrollment Census'!U490="","",'Enrollment Census'!U490)</f>
        <v/>
      </c>
    </row>
    <row r="491">
      <c r="A491" s="36">
        <f>IF('Enrollment Census'!A491="","",TRIM('Enrollment Census'!A491&amp;""))</f>
        <v/>
      </c>
      <c r="B491" s="36">
        <f>IF('Enrollment Census'!B491="","",TRIM('Enrollment Census'!B491&amp;""))</f>
        <v/>
      </c>
      <c r="C491" s="37">
        <f>IF('Enrollment Census'!C491="","",TRIM('Enrollment Census'!C491&amp;""))</f>
        <v/>
      </c>
      <c r="D491" s="37">
        <f>IF('Enrollment Census'!D491="","",TRIM('Enrollment Census'!D491&amp;""))</f>
        <v/>
      </c>
      <c r="E491" s="36">
        <f>IF('Enrollment Census'!E491="","",TRIM('Enrollment Census'!E491&amp;""))</f>
        <v/>
      </c>
      <c r="F491" s="37">
        <f>IF('Enrollment Census'!F491="","",TRIM('Enrollment Census'!F491&amp;""))</f>
        <v/>
      </c>
      <c r="G491" s="37">
        <f>IF('Enrollment Census'!G491="","",TRIM('Enrollment Census'!G491&amp;""))</f>
        <v/>
      </c>
      <c r="H491" s="37">
        <f>IF('Enrollment Census'!H491="","",TRIM('Enrollment Census'!H491&amp;""))</f>
        <v/>
      </c>
      <c r="I491" s="36">
        <f>IF('Enrollment Census'!I491="","",TRIM('Enrollment Census'!I491&amp;""))</f>
        <v/>
      </c>
      <c r="J491" s="36">
        <f>IF('Enrollment Census'!J491="","",TRIM('Enrollment Census'!J491&amp;""))</f>
        <v/>
      </c>
      <c r="K491" s="36">
        <f>IF('Enrollment Census'!K491="","",TRIM('Enrollment Census'!K491&amp;""))</f>
        <v/>
      </c>
      <c r="L491" s="38">
        <f>IF('Enrollment Census'!L491="","",'Enrollment Census'!L491)</f>
        <v/>
      </c>
      <c r="M491" s="36">
        <f>IF('Enrollment Census'!M491="","",TRIM('Enrollment Census'!M491&amp;""))</f>
        <v/>
      </c>
      <c r="N491" s="36">
        <f>IF('Enrollment Census'!N491="","",LOWER(TRIM('Enrollment Census'!N491&amp;"")))</f>
        <v/>
      </c>
      <c r="O491" s="36">
        <f>IF('Enrollment Census'!O491="","",TRIM('Enrollment Census'!O491&amp;""))</f>
        <v/>
      </c>
      <c r="P491" s="38">
        <f>IF('Enrollment Census'!P491="","",'Enrollment Census'!P491)</f>
        <v/>
      </c>
      <c r="Q491" s="38">
        <f>IF('Enrollment Census'!Q491="","",'Enrollment Census'!Q491)</f>
        <v/>
      </c>
      <c r="R491" s="36">
        <f>IF('Enrollment Census'!R491="","",TRIM('Enrollment Census'!R491&amp;""))</f>
        <v/>
      </c>
      <c r="S491" s="36">
        <f>IF('Enrollment Census'!S491="","",TRIM('Enrollment Census'!S491&amp;""))</f>
        <v/>
      </c>
      <c r="T491" s="36">
        <f>IF('Enrollment Census'!T491="","",TRIM('Enrollment Census'!T491&amp;""))</f>
        <v/>
      </c>
      <c r="U491" s="39">
        <f>IF('Enrollment Census'!U491="","",'Enrollment Census'!U491)</f>
        <v/>
      </c>
    </row>
    <row r="492">
      <c r="A492" s="36">
        <f>IF('Enrollment Census'!A492="","",TRIM('Enrollment Census'!A492&amp;""))</f>
        <v/>
      </c>
      <c r="B492" s="36">
        <f>IF('Enrollment Census'!B492="","",TRIM('Enrollment Census'!B492&amp;""))</f>
        <v/>
      </c>
      <c r="C492" s="37">
        <f>IF('Enrollment Census'!C492="","",TRIM('Enrollment Census'!C492&amp;""))</f>
        <v/>
      </c>
      <c r="D492" s="37">
        <f>IF('Enrollment Census'!D492="","",TRIM('Enrollment Census'!D492&amp;""))</f>
        <v/>
      </c>
      <c r="E492" s="36">
        <f>IF('Enrollment Census'!E492="","",TRIM('Enrollment Census'!E492&amp;""))</f>
        <v/>
      </c>
      <c r="F492" s="37">
        <f>IF('Enrollment Census'!F492="","",TRIM('Enrollment Census'!F492&amp;""))</f>
        <v/>
      </c>
      <c r="G492" s="37">
        <f>IF('Enrollment Census'!G492="","",TRIM('Enrollment Census'!G492&amp;""))</f>
        <v/>
      </c>
      <c r="H492" s="37">
        <f>IF('Enrollment Census'!H492="","",TRIM('Enrollment Census'!H492&amp;""))</f>
        <v/>
      </c>
      <c r="I492" s="36">
        <f>IF('Enrollment Census'!I492="","",TRIM('Enrollment Census'!I492&amp;""))</f>
        <v/>
      </c>
      <c r="J492" s="36">
        <f>IF('Enrollment Census'!J492="","",TRIM('Enrollment Census'!J492&amp;""))</f>
        <v/>
      </c>
      <c r="K492" s="36">
        <f>IF('Enrollment Census'!K492="","",TRIM('Enrollment Census'!K492&amp;""))</f>
        <v/>
      </c>
      <c r="L492" s="38">
        <f>IF('Enrollment Census'!L492="","",'Enrollment Census'!L492)</f>
        <v/>
      </c>
      <c r="M492" s="36">
        <f>IF('Enrollment Census'!M492="","",TRIM('Enrollment Census'!M492&amp;""))</f>
        <v/>
      </c>
      <c r="N492" s="36">
        <f>IF('Enrollment Census'!N492="","",LOWER(TRIM('Enrollment Census'!N492&amp;"")))</f>
        <v/>
      </c>
      <c r="O492" s="36">
        <f>IF('Enrollment Census'!O492="","",TRIM('Enrollment Census'!O492&amp;""))</f>
        <v/>
      </c>
      <c r="P492" s="38">
        <f>IF('Enrollment Census'!P492="","",'Enrollment Census'!P492)</f>
        <v/>
      </c>
      <c r="Q492" s="38">
        <f>IF('Enrollment Census'!Q492="","",'Enrollment Census'!Q492)</f>
        <v/>
      </c>
      <c r="R492" s="36">
        <f>IF('Enrollment Census'!R492="","",TRIM('Enrollment Census'!R492&amp;""))</f>
        <v/>
      </c>
      <c r="S492" s="36">
        <f>IF('Enrollment Census'!S492="","",TRIM('Enrollment Census'!S492&amp;""))</f>
        <v/>
      </c>
      <c r="T492" s="36">
        <f>IF('Enrollment Census'!T492="","",TRIM('Enrollment Census'!T492&amp;""))</f>
        <v/>
      </c>
      <c r="U492" s="39">
        <f>IF('Enrollment Census'!U492="","",'Enrollment Census'!U492)</f>
        <v/>
      </c>
    </row>
    <row r="493">
      <c r="A493" s="36">
        <f>IF('Enrollment Census'!A493="","",TRIM('Enrollment Census'!A493&amp;""))</f>
        <v/>
      </c>
      <c r="B493" s="36">
        <f>IF('Enrollment Census'!B493="","",TRIM('Enrollment Census'!B493&amp;""))</f>
        <v/>
      </c>
      <c r="C493" s="37">
        <f>IF('Enrollment Census'!C493="","",TRIM('Enrollment Census'!C493&amp;""))</f>
        <v/>
      </c>
      <c r="D493" s="37">
        <f>IF('Enrollment Census'!D493="","",TRIM('Enrollment Census'!D493&amp;""))</f>
        <v/>
      </c>
      <c r="E493" s="36">
        <f>IF('Enrollment Census'!E493="","",TRIM('Enrollment Census'!E493&amp;""))</f>
        <v/>
      </c>
      <c r="F493" s="37">
        <f>IF('Enrollment Census'!F493="","",TRIM('Enrollment Census'!F493&amp;""))</f>
        <v/>
      </c>
      <c r="G493" s="37">
        <f>IF('Enrollment Census'!G493="","",TRIM('Enrollment Census'!G493&amp;""))</f>
        <v/>
      </c>
      <c r="H493" s="37">
        <f>IF('Enrollment Census'!H493="","",TRIM('Enrollment Census'!H493&amp;""))</f>
        <v/>
      </c>
      <c r="I493" s="36">
        <f>IF('Enrollment Census'!I493="","",TRIM('Enrollment Census'!I493&amp;""))</f>
        <v/>
      </c>
      <c r="J493" s="36">
        <f>IF('Enrollment Census'!J493="","",TRIM('Enrollment Census'!J493&amp;""))</f>
        <v/>
      </c>
      <c r="K493" s="36">
        <f>IF('Enrollment Census'!K493="","",TRIM('Enrollment Census'!K493&amp;""))</f>
        <v/>
      </c>
      <c r="L493" s="38">
        <f>IF('Enrollment Census'!L493="","",'Enrollment Census'!L493)</f>
        <v/>
      </c>
      <c r="M493" s="36">
        <f>IF('Enrollment Census'!M493="","",TRIM('Enrollment Census'!M493&amp;""))</f>
        <v/>
      </c>
      <c r="N493" s="36">
        <f>IF('Enrollment Census'!N493="","",LOWER(TRIM('Enrollment Census'!N493&amp;"")))</f>
        <v/>
      </c>
      <c r="O493" s="36">
        <f>IF('Enrollment Census'!O493="","",TRIM('Enrollment Census'!O493&amp;""))</f>
        <v/>
      </c>
      <c r="P493" s="38">
        <f>IF('Enrollment Census'!P493="","",'Enrollment Census'!P493)</f>
        <v/>
      </c>
      <c r="Q493" s="38">
        <f>IF('Enrollment Census'!Q493="","",'Enrollment Census'!Q493)</f>
        <v/>
      </c>
      <c r="R493" s="36">
        <f>IF('Enrollment Census'!R493="","",TRIM('Enrollment Census'!R493&amp;""))</f>
        <v/>
      </c>
      <c r="S493" s="36">
        <f>IF('Enrollment Census'!S493="","",TRIM('Enrollment Census'!S493&amp;""))</f>
        <v/>
      </c>
      <c r="T493" s="36">
        <f>IF('Enrollment Census'!T493="","",TRIM('Enrollment Census'!T493&amp;""))</f>
        <v/>
      </c>
      <c r="U493" s="39">
        <f>IF('Enrollment Census'!U493="","",'Enrollment Census'!U493)</f>
        <v/>
      </c>
    </row>
    <row r="494">
      <c r="A494" s="36">
        <f>IF('Enrollment Census'!A494="","",TRIM('Enrollment Census'!A494&amp;""))</f>
        <v/>
      </c>
      <c r="B494" s="36">
        <f>IF('Enrollment Census'!B494="","",TRIM('Enrollment Census'!B494&amp;""))</f>
        <v/>
      </c>
      <c r="C494" s="37">
        <f>IF('Enrollment Census'!C494="","",TRIM('Enrollment Census'!C494&amp;""))</f>
        <v/>
      </c>
      <c r="D494" s="37">
        <f>IF('Enrollment Census'!D494="","",TRIM('Enrollment Census'!D494&amp;""))</f>
        <v/>
      </c>
      <c r="E494" s="36">
        <f>IF('Enrollment Census'!E494="","",TRIM('Enrollment Census'!E494&amp;""))</f>
        <v/>
      </c>
      <c r="F494" s="37">
        <f>IF('Enrollment Census'!F494="","",TRIM('Enrollment Census'!F494&amp;""))</f>
        <v/>
      </c>
      <c r="G494" s="37">
        <f>IF('Enrollment Census'!G494="","",TRIM('Enrollment Census'!G494&amp;""))</f>
        <v/>
      </c>
      <c r="H494" s="37">
        <f>IF('Enrollment Census'!H494="","",TRIM('Enrollment Census'!H494&amp;""))</f>
        <v/>
      </c>
      <c r="I494" s="36">
        <f>IF('Enrollment Census'!I494="","",TRIM('Enrollment Census'!I494&amp;""))</f>
        <v/>
      </c>
      <c r="J494" s="36">
        <f>IF('Enrollment Census'!J494="","",TRIM('Enrollment Census'!J494&amp;""))</f>
        <v/>
      </c>
      <c r="K494" s="36">
        <f>IF('Enrollment Census'!K494="","",TRIM('Enrollment Census'!K494&amp;""))</f>
        <v/>
      </c>
      <c r="L494" s="38">
        <f>IF('Enrollment Census'!L494="","",'Enrollment Census'!L494)</f>
        <v/>
      </c>
      <c r="M494" s="36">
        <f>IF('Enrollment Census'!M494="","",TRIM('Enrollment Census'!M494&amp;""))</f>
        <v/>
      </c>
      <c r="N494" s="36">
        <f>IF('Enrollment Census'!N494="","",LOWER(TRIM('Enrollment Census'!N494&amp;"")))</f>
        <v/>
      </c>
      <c r="O494" s="36">
        <f>IF('Enrollment Census'!O494="","",TRIM('Enrollment Census'!O494&amp;""))</f>
        <v/>
      </c>
      <c r="P494" s="38">
        <f>IF('Enrollment Census'!P494="","",'Enrollment Census'!P494)</f>
        <v/>
      </c>
      <c r="Q494" s="38">
        <f>IF('Enrollment Census'!Q494="","",'Enrollment Census'!Q494)</f>
        <v/>
      </c>
      <c r="R494" s="36">
        <f>IF('Enrollment Census'!R494="","",TRIM('Enrollment Census'!R494&amp;""))</f>
        <v/>
      </c>
      <c r="S494" s="36">
        <f>IF('Enrollment Census'!S494="","",TRIM('Enrollment Census'!S494&amp;""))</f>
        <v/>
      </c>
      <c r="T494" s="36">
        <f>IF('Enrollment Census'!T494="","",TRIM('Enrollment Census'!T494&amp;""))</f>
        <v/>
      </c>
      <c r="U494" s="39">
        <f>IF('Enrollment Census'!U494="","",'Enrollment Census'!U494)</f>
        <v/>
      </c>
    </row>
    <row r="495">
      <c r="A495" s="36">
        <f>IF('Enrollment Census'!A495="","",TRIM('Enrollment Census'!A495&amp;""))</f>
        <v/>
      </c>
      <c r="B495" s="36">
        <f>IF('Enrollment Census'!B495="","",TRIM('Enrollment Census'!B495&amp;""))</f>
        <v/>
      </c>
      <c r="C495" s="37">
        <f>IF('Enrollment Census'!C495="","",TRIM('Enrollment Census'!C495&amp;""))</f>
        <v/>
      </c>
      <c r="D495" s="37">
        <f>IF('Enrollment Census'!D495="","",TRIM('Enrollment Census'!D495&amp;""))</f>
        <v/>
      </c>
      <c r="E495" s="36">
        <f>IF('Enrollment Census'!E495="","",TRIM('Enrollment Census'!E495&amp;""))</f>
        <v/>
      </c>
      <c r="F495" s="37">
        <f>IF('Enrollment Census'!F495="","",TRIM('Enrollment Census'!F495&amp;""))</f>
        <v/>
      </c>
      <c r="G495" s="37">
        <f>IF('Enrollment Census'!G495="","",TRIM('Enrollment Census'!G495&amp;""))</f>
        <v/>
      </c>
      <c r="H495" s="37">
        <f>IF('Enrollment Census'!H495="","",TRIM('Enrollment Census'!H495&amp;""))</f>
        <v/>
      </c>
      <c r="I495" s="36">
        <f>IF('Enrollment Census'!I495="","",TRIM('Enrollment Census'!I495&amp;""))</f>
        <v/>
      </c>
      <c r="J495" s="36">
        <f>IF('Enrollment Census'!J495="","",TRIM('Enrollment Census'!J495&amp;""))</f>
        <v/>
      </c>
      <c r="K495" s="36">
        <f>IF('Enrollment Census'!K495="","",TRIM('Enrollment Census'!K495&amp;""))</f>
        <v/>
      </c>
      <c r="L495" s="38">
        <f>IF('Enrollment Census'!L495="","",'Enrollment Census'!L495)</f>
        <v/>
      </c>
      <c r="M495" s="36">
        <f>IF('Enrollment Census'!M495="","",TRIM('Enrollment Census'!M495&amp;""))</f>
        <v/>
      </c>
      <c r="N495" s="36">
        <f>IF('Enrollment Census'!N495="","",LOWER(TRIM('Enrollment Census'!N495&amp;"")))</f>
        <v/>
      </c>
      <c r="O495" s="36">
        <f>IF('Enrollment Census'!O495="","",TRIM('Enrollment Census'!O495&amp;""))</f>
        <v/>
      </c>
      <c r="P495" s="38">
        <f>IF('Enrollment Census'!P495="","",'Enrollment Census'!P495)</f>
        <v/>
      </c>
      <c r="Q495" s="38">
        <f>IF('Enrollment Census'!Q495="","",'Enrollment Census'!Q495)</f>
        <v/>
      </c>
      <c r="R495" s="36">
        <f>IF('Enrollment Census'!R495="","",TRIM('Enrollment Census'!R495&amp;""))</f>
        <v/>
      </c>
      <c r="S495" s="36">
        <f>IF('Enrollment Census'!S495="","",TRIM('Enrollment Census'!S495&amp;""))</f>
        <v/>
      </c>
      <c r="T495" s="36">
        <f>IF('Enrollment Census'!T495="","",TRIM('Enrollment Census'!T495&amp;""))</f>
        <v/>
      </c>
      <c r="U495" s="39">
        <f>IF('Enrollment Census'!U495="","",'Enrollment Census'!U495)</f>
        <v/>
      </c>
    </row>
    <row r="496">
      <c r="A496" s="36">
        <f>IF('Enrollment Census'!A496="","",TRIM('Enrollment Census'!A496&amp;""))</f>
        <v/>
      </c>
      <c r="B496" s="36">
        <f>IF('Enrollment Census'!B496="","",TRIM('Enrollment Census'!B496&amp;""))</f>
        <v/>
      </c>
      <c r="C496" s="37">
        <f>IF('Enrollment Census'!C496="","",TRIM('Enrollment Census'!C496&amp;""))</f>
        <v/>
      </c>
      <c r="D496" s="37">
        <f>IF('Enrollment Census'!D496="","",TRIM('Enrollment Census'!D496&amp;""))</f>
        <v/>
      </c>
      <c r="E496" s="36">
        <f>IF('Enrollment Census'!E496="","",TRIM('Enrollment Census'!E496&amp;""))</f>
        <v/>
      </c>
      <c r="F496" s="37">
        <f>IF('Enrollment Census'!F496="","",TRIM('Enrollment Census'!F496&amp;""))</f>
        <v/>
      </c>
      <c r="G496" s="37">
        <f>IF('Enrollment Census'!G496="","",TRIM('Enrollment Census'!G496&amp;""))</f>
        <v/>
      </c>
      <c r="H496" s="37">
        <f>IF('Enrollment Census'!H496="","",TRIM('Enrollment Census'!H496&amp;""))</f>
        <v/>
      </c>
      <c r="I496" s="36">
        <f>IF('Enrollment Census'!I496="","",TRIM('Enrollment Census'!I496&amp;""))</f>
        <v/>
      </c>
      <c r="J496" s="36">
        <f>IF('Enrollment Census'!J496="","",TRIM('Enrollment Census'!J496&amp;""))</f>
        <v/>
      </c>
      <c r="K496" s="36">
        <f>IF('Enrollment Census'!K496="","",TRIM('Enrollment Census'!K496&amp;""))</f>
        <v/>
      </c>
      <c r="L496" s="38">
        <f>IF('Enrollment Census'!L496="","",'Enrollment Census'!L496)</f>
        <v/>
      </c>
      <c r="M496" s="36">
        <f>IF('Enrollment Census'!M496="","",TRIM('Enrollment Census'!M496&amp;""))</f>
        <v/>
      </c>
      <c r="N496" s="36">
        <f>IF('Enrollment Census'!N496="","",LOWER(TRIM('Enrollment Census'!N496&amp;"")))</f>
        <v/>
      </c>
      <c r="O496" s="36">
        <f>IF('Enrollment Census'!O496="","",TRIM('Enrollment Census'!O496&amp;""))</f>
        <v/>
      </c>
      <c r="P496" s="38">
        <f>IF('Enrollment Census'!P496="","",'Enrollment Census'!P496)</f>
        <v/>
      </c>
      <c r="Q496" s="38">
        <f>IF('Enrollment Census'!Q496="","",'Enrollment Census'!Q496)</f>
        <v/>
      </c>
      <c r="R496" s="36">
        <f>IF('Enrollment Census'!R496="","",TRIM('Enrollment Census'!R496&amp;""))</f>
        <v/>
      </c>
      <c r="S496" s="36">
        <f>IF('Enrollment Census'!S496="","",TRIM('Enrollment Census'!S496&amp;""))</f>
        <v/>
      </c>
      <c r="T496" s="36">
        <f>IF('Enrollment Census'!T496="","",TRIM('Enrollment Census'!T496&amp;""))</f>
        <v/>
      </c>
      <c r="U496" s="39">
        <f>IF('Enrollment Census'!U496="","",'Enrollment Census'!U496)</f>
        <v/>
      </c>
    </row>
    <row r="497">
      <c r="A497" s="36">
        <f>IF('Enrollment Census'!A497="","",TRIM('Enrollment Census'!A497&amp;""))</f>
        <v/>
      </c>
      <c r="B497" s="36">
        <f>IF('Enrollment Census'!B497="","",TRIM('Enrollment Census'!B497&amp;""))</f>
        <v/>
      </c>
      <c r="C497" s="37">
        <f>IF('Enrollment Census'!C497="","",TRIM('Enrollment Census'!C497&amp;""))</f>
        <v/>
      </c>
      <c r="D497" s="37">
        <f>IF('Enrollment Census'!D497="","",TRIM('Enrollment Census'!D497&amp;""))</f>
        <v/>
      </c>
      <c r="E497" s="36">
        <f>IF('Enrollment Census'!E497="","",TRIM('Enrollment Census'!E497&amp;""))</f>
        <v/>
      </c>
      <c r="F497" s="37">
        <f>IF('Enrollment Census'!F497="","",TRIM('Enrollment Census'!F497&amp;""))</f>
        <v/>
      </c>
      <c r="G497" s="37">
        <f>IF('Enrollment Census'!G497="","",TRIM('Enrollment Census'!G497&amp;""))</f>
        <v/>
      </c>
      <c r="H497" s="37">
        <f>IF('Enrollment Census'!H497="","",TRIM('Enrollment Census'!H497&amp;""))</f>
        <v/>
      </c>
      <c r="I497" s="36">
        <f>IF('Enrollment Census'!I497="","",TRIM('Enrollment Census'!I497&amp;""))</f>
        <v/>
      </c>
      <c r="J497" s="36">
        <f>IF('Enrollment Census'!J497="","",TRIM('Enrollment Census'!J497&amp;""))</f>
        <v/>
      </c>
      <c r="K497" s="36">
        <f>IF('Enrollment Census'!K497="","",TRIM('Enrollment Census'!K497&amp;""))</f>
        <v/>
      </c>
      <c r="L497" s="38">
        <f>IF('Enrollment Census'!L497="","",'Enrollment Census'!L497)</f>
        <v/>
      </c>
      <c r="M497" s="36">
        <f>IF('Enrollment Census'!M497="","",TRIM('Enrollment Census'!M497&amp;""))</f>
        <v/>
      </c>
      <c r="N497" s="36">
        <f>IF('Enrollment Census'!N497="","",LOWER(TRIM('Enrollment Census'!N497&amp;"")))</f>
        <v/>
      </c>
      <c r="O497" s="36">
        <f>IF('Enrollment Census'!O497="","",TRIM('Enrollment Census'!O497&amp;""))</f>
        <v/>
      </c>
      <c r="P497" s="38">
        <f>IF('Enrollment Census'!P497="","",'Enrollment Census'!P497)</f>
        <v/>
      </c>
      <c r="Q497" s="38">
        <f>IF('Enrollment Census'!Q497="","",'Enrollment Census'!Q497)</f>
        <v/>
      </c>
      <c r="R497" s="36">
        <f>IF('Enrollment Census'!R497="","",TRIM('Enrollment Census'!R497&amp;""))</f>
        <v/>
      </c>
      <c r="S497" s="36">
        <f>IF('Enrollment Census'!S497="","",TRIM('Enrollment Census'!S497&amp;""))</f>
        <v/>
      </c>
      <c r="T497" s="36">
        <f>IF('Enrollment Census'!T497="","",TRIM('Enrollment Census'!T497&amp;""))</f>
        <v/>
      </c>
      <c r="U497" s="39">
        <f>IF('Enrollment Census'!U497="","",'Enrollment Census'!U497)</f>
        <v/>
      </c>
    </row>
    <row r="498">
      <c r="A498" s="36">
        <f>IF('Enrollment Census'!A498="","",TRIM('Enrollment Census'!A498&amp;""))</f>
        <v/>
      </c>
      <c r="B498" s="36">
        <f>IF('Enrollment Census'!B498="","",TRIM('Enrollment Census'!B498&amp;""))</f>
        <v/>
      </c>
      <c r="C498" s="37">
        <f>IF('Enrollment Census'!C498="","",TRIM('Enrollment Census'!C498&amp;""))</f>
        <v/>
      </c>
      <c r="D498" s="37">
        <f>IF('Enrollment Census'!D498="","",TRIM('Enrollment Census'!D498&amp;""))</f>
        <v/>
      </c>
      <c r="E498" s="36">
        <f>IF('Enrollment Census'!E498="","",TRIM('Enrollment Census'!E498&amp;""))</f>
        <v/>
      </c>
      <c r="F498" s="37">
        <f>IF('Enrollment Census'!F498="","",TRIM('Enrollment Census'!F498&amp;""))</f>
        <v/>
      </c>
      <c r="G498" s="37">
        <f>IF('Enrollment Census'!G498="","",TRIM('Enrollment Census'!G498&amp;""))</f>
        <v/>
      </c>
      <c r="H498" s="37">
        <f>IF('Enrollment Census'!H498="","",TRIM('Enrollment Census'!H498&amp;""))</f>
        <v/>
      </c>
      <c r="I498" s="36">
        <f>IF('Enrollment Census'!I498="","",TRIM('Enrollment Census'!I498&amp;""))</f>
        <v/>
      </c>
      <c r="J498" s="36">
        <f>IF('Enrollment Census'!J498="","",TRIM('Enrollment Census'!J498&amp;""))</f>
        <v/>
      </c>
      <c r="K498" s="36">
        <f>IF('Enrollment Census'!K498="","",TRIM('Enrollment Census'!K498&amp;""))</f>
        <v/>
      </c>
      <c r="L498" s="38">
        <f>IF('Enrollment Census'!L498="","",'Enrollment Census'!L498)</f>
        <v/>
      </c>
      <c r="M498" s="36">
        <f>IF('Enrollment Census'!M498="","",TRIM('Enrollment Census'!M498&amp;""))</f>
        <v/>
      </c>
      <c r="N498" s="36">
        <f>IF('Enrollment Census'!N498="","",LOWER(TRIM('Enrollment Census'!N498&amp;"")))</f>
        <v/>
      </c>
      <c r="O498" s="36">
        <f>IF('Enrollment Census'!O498="","",TRIM('Enrollment Census'!O498&amp;""))</f>
        <v/>
      </c>
      <c r="P498" s="38">
        <f>IF('Enrollment Census'!P498="","",'Enrollment Census'!P498)</f>
        <v/>
      </c>
      <c r="Q498" s="38">
        <f>IF('Enrollment Census'!Q498="","",'Enrollment Census'!Q498)</f>
        <v/>
      </c>
      <c r="R498" s="36">
        <f>IF('Enrollment Census'!R498="","",TRIM('Enrollment Census'!R498&amp;""))</f>
        <v/>
      </c>
      <c r="S498" s="36">
        <f>IF('Enrollment Census'!S498="","",TRIM('Enrollment Census'!S498&amp;""))</f>
        <v/>
      </c>
      <c r="T498" s="36">
        <f>IF('Enrollment Census'!T498="","",TRIM('Enrollment Census'!T498&amp;""))</f>
        <v/>
      </c>
      <c r="U498" s="39">
        <f>IF('Enrollment Census'!U498="","",'Enrollment Census'!U498)</f>
        <v/>
      </c>
    </row>
    <row r="499">
      <c r="A499" s="36">
        <f>IF('Enrollment Census'!A499="","",TRIM('Enrollment Census'!A499&amp;""))</f>
        <v/>
      </c>
      <c r="B499" s="36">
        <f>IF('Enrollment Census'!B499="","",TRIM('Enrollment Census'!B499&amp;""))</f>
        <v/>
      </c>
      <c r="C499" s="37">
        <f>IF('Enrollment Census'!C499="","",TRIM('Enrollment Census'!C499&amp;""))</f>
        <v/>
      </c>
      <c r="D499" s="37">
        <f>IF('Enrollment Census'!D499="","",TRIM('Enrollment Census'!D499&amp;""))</f>
        <v/>
      </c>
      <c r="E499" s="36">
        <f>IF('Enrollment Census'!E499="","",TRIM('Enrollment Census'!E499&amp;""))</f>
        <v/>
      </c>
      <c r="F499" s="37">
        <f>IF('Enrollment Census'!F499="","",TRIM('Enrollment Census'!F499&amp;""))</f>
        <v/>
      </c>
      <c r="G499" s="37">
        <f>IF('Enrollment Census'!G499="","",TRIM('Enrollment Census'!G499&amp;""))</f>
        <v/>
      </c>
      <c r="H499" s="37">
        <f>IF('Enrollment Census'!H499="","",TRIM('Enrollment Census'!H499&amp;""))</f>
        <v/>
      </c>
      <c r="I499" s="36">
        <f>IF('Enrollment Census'!I499="","",TRIM('Enrollment Census'!I499&amp;""))</f>
        <v/>
      </c>
      <c r="J499" s="36">
        <f>IF('Enrollment Census'!J499="","",TRIM('Enrollment Census'!J499&amp;""))</f>
        <v/>
      </c>
      <c r="K499" s="36">
        <f>IF('Enrollment Census'!K499="","",TRIM('Enrollment Census'!K499&amp;""))</f>
        <v/>
      </c>
      <c r="L499" s="38">
        <f>IF('Enrollment Census'!L499="","",'Enrollment Census'!L499)</f>
        <v/>
      </c>
      <c r="M499" s="36">
        <f>IF('Enrollment Census'!M499="","",TRIM('Enrollment Census'!M499&amp;""))</f>
        <v/>
      </c>
      <c r="N499" s="36">
        <f>IF('Enrollment Census'!N499="","",LOWER(TRIM('Enrollment Census'!N499&amp;"")))</f>
        <v/>
      </c>
      <c r="O499" s="36">
        <f>IF('Enrollment Census'!O499="","",TRIM('Enrollment Census'!O499&amp;""))</f>
        <v/>
      </c>
      <c r="P499" s="38">
        <f>IF('Enrollment Census'!P499="","",'Enrollment Census'!P499)</f>
        <v/>
      </c>
      <c r="Q499" s="38">
        <f>IF('Enrollment Census'!Q499="","",'Enrollment Census'!Q499)</f>
        <v/>
      </c>
      <c r="R499" s="36">
        <f>IF('Enrollment Census'!R499="","",TRIM('Enrollment Census'!R499&amp;""))</f>
        <v/>
      </c>
      <c r="S499" s="36">
        <f>IF('Enrollment Census'!S499="","",TRIM('Enrollment Census'!S499&amp;""))</f>
        <v/>
      </c>
      <c r="T499" s="36">
        <f>IF('Enrollment Census'!T499="","",TRIM('Enrollment Census'!T499&amp;""))</f>
        <v/>
      </c>
      <c r="U499" s="39">
        <f>IF('Enrollment Census'!U499="","",'Enrollment Census'!U499)</f>
        <v/>
      </c>
    </row>
    <row r="500">
      <c r="A500" s="36">
        <f>IF('Enrollment Census'!A500="","",TRIM('Enrollment Census'!A500&amp;""))</f>
        <v/>
      </c>
      <c r="B500" s="36">
        <f>IF('Enrollment Census'!B500="","",TRIM('Enrollment Census'!B500&amp;""))</f>
        <v/>
      </c>
      <c r="C500" s="37">
        <f>IF('Enrollment Census'!C500="","",TRIM('Enrollment Census'!C500&amp;""))</f>
        <v/>
      </c>
      <c r="D500" s="37">
        <f>IF('Enrollment Census'!D500="","",TRIM('Enrollment Census'!D500&amp;""))</f>
        <v/>
      </c>
      <c r="E500" s="36">
        <f>IF('Enrollment Census'!E500="","",TRIM('Enrollment Census'!E500&amp;""))</f>
        <v/>
      </c>
      <c r="F500" s="37">
        <f>IF('Enrollment Census'!F500="","",TRIM('Enrollment Census'!F500&amp;""))</f>
        <v/>
      </c>
      <c r="G500" s="37">
        <f>IF('Enrollment Census'!G500="","",TRIM('Enrollment Census'!G500&amp;""))</f>
        <v/>
      </c>
      <c r="H500" s="37">
        <f>IF('Enrollment Census'!H500="","",TRIM('Enrollment Census'!H500&amp;""))</f>
        <v/>
      </c>
      <c r="I500" s="36">
        <f>IF('Enrollment Census'!I500="","",TRIM('Enrollment Census'!I500&amp;""))</f>
        <v/>
      </c>
      <c r="J500" s="36">
        <f>IF('Enrollment Census'!J500="","",TRIM('Enrollment Census'!J500&amp;""))</f>
        <v/>
      </c>
      <c r="K500" s="36">
        <f>IF('Enrollment Census'!K500="","",TRIM('Enrollment Census'!K500&amp;""))</f>
        <v/>
      </c>
      <c r="L500" s="38">
        <f>IF('Enrollment Census'!L500="","",'Enrollment Census'!L500)</f>
        <v/>
      </c>
      <c r="M500" s="36">
        <f>IF('Enrollment Census'!M500="","",TRIM('Enrollment Census'!M500&amp;""))</f>
        <v/>
      </c>
      <c r="N500" s="36">
        <f>IF('Enrollment Census'!N500="","",LOWER(TRIM('Enrollment Census'!N500&amp;"")))</f>
        <v/>
      </c>
      <c r="O500" s="36">
        <f>IF('Enrollment Census'!O500="","",TRIM('Enrollment Census'!O500&amp;""))</f>
        <v/>
      </c>
      <c r="P500" s="38">
        <f>IF('Enrollment Census'!P500="","",'Enrollment Census'!P500)</f>
        <v/>
      </c>
      <c r="Q500" s="38">
        <f>IF('Enrollment Census'!Q500="","",'Enrollment Census'!Q500)</f>
        <v/>
      </c>
      <c r="R500" s="36">
        <f>IF('Enrollment Census'!R500="","",TRIM('Enrollment Census'!R500&amp;""))</f>
        <v/>
      </c>
      <c r="S500" s="36">
        <f>IF('Enrollment Census'!S500="","",TRIM('Enrollment Census'!S500&amp;""))</f>
        <v/>
      </c>
      <c r="T500" s="36">
        <f>IF('Enrollment Census'!T500="","",TRIM('Enrollment Census'!T500&amp;""))</f>
        <v/>
      </c>
      <c r="U500" s="39">
        <f>IF('Enrollment Census'!U500="","",'Enrollment Census'!U500)</f>
        <v/>
      </c>
    </row>
    <row r="501">
      <c r="A501" s="36">
        <f>IF('Enrollment Census'!A501="","",TRIM('Enrollment Census'!A501&amp;""))</f>
        <v/>
      </c>
      <c r="B501" s="36">
        <f>IF('Enrollment Census'!B501="","",TRIM('Enrollment Census'!B501&amp;""))</f>
        <v/>
      </c>
      <c r="C501" s="37">
        <f>IF('Enrollment Census'!C501="","",TRIM('Enrollment Census'!C501&amp;""))</f>
        <v/>
      </c>
      <c r="D501" s="37">
        <f>IF('Enrollment Census'!D501="","",TRIM('Enrollment Census'!D501&amp;""))</f>
        <v/>
      </c>
      <c r="E501" s="36">
        <f>IF('Enrollment Census'!E501="","",TRIM('Enrollment Census'!E501&amp;""))</f>
        <v/>
      </c>
      <c r="F501" s="37">
        <f>IF('Enrollment Census'!F501="","",TRIM('Enrollment Census'!F501&amp;""))</f>
        <v/>
      </c>
      <c r="G501" s="37">
        <f>IF('Enrollment Census'!G501="","",TRIM('Enrollment Census'!G501&amp;""))</f>
        <v/>
      </c>
      <c r="H501" s="37">
        <f>IF('Enrollment Census'!H501="","",TRIM('Enrollment Census'!H501&amp;""))</f>
        <v/>
      </c>
      <c r="I501" s="36">
        <f>IF('Enrollment Census'!I501="","",TRIM('Enrollment Census'!I501&amp;""))</f>
        <v/>
      </c>
      <c r="J501" s="36">
        <f>IF('Enrollment Census'!J501="","",TRIM('Enrollment Census'!J501&amp;""))</f>
        <v/>
      </c>
      <c r="K501" s="36">
        <f>IF('Enrollment Census'!K501="","",TRIM('Enrollment Census'!K501&amp;""))</f>
        <v/>
      </c>
      <c r="L501" s="38">
        <f>IF('Enrollment Census'!L501="","",'Enrollment Census'!L501)</f>
        <v/>
      </c>
      <c r="M501" s="36">
        <f>IF('Enrollment Census'!M501="","",TRIM('Enrollment Census'!M501&amp;""))</f>
        <v/>
      </c>
      <c r="N501" s="36">
        <f>IF('Enrollment Census'!N501="","",LOWER(TRIM('Enrollment Census'!N501&amp;"")))</f>
        <v/>
      </c>
      <c r="O501" s="36">
        <f>IF('Enrollment Census'!O501="","",TRIM('Enrollment Census'!O501&amp;""))</f>
        <v/>
      </c>
      <c r="P501" s="38">
        <f>IF('Enrollment Census'!P501="","",'Enrollment Census'!P501)</f>
        <v/>
      </c>
      <c r="Q501" s="38">
        <f>IF('Enrollment Census'!Q501="","",'Enrollment Census'!Q501)</f>
        <v/>
      </c>
      <c r="R501" s="36">
        <f>IF('Enrollment Census'!R501="","",TRIM('Enrollment Census'!R501&amp;""))</f>
        <v/>
      </c>
      <c r="S501" s="36">
        <f>IF('Enrollment Census'!S501="","",TRIM('Enrollment Census'!S501&amp;""))</f>
        <v/>
      </c>
      <c r="T501" s="36">
        <f>IF('Enrollment Census'!T501="","",TRIM('Enrollment Census'!T501&amp;""))</f>
        <v/>
      </c>
      <c r="U501" s="39">
        <f>IF('Enrollment Census'!U501="","",'Enrollment Census'!U501)</f>
        <v/>
      </c>
    </row>
  </sheetData>
  <sheetProtection selectLockedCells="0" selectUnlockedCells="0" sheet="1" objects="1" insertRows="1" insertHyperlinks="1" autoFilter="0" scenarios="1" formatColumns="1" deleteColumns="1" insertColumns="1" pivotTables="1" deleteRows="1" formatCells="1" formatRows="1" sort="0"/>
  <autoFilter ref="A1:U50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5B3A59DA217E44B9E764810EF1856F" ma:contentTypeVersion="11" ma:contentTypeDescription="Create a new document." ma:contentTypeScope="" ma:versionID="04645727ac81dbbe11955b77f5aaa4cf">
  <xsd:schema xmlns:xsd="http://www.w3.org/2001/XMLSchema" xmlns:xs="http://www.w3.org/2001/XMLSchema" xmlns:p="http://schemas.microsoft.com/office/2006/metadata/properties" xmlns:ns2="fa16dcb1-5f1e-43db-a373-803826c4ee19" xmlns:ns3="22f378ee-1e23-44cd-9fba-ea2b72a3ca8a" targetNamespace="http://schemas.microsoft.com/office/2006/metadata/properties" ma:root="true" ma:fieldsID="1ed9cece40ab683c899ad2b3a74704ec" ns2:_="" ns3:_="">
    <xsd:import namespace="fa16dcb1-5f1e-43db-a373-803826c4ee19"/>
    <xsd:import namespace="22f378ee-1e23-44cd-9fba-ea2b72a3ca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6dcb1-5f1e-43db-a373-803826c4ee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378ee-1e23-44cd-9fba-ea2b72a3ca8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35ef84c-e42d-4b0a-8fc7-661065511f95}" ma:internalName="TaxCatchAll" ma:showField="CatchAllData" ma:web="22f378ee-1e23-44cd-9fba-ea2b72a3ca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f378ee-1e23-44cd-9fba-ea2b72a3ca8a" xsi:nil="true"/>
    <lcf76f155ced4ddcb4097134ff3c332f xmlns="fa16dcb1-5f1e-43db-a373-803826c4ee19" xsi:nil="true"/>
  </documentManagement>
</p:properties>
</file>

<file path=customXml/itemProps1.xml><?xml version="1.0" encoding="utf-8"?>
<ds:datastoreItem xmlns:ds="http://schemas.openxmlformats.org/officeDocument/2006/customXml" ds:itemID="{9677C1E6-736E-442E-96B1-43AC15E398EB}"/>
</file>

<file path=customXml/itemProps2.xml><?xml version="1.0" encoding="utf-8"?>
<ds:datastoreItem xmlns:ds="http://schemas.openxmlformats.org/officeDocument/2006/customXml" ds:itemID="{DFA8FE9F-BC8A-4734-8D70-0B1DF6EBAB36}"/>
</file>

<file path=customXml/itemProps3.xml><?xml version="1.0" encoding="utf-8"?>
<ds:datastoreItem xmlns:ds="http://schemas.openxmlformats.org/officeDocument/2006/customXml" ds:itemID="{BD5CAF13-9CD9-4003-B5C2-3094EF14811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Marin Benefits Enrollment Census Template</dc:title>
  <dc:subject>Client enrollment census submission template</dc:subject>
  <dc:creator>Marin Benefits</dc:creator>
  <cp:lastModifiedBy>Marin Benefits</cp:lastModifiedBy>
  <dcterms:created xsi:type="dcterms:W3CDTF">2026-07-29T20:06:17Z</dcterms:created>
  <dcterms:modified xsi:type="dcterms:W3CDTF">2026-07-30T03:25:38Z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0x010100825B3A59DA217E44B9E764810EF1856F</vt:lpwstr>
  </property>
</Properties>
</file>